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omments6.xml" ContentType="application/vnd.openxmlformats-officedocument.spreadsheetml.comments+xml"/>
  <Override PartName="/xl/threadedComments/threadedComment5.xml" ContentType="application/vnd.ms-excel.threadedcomments+xml"/>
  <Override PartName="/xl/comments7.xml" ContentType="application/vnd.openxmlformats-officedocument.spreadsheetml.comments+xml"/>
  <Override PartName="/xl/threadedComments/threadedComment6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STANY\Desktop\CNGC Filing\210755\"/>
    </mc:Choice>
  </mc:AlternateContent>
  <xr:revisionPtr revIDLastSave="0" documentId="8_{5D1A9606-B826-4A9C-9F99-8E5DF1C6D7CF}" xr6:coauthVersionLast="47" xr6:coauthVersionMax="47" xr10:uidLastSave="{00000000-0000-0000-0000-000000000000}"/>
  <bookViews>
    <workbookView xWindow="-120" yWindow="-120" windowWidth="29040" windowHeight="15840" tabRatio="832" firstSheet="19" activeTab="21" xr2:uid="{00000000-000D-0000-FFFF-FFFF00000000}"/>
  </bookViews>
  <sheets>
    <sheet name="Cover" sheetId="79" r:id="rId1"/>
    <sheet name="Title" sheetId="81" r:id="rId2"/>
    <sheet name="Summary of Request" sheetId="82" r:id="rId3"/>
    <sheet name="Summary Bill Impacts" sheetId="83" r:id="rId4"/>
    <sheet name="Proof ---&gt;" sheetId="85" r:id="rId5"/>
    <sheet name="Exh IDM-2, Proof of Revenue" sheetId="169" r:id="rId6"/>
    <sheet name="Exh IDM-3, Revenue Distribution" sheetId="97" r:id="rId7"/>
    <sheet name="Exh IDM-5, Decoupling Baseline" sheetId="99" r:id="rId8"/>
    <sheet name="Proof WPs ---&gt;" sheetId="86" r:id="rId9"/>
    <sheet name="Index" sheetId="183" r:id="rId10"/>
    <sheet name="1501 Summary" sheetId="174" r:id="rId11"/>
    <sheet name="Rev Recon Summary" sheetId="175" r:id="rId12"/>
    <sheet name="EOP Calculations" sheetId="176" r:id="rId13"/>
    <sheet name="663 - 511 Transfer" sheetId="182" r:id="rId14"/>
    <sheet name="Allocation Report 2020" sheetId="177" r:id="rId15"/>
    <sheet name="Weather Normalization" sheetId="178" r:id="rId16"/>
    <sheet name="WACAP 2020" sheetId="179" r:id="rId17"/>
    <sheet name="Rev Req ---&gt;" sheetId="87" r:id="rId18"/>
    <sheet name="Exh MCG-2 ROO Summary" sheetId="1" r:id="rId19"/>
    <sheet name="Exh MCG-3, Rev Req Calc" sheetId="26" r:id="rId20"/>
    <sheet name="Exh MCG-4, Conversion Factor" sheetId="2" r:id="rId21"/>
    <sheet name="Exh MCG-5, Summary of Adj" sheetId="4" r:id="rId22"/>
    <sheet name="Plant Additions" sheetId="49" r:id="rId23"/>
    <sheet name=" MYRP Summary" sheetId="165" r:id="rId24"/>
    <sheet name="RR WPs ---&gt;" sheetId="88" r:id="rId25"/>
    <sheet name="Operating Report" sheetId="31" r:id="rId26"/>
    <sheet name="MCG WP Index" sheetId="184" r:id="rId27"/>
    <sheet name="Rate Base" sheetId="32" r:id="rId28"/>
    <sheet name="Suppl Sch Adj" sheetId="181" r:id="rId29"/>
    <sheet name="CAC-Def Tax" sheetId="59" r:id="rId30"/>
    <sheet name="D&amp;O Adjustment" sheetId="163" r:id="rId31"/>
    <sheet name="LPC" sheetId="164" r:id="rId32"/>
    <sheet name="State Allocators" sheetId="60" r:id="rId33"/>
    <sheet name="Annualize CRM" sheetId="73" r:id="rId34"/>
    <sheet name="Advertising Adj" sheetId="18" r:id="rId35"/>
    <sheet name="Annualize Rev Adj" sheetId="70" r:id="rId36"/>
    <sheet name="EOP Rev Adj" sheetId="74" r:id="rId37"/>
    <sheet name="Wage Adjustments" sheetId="6" r:id="rId38"/>
    <sheet name="Incentives Adj" sheetId="64" r:id="rId39"/>
    <sheet name="Interest Sync Adj" sheetId="24" r:id="rId40"/>
    <sheet name="MAOP Deferral" sheetId="38" r:id="rId41"/>
    <sheet name=" Working Capital (AMA)" sheetId="62" r:id="rId42"/>
    <sheet name="FP-319072 &amp; FP-319209" sheetId="185" r:id="rId43"/>
    <sheet name="WACC Calculation" sheetId="3" r:id="rId44"/>
    <sheet name="EOP Depn Exp Adj" sheetId="187" r:id="rId45"/>
    <sheet name="Pro Forma Plant Additions" sheetId="13" r:id="rId46"/>
    <sheet name="R&amp;R Adjustment" sheetId="160" r:id="rId47"/>
    <sheet name="Plt-Accum Depn" sheetId="58" r:id="rId48"/>
    <sheet name="Rate Design ---&gt;" sheetId="91" r:id="rId49"/>
    <sheet name="Class Revenue" sheetId="75" r:id="rId50"/>
    <sheet name="Exh IDM-4, Class Rates" sheetId="76" r:id="rId51"/>
    <sheet name="Exh PJA-3, RES Monthly Impact" sheetId="77" r:id="rId52"/>
    <sheet name="Exh PJA-4, Bill Impacts" sheetId="78" r:id="rId53"/>
  </sheets>
  <externalReferences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</externalReferences>
  <definedNames>
    <definedName name="__123Graph_A" hidden="1">[1]Inputs!#REF!</definedName>
    <definedName name="__123Graph_B" hidden="1">[1]Inputs!#REF!</definedName>
    <definedName name="__123Graph_D" hidden="1">[1]Inputs!#REF!</definedName>
    <definedName name="__123Graph_E" hidden="1">[2]Input!$E$22:$E$37</definedName>
    <definedName name="__123Graph_F" hidden="1">[2]Input!$D$22:$D$37</definedName>
    <definedName name="__IntlFixup" hidden="1">TRUE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cd1" localSheetId="10" hidden="1">{"annual",#N/A,FALSE,"Pro Forma";#N/A,#N/A,FALSE,"Golf Operations"}</definedName>
    <definedName name="_cd1" localSheetId="11" hidden="1">{"annual",#N/A,FALSE,"Pro Forma";#N/A,#N/A,FALSE,"Golf Operations"}</definedName>
    <definedName name="_cd1" hidden="1">{"annual",#N/A,FALSE,"Pro Forma";#N/A,#N/A,FALSE,"Golf Operations"}</definedName>
    <definedName name="_Dist_Values" hidden="1">#REF!</definedName>
    <definedName name="_Fill" hidden="1">#REF!</definedName>
    <definedName name="_xlnm._FilterDatabase" localSheetId="5" hidden="1">'Exh IDM-2, Proof of Revenue'!$A$1:$E$540</definedName>
    <definedName name="_xlnm._FilterDatabase" hidden="1">#REF!</definedName>
    <definedName name="_gr1" localSheetId="10" hidden="1">{"three",#N/A,FALSE,"Capital";"four",#N/A,FALSE,"Capital"}</definedName>
    <definedName name="_gr1" localSheetId="11" hidden="1">{"three",#N/A,FALSE,"Capital";"four",#N/A,FALSE,"Capital"}</definedName>
    <definedName name="_gr1" hidden="1">{"three",#N/A,FALSE,"Capital";"four",#N/A,FALSE,"Capital"}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Key1" hidden="1">[5]RENT!#REF!</definedName>
    <definedName name="_Key2" hidden="1">#REF!</definedName>
    <definedName name="_OM1" hidden="1">{#N/A,#N/A,FALSE,"Summary";#N/A,#N/A,FALSE,"SmPlants";#N/A,#N/A,FALSE,"Utah";#N/A,#N/A,FALSE,"Idaho";#N/A,#N/A,FALSE,"Lewis River";#N/A,#N/A,FALSE,"NrthUmpq";#N/A,#N/A,FALSE,"KlamRog"}</definedName>
    <definedName name="_Order1" hidden="1">255</definedName>
    <definedName name="_Order2" hidden="1">255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Sort" hidden="1">#REF!</definedName>
    <definedName name="_Table2_Out" hidden="1">#REF!</definedName>
    <definedName name="_wr1" localSheetId="10" hidden="1">{"Output-3Column",#N/A,FALSE,"Output"}</definedName>
    <definedName name="_wr1" localSheetId="11" hidden="1">{"Output-3Column",#N/A,FALSE,"Output"}</definedName>
    <definedName name="_wr1" hidden="1">{"Output-3Column",#N/A,FALSE,"Output"}</definedName>
    <definedName name="_wrn1" localSheetId="10" hidden="1">{"Inflation-BaseYear",#N/A,FALSE,"Inputs"}</definedName>
    <definedName name="_wrn1" localSheetId="11" hidden="1">{"Inflation-BaseYear",#N/A,FALSE,"Inputs"}</definedName>
    <definedName name="_wrn1" hidden="1">{"Inflation-BaseYear",#N/A,FALSE,"Inputs"}</definedName>
    <definedName name="a" localSheetId="10" hidden="1">{"Print_Detail",#N/A,FALSE,"Redemption_Maturity Extract"}</definedName>
    <definedName name="a" localSheetId="11" hidden="1">{"Print_Detail",#N/A,FALSE,"Redemption_Maturity Extract"}</definedName>
    <definedName name="a" hidden="1">{"Print_Detail",#N/A,FALSE,"Redemption_Maturity Extract"}</definedName>
    <definedName name="Access_Button1" hidden="1">"Headcount_Workbook_Schedules_List"</definedName>
    <definedName name="AccessCode" hidden="1">""""</definedName>
    <definedName name="AccessDatabase" hidden="1">"C:\ncux\bud\rms_inv.mdb"</definedName>
    <definedName name="ACwvu.allocations." hidden="1">#REF!</definedName>
    <definedName name="ACwvu.annual._.hotel." hidden="1">[8]development!$C$5</definedName>
    <definedName name="ACwvu.bottom._.line." hidden="1">[8]development!#REF!</definedName>
    <definedName name="ACwvu.cash._.flow." hidden="1">#REF!</definedName>
    <definedName name="ACwvu.combo." hidden="1">[8]development!$B$89</definedName>
    <definedName name="ACwvu.full." hidden="1">#REF!</definedName>
    <definedName name="ACwvu.offsite." hidden="1">#REF!</definedName>
    <definedName name="ACwvu.onsite." hidden="1">#REF!</definedName>
    <definedName name="anscount" hidden="1">2</definedName>
    <definedName name="asa" hidden="1">{"Factors Pages 1-2",#N/A,FALSE,"Factors";"Factors Page 3",#N/A,FALSE,"Factors";"Factors Page 4",#N/A,FALSE,"Factors";"Factors Page 5",#N/A,FALSE,"Factors";"Factors Pages 8-27",#N/A,FALSE,"Factors"}</definedName>
    <definedName name="b" localSheetId="10" hidden="1">{"One",#N/A,FALSE,"CClub";"Two",#N/A,FALSE,"CClub";"Three",#N/A,FALSE,"CClub";"Four",#N/A,FALSE,"CClub";"Five",#N/A,FALSE,"CClub"}</definedName>
    <definedName name="b" localSheetId="11" hidden="1">{"One",#N/A,FALSE,"CClub";"Two",#N/A,FALSE,"CClub";"Three",#N/A,FALSE,"CClub";"Four",#N/A,FALSE,"CClub";"Five",#N/A,FALSE,"CClub"}</definedName>
    <definedName name="b" hidden="1">{"One",#N/A,FALSE,"CClub";"Two",#N/A,FALSE,"CClub";"Three",#N/A,FALSE,"CClub";"Four",#N/A,FALSE,"CClub";"Five",#N/A,FALSE,"CClub"}</definedName>
    <definedName name="bi" hidden="1">{#N/A,#N/A,FALSE,"BidCo Assumptions";#N/A,#N/A,FALSE,"Credit Stats";#N/A,#N/A,FALSE,"Bidco Summary";#N/A,#N/A,FALSE,"BIDCO Consolidated"}</definedName>
    <definedName name="BNE_MESSAGES_HIDDEN" hidden="1">#REF!</definedName>
    <definedName name="cd" localSheetId="10" hidden="1">{"annual",#N/A,FALSE,"Pro Forma";#N/A,#N/A,FALSE,"Golf Operations"}</definedName>
    <definedName name="cd" localSheetId="11" hidden="1">{"annual",#N/A,FALSE,"Pro Forma";#N/A,#N/A,FALSE,"Golf Operations"}</definedName>
    <definedName name="cd" hidden="1">{"annual",#N/A,FALSE,"Pro Forma";#N/A,#N/A,FALSE,"Golf Operations"}</definedName>
    <definedName name="cgf" hidden="1">{"PRINT",#N/A,TRUE,"APPA";"PRINT",#N/A,TRUE,"APS";"PRINT",#N/A,TRUE,"BHPL";"PRINT",#N/A,TRUE,"BHPL2";"PRINT",#N/A,TRUE,"CDWR";"PRINT",#N/A,TRUE,"EWEB";"PRINT",#N/A,TRUE,"LADWP";"PRINT",#N/A,TRUE,"NEVBASE"}</definedName>
    <definedName name="combined1" hidden="1">{"YTD-Total",#N/A,TRUE,"Provision";"YTD-Utility",#N/A,TRUE,"Prov Utility";"YTD-NonUtility",#N/A,TRUE,"Prov NonUtility"}</definedName>
    <definedName name="Company">Title!$A$2</definedName>
    <definedName name="Cwvu.annual." hidden="1">#REF!,#REF!,#REF!,#REF!,#REF!,#REF!,#REF!,#REF!,#REF!,#REF!,#REF!,#REF!,#REF!,#REF!,#REF!,#REF!,#REF!,#REF!,#REF!,#REF!,#REF!,#REF!,#REF!,#REF!</definedName>
    <definedName name="Cwvu.annual._.hotel." hidden="1">[8]development!$A$16:$IV$16,[8]development!$A$21:$IV$21,[8]development!#REF!,[8]development!#REF!,[8]development!$A$36:$IV$36,[8]development!$A$46:$IV$46,[8]development!#REF!,[8]development!#REF!,[8]development!#REF!,[8]development!#REF!,[8]development!#REF!,[8]development!#REF!,[8]development!#REF!,[8]development!#REF!,[8]development!#REF!,[8]development!$A$89:$IV$89,[8]development!#REF!,[8]development!#REF!,[8]development!#REF!</definedName>
    <definedName name="Cwvu.bottom._.line." hidden="1">[8]development!$A$16:$IV$16,[8]development!$A$21:$IV$21,[8]development!#REF!,[8]development!#REF!,[8]development!$A$36:$IV$36,[8]development!$A$46:$IV$46,[8]development!#REF!,[8]development!#REF!,[8]development!#REF!,[8]development!#REF!,[8]development!#REF!,[8]development!#REF!,[8]development!#REF!,[8]development!#REF!,[8]development!#REF!,[8]development!$A$89:$IV$89,[8]development!#REF!,[8]development!#REF!,[8]development!#REF!,[8]development!#REF!,[8]development!#REF!,[8]development!#REF!</definedName>
    <definedName name="Cwvu.cash._.flow." hidden="1">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wvu.combo." hidden="1">[8]development!$A$16:$IV$16,[8]development!$A$21:$IV$21,[8]development!#REF!,[8]development!#REF!,[8]development!$A$36:$IV$36,[8]development!$A$46:$IV$46,[8]development!#REF!,[8]development!#REF!,[8]development!#REF!,[8]development!#REF!,[8]development!#REF!,[8]development!#REF!,[8]development!#REF!,[8]development!#REF!,[8]development!#REF!,[8]development!$A$85:$IV$85,[8]development!$A$89:$IV$89,[8]development!$A$91:$IV$91,[8]development!#REF!,[8]development!#REF!,[8]development!#REF!,[8]development!#REF!</definedName>
    <definedName name="Cwvu.GREY_ALL." hidden="1">#REF!</definedName>
    <definedName name="dd" localSheetId="10" hidden="1">{"Print_Detail",#N/A,FALSE,"Redemption_Maturity Extract"}</definedName>
    <definedName name="dd" localSheetId="11" hidden="1">{"Print_Detail",#N/A,FALSE,"Redemption_Maturity Extract"}</definedName>
    <definedName name="dd" hidden="1">{"Print_Detail",#N/A,FALSE,"Redemption_Maturity Extract"}</definedName>
    <definedName name="ddd" localSheetId="10" hidden="1">{"Full",#N/A,FALSE,"Sec MTN B Summary"}</definedName>
    <definedName name="ddd" localSheetId="11" hidden="1">{"Full",#N/A,FALSE,"Sec MTN B Summary"}</definedName>
    <definedName name="ddd" hidden="1">{"Full",#N/A,FALSE,"Sec MTN B Summary"}</definedName>
    <definedName name="dddd" localSheetId="10" hidden="1">{"RedPrem_InitRed View",#N/A,FALSE,"Sec MTN B Summary"}</definedName>
    <definedName name="dddd" localSheetId="11" hidden="1">{"RedPrem_InitRed View",#N/A,FALSE,"Sec MTN B Summary"}</definedName>
    <definedName name="dddd" hidden="1">{"RedPrem_InitRed View",#N/A,FALSE,"Sec MTN B Summary"}</definedName>
    <definedName name="dddddd" localSheetId="10" hidden="1">{"Pivot1",#N/A,FALSE,"Redemption_Maturity Extract"}</definedName>
    <definedName name="dddddd" localSheetId="11" hidden="1">{"Pivot1",#N/A,FALSE,"Redemption_Maturity Extract"}</definedName>
    <definedName name="dddddd" hidden="1">{"Pivot1",#N/A,FALSE,"Redemption_Maturity Extract"}</definedName>
    <definedName name="dddddddd" localSheetId="10" hidden="1">{"Pivot2",#N/A,FALSE,"Redemption_Maturity Extract"}</definedName>
    <definedName name="dddddddd" localSheetId="11" hidden="1">{"Pivot2",#N/A,FALSE,"Redemption_Maturity Extract"}</definedName>
    <definedName name="dddddddd" hidden="1">{"Pivot2",#N/A,FALSE,"Redemption_Maturity Extract"}</definedName>
    <definedName name="DUDE" hidden="1">#REF!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V__ALLOWSTOPEXPAND__" hidden="1">1</definedName>
    <definedName name="EV__EVCOM_OPTIONS__" hidden="1">8</definedName>
    <definedName name="EV__EXPOPTIONS__" hidden="1">0</definedName>
    <definedName name="EV__LASTREFTIME__" hidden="1">40535.431400463</definedName>
    <definedName name="EV__MAXEXPCOLS__" hidden="1">100</definedName>
    <definedName name="EV__MAXEXPROWS__" hidden="1">2000</definedName>
    <definedName name="EV__MEMORYCVW__" hidden="1">0</definedName>
    <definedName name="EV__WBEVMODE__" hidden="1">0</definedName>
    <definedName name="EV__WBREFOPTIONS__" hidden="1">55</definedName>
    <definedName name="EV__WBVERSION__" hidden="1">0</definedName>
    <definedName name="EV__WSINFO__" hidden="1">"kab"</definedName>
    <definedName name="fffff" localSheetId="10" hidden="1">{"ALL",#N/A,FALSE,"A"}</definedName>
    <definedName name="fffff" localSheetId="11" hidden="1">{"ALL",#N/A,FALSE,"A"}</definedName>
    <definedName name="fffff" hidden="1">{"ALL",#N/A,FALSE,"A"}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riend" hidden="1">{"PRINT",#N/A,TRUE,"APPA";"PRINT",#N/A,TRUE,"APS";"PRINT",#N/A,TRUE,"BHPL";"PRINT",#N/A,TRUE,"BHPL2";"PRINT",#N/A,TRUE,"CDWR";"PRINT",#N/A,TRUE,"EWEB";"PRINT",#N/A,TRUE,"LADWP";"PRINT",#N/A,TRUE,"NEVBASE"}</definedName>
    <definedName name="fsdfsad" localSheetId="10" hidden="1">{"ALL",#N/A,FALSE,"A"}</definedName>
    <definedName name="fsdfsad" localSheetId="11" hidden="1">{"ALL",#N/A,FALSE,"A"}</definedName>
    <definedName name="fsdfsad" hidden="1">{"ALL",#N/A,FALSE,"A"}</definedName>
    <definedName name="gr" localSheetId="10" hidden="1">{"three",#N/A,FALSE,"Capital";"four",#N/A,FALSE,"Capital"}</definedName>
    <definedName name="gr" localSheetId="11" hidden="1">{"three",#N/A,FALSE,"Capital";"four",#N/A,FALSE,"Capital"}</definedName>
    <definedName name="gr" hidden="1">{"three",#N/A,FALSE,"Capital";"four",#N/A,FALSE,"Capital"}</definedName>
    <definedName name="help" localSheetId="10" hidden="1">{"ALL",#N/A,FALSE,"A"}</definedName>
    <definedName name="help" localSheetId="11" hidden="1">{"ALL",#N/A,FALSE,"A"}</definedName>
    <definedName name="help" hidden="1">{"ALL",#N/A,FALSE,"A"}</definedName>
    <definedName name="HROptim" hidden="1">{#N/A,#N/A,FALSE,"Summary";#N/A,#N/A,FALSE,"SmPlants";#N/A,#N/A,FALSE,"Utah";#N/A,#N/A,FALSE,"Idaho";#N/A,#N/A,FALSE,"Lewis River";#N/A,#N/A,FALSE,"NrthUmpq";#N/A,#N/A,FALSE,"KlamRog"}</definedName>
    <definedName name="HTML1_1" hidden="1">"'[MONET71.xls]Market Hubs by Condition'!$A$1:$F$44"</definedName>
    <definedName name="HTML1_10" hidden="1">"Dave_LeVee"</definedName>
    <definedName name="HTML1_11" hidden="1">1</definedName>
    <definedName name="HTML1_12" hidden="1">"G:\MONET\WEB\FORECAST\hub71.htm"</definedName>
    <definedName name="HTML1_2" hidden="1">1</definedName>
    <definedName name="HTML1_3" hidden="1">"MONET71"</definedName>
    <definedName name="HTML1_4" hidden="1">"Market Hubs by Condition"</definedName>
    <definedName name="HTML1_5" hidden="1">""</definedName>
    <definedName name="HTML1_6" hidden="1">1</definedName>
    <definedName name="HTML1_7" hidden="1">1</definedName>
    <definedName name="HTML1_8" hidden="1">"4/10/96"</definedName>
    <definedName name="HTML1_9" hidden="1">"Resource Forecasting Department"</definedName>
    <definedName name="HTML2_1" hidden="1">"[MONET71.xls]FlatMarginalCost!$A$1:$E$132"</definedName>
    <definedName name="HTML2_10" hidden="1">"Dave_LeVee"</definedName>
    <definedName name="HTML2_11" hidden="1">1</definedName>
    <definedName name="HTML2_12" hidden="1">"G:\MONET\WEB\FORECAST\mc71.htm"</definedName>
    <definedName name="HTML2_2" hidden="1">1</definedName>
    <definedName name="HTML2_3" hidden="1">"MONET71"</definedName>
    <definedName name="HTML2_4" hidden="1">"FlatMarginalCost"</definedName>
    <definedName name="HTML2_5" hidden="1">""</definedName>
    <definedName name="HTML2_6" hidden="1">1</definedName>
    <definedName name="HTML2_7" hidden="1">1</definedName>
    <definedName name="HTML2_8" hidden="1">"4/10/96"</definedName>
    <definedName name="HTML2_9" hidden="1">"Resource Forecasting Department"</definedName>
    <definedName name="HTML3_1" hidden="1">"'[MONET84.XLS]Market Hubs by Condition'!$A$1:$F$36"</definedName>
    <definedName name="HTML3_10" hidden="1">"dave_levee@pgn.com"</definedName>
    <definedName name="HTML3_11" hidden="1">1</definedName>
    <definedName name="HTML3_12" hidden="1">"G:\MONET\WEB\FORECAST\Hub84.htm"</definedName>
    <definedName name="HTML3_2" hidden="1">1</definedName>
    <definedName name="HTML3_3" hidden="1">"MONET84"</definedName>
    <definedName name="HTML3_4" hidden="1">"Market Hubs by Condition"</definedName>
    <definedName name="HTML3_5" hidden="1">""</definedName>
    <definedName name="HTML3_6" hidden="1">1</definedName>
    <definedName name="HTML3_7" hidden="1">1</definedName>
    <definedName name="HTML3_8" hidden="1">"4/15/96"</definedName>
    <definedName name="HTML3_9" hidden="1">"Resource Forecasting Department"</definedName>
    <definedName name="HTML4_1" hidden="1">"[MONET84.XLS]ConditionMarginalCost!$A$1:$E$286"</definedName>
    <definedName name="HTML4_10" hidden="1">"dave_levee@pgn.com"</definedName>
    <definedName name="HTML4_11" hidden="1">1</definedName>
    <definedName name="HTML4_12" hidden="1">"G:\MONET\WEB\FORECAST\mc84.htm"</definedName>
    <definedName name="HTML4_2" hidden="1">1</definedName>
    <definedName name="HTML4_3" hidden="1">"MONET84"</definedName>
    <definedName name="HTML4_4" hidden="1">"ConditionMarginalCost"</definedName>
    <definedName name="HTML4_5" hidden="1">""</definedName>
    <definedName name="HTML4_6" hidden="1">1</definedName>
    <definedName name="HTML4_7" hidden="1">1</definedName>
    <definedName name="HTML4_8" hidden="1">"4/15/96"</definedName>
    <definedName name="HTML4_9" hidden="1">"Resource Forecasting Department"</definedName>
    <definedName name="HTML5_1" hidden="1">"[MONET84.XLS]ConditionMarginalCost!$A$1:$E$177"</definedName>
    <definedName name="HTML5_10" hidden="1">"dave_levee@pgn.com"</definedName>
    <definedName name="HTML5_11" hidden="1">1</definedName>
    <definedName name="HTML5_12" hidden="1">"G:\MONET\WEB\FORECAST\mc84.htm"</definedName>
    <definedName name="HTML5_2" hidden="1">1</definedName>
    <definedName name="HTML5_3" hidden="1">"MONET84"</definedName>
    <definedName name="HTML5_4" hidden="1">"ConditionMarginalCost"</definedName>
    <definedName name="HTML5_5" hidden="1">""</definedName>
    <definedName name="HTML5_6" hidden="1">1</definedName>
    <definedName name="HTML5_7" hidden="1">1</definedName>
    <definedName name="HTML5_8" hidden="1">"4/15/96"</definedName>
    <definedName name="HTML5_9" hidden="1">"Resource Forecasting Department"</definedName>
    <definedName name="HTMLCount" hidden="1">5</definedName>
    <definedName name="inventory" hidden="1">{#N/A,#N/A,FALSE,"Summary";#N/A,#N/A,FALSE,"SmPlants";#N/A,#N/A,FALSE,"Utah";#N/A,#N/A,FALSE,"Idaho";#N/A,#N/A,FALSE,"Lewis River";#N/A,#N/A,FALSE,"NrthUmpq";#N/A,#N/A,FALSE,"KlamRog"}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TODAY" hidden="1">0</definedName>
    <definedName name="IQ_YTDMONTH" hidden="1">130000</definedName>
    <definedName name="JIM" localSheetId="10" hidden="1">{#N/A,#N/A,FALSE,"Sheet5"}</definedName>
    <definedName name="JIM" localSheetId="11" hidden="1">{#N/A,#N/A,FALSE,"Sheet5"}</definedName>
    <definedName name="JIM" hidden="1">{#N/A,#N/A,FALSE,"Sheet5"}</definedName>
    <definedName name="June" localSheetId="10" hidden="1">{"three",#N/A,FALSE,"Capital";"four",#N/A,FALSE,"Capital"}</definedName>
    <definedName name="June" localSheetId="11" hidden="1">{"three",#N/A,FALSE,"Capital";"four",#N/A,FALSE,"Capital"}</definedName>
    <definedName name="June" hidden="1">{"three",#N/A,FALSE,"Capital";"four",#N/A,FALSE,"Capital"}</definedName>
    <definedName name="junk" hidden="1">{"PRINT",#N/A,TRUE,"APPA";"PRINT",#N/A,TRUE,"APS";"PRINT",#N/A,TRUE,"BHPL";"PRINT",#N/A,TRUE,"BHPL2";"PRINT",#N/A,TRUE,"CDWR";"PRINT",#N/A,TRUE,"EWEB";"PRINT",#N/A,TRUE,"LADWP";"PRINT",#N/A,TRUE,"NEVBASE"}</definedName>
    <definedName name="junk2" hidden="1">{"PRINT",#N/A,TRUE,"APPA";"PRINT",#N/A,TRUE,"APS";"PRINT",#N/A,TRUE,"BHPL";"PRINT",#N/A,TRUE,"BHPL2";"PRINT",#N/A,TRUE,"CDWR";"PRINT",#N/A,TRUE,"EWEB";"PRINT",#N/A,TRUE,"LADWP";"PRINT",#N/A,TRUE,"NEVBASE"}</definedName>
    <definedName name="junk3" hidden="1">{"PRINT",#N/A,TRUE,"APPA";"PRINT",#N/A,TRUE,"APS";"PRINT",#N/A,TRUE,"BHPL";"PRINT",#N/A,TRUE,"BHPL2";"PRINT",#N/A,TRUE,"CDWR";"PRINT",#N/A,TRUE,"EWEB";"PRINT",#N/A,TRUE,"LADWP";"PRINT",#N/A,TRUE,"NEVBASE"}</definedName>
    <definedName name="junk4" hidden="1">{"PRINT",#N/A,TRUE,"APPA";"PRINT",#N/A,TRUE,"APS";"PRINT",#N/A,TRUE,"BHPL";"PRINT",#N/A,TRUE,"BHPL2";"PRINT",#N/A,TRUE,"CDWR";"PRINT",#N/A,TRUE,"EWEB";"PRINT",#N/A,TRUE,"LADWP";"PRINT",#N/A,TRUE,"NEVBASE"}</definedName>
    <definedName name="K2_WBEVMODE" hidden="1">0</definedName>
    <definedName name="Keep" hidden="1">{"PRINT",#N/A,TRUE,"APPA";"PRINT",#N/A,TRUE,"APS";"PRINT",#N/A,TRUE,"BHPL";"PRINT",#N/A,TRUE,"BHPL2";"PRINT",#N/A,TRUE,"CDWR";"PRINT",#N/A,TRUE,"EWEB";"PRINT",#N/A,TRUE,"LADWP";"PRINT",#N/A,TRUE,"NEVBASE"}</definedName>
    <definedName name="keep2" hidden="1">{"PRINT",#N/A,TRUE,"APPA";"PRINT",#N/A,TRUE,"APS";"PRINT",#N/A,TRUE,"BHPL";"PRINT",#N/A,TRUE,"BHPL2";"PRINT",#N/A,TRUE,"CDWR";"PRINT",#N/A,TRUE,"EWEB";"PRINT",#N/A,TRUE,"LADWP";"PRINT",#N/A,TRUE,"NEVBASE"}</definedName>
    <definedName name="limcount" hidden="1">3</definedName>
    <definedName name="Master" hidden="1">{#N/A,#N/A,FALSE,"Actual";#N/A,#N/A,FALSE,"Normalized";#N/A,#N/A,FALSE,"Electric Actual";#N/A,#N/A,FALSE,"Electric Normalized"}</definedName>
    <definedName name="mmm" hidden="1">{"PRINT",#N/A,TRUE,"APPA";"PRINT",#N/A,TRUE,"APS";"PRINT",#N/A,TRUE,"BHPL";"PRINT",#N/A,TRUE,"BHPL2";"PRINT",#N/A,TRUE,"CDWR";"PRINT",#N/A,TRUE,"EWEB";"PRINT",#N/A,TRUE,"LADWP";"PRINT",#N/A,TRUE,"NEVBASE"}</definedName>
    <definedName name="OHSch10YR" hidden="1">{#N/A,#N/A,FALSE,"Summary";#N/A,#N/A,FALSE,"SmPlants";#N/A,#N/A,FALSE,"Utah";#N/A,#N/A,FALSE,"Idaho";#N/A,#N/A,FALSE,"Lewis River";#N/A,#N/A,FALSE,"NrthUmpq";#N/A,#N/A,FALSE,"KlamRog"}</definedName>
    <definedName name="om" hidden="1">{#N/A,#N/A,FALSE,"Summary";#N/A,#N/A,FALSE,"SmPlants";#N/A,#N/A,FALSE,"Utah";#N/A,#N/A,FALSE,"Idaho";#N/A,#N/A,FALSE,"Lewis River";#N/A,#N/A,FALSE,"NrthUmpq";#N/A,#N/A,FALSE,"KlamRog"}</definedName>
    <definedName name="others" hidden="1">{"Factors Pages 1-2",#N/A,FALSE,"Factors";"Factors Page 3",#N/A,FALSE,"Factors";"Factors Page 4",#N/A,FALSE,"Factors";"Factors Page 5",#N/A,FALSE,"Factors";"Factors Pages 8-27",#N/A,FALSE,"Factors"}</definedName>
    <definedName name="Pal_Workbook_GUID" hidden="1">"VX3CWJGNQX2CCGI81U4N2V76"</definedName>
    <definedName name="pet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PPPPPPPPPPPPPPP" localSheetId="10" hidden="1">{#N/A,#N/A,FALSE,"Sheet5"}</definedName>
    <definedName name="PPPPPPPPPPPPPPPP" localSheetId="11" hidden="1">{#N/A,#N/A,FALSE,"Sheet5"}</definedName>
    <definedName name="PPPPPPPPPPPPPPPP" hidden="1">{#N/A,#N/A,FALSE,"Sheet5"}</definedName>
    <definedName name="PricingInfo" hidden="1">[9]Inputs!#REF!</definedName>
    <definedName name="_xlnm.Print_Area" localSheetId="23">' MYRP Summary'!$A$1:$S$40</definedName>
    <definedName name="_xlnm.Print_Area" localSheetId="41">' Working Capital (AMA)'!$A$1:$AF$745</definedName>
    <definedName name="_xlnm.Print_Area" localSheetId="34">'Advertising Adj'!$A$1:$F$91</definedName>
    <definedName name="_xlnm.Print_Area" localSheetId="14">'Allocation Report 2020'!$A$1:$P$29</definedName>
    <definedName name="_xlnm.Print_Area" localSheetId="33">'Annualize CRM'!$A$1:$D$12</definedName>
    <definedName name="_xlnm.Print_Area" localSheetId="35">'Annualize Rev Adj'!$A$1:$C$20</definedName>
    <definedName name="_xlnm.Print_Area" localSheetId="49">'Class Revenue'!$A$1:$F$40</definedName>
    <definedName name="_xlnm.Print_Area" localSheetId="44">'EOP Depn Exp Adj'!$A$1:$E$57</definedName>
    <definedName name="_xlnm.Print_Area" localSheetId="36">'EOP Rev Adj'!$A$1:$C$13</definedName>
    <definedName name="_xlnm.Print_Area" localSheetId="5">'Exh IDM-2, Proof of Revenue'!$A$1:$AC$530</definedName>
    <definedName name="_xlnm.Print_Area" localSheetId="6">'Exh IDM-3, Revenue Distribution'!$A$1:$L$46</definedName>
    <definedName name="_xlnm.Print_Area" localSheetId="50">'Exh IDM-4, Class Rates'!$A$1:$I$50</definedName>
    <definedName name="_xlnm.Print_Area" localSheetId="7">'Exh IDM-5, Decoupling Baseline'!$A$1:$G$42</definedName>
    <definedName name="_xlnm.Print_Area" localSheetId="18">'Exh MCG-2 ROO Summary'!$A$1:$I$40</definedName>
    <definedName name="_xlnm.Print_Area" localSheetId="19">'Exh MCG-3, Rev Req Calc'!$A$1:$C$18</definedName>
    <definedName name="_xlnm.Print_Area" localSheetId="20">'Exh MCG-4, Conversion Factor'!$A$1:$C$33</definedName>
    <definedName name="_xlnm.Print_Area" localSheetId="21">'Exh MCG-5, Summary of Adj'!$A$1:$AR$38</definedName>
    <definedName name="_xlnm.Print_Area" localSheetId="51">'Exh PJA-3, RES Monthly Impact'!$A$1:$G$27</definedName>
    <definedName name="_xlnm.Print_Area" localSheetId="52">'Exh PJA-4, Bill Impacts'!$A$1:$F$242</definedName>
    <definedName name="_xlnm.Print_Area" localSheetId="42">'FP-319072 &amp; FP-319209'!$A$1:$D$28</definedName>
    <definedName name="_xlnm.Print_Area" localSheetId="38">'Incentives Adj'!$A$1:$G$42</definedName>
    <definedName name="_xlnm.Print_Area" localSheetId="40">'MAOP Deferral'!$A$1:$G$20</definedName>
    <definedName name="_xlnm.Print_Area" localSheetId="25">'Operating Report'!$A$1:$AD$204</definedName>
    <definedName name="_xlnm.Print_Area" localSheetId="22">'Plant Additions'!$A$1:$K$215</definedName>
    <definedName name="_xlnm.Print_Area" localSheetId="47">'Plt-Accum Depn'!$A$1:$AE$196</definedName>
    <definedName name="_xlnm.Print_Area" localSheetId="45">'Pro Forma Plant Additions'!$A$1:$D$27</definedName>
    <definedName name="_xlnm.Print_Area" localSheetId="46">'R&amp;R Adjustment'!$A$1:$C$22</definedName>
    <definedName name="_xlnm.Print_Area" localSheetId="27">'Rate Base'!$A$1:$D$17</definedName>
    <definedName name="_xlnm.Print_Area" localSheetId="32">'State Allocators'!$A$1:$E$74</definedName>
    <definedName name="_xlnm.Print_Area" localSheetId="28">'Suppl Sch Adj'!$A$1:$L$67</definedName>
    <definedName name="_xlnm.Print_Area" localSheetId="1">Title!$A$2:$I$14</definedName>
    <definedName name="_xlnm.Print_Area" localSheetId="16">'WACAP 2020'!$A$2:$R$157</definedName>
    <definedName name="_xlnm.Print_Area" localSheetId="43">'WACC Calculation'!$A$1:$E$15</definedName>
    <definedName name="_xlnm.Print_Area" localSheetId="37">'Wage Adjustments'!$A$1:$Q$115</definedName>
    <definedName name="_xlnm.Print_Titles" localSheetId="23">' MYRP Summary'!$A:$B</definedName>
    <definedName name="_xlnm.Print_Titles" localSheetId="41">' Working Capital (AMA)'!$1:$11</definedName>
    <definedName name="_xlnm.Print_Titles" localSheetId="34">'Advertising Adj'!$1:$9</definedName>
    <definedName name="_xlnm.Print_Titles" localSheetId="29">'CAC-Def Tax'!$1:$9</definedName>
    <definedName name="_xlnm.Print_Titles" localSheetId="5">'Exh IDM-2, Proof of Revenue'!$A:$B,'Exh IDM-2, Proof of Revenue'!$1:$5</definedName>
    <definedName name="_xlnm.Print_Titles" localSheetId="21">'Exh MCG-5, Summary of Adj'!$A:$B</definedName>
    <definedName name="_xlnm.Print_Titles" localSheetId="52">'Exh PJA-4, Bill Impacts'!$1:$6</definedName>
    <definedName name="_xlnm.Print_Titles" localSheetId="25">'Operating Report'!$1:$8</definedName>
    <definedName name="_xlnm.Print_Titles" localSheetId="22">'Plant Additions'!$A:$A,'Plant Additions'!$1:$6</definedName>
    <definedName name="_xlnm.Print_Titles" localSheetId="47">'Plt-Accum Depn'!$A:$A,'Plt-Accum Depn'!$1:$8</definedName>
    <definedName name="_xlnm.Print_Titles" localSheetId="32">'State Allocators'!$1:$6</definedName>
    <definedName name="_xlnm.Print_Titles" localSheetId="28">'Suppl Sch Adj'!$A:$B</definedName>
    <definedName name="_xlnm.Print_Titles" localSheetId="37">'Wage Adjustments'!$1:$7</definedName>
    <definedName name="retail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rr" hidden="1">{"PRINT",#N/A,TRUE,"APPA";"PRINT",#N/A,TRUE,"APS";"PRINT",#N/A,TRUE,"BHPL";"PRINT",#N/A,TRUE,"BHPL2";"PRINT",#N/A,TRUE,"CDWR";"PRINT",#N/A,TRUE,"EWEB";"PRINT",#N/A,TRUE,"LADWP";"PRINT",#N/A,TRUE,"NEVBASE"}</definedName>
    <definedName name="Rwvu.allocations." hidden="1">#REF!</definedName>
    <definedName name="Rwvu.annual._.hotel." hidden="1">[8]development!#REF!</definedName>
    <definedName name="Rwvu.bottom._.line." hidden="1">[8]development!#REF!</definedName>
    <definedName name="Rwvu.cash._.flow." hidden="1">#REF!</definedName>
    <definedName name="Rwvu.combo." hidden="1">[8]development!#REF!</definedName>
    <definedName name="Rwvu.offsite." hidden="1">#REF!</definedName>
    <definedName name="Rwvu.onsite." hidden="1">#REF!</definedName>
    <definedName name="SAPBEXhrIndnt" hidden="1">"Wide"</definedName>
    <definedName name="SAPBEXrevision" hidden="1">1</definedName>
    <definedName name="SAPBEXsysID" hidden="1">"BWP"</definedName>
    <definedName name="SAPBEXwbID" hidden="1">"45FIHJWMI3GHFVKWLVCY66MTN"</definedName>
    <definedName name="SAPsysID" hidden="1">"708C5W7SBKP804JT78WJ0JNKI"</definedName>
    <definedName name="SAPwbID" hidden="1">"ARS"</definedName>
    <definedName name="shit" hidden="1">{"PRINT",#N/A,TRUE,"APPA";"PRINT",#N/A,TRUE,"APS";"PRINT",#N/A,TRUE,"BHPL";"PRINT",#N/A,TRUE,"BHPL2";"PRINT",#N/A,TRUE,"CDWR";"PRINT",#N/A,TRUE,"EWEB";"PRINT",#N/A,TRUE,"LADWP";"PRINT",#N/A,TRUE,"NEVBASE"}</definedName>
    <definedName name="solver_adj" localSheetId="10" hidden="1">'1501 Summary'!$K$77,'1501 Summary'!$K$79</definedName>
    <definedName name="solver_cvg" localSheetId="10" hidden="1">0.0001</definedName>
    <definedName name="solver_drv" localSheetId="10" hidden="1">2</definedName>
    <definedName name="solver_eng" localSheetId="10" hidden="1">1</definedName>
    <definedName name="solver_eng" localSheetId="30" hidden="1">1</definedName>
    <definedName name="solver_est" localSheetId="10" hidden="1">1</definedName>
    <definedName name="solver_itr" localSheetId="10" hidden="1">2147483647</definedName>
    <definedName name="solver_mip" localSheetId="10" hidden="1">2147483647</definedName>
    <definedName name="solver_mni" localSheetId="10" hidden="1">30</definedName>
    <definedName name="solver_mrt" localSheetId="10" hidden="1">0.075</definedName>
    <definedName name="solver_msl" localSheetId="10" hidden="1">2</definedName>
    <definedName name="solver_neg" localSheetId="10" hidden="1">1</definedName>
    <definedName name="solver_neg" localSheetId="30" hidden="1">1</definedName>
    <definedName name="solver_nod" localSheetId="10" hidden="1">2147483647</definedName>
    <definedName name="solver_num" localSheetId="10" hidden="1">0</definedName>
    <definedName name="solver_num" localSheetId="30" hidden="1">0</definedName>
    <definedName name="solver_nwt" localSheetId="10" hidden="1">1</definedName>
    <definedName name="solver_opt" localSheetId="10" hidden="1">'1501 Summary'!$K$105</definedName>
    <definedName name="solver_opt" localSheetId="30" hidden="1">'D&amp;O Adjustment'!$C$8</definedName>
    <definedName name="solver_pre" localSheetId="10" hidden="1">0.000001</definedName>
    <definedName name="solver_rbv" localSheetId="10" hidden="1">2</definedName>
    <definedName name="solver_rlx" localSheetId="10" hidden="1">2</definedName>
    <definedName name="solver_rsd" localSheetId="10" hidden="1">0</definedName>
    <definedName name="solver_scl" localSheetId="10" hidden="1">2</definedName>
    <definedName name="solver_sho" localSheetId="10" hidden="1">2</definedName>
    <definedName name="solver_ssz" localSheetId="10" hidden="1">100</definedName>
    <definedName name="solver_tim" localSheetId="10" hidden="1">2147483647</definedName>
    <definedName name="solver_tol" localSheetId="10" hidden="1">0.01</definedName>
    <definedName name="solver_typ" localSheetId="10" hidden="1">3</definedName>
    <definedName name="solver_typ" localSheetId="30" hidden="1">1</definedName>
    <definedName name="solver_val" localSheetId="10" hidden="1">0</definedName>
    <definedName name="solver_val" localSheetId="30" hidden="1">0</definedName>
    <definedName name="solver_ver" localSheetId="10" hidden="1">3</definedName>
    <definedName name="solver_ver" localSheetId="30" hidden="1">3</definedName>
    <definedName name="spippw" hidden="1">{#N/A,#N/A,FALSE,"Actual";#N/A,#N/A,FALSE,"Normalized";#N/A,#N/A,FALSE,"Electric Actual";#N/A,#N/A,FALSE,"Electric Normalized"}</definedName>
    <definedName name="SpreadsheetBuilder_2" hidden="1">[10]Sheet2!#REF!</definedName>
    <definedName name="SpreadsheetBuilder_3" hidden="1">[11]Sheet2!#REF!</definedName>
    <definedName name="standard1" hidden="1">{"YTD-Total",#N/A,FALSE,"Provision"}</definedName>
    <definedName name="Swvu.allocations." hidden="1">#REF!</definedName>
    <definedName name="Swvu.annual._.hotel." hidden="1">[8]development!$C$5</definedName>
    <definedName name="Swvu.bottom._.line." hidden="1">[8]development!#REF!</definedName>
    <definedName name="Swvu.cash._.flow." hidden="1">#REF!</definedName>
    <definedName name="Swvu.combo." hidden="1">[8]development!$B$89</definedName>
    <definedName name="Swvu.full." hidden="1">#REF!</definedName>
    <definedName name="Swvu.offsite." hidden="1">#REF!</definedName>
    <definedName name="Swvu.onsite." hidden="1">#REF!</definedName>
    <definedName name="Title1">Title!$A$3</definedName>
    <definedName name="Title2">Title!$A$4</definedName>
    <definedName name="Title3">Title!$A$5</definedName>
    <definedName name="Title4">Title!$A$6</definedName>
    <definedName name="Title5">Title!$A$7</definedName>
    <definedName name="Title6">Title!$A$8</definedName>
    <definedName name="Title7">Title!$A$9</definedName>
    <definedName name="Title8">Title!$A$10</definedName>
    <definedName name="TP_Footer_User" hidden="1">"Dylan Moser"</definedName>
    <definedName name="TP_Footer_Version" hidden="1">"v4.00"</definedName>
    <definedName name="trth" localSheetId="10" hidden="1">{"ALL",#N/A,FALSE,"A"}</definedName>
    <definedName name="trth" localSheetId="11" hidden="1">{"ALL",#N/A,FALSE,"A"}</definedName>
    <definedName name="trth" hidden="1">{"ALL",#N/A,FALSE,"A"}</definedName>
    <definedName name="vcdv" hidden="1">#REF!</definedName>
    <definedName name="w" hidden="1">[12]Inputs!#REF!</definedName>
    <definedName name="wr" localSheetId="10" hidden="1">{"Output-3Column",#N/A,FALSE,"Output"}</definedName>
    <definedName name="wr" localSheetId="11" hidden="1">{"Output-3Column",#N/A,FALSE,"Output"}</definedName>
    <definedName name="wr" hidden="1">{"Output-3Column",#N/A,FALSE,"Output"}</definedName>
    <definedName name="wrn" localSheetId="10" hidden="1">{"Inflation-BaseYear",#N/A,FALSE,"Inputs"}</definedName>
    <definedName name="wrn" localSheetId="11" hidden="1">{"Inflation-BaseYear",#N/A,FALSE,"Inputs"}</definedName>
    <definedName name="wrn" hidden="1">{"Inflation-BaseYear",#N/A,FALSE,"Inputs"}</definedName>
    <definedName name="wrn.1996._.Hydro._.5._.Year._.Forecast._.Budget." hidden="1">{#N/A,#N/A,FALSE,"Summary";#N/A,#N/A,FALSE,"SmPlants";#N/A,#N/A,FALSE,"Utah";#N/A,#N/A,FALSE,"Idaho";#N/A,#N/A,FALSE,"Lewis River";#N/A,#N/A,FALSE,"NrthUmpq";#N/A,#N/A,FALSE,"KlamRog"}</definedName>
    <definedName name="wrn.Adj._.Back_Up." hidden="1">{"Page 3.4.1",#N/A,FALSE,"Totals";"Page 3.4.2",#N/A,FALSE,"Totals"}</definedName>
    <definedName name="wrn.ALL." localSheetId="10" hidden="1">{"ALL",#N/A,FALSE,"A"}</definedName>
    <definedName name="wrn.ALL." localSheetId="11" hidden="1">{"ALL",#N/A,FALSE,"A"}</definedName>
    <definedName name="wrn.ALL." hidden="1">{"ALL",#N/A,FALSE,"A"}</definedName>
    <definedName name="wrn.All._.BSs._.and._.JEs.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Ss._.and._.JE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other._.months.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Pages." hidden="1">{#N/A,#N/A,FALSE,"Cover";#N/A,#N/A,FALSE,"Lead Sheet";#N/A,#N/A,FALSE,"T-Accounts";#N/A,#N/A,FALSE,"Expense Detail 10 01 to 3  02";#N/A,#N/A,FALSE,"Expense Detail 4 01 to 9 01";#N/A,#N/A,FALSE,"Three Factor % 3  2002"}</definedName>
    <definedName name="wrn.All._.Sheets." localSheetId="10" hidden="1">{"IncSt",#N/A,FALSE,"IS";"BalSht",#N/A,FALSE,"BS";"IntCash",#N/A,FALSE,"Int. Cash";"Stats",#N/A,FALSE,"Stats"}</definedName>
    <definedName name="wrn.All._.Sheets." localSheetId="11" hidden="1">{"IncSt",#N/A,FALSE,"IS";"BalSht",#N/A,FALSE,"BS";"IntCash",#N/A,FALSE,"Int. Cash";"Stats",#N/A,FALSE,"Stats"}</definedName>
    <definedName name="wrn.All._.Sheets." hidden="1">{"IncSt",#N/A,FALSE,"IS";"BalSht",#N/A,FALSE,"BS";"IntCash",#N/A,FALSE,"Int. Cash";"Stats",#N/A,FALSE,"Stats"}</definedName>
    <definedName name="wrn.annual." localSheetId="10" hidden="1">{"annual",#N/A,FALSE,"Pro Forma"}</definedName>
    <definedName name="wrn.annual." localSheetId="11" hidden="1">{"annual",#N/A,FALSE,"Pro Forma"}</definedName>
    <definedName name="wrn.annual." hidden="1">{"annual",#N/A,FALSE,"Pro Forma"}</definedName>
    <definedName name="wrn.Annual._.Detail." localSheetId="10" hidden="1">{"annualsum",#N/A,FALSE,"Cost Summary";"annual1",#N/A,FALSE,"Phase_1";"annual2",#N/A,FALSE,"Phase_2";"annual3",#N/A,FALSE,"Phase_3";"annual4",#N/A,FALSE,"Phase_4"}</definedName>
    <definedName name="wrn.Annual._.Detail." localSheetId="11" hidden="1">{"annualsum",#N/A,FALSE,"Cost Summary";"annual1",#N/A,FALSE,"Phase_1";"annual2",#N/A,FALSE,"Phase_2";"annual3",#N/A,FALSE,"Phase_3";"annual4",#N/A,FALSE,"Phase_4"}</definedName>
    <definedName name="wrn.Annual._.Detail." hidden="1">{"annualsum",#N/A,FALSE,"Cost Summary";"annual1",#N/A,FALSE,"Phase_1";"annual2",#N/A,FALSE,"Phase_2";"annual3",#N/A,FALSE,"Phase_3";"annual4",#N/A,FALSE,"Phase_4"}</definedName>
    <definedName name="wrn.Annual._.Golf." localSheetId="10" hidden="1">{"a_dev",#N/A,FALSE,"Golf Development";"a_memstats",#N/A,FALSE,"Golf Development";"a_opstats",#N/A,FALSE,"Golf Development";"a_rev",#N/A,FALSE,"Golf Development";"a_return",#N/A,FALSE,"Golf Development"}</definedName>
    <definedName name="wrn.Annual._.Golf." localSheetId="11" hidden="1">{"a_dev",#N/A,FALSE,"Golf Development";"a_memstats",#N/A,FALSE,"Golf Development";"a_opstats",#N/A,FALSE,"Golf Development";"a_rev",#N/A,FALSE,"Golf Development";"a_return",#N/A,FALSE,"Golf Development"}</definedName>
    <definedName name="wrn.Annual._.Golf." hidden="1">{"a_dev",#N/A,FALSE,"Golf Development";"a_memstats",#N/A,FALSE,"Golf Development";"a_opstats",#N/A,FALSE,"Golf Development";"a_rev",#N/A,FALSE,"Golf Development";"a_return",#N/A,FALSE,"Golf Development"}</definedName>
    <definedName name="wrn.Annual._.Hotel." localSheetId="10" hidden="1">{"annual hotel",#N/A,FALSE,"Hotel Development"}</definedName>
    <definedName name="wrn.Annual._.Hotel." localSheetId="11" hidden="1">{"annual hotel",#N/A,FALSE,"Hotel Development"}</definedName>
    <definedName name="wrn.Annual._.Hotel." hidden="1">{"annual hotel",#N/A,FALSE,"Hotel Development"}</definedName>
    <definedName name="wrn.Annual._.Land._.Sales." localSheetId="10" hidden="1">{"annual",#N/A,FALSE,"Land Sales"}</definedName>
    <definedName name="wrn.Annual._.Land._.Sales." localSheetId="11" hidden="1">{"annual",#N/A,FALSE,"Land Sales"}</definedName>
    <definedName name="wrn.Annual._.Land._.Sales." hidden="1">{"annual",#N/A,FALSE,"Land Sales"}</definedName>
    <definedName name="wrn.Annual._.Report." localSheetId="10" hidden="1">{"annual",#N/A,FALSE,"Pro Forma";#N/A,#N/A,FALSE,"Golf Operations"}</definedName>
    <definedName name="wrn.Annual._.Report." localSheetId="11" hidden="1">{"annual",#N/A,FALSE,"Pro Forma";#N/A,#N/A,FALSE,"Golf Operations"}</definedName>
    <definedName name="wrn.Annual._.Report." hidden="1">{"annual",#N/A,FALSE,"Pro Forma";#N/A,#N/A,FALSE,"Golf Operations"}</definedName>
    <definedName name="wrn.Annual._.Report._.no._.releases." localSheetId="10" hidden="1">{"a_sales",#N/A,FALSE,"Summary";"a_debt",#N/A,FALSE,"Summary";"a_cash",#N/A,FALSE,"Summary";"a_accrual",#N/A,FALSE,"Summary"}</definedName>
    <definedName name="wrn.Annual._.Report._.no._.releases." localSheetId="11" hidden="1">{"a_sales",#N/A,FALSE,"Summary";"a_debt",#N/A,FALSE,"Summary";"a_cash",#N/A,FALSE,"Summary";"a_accrual",#N/A,FALSE,"Summary"}</definedName>
    <definedName name="wrn.Annual._.Report._.no._.releases." hidden="1">{"a_sales",#N/A,FALSE,"Summary";"a_debt",#N/A,FALSE,"Summary";"a_cash",#N/A,FALSE,"Summary";"a_accrual",#N/A,FALSE,"Summary"}</definedName>
    <definedName name="wrn.Annual._.Report._.with._.releases." localSheetId="10" hidden="1">{"a_sales",#N/A,FALSE,"Summary";"a_debt",#N/A,FALSE,"Summary";"a_releases",#N/A,FALSE,"Summary";"a_cash",#N/A,FALSE,"Summary";"a_accrual",#N/A,FALSE,"Summary"}</definedName>
    <definedName name="wrn.Annual._.Report._.with._.releases." localSheetId="11" hidden="1">{"a_sales",#N/A,FALSE,"Summary";"a_debt",#N/A,FALSE,"Summary";"a_releases",#N/A,FALSE,"Summary";"a_cash",#N/A,FALSE,"Summary";"a_accrual",#N/A,FALSE,"Summary"}</definedName>
    <definedName name="wrn.Annual._.Report._.with._.releases." hidden="1">{"a_sales",#N/A,FALSE,"Summary";"a_debt",#N/A,FALSE,"Summary";"a_releases",#N/A,FALSE,"Summary";"a_cash",#N/A,FALSE,"Summary";"a_accrual",#N/A,FALSE,"Summary"}</definedName>
    <definedName name="wrn.Annual_5yr." localSheetId="10" hidden="1">{"ISP1Y5",#N/A,TRUE,"Template";"ISP2Y5",#N/A,TRUE,"Template";"BSY5",#N/A,TRUE,"Template";"ICFY5",#N/A,TRUE,"Template";"TPY5",#N/A,TRUE,"Template";"CtrlY5",#N/A,TRUE,"Template"}</definedName>
    <definedName name="wrn.Annual_5yr." localSheetId="11" hidden="1">{"ISP1Y5",#N/A,TRUE,"Template";"ISP2Y5",#N/A,TRUE,"Template";"BSY5",#N/A,TRUE,"Template";"ICFY5",#N/A,TRUE,"Template";"TPY5",#N/A,TRUE,"Template";"CtrlY5",#N/A,TRUE,"Template"}</definedName>
    <definedName name="wrn.Annual_5yr." hidden="1">{"ISP1Y5",#N/A,TRUE,"Template";"ISP2Y5",#N/A,TRUE,"Template";"BSY5",#N/A,TRUE,"Template";"ICFY5",#N/A,TRUE,"Template";"TPY5",#N/A,TRUE,"Template";"CtrlY5",#N/A,TRUE,"Template"}</definedName>
    <definedName name="wrn.Assets." localSheetId="10" hidden="1">{"ASSETS",#N/A,FALSE,"Assets"}</definedName>
    <definedName name="wrn.Assets." localSheetId="11" hidden="1">{"ASSETS",#N/A,FALSE,"Assets"}</definedName>
    <definedName name="wrn.Assets." hidden="1">{"ASSETS",#N/A,FALSE,"Assets"}</definedName>
    <definedName name="wrn.ASSOC_CO." localSheetId="10" hidden="1">{"ASSC_CO",#N/A,FALSE,"A"}</definedName>
    <definedName name="wrn.ASSOC_CO." localSheetId="11" hidden="1">{"ASSC_CO",#N/A,FALSE,"A"}</definedName>
    <definedName name="wrn.ASSOC_CO." hidden="1">{"ASSC_CO",#N/A,FALSE,"A"}</definedName>
    <definedName name="wrn.BidCo." hidden="1">{#N/A,#N/A,FALSE,"BidCo Assumptions";#N/A,#N/A,FALSE,"Credit Stats";#N/A,#N/A,FALSE,"Bidco Summary";#N/A,#N/A,FALSE,"BIDCO Consolidated"}</definedName>
    <definedName name="wrn.BS." localSheetId="10" hidden="1">{"BS",#N/A,FALSE,"A"}</definedName>
    <definedName name="wrn.BS." localSheetId="11" hidden="1">{"BS",#N/A,FALSE,"A"}</definedName>
    <definedName name="wrn.BS." hidden="1">{"BS",#N/A,FALSE,"A"}</definedName>
    <definedName name="wrn.BUS._.RPT.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CASH." localSheetId="10" hidden="1">{#N/A,#N/A,FALSE,"Sheet5"}</definedName>
    <definedName name="wrn.CASH." localSheetId="11" hidden="1">{#N/A,#N/A,FALSE,"Sheet5"}</definedName>
    <definedName name="wrn.CASH." hidden="1">{#N/A,#N/A,FALSE,"Sheet5"}</definedName>
    <definedName name="wrn.Cash._.and._.Accrual." localSheetId="10" hidden="1">{"a_cash",#N/A,FALSE,"Summary";"a_accrual",#N/A,FALSE,"Summary"}</definedName>
    <definedName name="wrn.Cash._.and._.Accrual." localSheetId="11" hidden="1">{"a_cash",#N/A,FALSE,"Summary";"a_accrual",#N/A,FALSE,"Summary"}</definedName>
    <definedName name="wrn.Cash._.and._.Accrual." hidden="1">{"a_cash",#N/A,FALSE,"Summary";"a_accrual",#N/A,FALSE,"Summary"}</definedName>
    <definedName name="wrn.Combined._.YTD." hidden="1">{"YTD-Total",#N/A,TRUE,"Provision";"YTD-Utility",#N/A,TRUE,"Prov Utility";"YTD-NonUtility",#N/A,TRUE,"Prov NonUtility"}</definedName>
    <definedName name="wrn.Complete._.Report." hidden="1">{"Schedule A - Cost of Equity results",#N/A,TRUE,"Summary Results";"Schedule 1B - Cost of Capital Results",#N/A,TRUE,"Final Summary Sheet";"Schedule 2 A - Selected Cohort Financial Data",#N/A,TRUE,"COMPCO";"Schedule 2 B - EPS, etc. Cohort",#N/A,TRUE,"COMPCO";"Schedule 2 C - Cohort Group Growth Estimates",#N/A,TRUE,"COMPCO";"Schedule 2 D - OPUC-Selected Companies",#N/A,TRUE,"COMPCO";"Schedules 3A &amp; 3B - Single-stage DCF Analyses",#N/A,TRUE,"Single-Stage and 5-Year DCF"}</definedName>
    <definedName name="wrn.ConsolGrossGrp." hidden="1">{"Conol gross povision grouped",#N/A,FALSE,"Consol Gross";"Consol Gross Grouped",#N/A,FALSE,"Consol Gross"}</definedName>
    <definedName name="wrn.Current._.Estimate." localSheetId="10" hidden="1">{#N/A,#N/A,FALSE,"Title Page";#N/A,#N/A,FALSE,"Last Ce to Current Ce";#N/A,#N/A,FALSE,"CE to Plan";#N/A,#N/A,FALSE,"Last CE to Actual";#N/A,#N/A,FALSE,"Actual to Plan";#N/A,#N/A,FALSE,"Net Cash Flow Chg";#N/A,#N/A,FALSE,"Net Cash Flow Fix";#N/A,#N/A,FALSE,"Net Cash Flow";#N/A,#N/A,FALSE,"Balance Sheet";#N/A,#N/A,FALSE,"Cash Flow";#N/A,#N/A,FALSE,"III X Capital";#N/A,#N/A,FALSE,"Monthly Summary-Consolidated";#N/A,#N/A,FALSE,"Monthly Summary-Other";#N/A,#N/A,FALSE,"III X II LP Capital";#N/A,#N/A,FALSE,"Monthly Summary-IIIXIILP";#N/A,#N/A,FALSE,"Monthly Summary-SEI";#N/A,#N/A,FALSE,"Monthly Summary-Raton";#N/A,#N/A,FALSE,"Monthly Summary-Utah";#N/A,#N/A,FALSE,"Monthly Summary-Corp G&amp;A";#N/A,#N/A,FALSE,"Monthly Summary-Capital Plan";#N/A,#N/A,FALSE,"Income Tax Provision";#N/A,#N/A,FALSE,"IIIX Debt"}</definedName>
    <definedName name="wrn.Current._.Estimate." localSheetId="11" hidden="1">{#N/A,#N/A,FALSE,"Title Page";#N/A,#N/A,FALSE,"Last Ce to Current Ce";#N/A,#N/A,FALSE,"CE to Plan";#N/A,#N/A,FALSE,"Last CE to Actual";#N/A,#N/A,FALSE,"Actual to Plan";#N/A,#N/A,FALSE,"Net Cash Flow Chg";#N/A,#N/A,FALSE,"Net Cash Flow Fix";#N/A,#N/A,FALSE,"Net Cash Flow";#N/A,#N/A,FALSE,"Balance Sheet";#N/A,#N/A,FALSE,"Cash Flow";#N/A,#N/A,FALSE,"III X Capital";#N/A,#N/A,FALSE,"Monthly Summary-Consolidated";#N/A,#N/A,FALSE,"Monthly Summary-Other";#N/A,#N/A,FALSE,"III X II LP Capital";#N/A,#N/A,FALSE,"Monthly Summary-IIIXIILP";#N/A,#N/A,FALSE,"Monthly Summary-SEI";#N/A,#N/A,FALSE,"Monthly Summary-Raton";#N/A,#N/A,FALSE,"Monthly Summary-Utah";#N/A,#N/A,FALSE,"Monthly Summary-Corp G&amp;A";#N/A,#N/A,FALSE,"Monthly Summary-Capital Plan";#N/A,#N/A,FALSE,"Income Tax Provision";#N/A,#N/A,FALSE,"IIIX Debt"}</definedName>
    <definedName name="wrn.Current._.Estimate." hidden="1">{#N/A,#N/A,FALSE,"Title Page";#N/A,#N/A,FALSE,"Last Ce to Current Ce";#N/A,#N/A,FALSE,"CE to Plan";#N/A,#N/A,FALSE,"Last CE to Actual";#N/A,#N/A,FALSE,"Actual to Plan";#N/A,#N/A,FALSE,"Net Cash Flow Chg";#N/A,#N/A,FALSE,"Net Cash Flow Fix";#N/A,#N/A,FALSE,"Net Cash Flow";#N/A,#N/A,FALSE,"Balance Sheet";#N/A,#N/A,FALSE,"Cash Flow";#N/A,#N/A,FALSE,"III X Capital";#N/A,#N/A,FALSE,"Monthly Summary-Consolidated";#N/A,#N/A,FALSE,"Monthly Summary-Other";#N/A,#N/A,FALSE,"III X II LP Capital";#N/A,#N/A,FALSE,"Monthly Summary-IIIXIILP";#N/A,#N/A,FALSE,"Monthly Summary-SEI";#N/A,#N/A,FALSE,"Monthly Summary-Raton";#N/A,#N/A,FALSE,"Monthly Summary-Utah";#N/A,#N/A,FALSE,"Monthly Summary-Corp G&amp;A";#N/A,#N/A,FALSE,"Monthly Summary-Capital Plan";#N/A,#N/A,FALSE,"Income Tax Provision";#N/A,#N/A,FALSE,"IIIX Debt"}</definedName>
    <definedName name="wrn.DCF._.Valuation." hidden="1">{"value box",#N/A,TRUE,"DPL Inc. Fin Statements";"unlevered free cash flows",#N/A,TRUE,"DPL Inc. Fin Statements"}</definedName>
    <definedName name="wrn.Detail." localSheetId="10" hidden="1">{"Print_Detail",#N/A,FALSE,"Redemption_Maturity Extract"}</definedName>
    <definedName name="wrn.Detail." localSheetId="11" hidden="1">{"Print_Detail",#N/A,FALSE,"Redemption_Maturity Extract"}</definedName>
    <definedName name="wrn.Detail." hidden="1">{"Print_Detail",#N/A,FALSE,"Redemption_Maturity Extract"}</definedName>
    <definedName name="wrn.Diane._.s._.Version." localSheetId="10" hidden="1">{"Full",#N/A,FALSE,"Sec MTN B Summary"}</definedName>
    <definedName name="wrn.Diane._.s._.Version." localSheetId="11" hidden="1">{"Full",#N/A,FALSE,"Sec MTN B Summary"}</definedName>
    <definedName name="wrn.Diane._.s._.Version." hidden="1">{"Full",#N/A,FALSE,"Sec MTN B Summary"}</definedName>
    <definedName name="wrn.Distribution._.Version." localSheetId="10" hidden="1">{"RedPrem_InitRed View",#N/A,FALSE,"Sec MTN B Summary"}</definedName>
    <definedName name="wrn.Distribution._.Version." localSheetId="11" hidden="1">{"RedPrem_InitRed View",#N/A,FALSE,"Sec MTN B Summary"}</definedName>
    <definedName name="wrn.Distribution._.Version." hidden="1">{"RedPrem_InitRed View",#N/A,FALSE,"Sec MTN B Summary"}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FCB." hidden="1">{"FCB_ALL",#N/A,FALSE,"FCB"}</definedName>
    <definedName name="wrn.fcb2" hidden="1">{"FCB_ALL",#N/A,FALSE,"FCB"}</definedName>
    <definedName name="wrn.Financials." hidden="1">{#N/A,#N/A,TRUE,"Income Statement";#N/A,#N/A,TRUE,"Balance Sheet";#N/A,#N/A,TRUE,"Cash Flow"}</definedName>
    <definedName name="wrn.Five._.Year._.Test." localSheetId="10" hidden="1">{"Five Year Plan",#N/A,TRUE,"Monthly Summary-IIIXIILP";"Five Year Plan",#N/A,TRUE,"Cash Flow"}</definedName>
    <definedName name="wrn.Five._.Year._.Test." localSheetId="11" hidden="1">{"Five Year Plan",#N/A,TRUE,"Monthly Summary-IIIXIILP";"Five Year Plan",#N/A,TRUE,"Cash Flow"}</definedName>
    <definedName name="wrn.Five._.Year._.Test." hidden="1">{"Five Year Plan",#N/A,TRUE,"Monthly Summary-IIIXIILP";"Five Year Plan",#N/A,TRUE,"Cash Flow"}</definedName>
    <definedName name="wrn.full._.report." hidden="1">{"Header",#N/A,FALSE,"Assumptions";"Header",#N/A,FALSE,"Summary";"Header",#N/A,FALSE,"Credit Stats";"Header",#N/A,FALSE,"Pro Forma BS";"Header",#N/A,FALSE,"Pro Forma Financials";"Header",#N/A,FALSE,"Consol Balance Sheet";"Header",#N/A,FALSE,"Consol Income Statement";"Header",#N/A,FALSE,"Consol Cash Flow";"Header",#N/A,FALSE,"IRR-EBITDA"}</definedName>
    <definedName name="wrn.Full._.View." hidden="1">{"FullView",#N/A,FALSE,"Consltd-For contngcy"}</definedName>
    <definedName name="wrn.GLReport.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reg." localSheetId="10" hidden="1">{"three",#N/A,FALSE,"Capital";"four",#N/A,FALSE,"Capital"}</definedName>
    <definedName name="wrn.greg." localSheetId="11" hidden="1">{"three",#N/A,FALSE,"Capital";"four",#N/A,FALSE,"Capital"}</definedName>
    <definedName name="wrn.greg." hidden="1">{"three",#N/A,FALSE,"Capital";"four",#N/A,FALSE,"Capital"}</definedName>
    <definedName name="wrn.III._.X._.Co._.Five._.Year._.Plan." localSheetId="10" hidden="1">{#N/A,#N/A,TRUE,"Title Page-Financial Stmts IIIX";"Balance Sheet Five Year Plan",#N/A,TRUE,"Balance Sheet";"Cash Flow Five Year Plan",#N/A,TRUE,"Cash Flow";"III X Capital Five Year Plan",#N/A,TRUE,"III X Capital";"Consol Income Five Year Plan",#N/A,TRUE,"Monthly Summary-Consolidated";"Other Income Five Year Plan",#N/A,TRUE,"Monthly Summary-Other";"IIIXIILPCapital Five Year Plan",#N/A,TRUE,"III X II LP Capital";"IIIXIILP Income Five Year Plan",#N/A,TRUE,"Monthly Summary-IIIXIILP";"QEP Income Five Year Plan",#N/A,TRUE,"Monthly Summary-SEI";"Raton Income Five Year Plan",#N/A,TRUE,"Monthly Summary-Raton";"AC Income Five Year Plan",#N/A,TRUE,"Monthly Summary-Utah";"G&amp;A Five Year Plan",#N/A,TRUE,"Monthly Summary-Corp G&amp;A";"CAPEX Five Year Plan",#N/A,TRUE,"Monthly Summary-Capital Plan";"Drilling Prog Five Year Plan",#N/A,TRUE,"Drilling Prog Current";"Debt Five Year Plan",#N/A,TRUE,"IIIX Debt";"Income Tax Five Year Plan",#N/A,TRUE,"Income Tax Provision"}</definedName>
    <definedName name="wrn.III._.X._.Co._.Five._.Year._.Plan." localSheetId="11" hidden="1">{#N/A,#N/A,TRUE,"Title Page-Financial Stmts IIIX";"Balance Sheet Five Year Plan",#N/A,TRUE,"Balance Sheet";"Cash Flow Five Year Plan",#N/A,TRUE,"Cash Flow";"III X Capital Five Year Plan",#N/A,TRUE,"III X Capital";"Consol Income Five Year Plan",#N/A,TRUE,"Monthly Summary-Consolidated";"Other Income Five Year Plan",#N/A,TRUE,"Monthly Summary-Other";"IIIXIILPCapital Five Year Plan",#N/A,TRUE,"III X II LP Capital";"IIIXIILP Income Five Year Plan",#N/A,TRUE,"Monthly Summary-IIIXIILP";"QEP Income Five Year Plan",#N/A,TRUE,"Monthly Summary-SEI";"Raton Income Five Year Plan",#N/A,TRUE,"Monthly Summary-Raton";"AC Income Five Year Plan",#N/A,TRUE,"Monthly Summary-Utah";"G&amp;A Five Year Plan",#N/A,TRUE,"Monthly Summary-Corp G&amp;A";"CAPEX Five Year Plan",#N/A,TRUE,"Monthly Summary-Capital Plan";"Drilling Prog Five Year Plan",#N/A,TRUE,"Drilling Prog Current";"Debt Five Year Plan",#N/A,TRUE,"IIIX Debt";"Income Tax Five Year Plan",#N/A,TRUE,"Income Tax Provision"}</definedName>
    <definedName name="wrn.III._.X._.Co._.Five._.Year._.Plan." hidden="1">{#N/A,#N/A,TRUE,"Title Page-Financial Stmts IIIX";"Balance Sheet Five Year Plan",#N/A,TRUE,"Balance Sheet";"Cash Flow Five Year Plan",#N/A,TRUE,"Cash Flow";"III X Capital Five Year Plan",#N/A,TRUE,"III X Capital";"Consol Income Five Year Plan",#N/A,TRUE,"Monthly Summary-Consolidated";"Other Income Five Year Plan",#N/A,TRUE,"Monthly Summary-Other";"IIIXIILPCapital Five Year Plan",#N/A,TRUE,"III X II LP Capital";"IIIXIILP Income Five Year Plan",#N/A,TRUE,"Monthly Summary-IIIXIILP";"QEP Income Five Year Plan",#N/A,TRUE,"Monthly Summary-SEI";"Raton Income Five Year Plan",#N/A,TRUE,"Monthly Summary-Raton";"AC Income Five Year Plan",#N/A,TRUE,"Monthly Summary-Utah";"G&amp;A Five Year Plan",#N/A,TRUE,"Monthly Summary-Corp G&amp;A";"CAPEX Five Year Plan",#N/A,TRUE,"Monthly Summary-Capital Plan";"Drilling Prog Five Year Plan",#N/A,TRUE,"Drilling Prog Current";"Debt Five Year Plan",#N/A,TRUE,"IIIX Debt";"Income Tax Five Year Plan",#N/A,TRUE,"Income Tax Provision"}</definedName>
    <definedName name="wrn.IIIXCo._.Five._.Year._.Summary._.Reports." localSheetId="10" hidden="1">{#N/A,#N/A,TRUE,"Title Page-Financial Stmts IIIX";#N/A,#N/A,TRUE,"Sumry_Income IIIXCo";#N/A,#N/A,TRUE,"Sumry_Balance Sheet IIIXCo";#N/A,#N/A,TRUE,"Sumry_Cash Flow IIIXCo";#N/A,#N/A,TRUE,"Antelope Creek";#N/A,#N/A,TRUE,"QEP";#N/A,#N/A,TRUE,"Raton"}</definedName>
    <definedName name="wrn.IIIXCo._.Five._.Year._.Summary._.Reports." localSheetId="11" hidden="1">{#N/A,#N/A,TRUE,"Title Page-Financial Stmts IIIX";#N/A,#N/A,TRUE,"Sumry_Income IIIXCo";#N/A,#N/A,TRUE,"Sumry_Balance Sheet IIIXCo";#N/A,#N/A,TRUE,"Sumry_Cash Flow IIIXCo";#N/A,#N/A,TRUE,"Antelope Creek";#N/A,#N/A,TRUE,"QEP";#N/A,#N/A,TRUE,"Raton"}</definedName>
    <definedName name="wrn.IIIXCo._.Five._.Year._.Summary._.Reports." hidden="1">{#N/A,#N/A,TRUE,"Title Page-Financial Stmts IIIX";#N/A,#N/A,TRUE,"Sumry_Income IIIXCo";#N/A,#N/A,TRUE,"Sumry_Balance Sheet IIIXCo";#N/A,#N/A,TRUE,"Sumry_Cash Flow IIIXCo";#N/A,#N/A,TRUE,"Antelope Creek";#N/A,#N/A,TRUE,"QEP";#N/A,#N/A,TRUE,"Raton"}</definedName>
    <definedName name="wrn.IIIXCo._.FY._.2004._.Plan." localSheetId="10" hidden="1">{"IIIXCo FY 04 Plan",#N/A,FALSE,"Monthly Summary-IIIXIILP"}</definedName>
    <definedName name="wrn.IIIXCo._.FY._.2004._.Plan." localSheetId="11" hidden="1">{"IIIXCo FY 04 Plan",#N/A,FALSE,"Monthly Summary-IIIXIILP"}</definedName>
    <definedName name="wrn.IIIXCo._.FY._.2004._.Plan." hidden="1">{"IIIXCo FY 04 Plan",#N/A,FALSE,"Monthly Summary-IIIXIILP"}</definedName>
    <definedName name="wrn.Inputs." localSheetId="10" hidden="1">{"Inflation-BaseYear",#N/A,FALSE,"Inputs"}</definedName>
    <definedName name="wrn.Inputs." localSheetId="11" hidden="1">{"Inflation-BaseYear",#N/A,FALSE,"Inputs"}</definedName>
    <definedName name="wrn.Inputs." hidden="1">{"Inflation-BaseYear",#N/A,FALSE,"Inputs"}</definedName>
    <definedName name="wrn.Invested._.Capital." localSheetId="10" hidden="1">{#N/A,#N/A,FALSE,"Invested Capital-Total";#N/A,#N/A,FALSE,"Invested Capital-SEI";#N/A,#N/A,FALSE,"Invested Capital-Utah";#N/A,#N/A,FALSE,"Invested Capital-Raton"}</definedName>
    <definedName name="wrn.Invested._.Capital." localSheetId="11" hidden="1">{#N/A,#N/A,FALSE,"Invested Capital-Total";#N/A,#N/A,FALSE,"Invested Capital-SEI";#N/A,#N/A,FALSE,"Invested Capital-Utah";#N/A,#N/A,FALSE,"Invested Capital-Raton"}</definedName>
    <definedName name="wrn.Invested._.Capital." hidden="1">{#N/A,#N/A,FALSE,"Invested Capital-Total";#N/A,#N/A,FALSE,"Invested Capital-SEI";#N/A,#N/A,FALSE,"Invested Capital-Utah";#N/A,#N/A,FALSE,"Invested Capital-Raton"}</definedName>
    <definedName name="wrn.Liab." localSheetId="10" hidden="1">{"LIAB",#N/A,FALSE,"Liab"}</definedName>
    <definedName name="wrn.Liab." localSheetId="11" hidden="1">{"LIAB",#N/A,FALSE,"Liab"}</definedName>
    <definedName name="wrn.Liab." hidden="1">{"LIAB",#N/A,FALSE,"Liab"}</definedName>
    <definedName name="wrn.Monthly_Yr1." localSheetId="10" hidden="1">{"ISP1Y1",#N/A,TRUE,"Template";"ISP2Y1",#N/A,TRUE,"Template";"BSY1",#N/A,TRUE,"Template";"ICFY1",#N/A,TRUE,"Template";"TPY1",#N/A,TRUE,"Template";"CtrlY1",#N/A,TRUE,"Template"}</definedName>
    <definedName name="wrn.Monthly_Yr1." localSheetId="11" hidden="1">{"ISP1Y1",#N/A,TRUE,"Template";"ISP2Y1",#N/A,TRUE,"Template";"BSY1",#N/A,TRUE,"Template";"ICFY1",#N/A,TRUE,"Template";"TPY1",#N/A,TRUE,"Template";"CtrlY1",#N/A,TRUE,"Template"}</definedName>
    <definedName name="wrn.Monthly_Yr1." hidden="1">{"ISP1Y1",#N/A,TRUE,"Template";"ISP2Y1",#N/A,TRUE,"Template";"BSY1",#N/A,TRUE,"Template";"ICFY1",#N/A,TRUE,"Template";"TPY1",#N/A,TRUE,"Template";"CtrlY1",#N/A,TRUE,"Template"}</definedName>
    <definedName name="wrn.monthly_yr2" localSheetId="10" hidden="1">{"ISP1Y1",#N/A,TRUE,"Template";"ISP2Y1",#N/A,TRUE,"Template";"BSY1",#N/A,TRUE,"Template";"ICFY1",#N/A,TRUE,"Template";"TPY1",#N/A,TRUE,"Template";"CtrlY1",#N/A,TRUE,"Template"}</definedName>
    <definedName name="wrn.monthly_yr2" localSheetId="11" hidden="1">{"ISP1Y1",#N/A,TRUE,"Template";"ISP2Y1",#N/A,TRUE,"Template";"BSY1",#N/A,TRUE,"Template";"ICFY1",#N/A,TRUE,"Template";"TPY1",#N/A,TRUE,"Template";"CtrlY1",#N/A,TRUE,"Template"}</definedName>
    <definedName name="wrn.monthly_yr2" hidden="1">{"ISP1Y1",#N/A,TRUE,"Template";"ISP2Y1",#N/A,TRUE,"Template";"BSY1",#N/A,TRUE,"Template";"ICFY1",#N/A,TRUE,"Template";"TPY1",#N/A,TRUE,"Template";"CtrlY1",#N/A,TRUE,"Template"}</definedName>
    <definedName name="wrn.Monthly_Yr2." localSheetId="10" hidden="1">{"ISP1Y2",#N/A,TRUE,"Template";"ISP2Y2",#N/A,TRUE,"Template";"BSY2",#N/A,TRUE,"Template";"ICFY2",#N/A,TRUE,"Template";"TPY2",#N/A,TRUE,"Template";"CtrlY2",#N/A,TRUE,"Template"}</definedName>
    <definedName name="wrn.Monthly_Yr2." localSheetId="11" hidden="1">{"ISP1Y2",#N/A,TRUE,"Template";"ISP2Y2",#N/A,TRUE,"Template";"BSY2",#N/A,TRUE,"Template";"ICFY2",#N/A,TRUE,"Template";"TPY2",#N/A,TRUE,"Template";"CtrlY2",#N/A,TRUE,"Template"}</definedName>
    <definedName name="wrn.Monthly_Yr2." hidden="1">{"ISP1Y2",#N/A,TRUE,"Template";"ISP2Y2",#N/A,TRUE,"Template";"BSY2",#N/A,TRUE,"Template";"ICFY2",#N/A,TRUE,"Template";"TPY2",#N/A,TRUE,"Template";"CtrlY2",#N/A,TRUE,"Template"}</definedName>
    <definedName name="wrn.NetWorth." localSheetId="10" hidden="1">{"NW",#N/A,FALSE,"STMT"}</definedName>
    <definedName name="wrn.NetWorth." localSheetId="11" hidden="1">{"NW",#N/A,FALSE,"STMT"}</definedName>
    <definedName name="wrn.NetWorth." hidden="1">{"NW",#N/A,FALSE,"STMT"}</definedName>
    <definedName name="wrn.Open._.Issues._.Only." hidden="1">{"Open issues Only",#N/A,FALSE,"TIMELINE"}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Output3Column." localSheetId="10" hidden="1">{"Output-3Column",#N/A,FALSE,"Output"}</definedName>
    <definedName name="wrn.Output3Column." localSheetId="11" hidden="1">{"Output-3Column",#N/A,FALSE,"Output"}</definedName>
    <definedName name="wrn.Output3Column." hidden="1">{"Output-3Column",#N/A,FALSE,"Output"}</definedName>
    <definedName name="wrn.OutputAll." localSheetId="10" hidden="1">{"Output-All",#N/A,FALSE,"Output"}</definedName>
    <definedName name="wrn.OutputAll." localSheetId="11" hidden="1">{"Output-All",#N/A,FALSE,"Output"}</definedName>
    <definedName name="wrn.OutputAll." hidden="1">{"Output-All",#N/A,FALSE,"Output"}</definedName>
    <definedName name="wrn.OutputBaseYear." localSheetId="10" hidden="1">{"Output-BaseYear",#N/A,FALSE,"Output"}</definedName>
    <definedName name="wrn.OutputBaseYear." localSheetId="11" hidden="1">{"Output-BaseYear",#N/A,FALSE,"Output"}</definedName>
    <definedName name="wrn.OutputBaseYear." hidden="1">{"Output-BaseYear",#N/A,FALSE,"Output"}</definedName>
    <definedName name="wrn.OutputMin." localSheetId="10" hidden="1">{"Output-Min",#N/A,FALSE,"Output"}</definedName>
    <definedName name="wrn.OutputMin." localSheetId="11" hidden="1">{"Output-Min",#N/A,FALSE,"Output"}</definedName>
    <definedName name="wrn.OutputMin." hidden="1">{"Output-Min",#N/A,FALSE,"Output"}</definedName>
    <definedName name="wrn.OutputPercent." localSheetId="10" hidden="1">{"Output%",#N/A,FALSE,"Output"}</definedName>
    <definedName name="wrn.OutputPercent." localSheetId="11" hidden="1">{"Output%",#N/A,FALSE,"Output"}</definedName>
    <definedName name="wrn.OutputPercent." hidden="1">{"Output%",#N/A,FALSE,"Output"}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yment._.View." hidden="1">{#N/A,#N/A,FALSE,"Consltd-For contngcy";"PaymentView",#N/A,FALSE,"Consltd-For contngcy"}</definedName>
    <definedName name="wrn.Pfd." localSheetId="10" hidden="1">{"Pfd",#N/A,FALSE,"Pfd"}</definedName>
    <definedName name="wrn.Pfd." localSheetId="11" hidden="1">{"Pfd",#N/A,FALSE,"Pfd"}</definedName>
    <definedName name="wrn.Pfd." hidden="1">{"Pfd",#N/A,FALSE,"Pfd"}</definedName>
    <definedName name="wrn.PFSreconview." hidden="1">{"PFS recon view",#N/A,FALSE,"Hyperion Proof"}</definedName>
    <definedName name="wrn.PGHCreconview." hidden="1">{"PGHC recon view",#N/A,FALSE,"Hyperion Proof"}</definedName>
    <definedName name="wrn.PHI._.all._.other._.months." hidden="1">{#N/A,#N/A,FALSE,"PHI MTD";#N/A,#N/A,FALSE,"PHI YTD"}</definedName>
    <definedName name="wrn.PHI._.only." hidden="1">{#N/A,#N/A,FALSE,"PHI"}</definedName>
    <definedName name="wrn.PHI._.Sept._.Dec._.March." hidden="1">{#N/A,#N/A,FALSE,"PHI MTD";#N/A,#N/A,FALSE,"PHI QTD";#N/A,#N/A,FALSE,"PHI YTD"}</definedName>
    <definedName name="wrn.Pivot1." localSheetId="10" hidden="1">{"Pivot1",#N/A,FALSE,"Redemption_Maturity Extract"}</definedName>
    <definedName name="wrn.Pivot1." localSheetId="11" hidden="1">{"Pivot1",#N/A,FALSE,"Redemption_Maturity Extract"}</definedName>
    <definedName name="wrn.Pivot1." hidden="1">{"Pivot1",#N/A,FALSE,"Redemption_Maturity Extract"}</definedName>
    <definedName name="wrn.Pivot2." localSheetId="10" hidden="1">{"Pivot2",#N/A,FALSE,"Redemption_Maturity Extract"}</definedName>
    <definedName name="wrn.Pivot2." localSheetId="11" hidden="1">{"Pivot2",#N/A,FALSE,"Redemption_Maturity Extract"}</definedName>
    <definedName name="wrn.Pivot2." hidden="1">{"Pivot2",#N/A,FALSE,"Redemption_Maturity Extract"}</definedName>
    <definedName name="wrn.Plan._.2004." localSheetId="10" hidden="1">{#N/A,#N/A,TRUE,"Title Page";#N/A,#N/A,TRUE,"Net Cash Flow";#N/A,#N/A,TRUE,"Balance Sheet";#N/A,#N/A,TRUE,"Cash Flow";#N/A,#N/A,TRUE,"III X Capital";#N/A,#N/A,TRUE,"Monthly Summary-Consolidated";#N/A,#N/A,TRUE,"Monthly Summary-Other";#N/A,#N/A,TRUE,"Monthly Summary-IIIXIILP";#N/A,#N/A,TRUE,"Monthly Summary-SEI";#N/A,#N/A,TRUE,"Monthly Summary-Raton";#N/A,#N/A,TRUE,"Monthly Summary-Utah";#N/A,#N/A,TRUE,"Monthly Summary-Corp G&amp;A";#N/A,#N/A,TRUE,"Monthly Summary-Capital Plan";#N/A,#N/A,TRUE,"Drilling Prog Current";#N/A,#N/A,TRUE,"IIIX Debt";#N/A,#N/A,TRUE,"Income Tax Provision"}</definedName>
    <definedName name="wrn.Plan._.2004." localSheetId="11" hidden="1">{#N/A,#N/A,TRUE,"Title Page";#N/A,#N/A,TRUE,"Net Cash Flow";#N/A,#N/A,TRUE,"Balance Sheet";#N/A,#N/A,TRUE,"Cash Flow";#N/A,#N/A,TRUE,"III X Capital";#N/A,#N/A,TRUE,"Monthly Summary-Consolidated";#N/A,#N/A,TRUE,"Monthly Summary-Other";#N/A,#N/A,TRUE,"Monthly Summary-IIIXIILP";#N/A,#N/A,TRUE,"Monthly Summary-SEI";#N/A,#N/A,TRUE,"Monthly Summary-Raton";#N/A,#N/A,TRUE,"Monthly Summary-Utah";#N/A,#N/A,TRUE,"Monthly Summary-Corp G&amp;A";#N/A,#N/A,TRUE,"Monthly Summary-Capital Plan";#N/A,#N/A,TRUE,"Drilling Prog Current";#N/A,#N/A,TRUE,"IIIX Debt";#N/A,#N/A,TRUE,"Income Tax Provision"}</definedName>
    <definedName name="wrn.Plan._.2004." hidden="1">{#N/A,#N/A,TRUE,"Title Page";#N/A,#N/A,TRUE,"Net Cash Flow";#N/A,#N/A,TRUE,"Balance Sheet";#N/A,#N/A,TRUE,"Cash Flow";#N/A,#N/A,TRUE,"III X Capital";#N/A,#N/A,TRUE,"Monthly Summary-Consolidated";#N/A,#N/A,TRUE,"Monthly Summary-Other";#N/A,#N/A,TRUE,"Monthly Summary-IIIXIILP";#N/A,#N/A,TRUE,"Monthly Summary-SEI";#N/A,#N/A,TRUE,"Monthly Summary-Raton";#N/A,#N/A,TRUE,"Monthly Summary-Utah";#N/A,#N/A,TRUE,"Monthly Summary-Corp G&amp;A";#N/A,#N/A,TRUE,"Monthly Summary-Capital Plan";#N/A,#N/A,TRUE,"Drilling Prog Current";#N/A,#N/A,TRUE,"IIIX Debt";#N/A,#N/A,TRUE,"Income Tax Provision"}</definedName>
    <definedName name="wrn.PPMCoCodeView." hidden="1">{"PPM Co Code View",#N/A,FALSE,"Comp Codes"}</definedName>
    <definedName name="wrn.PPMreconview." hidden="1">{"PPM Recon View",#N/A,FALSE,"Hyperion Proof"}</definedName>
    <definedName name="wrn.PrintAll." hidden="1">{"PA1",#N/A,TRUE,"BORDMW";"pa2",#N/A,TRUE,"BORDMW";"PA3",#N/A,TRUE,"BORDMW";"PA4",#N/A,TRUE,"BORDMW"}</definedName>
    <definedName name="wrn.ProofElectricOnly." hidden="1">{"Electric Only",#N/A,FALSE,"Hyperion Proof"}</definedName>
    <definedName name="wrn.ProofTotal." hidden="1">{"Proof Total",#N/A,FALSE,"Hyperion Proof"}</definedName>
    <definedName name="wrn.quarterly." localSheetId="10" hidden="1">{"quarterly",#N/A,FALSE,"Pro Forma"}</definedName>
    <definedName name="wrn.quarterly." localSheetId="11" hidden="1">{"quarterly",#N/A,FALSE,"Pro Forma"}</definedName>
    <definedName name="wrn.quarterly." hidden="1">{"quarterly",#N/A,FALSE,"Pro Forma"}</definedName>
    <definedName name="wrn.Reformat._.only." hidden="1">{#N/A,#N/A,FALSE,"Dec 1999 mapping"}</definedName>
    <definedName name="wrn.Releases._.Cash._.Accrual." localSheetId="10" hidden="1">{"a_releases",#N/A,FALSE,"Summary";"a_cash",#N/A,FALSE,"Summary";"a_accrual",#N/A,FALSE,"Summary"}</definedName>
    <definedName name="wrn.Releases._.Cash._.Accrual." localSheetId="11" hidden="1">{"a_releases",#N/A,FALSE,"Summary";"a_cash",#N/A,FALSE,"Summary";"a_accrual",#N/A,FALSE,"Summary"}</definedName>
    <definedName name="wrn.Releases._.Cash._.Accrual." hidden="1">{"a_releases",#N/A,FALSE,"Summary";"a_cash",#N/A,FALSE,"Summary";"a_accrual",#N/A,FALSE,"Summary"}</definedName>
    <definedName name="wrn.rpt96." localSheetId="10" hidden="1">{"rmrev1",#N/A,FALSE,"Forecast96";"rmrev2",#N/A,FALSE,"Forecast96";"rmrev3",#N/A,FALSE,"Forecast96"}</definedName>
    <definedName name="wrn.rpt96." localSheetId="11" hidden="1">{"rmrev1",#N/A,FALSE,"Forecast96";"rmrev2",#N/A,FALSE,"Forecast96";"rmrev3",#N/A,FALSE,"Forecast96"}</definedName>
    <definedName name="wrn.rpt96." hidden="1">{"rmrev1",#N/A,FALSE,"Forecast96";"rmrev2",#N/A,FALSE,"Forecast96";"rmrev3",#N/A,FALSE,"Forecast96"}</definedName>
    <definedName name="wrn.sales." hidden="1">{"sales",#N/A,FALSE,"Sales";"sales existing",#N/A,FALSE,"Sales";"sales rd1",#N/A,FALSE,"Sales";"sales rd2",#N/A,FALSE,"Sales"}</definedName>
    <definedName name="wrn.Sales._.and._.Debt." localSheetId="10" hidden="1">{"a_sales",#N/A,FALSE,"Summary";"a_debt",#N/A,FALSE,"Summary"}</definedName>
    <definedName name="wrn.Sales._.and._.Debt." localSheetId="11" hidden="1">{"a_sales",#N/A,FALSE,"Summary";"a_debt",#N/A,FALSE,"Summary"}</definedName>
    <definedName name="wrn.Sales._.and._.Debt." hidden="1">{"a_sales",#N/A,FALSE,"Summary";"a_debt",#N/A,FALSE,"Summary"}</definedName>
    <definedName name="wrn.SALES._.VAR._.95._.BUDGET." hidden="1">{"PRINT",#N/A,TRUE,"APPA";"PRINT",#N/A,TRUE,"APS";"PRINT",#N/A,TRUE,"BHPL";"PRINT",#N/A,TRUE,"BHPL2";"PRINT",#N/A,TRUE,"CDWR";"PRINT",#N/A,TRUE,"EWEB";"PRINT",#N/A,TRUE,"LADWP";"PRINT",#N/A,TRUE,"NEVBASE"}</definedName>
    <definedName name="wrn.SCHED._.BC." localSheetId="10" hidden="1">{"SCHED_B&amp;C",#N/A,FALSE,"A"}</definedName>
    <definedName name="wrn.SCHED._.BC." localSheetId="11" hidden="1">{"SCHED_B&amp;C",#N/A,FALSE,"A"}</definedName>
    <definedName name="wrn.SCHED._.BC." hidden="1">{"SCHED_B&amp;C",#N/A,FALSE,"A"}</definedName>
    <definedName name="wrn.SCHED._.DE." localSheetId="10" hidden="1">{"SCHED_D&amp;E",#N/A,FALSE,"A"}</definedName>
    <definedName name="wrn.SCHED._.DE." localSheetId="11" hidden="1">{"SCHED_D&amp;E",#N/A,FALSE,"A"}</definedName>
    <definedName name="wrn.SCHED._.DE." hidden="1">{"SCHED_D&amp;E",#N/A,FALSE,"A"}</definedName>
    <definedName name="wrn.Sept._.Dec._.March._.I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hared._.Costs." localSheetId="10" hidden="1">{"cash flow",#N/A,FALSE,"Shared Costs";"allocations",#N/A,FALSE,"Shared Costs"}</definedName>
    <definedName name="wrn.Shared._.Costs." localSheetId="11" hidden="1">{"cash flow",#N/A,FALSE,"Shared Costs";"allocations",#N/A,FALSE,"Shared Costs"}</definedName>
    <definedName name="wrn.Shared._.Costs." hidden="1">{"cash flow",#N/A,FALSE,"Shared Costs";"allocations",#N/A,FALSE,"Shared Costs"}</definedName>
    <definedName name="wrn.SHEDA." localSheetId="10" hidden="1">{"SCHED_A",#N/A,FALSE,"A"}</definedName>
    <definedName name="wrn.SHEDA." localSheetId="11" hidden="1">{"SCHED_A",#N/A,FALSE,"A"}</definedName>
    <definedName name="wrn.SHEDA." hidden="1">{"SCHED_A",#N/A,FALSE,"A"}</definedName>
    <definedName name="wrn.STAND_ALONE_BOTH." hidden="1">{"FCB_ALL",#N/A,FALSE,"FCB";"GREY_ALL",#N/A,FALSE,"GREY"}</definedName>
    <definedName name="wrn.Standard." hidden="1">{"YTD-Total",#N/A,FALSE,"Provision"}</definedName>
    <definedName name="wrn.Standard._.NonUtility._.Only." hidden="1">{"YTD-NonUtility",#N/A,FALSE,"Prov NonUtility"}</definedName>
    <definedName name="wrn.Standard._.Utility._.Only." hidden="1">{"YTD-Utility",#N/A,FALSE,"Prov Utility"}</definedName>
    <definedName name="wrn.Summary._.View." hidden="1">{#N/A,#N/A,FALSE,"Consltd-For contngcy"}</definedName>
    <definedName name="wrn.Tariff99." hidden="1">{"103Decup",#N/A,TRUE,"TRF103";"101Refund",#N/A,TRUE,"TRF101A";"101EEAAcct",#N/A,TRUE,"TRF101C";"107DSMRef",#N/A,TRUE,"TRF107";"107Amort",#N/A,TRUE,"DSM Amort";"102RPAInt",#N/A,TRUE,"TRF102B";"111Price1",#N/A,TRUE,"TRF111A";"111Price2",#N/A,TRUE,"TRF111B"}</definedName>
    <definedName name="wrn.UK._.Conversion._.Only." hidden="1">{#N/A,#N/A,FALSE,"Dec 1999 UK Continuing Ops"}</definedName>
    <definedName name="wrn.Wacc." hidden="1">{"Area1",#N/A,FALSE,"OREWACC";"Area2",#N/A,FALSE,"OREWACC"}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wrng" localSheetId="10" hidden="1">{"Output-BaseYear",#N/A,FALSE,"Output"}</definedName>
    <definedName name="wrng" localSheetId="11" hidden="1">{"Output-BaseYear",#N/A,FALSE,"Output"}</definedName>
    <definedName name="wrng" hidden="1">{"Output-BaseYear",#N/A,FALSE,"Output"}</definedName>
    <definedName name="wrnh" localSheetId="10" hidden="1">{"Output-All",#N/A,FALSE,"Output"}</definedName>
    <definedName name="wrnh" localSheetId="11" hidden="1">{"Output-All",#N/A,FALSE,"Output"}</definedName>
    <definedName name="wrnh" hidden="1">{"Output-All",#N/A,FALSE,"Output"}</definedName>
    <definedName name="wvu.allocations." localSheetId="10" hidden="1">{TRUE,TRUE,-1.41610738255034,-14.9463087248322,497.718120805369,308.295302013423,FALSE,TRUE,TRUE,TRUE,0,1,1,1,40,3,2.68,4,TRUE,TRUE,3,TRUE,1,FALSE,100,"Swvu.allocations.","ACwvu.allocations.",#N/A,FALSE,FALSE,0.5,0.5,0.5,0.5,1,"","&amp;L&amp;F   &amp;A&amp;R&amp;D   &amp;T",TRUE,FALSE,FALSE,FALSE,1,100,#N/A,#N/A,"=R1C1:R118C10","=R1:R2","Rwvu.allocations.",#N/A,FALSE,FALSE,TRUE,1,4294967292,300,FALSE,FALSE,TRUE,TRUE,TRUE}</definedName>
    <definedName name="wvu.allocations." localSheetId="11" hidden="1">{TRUE,TRUE,-1.41610738255034,-14.9463087248322,497.718120805369,308.295302013423,FALSE,TRUE,TRUE,TRUE,0,1,1,1,40,3,2.68,4,TRUE,TRUE,3,TRUE,1,FALSE,100,"Swvu.allocations.","ACwvu.allocations.",#N/A,FALSE,FALSE,0.5,0.5,0.5,0.5,1,"","&amp;L&amp;F   &amp;A&amp;R&amp;D   &amp;T",TRUE,FALSE,FALSE,FALSE,1,100,#N/A,#N/A,"=R1C1:R118C10","=R1:R2","Rwvu.allocations.",#N/A,FALSE,FALSE,TRUE,1,4294967292,300,FALSE,FALSE,TRUE,TRUE,TRUE}</definedName>
    <definedName name="wvu.allocations." hidden="1">{TRUE,TRUE,-1.41610738255034,-14.9463087248322,497.718120805369,308.295302013423,FALSE,TRUE,TRUE,TRUE,0,1,1,1,40,3,2.68,4,TRUE,TRUE,3,TRUE,1,FALSE,100,"Swvu.allocations.","ACwvu.allocations.",#N/A,FALSE,FALSE,0.5,0.5,0.5,0.5,1,"","&amp;L&amp;F   &amp;A&amp;R&amp;D   &amp;T",TRUE,FALSE,FALSE,FALSE,1,100,#N/A,#N/A,"=R1C1:R118C10","=R1:R2","Rwvu.allocations.",#N/A,FALSE,FALSE,TRUE,1,4294967292,300,FALSE,FALSE,TRUE,TRUE,TRUE}</definedName>
    <definedName name="wvu.annual." localSheetId="10" hidden="1">{TRUE,TRUE,-1.41610738255034,-14.9463087248322,497.718120805369,308.295302013423,FALSE,TRUE,TRUE,TRUE,0,1,#N/A,1,1,9.97,4.21739130434783,3,FALSE,TRUE,3,TRUE,1,FALSE,100,"Swvu.annual.","ACwvu.annual.",#N/A,FALSE,FALSE,0.5,0.5,0.5,0.5,2,"","&amp;L&amp;""Palatino,Regular""&amp;9&amp;F&amp;C&amp;""Palatino,Regular""&amp;9LAND SALES DETAIL - Page &amp;P of &amp;N&amp;R&amp;""Palatino,Regular""&amp;9&amp;D   &amp;T",TRUE,FALSE,FALSE,FALSE,2,90,#N/A,#N/A,"=R1C1:R174C16","=R1:R3","Rwvu.annual.","Cwvu.annual.",FALSE,FALSE,FALSE,1,4294967292,300,FALSE,FALSE,TRUE,TRUE,TRUE}</definedName>
    <definedName name="wvu.annual." localSheetId="11" hidden="1">{TRUE,TRUE,-1.41610738255034,-14.9463087248322,497.718120805369,308.295302013423,FALSE,TRUE,TRUE,TRUE,0,1,#N/A,1,1,9.97,4.21739130434783,3,FALSE,TRUE,3,TRUE,1,FALSE,100,"Swvu.annual.","ACwvu.annual.",#N/A,FALSE,FALSE,0.5,0.5,0.5,0.5,2,"","&amp;L&amp;""Palatino,Regular""&amp;9&amp;F&amp;C&amp;""Palatino,Regular""&amp;9LAND SALES DETAIL - Page &amp;P of &amp;N&amp;R&amp;""Palatino,Regular""&amp;9&amp;D   &amp;T",TRUE,FALSE,FALSE,FALSE,2,90,#N/A,#N/A,"=R1C1:R174C16","=R1:R3","Rwvu.annual.","Cwvu.annual.",FALSE,FALSE,FALSE,1,4294967292,300,FALSE,FALSE,TRUE,TRUE,TRUE}</definedName>
    <definedName name="wvu.annual." hidden="1">{TRUE,TRUE,-1.41610738255034,-14.9463087248322,497.718120805369,308.295302013423,FALSE,TRUE,TRUE,TRUE,0,1,#N/A,1,1,9.97,4.21739130434783,3,FALSE,TRUE,3,TRUE,1,FALSE,100,"Swvu.annual.","ACwvu.annual.",#N/A,FALSE,FALSE,0.5,0.5,0.5,0.5,2,"","&amp;L&amp;""Palatino,Regular""&amp;9&amp;F&amp;C&amp;""Palatino,Regular""&amp;9LAND SALES DETAIL - Page &amp;P of &amp;N&amp;R&amp;""Palatino,Regular""&amp;9&amp;D   &amp;T",TRUE,FALSE,FALSE,FALSE,2,90,#N/A,#N/A,"=R1C1:R174C16","=R1:R3","Rwvu.annual.","Cwvu.annual.",FALSE,FALSE,FALSE,1,4294967292,300,FALSE,FALSE,TRUE,TRUE,TRUE}</definedName>
    <definedName name="wvu.annual._.hotel." localSheetId="10" hidden="1">{TRUE,TRUE,-1.41610738255034,-14.9463087248322,497.718120805369,308.295302013423,FALSE,TRUE,TRUE,TRUE,0,1,1,1,1,1,2.08695652173913,4,TRUE,TRUE,3,TRUE,1,FALSE,100,"Swvu.annual._.hotel.","ACwvu.annual._.hotel.",#N/A,FALSE,FALSE,0.5,0.5,0.5,0.5,2,"","&amp;L&amp;8&amp;F&amp;C&amp;8HOTEL DEVELOPMENT - Page &amp;P of &amp;N&amp;R&amp;8&amp;D   &amp;T",TRUE,FALSE,FALSE,FALSE,2,#N/A,1,#N/A,#DIV/0!,"=R1:R2","Rwvu.annual._.hotel.","Cwvu.annual._.hotel.",FALSE,FALSE,FALSE,1,4294967292,300,FALSE,FALSE,TRUE,TRUE,TRUE}</definedName>
    <definedName name="wvu.annual._.hotel." localSheetId="11" hidden="1">{TRUE,TRUE,-1.41610738255034,-14.9463087248322,497.718120805369,308.295302013423,FALSE,TRUE,TRUE,TRUE,0,1,1,1,1,1,2.08695652173913,4,TRUE,TRUE,3,TRUE,1,FALSE,100,"Swvu.annual._.hotel.","ACwvu.annual._.hotel.",#N/A,FALSE,FALSE,0.5,0.5,0.5,0.5,2,"","&amp;L&amp;8&amp;F&amp;C&amp;8HOTEL DEVELOPMENT - Page &amp;P of &amp;N&amp;R&amp;8&amp;D   &amp;T",TRUE,FALSE,FALSE,FALSE,2,#N/A,1,#N/A,#DIV/0!,"=R1:R2","Rwvu.annual._.hotel.","Cwvu.annual._.hotel.",FALSE,FALSE,FALSE,1,4294967292,300,FALSE,FALSE,TRUE,TRUE,TRUE}</definedName>
    <definedName name="wvu.annual._.hotel." hidden="1">{TRUE,TRUE,-1.41610738255034,-14.9463087248322,497.718120805369,308.295302013423,FALSE,TRUE,TRUE,TRUE,0,1,1,1,1,1,2.08695652173913,4,TRUE,TRUE,3,TRUE,1,FALSE,100,"Swvu.annual._.hotel.","ACwvu.annual._.hotel.",#N/A,FALSE,FALSE,0.5,0.5,0.5,0.5,2,"","&amp;L&amp;8&amp;F&amp;C&amp;8HOTEL DEVELOPMENT - Page &amp;P of &amp;N&amp;R&amp;8&amp;D   &amp;T",TRUE,FALSE,FALSE,FALSE,2,#N/A,1,#N/A,#DIV/0!,"=R1:R2","Rwvu.annual._.hotel.","Cwvu.annual._.hotel.",FALSE,FALSE,FALSE,1,4294967292,300,FALSE,FALSE,TRUE,TRUE,TRUE}</definedName>
    <definedName name="wvu.bottom._.line." localSheetId="10" hidden="1">{TRUE,TRUE,-1.41610738255034,-14.9463087248322,497.718120805369,308.295302013423,FALSE,TRUE,TRUE,TRUE,0,1,1,1,280,1,2.17391304347826,4,TRUE,TRUE,3,TRUE,1,FALSE,100,"Swvu.bottom._.line.","ACwvu.bottom._.line.",#N/A,FALSE,FALSE,0.5,0.5,0.5,0.5,2,"","&amp;L&amp;8&amp;F   &amp;A&amp;R&amp;8&amp;D   &amp;T",TRUE,FALSE,FALSE,FALSE,2,#N/A,1,#N/A,#DIV/0!,"=R1:R2","Rwvu.bottom._.line.","Cwvu.bottom._.line.",FALSE,FALSE,FALSE,1,4294967292,300,FALSE,FALSE,TRUE,TRUE,TRUE}</definedName>
    <definedName name="wvu.bottom._.line." localSheetId="11" hidden="1">{TRUE,TRUE,-1.41610738255034,-14.9463087248322,497.718120805369,308.295302013423,FALSE,TRUE,TRUE,TRUE,0,1,1,1,280,1,2.17391304347826,4,TRUE,TRUE,3,TRUE,1,FALSE,100,"Swvu.bottom._.line.","ACwvu.bottom._.line.",#N/A,FALSE,FALSE,0.5,0.5,0.5,0.5,2,"","&amp;L&amp;8&amp;F   &amp;A&amp;R&amp;8&amp;D   &amp;T",TRUE,FALSE,FALSE,FALSE,2,#N/A,1,#N/A,#DIV/0!,"=R1:R2","Rwvu.bottom._.line.","Cwvu.bottom._.line.",FALSE,FALSE,FALSE,1,4294967292,300,FALSE,FALSE,TRUE,TRUE,TRUE}</definedName>
    <definedName name="wvu.bottom._.line." hidden="1">{TRUE,TRUE,-1.41610738255034,-14.9463087248322,497.718120805369,308.295302013423,FALSE,TRUE,TRUE,TRUE,0,1,1,1,280,1,2.17391304347826,4,TRUE,TRUE,3,TRUE,1,FALSE,100,"Swvu.bottom._.line.","ACwvu.bottom._.line.",#N/A,FALSE,FALSE,0.5,0.5,0.5,0.5,2,"","&amp;L&amp;8&amp;F   &amp;A&amp;R&amp;8&amp;D   &amp;T",TRUE,FALSE,FALSE,FALSE,2,#N/A,1,#N/A,#DIV/0!,"=R1:R2","Rwvu.bottom._.line.","Cwvu.bottom._.line.",FALSE,FALSE,FALSE,1,4294967292,300,FALSE,FALSE,TRUE,TRUE,TRUE}</definedName>
    <definedName name="wvu.cash._.flow." localSheetId="10" hidden="1">{TRUE,TRUE,-1.41610738255034,-14.9463087248322,497.718120805369,308.295302013423,FALSE,TRUE,TRUE,TRUE,0,1,1,1,1,1,2.40816326530612,4,TRUE,TRUE,3,TRUE,1,FALSE,100,"Swvu.cash._.flow.","ACwvu.cash._.flow.",#N/A,FALSE,FALSE,0.5,0.5,0.5,0.5,2,"","&amp;L&amp;""Palatino,Regular""&amp;8&amp;F&amp;C&amp;""Palatino,Regular""&amp;8SHARED COSTS&amp;R&amp;""Palatino,Regular""&amp;8&amp;D   &amp;T",TRUE,FALSE,FALSE,FALSE,1,#N/A,1,1,"=R1C1:R120C22",FALSE,"Rwvu.cash._.flow.","Cwvu.cash._.flow.",FALSE,FALSE,FALSE,1,4294967292,300,FALSE,FALSE,TRUE,TRUE,TRUE}</definedName>
    <definedName name="wvu.cash._.flow." localSheetId="11" hidden="1">{TRUE,TRUE,-1.41610738255034,-14.9463087248322,497.718120805369,308.295302013423,FALSE,TRUE,TRUE,TRUE,0,1,1,1,1,1,2.40816326530612,4,TRUE,TRUE,3,TRUE,1,FALSE,100,"Swvu.cash._.flow.","ACwvu.cash._.flow.",#N/A,FALSE,FALSE,0.5,0.5,0.5,0.5,2,"","&amp;L&amp;""Palatino,Regular""&amp;8&amp;F&amp;C&amp;""Palatino,Regular""&amp;8SHARED COSTS&amp;R&amp;""Palatino,Regular""&amp;8&amp;D   &amp;T",TRUE,FALSE,FALSE,FALSE,1,#N/A,1,1,"=R1C1:R120C22",FALSE,"Rwvu.cash._.flow.","Cwvu.cash._.flow.",FALSE,FALSE,FALSE,1,4294967292,300,FALSE,FALSE,TRUE,TRUE,TRUE}</definedName>
    <definedName name="wvu.cash._.flow." hidden="1">{TRUE,TRUE,-1.41610738255034,-14.9463087248322,497.718120805369,308.295302013423,FALSE,TRUE,TRUE,TRUE,0,1,1,1,1,1,2.40816326530612,4,TRUE,TRUE,3,TRUE,1,FALSE,100,"Swvu.cash._.flow.","ACwvu.cash._.flow.",#N/A,FALSE,FALSE,0.5,0.5,0.5,0.5,2,"","&amp;L&amp;""Palatino,Regular""&amp;8&amp;F&amp;C&amp;""Palatino,Regular""&amp;8SHARED COSTS&amp;R&amp;""Palatino,Regular""&amp;8&amp;D   &amp;T",TRUE,FALSE,FALSE,FALSE,1,#N/A,1,1,"=R1C1:R120C22",FALSE,"Rwvu.cash._.flow.","Cwvu.cash._.flow.",FALSE,FALSE,FALSE,1,4294967292,300,FALSE,FALSE,TRUE,TRUE,TRUE}</definedName>
    <definedName name="wvu.combo." localSheetId="10" hidden="1">{TRUE,TRUE,-1.41610738255034,-14.9463087248322,497.718120805369,308.295302013423,FALSE,TRUE,TRUE,TRUE,0,1,3,1,170,1,1.07142857142857,3,TRUE,TRUE,3,TRUE,1,FALSE,100,"Swvu.combo.","ACwvu.combo.",#N/A,FALSE,FALSE,0.5,0.5,0.5,0.5,2,"","&amp;L&amp;8&amp;F   &amp;A&amp;R&amp;8&amp;D   &amp;T",TRUE,FALSE,FALSE,FALSE,2,#N/A,1,#N/A,#DIV/0!,"=R1:R2","Rwvu.combo.","Cwvu.combo.",FALSE,FALSE,FALSE,1,4294967292,300,FALSE,FALSE,TRUE,TRUE,TRUE}</definedName>
    <definedName name="wvu.combo." localSheetId="11" hidden="1">{TRUE,TRUE,-1.41610738255034,-14.9463087248322,497.718120805369,308.295302013423,FALSE,TRUE,TRUE,TRUE,0,1,3,1,170,1,1.07142857142857,3,TRUE,TRUE,3,TRUE,1,FALSE,100,"Swvu.combo.","ACwvu.combo.",#N/A,FALSE,FALSE,0.5,0.5,0.5,0.5,2,"","&amp;L&amp;8&amp;F   &amp;A&amp;R&amp;8&amp;D   &amp;T",TRUE,FALSE,FALSE,FALSE,2,#N/A,1,#N/A,#DIV/0!,"=R1:R2","Rwvu.combo.","Cwvu.combo.",FALSE,FALSE,FALSE,1,4294967292,300,FALSE,FALSE,TRUE,TRUE,TRUE}</definedName>
    <definedName name="wvu.combo." hidden="1">{TRUE,TRUE,-1.41610738255034,-14.9463087248322,497.718120805369,308.295302013423,FALSE,TRUE,TRUE,TRUE,0,1,3,1,170,1,1.07142857142857,3,TRUE,TRUE,3,TRUE,1,FALSE,100,"Swvu.combo.","ACwvu.combo.",#N/A,FALSE,FALSE,0.5,0.5,0.5,0.5,2,"","&amp;L&amp;8&amp;F   &amp;A&amp;R&amp;8&amp;D   &amp;T",TRUE,FALSE,FALSE,FALSE,2,#N/A,1,#N/A,#DIV/0!,"=R1:R2","Rwvu.combo.","Cwvu.combo.",FALSE,FALSE,FALSE,1,4294967292,300,FALSE,FALSE,TRUE,TRUE,TRUE}</definedName>
    <definedName name="wvu.full." localSheetId="10" hidden="1">{TRUE,TRUE,-1.41610738255034,-14.9463087248322,497.718120805369,308.295302013423,FALSE,TRUE,TRUE,TRUE,0,1,#N/A,1,1,8.41904761904762,2.4,3,FALSE,TRUE,3,TRUE,1,FALSE,100,"Swvu.full.","ACwvu.full.",#N/A,FALSE,FALSE,0.5,0.5,0.5,0.5,2,"","&amp;L&amp;F&amp;R&amp;D   &amp;T",TRUE,FALSE,FALSE,FALSE,1,#N/A,1,1,"=R1C1:R97C24",FALSE,#N/A,#N/A,FALSE,FALSE,FALSE,1,4294967292,300,FALSE,FALSE,TRUE,TRUE,TRUE}</definedName>
    <definedName name="wvu.full." localSheetId="11" hidden="1">{TRUE,TRUE,-1.41610738255034,-14.9463087248322,497.718120805369,308.295302013423,FALSE,TRUE,TRUE,TRUE,0,1,#N/A,1,1,8.41904761904762,2.4,3,FALSE,TRUE,3,TRUE,1,FALSE,100,"Swvu.full.","ACwvu.full.",#N/A,FALSE,FALSE,0.5,0.5,0.5,0.5,2,"","&amp;L&amp;F&amp;R&amp;D   &amp;T",TRUE,FALSE,FALSE,FALSE,1,#N/A,1,1,"=R1C1:R97C24",FALSE,#N/A,#N/A,FALSE,FALSE,FALSE,1,4294967292,300,FALSE,FALSE,TRUE,TRUE,TRUE}</definedName>
    <definedName name="wvu.full." hidden="1">{TRUE,TRUE,-1.41610738255034,-14.9463087248322,497.718120805369,308.295302013423,FALSE,TRUE,TRUE,TRUE,0,1,#N/A,1,1,8.41904761904762,2.4,3,FALSE,TRUE,3,TRUE,1,FALSE,100,"Swvu.full.","ACwvu.full.",#N/A,FALSE,FALSE,0.5,0.5,0.5,0.5,2,"","&amp;L&amp;F&amp;R&amp;D   &amp;T",TRUE,FALSE,FALSE,FALSE,1,#N/A,1,1,"=R1C1:R97C24",FALSE,#N/A,#N/A,FALSE,FALSE,FALSE,1,4294967292,300,FALSE,FALSE,TRUE,TRUE,TRUE}</definedName>
    <definedName name="wvu.offsite." localSheetId="10" hidden="1">{TRUE,TRUE,-1.41610738255034,-14.9463087248322,497.718120805369,308.295302013423,FALSE,TRUE,TRUE,TRUE,0,1,1,1,1,3,2.91836734693878,4,TRUE,TRUE,3,TRUE,1,FALSE,100,"Swvu.offsite.","ACwvu.offsite.",#N/A,FALSE,FALSE,0.5,0.5,0.5,0.5,1,"","&amp;L&amp;""Palatino,Regular""&amp;8&amp;F&amp;C&amp;""Palatino,Regular""&amp;8SHARED COSTS&amp;R&amp;""Palatino,Regular""&amp;8&amp;D   &amp;T",TRUE,FALSE,FALSE,FALSE,1,#N/A,1,1,#DIV/0!,"=R1:R2","Rwvu.offsite.",#N/A,FALSE,FALSE,FALSE,1,4294967292,300,FALSE,FALSE,TRUE,TRUE,TRUE}</definedName>
    <definedName name="wvu.offsite." localSheetId="11" hidden="1">{TRUE,TRUE,-1.41610738255034,-14.9463087248322,497.718120805369,308.295302013423,FALSE,TRUE,TRUE,TRUE,0,1,1,1,1,3,2.91836734693878,4,TRUE,TRUE,3,TRUE,1,FALSE,100,"Swvu.offsite.","ACwvu.offsite.",#N/A,FALSE,FALSE,0.5,0.5,0.5,0.5,1,"","&amp;L&amp;""Palatino,Regular""&amp;8&amp;F&amp;C&amp;""Palatino,Regular""&amp;8SHARED COSTS&amp;R&amp;""Palatino,Regular""&amp;8&amp;D   &amp;T",TRUE,FALSE,FALSE,FALSE,1,#N/A,1,1,#DIV/0!,"=R1:R2","Rwvu.offsite.",#N/A,FALSE,FALSE,FALSE,1,4294967292,300,FALSE,FALSE,TRUE,TRUE,TRUE}</definedName>
    <definedName name="wvu.offsite." hidden="1">{TRUE,TRUE,-1.41610738255034,-14.9463087248322,497.718120805369,308.295302013423,FALSE,TRUE,TRUE,TRUE,0,1,1,1,1,3,2.91836734693878,4,TRUE,TRUE,3,TRUE,1,FALSE,100,"Swvu.offsite.","ACwvu.offsite.",#N/A,FALSE,FALSE,0.5,0.5,0.5,0.5,1,"","&amp;L&amp;""Palatino,Regular""&amp;8&amp;F&amp;C&amp;""Palatino,Regular""&amp;8SHARED COSTS&amp;R&amp;""Palatino,Regular""&amp;8&amp;D   &amp;T",TRUE,FALSE,FALSE,FALSE,1,#N/A,1,1,#DIV/0!,"=R1:R2","Rwvu.offsite.",#N/A,FALSE,FALSE,FALSE,1,4294967292,300,FALSE,FALSE,TRUE,TRUE,TRUE}</definedName>
    <definedName name="wvu.onsite." localSheetId="10" hidden="1">{TRUE,TRUE,-1.41610738255034,-14.9463087248322,497.718120805369,308.295302013423,FALSE,TRUE,TRUE,TRUE,0,1,1,1,1,3,2.83673469387755,4,TRUE,TRUE,3,TRUE,1,FALSE,100,"Swvu.onsite.","ACwvu.onsite.",#N/A,FALSE,FALSE,0.5,0.5,0.5,0.5,1,"","&amp;L&amp;""Palatino,Regular""&amp;8&amp;F&amp;C&amp;""Palatino,Regular""&amp;8SHARED COSTS&amp;R&amp;""Palatino,Regular""&amp;8&amp;D   &amp;T",TRUE,FALSE,FALSE,FALSE,1,#N/A,1,1,#DIV/0!,"=R1:R2","Rwvu.onsite.",#N/A,FALSE,FALSE,FALSE,1,4294967292,300,FALSE,FALSE,TRUE,TRUE,TRUE}</definedName>
    <definedName name="wvu.onsite." localSheetId="11" hidden="1">{TRUE,TRUE,-1.41610738255034,-14.9463087248322,497.718120805369,308.295302013423,FALSE,TRUE,TRUE,TRUE,0,1,1,1,1,3,2.83673469387755,4,TRUE,TRUE,3,TRUE,1,FALSE,100,"Swvu.onsite.","ACwvu.onsite.",#N/A,FALSE,FALSE,0.5,0.5,0.5,0.5,1,"","&amp;L&amp;""Palatino,Regular""&amp;8&amp;F&amp;C&amp;""Palatino,Regular""&amp;8SHARED COSTS&amp;R&amp;""Palatino,Regular""&amp;8&amp;D   &amp;T",TRUE,FALSE,FALSE,FALSE,1,#N/A,1,1,#DIV/0!,"=R1:R2","Rwvu.onsite.",#N/A,FALSE,FALSE,FALSE,1,4294967292,300,FALSE,FALSE,TRUE,TRUE,TRUE}</definedName>
    <definedName name="wvu.onsite." hidden="1">{TRUE,TRUE,-1.41610738255034,-14.9463087248322,497.718120805369,308.295302013423,FALSE,TRUE,TRUE,TRUE,0,1,1,1,1,3,2.83673469387755,4,TRUE,TRUE,3,TRUE,1,FALSE,100,"Swvu.onsite.","ACwvu.onsite.",#N/A,FALSE,FALSE,0.5,0.5,0.5,0.5,1,"","&amp;L&amp;""Palatino,Regular""&amp;8&amp;F&amp;C&amp;""Palatino,Regular""&amp;8SHARED COSTS&amp;R&amp;""Palatino,Regular""&amp;8&amp;D   &amp;T",TRUE,FALSE,FALSE,FALSE,1,#N/A,1,1,#DIV/0!,"=R1:R2","Rwvu.onsite.",#N/A,FALSE,FALSE,FALSE,1,4294967292,300,FALSE,FALSE,TRUE,TRUE,TRUE}</definedName>
    <definedName name="wvu.quarterly." localSheetId="10" hidden="1">{TRUE,TRUE,-1.25,-15.5,484.5,270,FALSE,TRUE,TRUE,TRUE,0,1,2,2,1,3,1.93333333333333,4,TRUE,TRUE,3,TRUE,1,FALSE,75,"Swvu.quarterly.","ACwvu.quarterly.",#N/A,FALSE,FALSE,0.25,0.25,0.5,0.5,2,"","&amp;L&amp;10&amp;F   &amp;A&amp;C&amp;10Page &amp;P&amp;R&amp;10&amp;D   &amp;T",FALSE,FALSE,FALSE,FALSE,2,71,#N/A,#N/A,"=R1C1:R153C72","=C1:C4,R1:R3","Rwvu.quarterly.",#N/A,FALSE,FALSE,TRUE,1,65532,65532,FALSE,FALSE,TRUE,TRUE,TRUE}</definedName>
    <definedName name="wvu.quarterly." localSheetId="11" hidden="1">{TRUE,TRUE,-1.25,-15.5,484.5,270,FALSE,TRUE,TRUE,TRUE,0,1,2,2,1,3,1.93333333333333,4,TRUE,TRUE,3,TRUE,1,FALSE,75,"Swvu.quarterly.","ACwvu.quarterly.",#N/A,FALSE,FALSE,0.25,0.25,0.5,0.5,2,"","&amp;L&amp;10&amp;F   &amp;A&amp;C&amp;10Page &amp;P&amp;R&amp;10&amp;D   &amp;T",FALSE,FALSE,FALSE,FALSE,2,71,#N/A,#N/A,"=R1C1:R153C72","=C1:C4,R1:R3","Rwvu.quarterly.",#N/A,FALSE,FALSE,TRUE,1,65532,65532,FALSE,FALSE,TRUE,TRUE,TRUE}</definedName>
    <definedName name="wvu.quarterly." hidden="1">{TRUE,TRUE,-1.25,-15.5,484.5,270,FALSE,TRUE,TRUE,TRUE,0,1,2,2,1,3,1.93333333333333,4,TRUE,TRUE,3,TRUE,1,FALSE,75,"Swvu.quarterly.","ACwvu.quarterly.",#N/A,FALSE,FALSE,0.25,0.25,0.5,0.5,2,"","&amp;L&amp;10&amp;F   &amp;A&amp;C&amp;10Page &amp;P&amp;R&amp;10&amp;D   &amp;T",FALSE,FALSE,FALSE,FALSE,2,71,#N/A,#N/A,"=R1C1:R153C72","=C1:C4,R1:R3","Rwvu.quarterly.",#N/A,FALSE,FALSE,TRUE,1,65532,65532,FALSE,FALSE,TRUE,TRUE,TRUE}</definedName>
    <definedName name="xxx" hidden="1">#REF!</definedName>
    <definedName name="y" hidden="1">#REF!</definedName>
    <definedName name="z" hidden="1">'[1]DSM Output'!$G$21:$G$23</definedName>
    <definedName name="Z_01844156_6462_4A28_9785_1A86F4D0C834_.wvu.PrintTitles" hidden="1">#REF!</definedName>
  </definedNames>
  <calcPr calcId="191028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0" i="97" l="1"/>
  <c r="H11" i="97" s="1"/>
  <c r="E55" i="187"/>
  <c r="L50" i="4"/>
  <c r="L47" i="4"/>
  <c r="E50" i="4"/>
  <c r="D44" i="4"/>
  <c r="F44" i="4"/>
  <c r="G44" i="4"/>
  <c r="I44" i="4"/>
  <c r="J44" i="4"/>
  <c r="L44" i="4"/>
  <c r="Q44" i="4"/>
  <c r="S44" i="4"/>
  <c r="T44" i="4"/>
  <c r="U44" i="4"/>
  <c r="C44" i="4"/>
  <c r="K563" i="169"/>
  <c r="K565" i="169" s="1"/>
  <c r="K562" i="169"/>
  <c r="K561" i="169"/>
  <c r="O554" i="169"/>
  <c r="O555" i="169"/>
  <c r="K560" i="169"/>
  <c r="K556" i="169"/>
  <c r="K555" i="169"/>
  <c r="K554" i="169"/>
  <c r="O556" i="169"/>
  <c r="P556" i="169"/>
  <c r="O552" i="169"/>
  <c r="O553" i="169" s="1"/>
  <c r="M551" i="169"/>
  <c r="O550" i="169"/>
  <c r="AH174" i="62"/>
  <c r="AH173" i="62"/>
  <c r="Q11" i="179"/>
  <c r="AE16" i="179" s="1"/>
  <c r="AF17" i="179" s="1"/>
  <c r="F4" i="181"/>
  <c r="F10" i="181"/>
  <c r="G10" i="181"/>
  <c r="AE17" i="179"/>
  <c r="O551" i="169" l="1"/>
  <c r="M548" i="169"/>
  <c r="AE94" i="179"/>
  <c r="M513" i="169" s="1"/>
  <c r="AE98" i="179"/>
  <c r="AE90" i="179"/>
  <c r="AE59" i="179"/>
  <c r="M547" i="169" l="1"/>
  <c r="O548" i="169"/>
  <c r="AE99" i="179"/>
  <c r="AE100" i="179" s="1"/>
  <c r="H4" i="181" l="1"/>
  <c r="H2" i="181"/>
  <c r="AH668" i="62"/>
  <c r="AH667" i="62"/>
  <c r="I542" i="169"/>
  <c r="H538" i="169"/>
  <c r="H540" i="169"/>
  <c r="H539" i="169"/>
  <c r="K536" i="169"/>
  <c r="E518" i="169"/>
  <c r="K533" i="169"/>
  <c r="K534" i="169"/>
  <c r="K532" i="169"/>
  <c r="M532" i="169" s="1"/>
  <c r="E510" i="169"/>
  <c r="L536" i="169"/>
  <c r="M531" i="169"/>
  <c r="M533" i="169"/>
  <c r="M534" i="169"/>
  <c r="K530" i="169" l="1"/>
  <c r="M536" i="169" s="1"/>
  <c r="M530" i="169"/>
  <c r="E531" i="169"/>
  <c r="Y743" i="62"/>
  <c r="AC741" i="62"/>
  <c r="AC740" i="62"/>
  <c r="AD740" i="62"/>
  <c r="Y745" i="62" s="1"/>
  <c r="M509" i="169"/>
  <c r="AI90" i="179"/>
  <c r="AI17" i="179"/>
  <c r="AH16" i="179"/>
  <c r="E538" i="169" l="1"/>
  <c r="E539" i="169"/>
  <c r="E536" i="169"/>
  <c r="E394" i="169" l="1"/>
  <c r="E455" i="169"/>
  <c r="AG7" i="174"/>
  <c r="E18" i="178"/>
  <c r="S6" i="175"/>
  <c r="S7" i="175"/>
  <c r="D8" i="176"/>
  <c r="D106" i="176" s="1"/>
  <c r="P106" i="176" s="1"/>
  <c r="J14" i="4"/>
  <c r="J10" i="4"/>
  <c r="T104" i="169" l="1"/>
  <c r="G208" i="169"/>
  <c r="G4" i="181"/>
  <c r="Y16" i="62"/>
  <c r="Z624" i="62"/>
  <c r="Y624" i="62"/>
  <c r="Z639" i="62"/>
  <c r="I433" i="174"/>
  <c r="I436" i="174" s="1"/>
  <c r="L437" i="174"/>
  <c r="O430" i="174"/>
  <c r="P430" i="174" s="1"/>
  <c r="AC724" i="62"/>
  <c r="A8" i="4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E5" i="4"/>
  <c r="K436" i="174" l="1"/>
  <c r="J436" i="174"/>
  <c r="L436" i="174" s="1"/>
  <c r="L438" i="174" s="1"/>
  <c r="H65" i="181"/>
  <c r="D16" i="60"/>
  <c r="C16" i="60"/>
  <c r="D11" i="60"/>
  <c r="D12" i="60"/>
  <c r="D13" i="60"/>
  <c r="C12" i="60"/>
  <c r="C13" i="60"/>
  <c r="C11" i="60"/>
  <c r="S11" i="60"/>
  <c r="T16" i="60"/>
  <c r="S16" i="60"/>
  <c r="T13" i="60"/>
  <c r="T12" i="60"/>
  <c r="T11" i="60"/>
  <c r="S13" i="60"/>
  <c r="S12" i="60"/>
  <c r="L16" i="60"/>
  <c r="K16" i="60"/>
  <c r="L13" i="60"/>
  <c r="K13" i="60"/>
  <c r="L12" i="60"/>
  <c r="M12" i="60" s="1"/>
  <c r="K12" i="60"/>
  <c r="Q16" i="60"/>
  <c r="Q13" i="60"/>
  <c r="Q12" i="60"/>
  <c r="Q11" i="60"/>
  <c r="Q14" i="60" s="1"/>
  <c r="I16" i="60"/>
  <c r="I13" i="60"/>
  <c r="I12" i="60"/>
  <c r="I11" i="60"/>
  <c r="I14" i="60" s="1"/>
  <c r="M13" i="60"/>
  <c r="M11" i="60"/>
  <c r="L11" i="60"/>
  <c r="K11" i="60"/>
  <c r="W7" i="60"/>
  <c r="W6" i="60"/>
  <c r="W5" i="60"/>
  <c r="W4" i="60"/>
  <c r="J78" i="59"/>
  <c r="J76" i="59"/>
  <c r="J54" i="59"/>
  <c r="AQ76" i="59"/>
  <c r="AT76" i="59"/>
  <c r="AW54" i="59"/>
  <c r="AW76" i="59" s="1"/>
  <c r="E16" i="60" l="1"/>
  <c r="M16" i="60"/>
  <c r="M14" i="60"/>
  <c r="N6" i="4" l="1"/>
  <c r="O6" i="4"/>
  <c r="N8" i="4"/>
  <c r="O8" i="4"/>
  <c r="O10" i="4"/>
  <c r="N14" i="4"/>
  <c r="O14" i="4"/>
  <c r="N16" i="4"/>
  <c r="O16" i="4"/>
  <c r="N17" i="4"/>
  <c r="O17" i="4"/>
  <c r="O18" i="4"/>
  <c r="N19" i="4"/>
  <c r="O19" i="4"/>
  <c r="N20" i="4"/>
  <c r="O20" i="4"/>
  <c r="N22" i="4"/>
  <c r="O22" i="4"/>
  <c r="N24" i="4"/>
  <c r="O24" i="4"/>
  <c r="N36" i="4"/>
  <c r="S136" i="31"/>
  <c r="S122" i="31"/>
  <c r="S124" i="31" s="1"/>
  <c r="N21" i="4" s="1"/>
  <c r="S108" i="31"/>
  <c r="S101" i="31"/>
  <c r="S85" i="31"/>
  <c r="S73" i="31"/>
  <c r="S86" i="31" s="1"/>
  <c r="S52" i="31"/>
  <c r="S38" i="31"/>
  <c r="S28" i="31"/>
  <c r="N10" i="4" s="1"/>
  <c r="S18" i="31"/>
  <c r="S29" i="31" l="1"/>
  <c r="S54" i="31" s="1"/>
  <c r="S55" i="31" s="1"/>
  <c r="O11" i="4"/>
  <c r="N11" i="4"/>
  <c r="N15" i="4"/>
  <c r="O36" i="4"/>
  <c r="E44" i="181" l="1"/>
  <c r="D26" i="181"/>
  <c r="F54" i="31" l="1"/>
  <c r="R122" i="31" l="1"/>
  <c r="R124" i="31" s="1"/>
  <c r="M21" i="4" s="1"/>
  <c r="M6" i="4"/>
  <c r="M8" i="4"/>
  <c r="M16" i="4"/>
  <c r="M19" i="4"/>
  <c r="M20" i="4"/>
  <c r="M22" i="4"/>
  <c r="M24" i="4"/>
  <c r="R136" i="31"/>
  <c r="R108" i="31"/>
  <c r="R101" i="31"/>
  <c r="R85" i="31"/>
  <c r="R73" i="31"/>
  <c r="R86" i="31" s="1"/>
  <c r="M17" i="4" s="1"/>
  <c r="R52" i="31"/>
  <c r="R38" i="31"/>
  <c r="M14" i="4" s="1"/>
  <c r="R28" i="31"/>
  <c r="M10" i="4" s="1"/>
  <c r="R18" i="31"/>
  <c r="M11" i="4" l="1"/>
  <c r="R29" i="31"/>
  <c r="M36" i="4"/>
  <c r="R54" i="31" l="1"/>
  <c r="M15" i="4" s="1"/>
  <c r="D14" i="32"/>
  <c r="AD615" i="62"/>
  <c r="AB615" i="62"/>
  <c r="S649" i="62"/>
  <c r="Y740" i="62"/>
  <c r="AU44" i="59"/>
  <c r="T13" i="31"/>
  <c r="O5" i="4" s="1"/>
  <c r="R55" i="31" l="1"/>
  <c r="AB743" i="62"/>
  <c r="AB745" i="62" s="1"/>
  <c r="J214" i="49"/>
  <c r="J213" i="49"/>
  <c r="J212" i="49"/>
  <c r="J211" i="49"/>
  <c r="J210" i="49"/>
  <c r="J209" i="49"/>
  <c r="J208" i="49"/>
  <c r="J207" i="49"/>
  <c r="J206" i="49"/>
  <c r="J205" i="49"/>
  <c r="J204" i="49"/>
  <c r="J203" i="49"/>
  <c r="J202" i="49"/>
  <c r="J201" i="49"/>
  <c r="J200" i="49"/>
  <c r="J199" i="49"/>
  <c r="J198" i="49"/>
  <c r="J197" i="49"/>
  <c r="J196" i="49"/>
  <c r="J195" i="49"/>
  <c r="D13" i="185"/>
  <c r="D14" i="185" l="1"/>
  <c r="D16" i="185" s="1"/>
  <c r="C53" i="187"/>
  <c r="E52" i="187"/>
  <c r="E51" i="187"/>
  <c r="E50" i="187"/>
  <c r="E49" i="187"/>
  <c r="E48" i="187"/>
  <c r="E47" i="187"/>
  <c r="E46" i="187"/>
  <c r="E45" i="187"/>
  <c r="E44" i="187"/>
  <c r="E43" i="187"/>
  <c r="E42" i="187"/>
  <c r="E41" i="187"/>
  <c r="E40" i="187"/>
  <c r="E39" i="187"/>
  <c r="E38" i="187"/>
  <c r="E37" i="187"/>
  <c r="E36" i="187"/>
  <c r="E35" i="187"/>
  <c r="E34" i="187"/>
  <c r="E33" i="187"/>
  <c r="E32" i="187"/>
  <c r="E31" i="187"/>
  <c r="E30" i="187"/>
  <c r="E29" i="187"/>
  <c r="E28" i="187"/>
  <c r="E27" i="187"/>
  <c r="E26" i="187"/>
  <c r="E25" i="187"/>
  <c r="E24" i="187"/>
  <c r="E23" i="187"/>
  <c r="E22" i="187"/>
  <c r="E21" i="187"/>
  <c r="E20" i="187"/>
  <c r="E19" i="187"/>
  <c r="E18" i="187"/>
  <c r="E17" i="187"/>
  <c r="E16" i="187"/>
  <c r="E15" i="187"/>
  <c r="E14" i="187"/>
  <c r="E13" i="187"/>
  <c r="E53" i="187" l="1"/>
  <c r="E57" i="187" s="1"/>
  <c r="J129" i="31" s="1"/>
  <c r="D17" i="185"/>
  <c r="D19" i="185"/>
  <c r="E33" i="4" l="1"/>
  <c r="K31" i="4" l="1"/>
  <c r="Q129" i="31"/>
  <c r="Q13" i="31"/>
  <c r="E174" i="58" l="1"/>
  <c r="AC172" i="58"/>
  <c r="AE21" i="174"/>
  <c r="L5" i="4"/>
  <c r="C41" i="64" l="1"/>
  <c r="D35" i="64"/>
  <c r="K37" i="1" l="1"/>
  <c r="K39" i="1" s="1"/>
  <c r="K27" i="1"/>
  <c r="K29" i="1" s="1"/>
  <c r="K12" i="1"/>
  <c r="A29" i="184" l="1"/>
  <c r="A30" i="184" s="1"/>
  <c r="Q27" i="76"/>
  <c r="Q35" i="76"/>
  <c r="Q22" i="76"/>
  <c r="Q21" i="76"/>
  <c r="A7" i="83"/>
  <c r="A8" i="83"/>
  <c r="A9" i="83"/>
  <c r="A10" i="83"/>
  <c r="D18" i="185"/>
  <c r="D12" i="185"/>
  <c r="A12" i="185"/>
  <c r="A13" i="185" s="1"/>
  <c r="A14" i="185" s="1"/>
  <c r="A15" i="185" s="1"/>
  <c r="A16" i="185" s="1"/>
  <c r="A17" i="185" s="1"/>
  <c r="A18" i="185" s="1"/>
  <c r="A19" i="185" s="1"/>
  <c r="A20" i="185" s="1"/>
  <c r="A21" i="185" s="1"/>
  <c r="A22" i="185" s="1"/>
  <c r="A23" i="185" s="1"/>
  <c r="A11" i="185"/>
  <c r="T272" i="169"/>
  <c r="T270" i="169"/>
  <c r="T268" i="169"/>
  <c r="T266" i="169"/>
  <c r="T262" i="169"/>
  <c r="T232" i="169"/>
  <c r="T230" i="169"/>
  <c r="T228" i="169"/>
  <c r="T108" i="169"/>
  <c r="T106" i="169"/>
  <c r="T102" i="169"/>
  <c r="T78" i="169"/>
  <c r="T76" i="169"/>
  <c r="T74" i="169"/>
  <c r="T72" i="169"/>
  <c r="T39" i="169"/>
  <c r="T7" i="169"/>
  <c r="Q28" i="76" l="1"/>
  <c r="A36" i="75"/>
  <c r="A37" i="75" s="1"/>
  <c r="A39" i="75"/>
  <c r="A10" i="75"/>
  <c r="A13" i="75" s="1"/>
  <c r="A11" i="75"/>
  <c r="A12" i="75"/>
  <c r="A17" i="75"/>
  <c r="A22" i="75"/>
  <c r="A27" i="75"/>
  <c r="A32" i="75"/>
  <c r="S266" i="169"/>
  <c r="S264" i="169" s="1"/>
  <c r="T264" i="169" s="1"/>
  <c r="Q29" i="76" l="1"/>
  <c r="A38" i="75"/>
  <c r="A40" i="75" s="1"/>
  <c r="A14" i="75"/>
  <c r="S262" i="169"/>
  <c r="A15" i="75" l="1"/>
  <c r="S228" i="169"/>
  <c r="R123" i="176"/>
  <c r="Q123" i="176"/>
  <c r="T22" i="4"/>
  <c r="E16" i="4"/>
  <c r="E24" i="4"/>
  <c r="A16" i="75" l="1"/>
  <c r="F58" i="6"/>
  <c r="F57" i="6"/>
  <c r="F55" i="6"/>
  <c r="F54" i="6"/>
  <c r="F51" i="6"/>
  <c r="F50" i="6"/>
  <c r="F48" i="6"/>
  <c r="F47" i="6"/>
  <c r="F46" i="6"/>
  <c r="F45" i="6"/>
  <c r="F44" i="6"/>
  <c r="D58" i="6"/>
  <c r="D57" i="6"/>
  <c r="D56" i="6"/>
  <c r="D55" i="6"/>
  <c r="D54" i="6"/>
  <c r="D52" i="6"/>
  <c r="D51" i="6"/>
  <c r="D50" i="6"/>
  <c r="D48" i="6"/>
  <c r="D47" i="6"/>
  <c r="D46" i="6"/>
  <c r="D45" i="6"/>
  <c r="D44" i="6"/>
  <c r="D60" i="6"/>
  <c r="D49" i="6"/>
  <c r="D27" i="6"/>
  <c r="D36" i="6"/>
  <c r="D35" i="6"/>
  <c r="D26" i="6"/>
  <c r="D25" i="6"/>
  <c r="D24" i="6"/>
  <c r="D23" i="6"/>
  <c r="D21" i="6"/>
  <c r="H109" i="6"/>
  <c r="I109" i="6" s="1"/>
  <c r="H72" i="6"/>
  <c r="I72" i="6" s="1"/>
  <c r="H73" i="6"/>
  <c r="I73" i="6" s="1"/>
  <c r="H74" i="6"/>
  <c r="I74" i="6" s="1"/>
  <c r="H75" i="6"/>
  <c r="I75" i="6" s="1"/>
  <c r="H76" i="6"/>
  <c r="I76" i="6" s="1"/>
  <c r="H77" i="6"/>
  <c r="I77" i="6" s="1"/>
  <c r="H78" i="6"/>
  <c r="I78" i="6" s="1"/>
  <c r="H79" i="6"/>
  <c r="I79" i="6" s="1"/>
  <c r="H80" i="6"/>
  <c r="I80" i="6" s="1"/>
  <c r="H81" i="6"/>
  <c r="I81" i="6" s="1"/>
  <c r="H82" i="6"/>
  <c r="I82" i="6" s="1"/>
  <c r="H83" i="6"/>
  <c r="I83" i="6" s="1"/>
  <c r="H84" i="6"/>
  <c r="I84" i="6" s="1"/>
  <c r="H85" i="6"/>
  <c r="I85" i="6" s="1"/>
  <c r="H86" i="6"/>
  <c r="I86" i="6" s="1"/>
  <c r="H87" i="6"/>
  <c r="I87" i="6" s="1"/>
  <c r="H88" i="6"/>
  <c r="I88" i="6" s="1"/>
  <c r="H89" i="6"/>
  <c r="I89" i="6" s="1"/>
  <c r="H90" i="6"/>
  <c r="I90" i="6" s="1"/>
  <c r="H91" i="6"/>
  <c r="I91" i="6" s="1"/>
  <c r="H92" i="6"/>
  <c r="I92" i="6" s="1"/>
  <c r="H93" i="6"/>
  <c r="H94" i="6"/>
  <c r="H95" i="6"/>
  <c r="I95" i="6" s="1"/>
  <c r="H96" i="6"/>
  <c r="I96" i="6" s="1"/>
  <c r="H97" i="6"/>
  <c r="I97" i="6" s="1"/>
  <c r="H98" i="6"/>
  <c r="I98" i="6" s="1"/>
  <c r="H99" i="6"/>
  <c r="I99" i="6" s="1"/>
  <c r="H100" i="6"/>
  <c r="I100" i="6" s="1"/>
  <c r="H101" i="6"/>
  <c r="I101" i="6" s="1"/>
  <c r="H102" i="6"/>
  <c r="I102" i="6" s="1"/>
  <c r="H103" i="6"/>
  <c r="I103" i="6" s="1"/>
  <c r="H104" i="6"/>
  <c r="I104" i="6" s="1"/>
  <c r="H105" i="6"/>
  <c r="I105" i="6" s="1"/>
  <c r="H106" i="6"/>
  <c r="I106" i="6" s="1"/>
  <c r="H107" i="6"/>
  <c r="I107" i="6" s="1"/>
  <c r="H108" i="6"/>
  <c r="I108" i="6" s="1"/>
  <c r="D41" i="6"/>
  <c r="F63" i="6"/>
  <c r="F12" i="6"/>
  <c r="H44" i="6"/>
  <c r="A4" i="185"/>
  <c r="A3" i="185"/>
  <c r="A2" i="185"/>
  <c r="A1" i="185"/>
  <c r="P129" i="31" l="1"/>
  <c r="A18" i="75"/>
  <c r="P93" i="6"/>
  <c r="I94" i="6"/>
  <c r="P92" i="6"/>
  <c r="I93" i="6"/>
  <c r="I110" i="6" s="1"/>
  <c r="W106" i="169"/>
  <c r="B38" i="182"/>
  <c r="C30" i="182"/>
  <c r="D30" i="182"/>
  <c r="E30" i="182"/>
  <c r="F30" i="182"/>
  <c r="G30" i="182"/>
  <c r="H30" i="182"/>
  <c r="I30" i="182"/>
  <c r="J30" i="182"/>
  <c r="K30" i="182"/>
  <c r="C31" i="182"/>
  <c r="D31" i="182"/>
  <c r="E31" i="182"/>
  <c r="F31" i="182"/>
  <c r="G31" i="182"/>
  <c r="H31" i="182"/>
  <c r="I31" i="182"/>
  <c r="J31" i="182"/>
  <c r="K31" i="182"/>
  <c r="C32" i="182"/>
  <c r="D32" i="182"/>
  <c r="E32" i="182"/>
  <c r="F32" i="182"/>
  <c r="G32" i="182"/>
  <c r="H32" i="182"/>
  <c r="I32" i="182"/>
  <c r="J32" i="182"/>
  <c r="K32" i="182"/>
  <c r="C33" i="182"/>
  <c r="D33" i="182"/>
  <c r="E33" i="182"/>
  <c r="F33" i="182"/>
  <c r="G33" i="182"/>
  <c r="H33" i="182"/>
  <c r="I33" i="182"/>
  <c r="J33" i="182"/>
  <c r="K33" i="182"/>
  <c r="B33" i="182"/>
  <c r="B32" i="182"/>
  <c r="B31" i="182"/>
  <c r="B30" i="182"/>
  <c r="C27" i="182"/>
  <c r="D27" i="182"/>
  <c r="E27" i="182"/>
  <c r="F27" i="182"/>
  <c r="G27" i="182"/>
  <c r="H27" i="182"/>
  <c r="I27" i="182"/>
  <c r="J27" i="182"/>
  <c r="K27" i="182"/>
  <c r="L27" i="182"/>
  <c r="M27" i="182"/>
  <c r="B27" i="182"/>
  <c r="M26" i="182"/>
  <c r="L26" i="182"/>
  <c r="G26" i="182"/>
  <c r="F26" i="182"/>
  <c r="E26" i="182"/>
  <c r="D26" i="182"/>
  <c r="C26" i="182"/>
  <c r="M25" i="182"/>
  <c r="L25" i="182"/>
  <c r="K25" i="182"/>
  <c r="K26" i="182" s="1"/>
  <c r="J25" i="182"/>
  <c r="J26" i="182" s="1"/>
  <c r="I25" i="182"/>
  <c r="I26" i="182" s="1"/>
  <c r="H25" i="182"/>
  <c r="H26" i="182" s="1"/>
  <c r="G25" i="182"/>
  <c r="F25" i="182"/>
  <c r="E25" i="182"/>
  <c r="D25" i="182"/>
  <c r="C25" i="182"/>
  <c r="B26" i="182"/>
  <c r="B25" i="182"/>
  <c r="B24" i="182"/>
  <c r="A1" i="82"/>
  <c r="AD7" i="174"/>
  <c r="Q106" i="176" s="1"/>
  <c r="I187" i="49"/>
  <c r="I186" i="49"/>
  <c r="I184" i="49"/>
  <c r="I39" i="49"/>
  <c r="I42" i="49"/>
  <c r="I48" i="49"/>
  <c r="I55" i="49"/>
  <c r="I60" i="49"/>
  <c r="I67" i="49"/>
  <c r="I72" i="49"/>
  <c r="I74" i="49"/>
  <c r="I95" i="49"/>
  <c r="I103" i="49"/>
  <c r="I143" i="49"/>
  <c r="I38" i="49"/>
  <c r="I36" i="49"/>
  <c r="I35" i="49"/>
  <c r="I27" i="49"/>
  <c r="I25" i="49"/>
  <c r="I23" i="49"/>
  <c r="M24" i="182"/>
  <c r="L24" i="182"/>
  <c r="K24" i="182"/>
  <c r="J24" i="182"/>
  <c r="I24" i="182"/>
  <c r="H24" i="182"/>
  <c r="G24" i="182"/>
  <c r="F24" i="182"/>
  <c r="E24" i="182"/>
  <c r="D24" i="182"/>
  <c r="C24" i="182"/>
  <c r="O21" i="31"/>
  <c r="J5" i="4"/>
  <c r="P20" i="78"/>
  <c r="I42" i="78" s="1"/>
  <c r="Q20" i="78"/>
  <c r="I85" i="78" s="1"/>
  <c r="R20" i="78"/>
  <c r="I126" i="78" s="1"/>
  <c r="S20" i="78"/>
  <c r="I167" i="78" s="1"/>
  <c r="T20" i="78"/>
  <c r="I214" i="78" s="1"/>
  <c r="O20" i="78"/>
  <c r="D10" i="77" s="1"/>
  <c r="S29" i="175"/>
  <c r="S27" i="175"/>
  <c r="S26" i="175"/>
  <c r="S24" i="175"/>
  <c r="S22" i="175"/>
  <c r="P22" i="175"/>
  <c r="F58" i="181"/>
  <c r="F16" i="181" s="1"/>
  <c r="U16" i="4"/>
  <c r="V16" i="4"/>
  <c r="U22" i="4"/>
  <c r="U24" i="4"/>
  <c r="U36" i="4"/>
  <c r="U5" i="4"/>
  <c r="V5" i="4"/>
  <c r="U6" i="4"/>
  <c r="V6" i="4"/>
  <c r="D20" i="185" l="1"/>
  <c r="A19" i="75"/>
  <c r="H28" i="182"/>
  <c r="H10" i="6"/>
  <c r="AV4" i="59"/>
  <c r="AV3" i="59"/>
  <c r="AV2" i="59"/>
  <c r="AV1" i="59"/>
  <c r="AL4" i="59"/>
  <c r="AL3" i="59"/>
  <c r="AL2" i="59"/>
  <c r="AL1" i="59"/>
  <c r="Z4" i="59"/>
  <c r="Z3" i="59"/>
  <c r="Z2" i="59"/>
  <c r="Z1" i="59"/>
  <c r="Q4" i="59"/>
  <c r="Q3" i="59"/>
  <c r="Q2" i="59"/>
  <c r="Q1" i="59"/>
  <c r="A21" i="184"/>
  <c r="A22" i="184" s="1"/>
  <c r="A23" i="184" s="1"/>
  <c r="A24" i="184" s="1"/>
  <c r="A25" i="184" s="1"/>
  <c r="A26" i="184" s="1"/>
  <c r="A27" i="184" s="1"/>
  <c r="A28" i="184" s="1"/>
  <c r="A20" i="184"/>
  <c r="A13" i="184"/>
  <c r="A14" i="184" s="1"/>
  <c r="A15" i="184" s="1"/>
  <c r="A16" i="184" s="1"/>
  <c r="A17" i="184" s="1"/>
  <c r="A18" i="184" s="1"/>
  <c r="N24" i="182"/>
  <c r="I106" i="31"/>
  <c r="D13" i="18"/>
  <c r="D5" i="4"/>
  <c r="I118" i="31"/>
  <c r="K32" i="4" l="1"/>
  <c r="D21" i="185"/>
  <c r="K34" i="4"/>
  <c r="A20" i="75"/>
  <c r="AC12" i="174"/>
  <c r="T12" i="174"/>
  <c r="U12" i="174"/>
  <c r="V12" i="174"/>
  <c r="W12" i="174"/>
  <c r="X12" i="174"/>
  <c r="Y12" i="174"/>
  <c r="Z12" i="174"/>
  <c r="AA12" i="174"/>
  <c r="AB12" i="174"/>
  <c r="S10" i="174"/>
  <c r="S12" i="174"/>
  <c r="E48" i="176"/>
  <c r="F48" i="176"/>
  <c r="G48" i="176"/>
  <c r="H48" i="176"/>
  <c r="I48" i="176"/>
  <c r="J48" i="176"/>
  <c r="K48" i="176"/>
  <c r="L48" i="176"/>
  <c r="M48" i="176"/>
  <c r="E49" i="176"/>
  <c r="F49" i="176"/>
  <c r="G49" i="176"/>
  <c r="H49" i="176"/>
  <c r="I49" i="176"/>
  <c r="J49" i="176"/>
  <c r="K49" i="176"/>
  <c r="L49" i="176"/>
  <c r="M49" i="176"/>
  <c r="E50" i="176"/>
  <c r="F50" i="176"/>
  <c r="G50" i="176"/>
  <c r="H50" i="176"/>
  <c r="I50" i="176"/>
  <c r="J50" i="176"/>
  <c r="K50" i="176"/>
  <c r="L50" i="176"/>
  <c r="M50" i="176"/>
  <c r="D51" i="176"/>
  <c r="E26" i="176"/>
  <c r="F26" i="176"/>
  <c r="G26" i="176"/>
  <c r="H26" i="176"/>
  <c r="I26" i="176"/>
  <c r="J26" i="176"/>
  <c r="K26" i="176"/>
  <c r="L26" i="176"/>
  <c r="M26" i="176"/>
  <c r="E27" i="176"/>
  <c r="F27" i="176"/>
  <c r="G27" i="176"/>
  <c r="H27" i="176"/>
  <c r="I27" i="176"/>
  <c r="J27" i="176"/>
  <c r="K27" i="176"/>
  <c r="L27" i="176"/>
  <c r="M27" i="176"/>
  <c r="D27" i="176"/>
  <c r="D48" i="176"/>
  <c r="M28" i="182"/>
  <c r="L28" i="182"/>
  <c r="F28" i="182"/>
  <c r="G28" i="182"/>
  <c r="I28" i="182"/>
  <c r="B28" i="182"/>
  <c r="G212" i="169"/>
  <c r="G211" i="169"/>
  <c r="G210" i="169"/>
  <c r="G209" i="169"/>
  <c r="T18" i="174"/>
  <c r="U18" i="174"/>
  <c r="V18" i="174"/>
  <c r="W18" i="174"/>
  <c r="X18" i="174"/>
  <c r="Y18" i="174"/>
  <c r="Z18" i="174"/>
  <c r="AA18" i="174"/>
  <c r="AB18" i="174"/>
  <c r="S18" i="174"/>
  <c r="D26" i="176"/>
  <c r="N37" i="182"/>
  <c r="N36" i="182"/>
  <c r="K38" i="182"/>
  <c r="M28" i="176" s="1"/>
  <c r="J38" i="182"/>
  <c r="L28" i="176" s="1"/>
  <c r="I38" i="182"/>
  <c r="K28" i="176" s="1"/>
  <c r="H38" i="182"/>
  <c r="J28" i="176" s="1"/>
  <c r="G38" i="182"/>
  <c r="I28" i="176" s="1"/>
  <c r="F38" i="182"/>
  <c r="H28" i="176" s="1"/>
  <c r="E38" i="182"/>
  <c r="G28" i="176" s="1"/>
  <c r="D38" i="182"/>
  <c r="F28" i="176" s="1"/>
  <c r="C38" i="182"/>
  <c r="E28" i="176" s="1"/>
  <c r="D28" i="176"/>
  <c r="M21" i="182"/>
  <c r="L21" i="182"/>
  <c r="D22" i="185" l="1"/>
  <c r="A21" i="75"/>
  <c r="D49" i="176"/>
  <c r="D50" i="176"/>
  <c r="D53" i="176"/>
  <c r="D52" i="176"/>
  <c r="G214" i="169"/>
  <c r="E28" i="182"/>
  <c r="D28" i="182"/>
  <c r="K28" i="182"/>
  <c r="C28" i="182"/>
  <c r="J28" i="182"/>
  <c r="N38" i="182"/>
  <c r="G213" i="169"/>
  <c r="N26" i="182"/>
  <c r="N27" i="182"/>
  <c r="N25" i="182"/>
  <c r="N3" i="182"/>
  <c r="M51" i="176"/>
  <c r="L51" i="176"/>
  <c r="K51" i="176"/>
  <c r="J51" i="176"/>
  <c r="I51" i="176"/>
  <c r="H51" i="176"/>
  <c r="G51" i="176"/>
  <c r="F51" i="176"/>
  <c r="E51" i="176"/>
  <c r="N22" i="182"/>
  <c r="N15" i="182"/>
  <c r="N13" i="182"/>
  <c r="N68" i="176"/>
  <c r="N430" i="174"/>
  <c r="D124" i="174"/>
  <c r="E124" i="174"/>
  <c r="F124" i="174"/>
  <c r="G124" i="174"/>
  <c r="H124" i="174"/>
  <c r="I124" i="174"/>
  <c r="J124" i="174"/>
  <c r="K124" i="174"/>
  <c r="L124" i="174"/>
  <c r="M124" i="174"/>
  <c r="A29" i="75" l="1"/>
  <c r="A30" i="75" s="1"/>
  <c r="A31" i="75" s="1"/>
  <c r="A33" i="75" s="1"/>
  <c r="A34" i="75" s="1"/>
  <c r="A35" i="75" s="1"/>
  <c r="A23" i="75"/>
  <c r="A24" i="75" s="1"/>
  <c r="A25" i="75" s="1"/>
  <c r="A26" i="75" s="1"/>
  <c r="A28" i="75" s="1"/>
  <c r="N28" i="182"/>
  <c r="N16" i="182"/>
  <c r="N11" i="182"/>
  <c r="N33" i="182"/>
  <c r="I21" i="182"/>
  <c r="N31" i="182"/>
  <c r="N30" i="182"/>
  <c r="E21" i="182"/>
  <c r="N32" i="182"/>
  <c r="N10" i="182"/>
  <c r="D21" i="182"/>
  <c r="J21" i="182"/>
  <c r="K21" i="182"/>
  <c r="F21" i="182"/>
  <c r="H21" i="182"/>
  <c r="G21" i="182"/>
  <c r="N20" i="182"/>
  <c r="N18" i="182"/>
  <c r="N12" i="182"/>
  <c r="N19" i="182"/>
  <c r="N9" i="182"/>
  <c r="N14" i="182"/>
  <c r="C21" i="182"/>
  <c r="N4" i="182"/>
  <c r="N6" i="182"/>
  <c r="N8" i="182"/>
  <c r="N7" i="182"/>
  <c r="B21" i="182" l="1"/>
  <c r="N5" i="182"/>
  <c r="D90" i="176"/>
  <c r="D89" i="176"/>
  <c r="P38" i="174"/>
  <c r="C26" i="181"/>
  <c r="L29" i="181"/>
  <c r="L14" i="181"/>
  <c r="L15" i="181"/>
  <c r="L18" i="181"/>
  <c r="L19" i="181"/>
  <c r="L22" i="181"/>
  <c r="L23" i="181"/>
  <c r="L25" i="181"/>
  <c r="L11" i="181"/>
  <c r="G58" i="181"/>
  <c r="G16" i="181" s="1"/>
  <c r="K24" i="181"/>
  <c r="L24" i="181" s="1"/>
  <c r="L26" i="181" l="1"/>
  <c r="L16" i="181"/>
  <c r="A11" i="99"/>
  <c r="A12" i="99"/>
  <c r="A13" i="99"/>
  <c r="A14" i="99"/>
  <c r="A15" i="99"/>
  <c r="A16" i="99"/>
  <c r="A17" i="99"/>
  <c r="A18" i="99"/>
  <c r="A19" i="99"/>
  <c r="A20" i="99"/>
  <c r="A21" i="99"/>
  <c r="A22" i="99"/>
  <c r="A23" i="99"/>
  <c r="A24" i="99"/>
  <c r="A25" i="99"/>
  <c r="A26" i="99"/>
  <c r="A27" i="99"/>
  <c r="A28" i="99"/>
  <c r="A29" i="99"/>
  <c r="A30" i="99"/>
  <c r="A31" i="99"/>
  <c r="A32" i="99"/>
  <c r="A33" i="99"/>
  <c r="A34" i="99"/>
  <c r="A35" i="99"/>
  <c r="A36" i="99"/>
  <c r="A37" i="99"/>
  <c r="A38" i="99"/>
  <c r="A39" i="99"/>
  <c r="A40" i="99"/>
  <c r="A41" i="99"/>
  <c r="A42" i="99"/>
  <c r="A43" i="99"/>
  <c r="A44" i="99"/>
  <c r="A45" i="99"/>
  <c r="A46" i="99"/>
  <c r="A47" i="99"/>
  <c r="A48" i="99"/>
  <c r="A49" i="99"/>
  <c r="M300" i="169"/>
  <c r="A50" i="99" l="1"/>
  <c r="A51" i="99" s="1"/>
  <c r="J16" i="4"/>
  <c r="K16" i="4"/>
  <c r="L16" i="4"/>
  <c r="J22" i="4"/>
  <c r="K22" i="4"/>
  <c r="L22" i="4"/>
  <c r="J24" i="4"/>
  <c r="K24" i="4"/>
  <c r="L24" i="4"/>
  <c r="P28" i="31"/>
  <c r="A52" i="99" l="1"/>
  <c r="D38" i="181"/>
  <c r="E38" i="181"/>
  <c r="F38" i="181"/>
  <c r="G38" i="181"/>
  <c r="H38" i="181"/>
  <c r="I38" i="181"/>
  <c r="J38" i="181"/>
  <c r="K38" i="181"/>
  <c r="C38" i="181"/>
  <c r="L37" i="181"/>
  <c r="I35" i="4" s="1"/>
  <c r="L36" i="181"/>
  <c r="I34" i="4" s="1"/>
  <c r="L35" i="181"/>
  <c r="I33" i="4" s="1"/>
  <c r="L34" i="181"/>
  <c r="I32" i="4" s="1"/>
  <c r="N138" i="31"/>
  <c r="A3" i="181"/>
  <c r="A2" i="181"/>
  <c r="A1" i="181"/>
  <c r="D45" i="76"/>
  <c r="D44" i="76"/>
  <c r="D43" i="76"/>
  <c r="D42" i="76"/>
  <c r="D41" i="76"/>
  <c r="D40" i="76"/>
  <c r="D39" i="76"/>
  <c r="F39" i="76" s="1"/>
  <c r="AA262" i="169" s="1"/>
  <c r="AB262" i="169" s="1"/>
  <c r="D35" i="76"/>
  <c r="D34" i="76"/>
  <c r="D33" i="76"/>
  <c r="D29" i="76"/>
  <c r="I125" i="78" s="1"/>
  <c r="D28" i="76"/>
  <c r="I124" i="78" s="1"/>
  <c r="D27" i="76"/>
  <c r="I123" i="78" s="1"/>
  <c r="D26" i="76"/>
  <c r="D22" i="76"/>
  <c r="D21" i="76"/>
  <c r="D20" i="76"/>
  <c r="D19" i="76"/>
  <c r="D15" i="76"/>
  <c r="D14" i="76"/>
  <c r="A1" i="169"/>
  <c r="D10" i="76"/>
  <c r="D9" i="76"/>
  <c r="O156" i="179"/>
  <c r="O155" i="179"/>
  <c r="O154" i="179"/>
  <c r="O153" i="179"/>
  <c r="O152" i="179"/>
  <c r="O146" i="179"/>
  <c r="E146" i="179"/>
  <c r="O145" i="179"/>
  <c r="O151" i="179" s="1"/>
  <c r="P140" i="179"/>
  <c r="F140" i="179"/>
  <c r="E139" i="179"/>
  <c r="E137" i="179"/>
  <c r="Q136" i="179"/>
  <c r="P136" i="179"/>
  <c r="N136" i="179"/>
  <c r="M136" i="179"/>
  <c r="L136" i="179"/>
  <c r="L137" i="179" s="1"/>
  <c r="L139" i="179" s="1"/>
  <c r="K136" i="179"/>
  <c r="J136" i="179"/>
  <c r="I136" i="179"/>
  <c r="H136" i="179"/>
  <c r="G136" i="179"/>
  <c r="F136" i="179"/>
  <c r="Q135" i="179"/>
  <c r="P135" i="179"/>
  <c r="P137" i="179" s="1"/>
  <c r="P139" i="179" s="1"/>
  <c r="P141" i="179" s="1"/>
  <c r="P142" i="179" s="1"/>
  <c r="Q140" i="179" s="1"/>
  <c r="N135" i="179"/>
  <c r="M135" i="179"/>
  <c r="L135" i="179"/>
  <c r="K135" i="179"/>
  <c r="J135" i="179"/>
  <c r="I135" i="179"/>
  <c r="I137" i="179" s="1"/>
  <c r="I139" i="179" s="1"/>
  <c r="H135" i="179"/>
  <c r="G135" i="179"/>
  <c r="G137" i="179" s="1"/>
  <c r="G139" i="179" s="1"/>
  <c r="F135" i="179"/>
  <c r="O126" i="179"/>
  <c r="F125" i="179"/>
  <c r="G122" i="179"/>
  <c r="G124" i="179" s="1"/>
  <c r="E122" i="179"/>
  <c r="E124" i="179" s="1"/>
  <c r="E156" i="179" s="1"/>
  <c r="Q121" i="179"/>
  <c r="P121" i="179"/>
  <c r="N121" i="179"/>
  <c r="M121" i="179"/>
  <c r="L121" i="179"/>
  <c r="K121" i="179"/>
  <c r="J121" i="179"/>
  <c r="I121" i="179"/>
  <c r="I122" i="179" s="1"/>
  <c r="I124" i="179" s="1"/>
  <c r="H121" i="179"/>
  <c r="G121" i="179"/>
  <c r="F121" i="179"/>
  <c r="Q120" i="179"/>
  <c r="Q122" i="179" s="1"/>
  <c r="Q124" i="179" s="1"/>
  <c r="P120" i="179"/>
  <c r="P122" i="179" s="1"/>
  <c r="P124" i="179" s="1"/>
  <c r="P156" i="179" s="1"/>
  <c r="N120" i="179"/>
  <c r="N122" i="179" s="1"/>
  <c r="N124" i="179" s="1"/>
  <c r="M120" i="179"/>
  <c r="L120" i="179"/>
  <c r="L122" i="179" s="1"/>
  <c r="L124" i="179" s="1"/>
  <c r="K120" i="179"/>
  <c r="J120" i="179"/>
  <c r="I120" i="179"/>
  <c r="H120" i="179"/>
  <c r="H122" i="179" s="1"/>
  <c r="H124" i="179" s="1"/>
  <c r="G120" i="179"/>
  <c r="F120" i="179"/>
  <c r="F122" i="179" s="1"/>
  <c r="F124" i="179" s="1"/>
  <c r="X118" i="179"/>
  <c r="AB118" i="179" s="1"/>
  <c r="V118" i="179"/>
  <c r="X116" i="179"/>
  <c r="AB116" i="179" s="1"/>
  <c r="X115" i="179"/>
  <c r="V114" i="179"/>
  <c r="X117" i="179" s="1"/>
  <c r="AB117" i="179" s="1"/>
  <c r="V112" i="179"/>
  <c r="O110" i="179"/>
  <c r="F109" i="179"/>
  <c r="E106" i="179"/>
  <c r="E108" i="179" s="1"/>
  <c r="E110" i="179" s="1"/>
  <c r="Q105" i="179"/>
  <c r="P105" i="179"/>
  <c r="N105" i="179"/>
  <c r="M105" i="179"/>
  <c r="L105" i="179"/>
  <c r="K105" i="179"/>
  <c r="J105" i="179"/>
  <c r="I105" i="179"/>
  <c r="I106" i="179" s="1"/>
  <c r="I108" i="179" s="1"/>
  <c r="H105" i="179"/>
  <c r="G105" i="179"/>
  <c r="F105" i="179"/>
  <c r="Z104" i="179"/>
  <c r="X104" i="179"/>
  <c r="V104" i="179"/>
  <c r="Q104" i="179"/>
  <c r="Q106" i="179" s="1"/>
  <c r="Q108" i="179" s="1"/>
  <c r="P104" i="179"/>
  <c r="N104" i="179"/>
  <c r="M104" i="179"/>
  <c r="M106" i="179" s="1"/>
  <c r="M108" i="179" s="1"/>
  <c r="L104" i="179"/>
  <c r="K104" i="179"/>
  <c r="K106" i="179" s="1"/>
  <c r="K108" i="179" s="1"/>
  <c r="J104" i="179"/>
  <c r="I104" i="179"/>
  <c r="H104" i="179"/>
  <c r="H106" i="179" s="1"/>
  <c r="H108" i="179" s="1"/>
  <c r="G104" i="179"/>
  <c r="G106" i="179" s="1"/>
  <c r="G108" i="179" s="1"/>
  <c r="F104" i="179"/>
  <c r="F106" i="179" s="1"/>
  <c r="F108" i="179" s="1"/>
  <c r="F110" i="179" s="1"/>
  <c r="F111" i="179" s="1"/>
  <c r="X101" i="179"/>
  <c r="AB101" i="179" s="1"/>
  <c r="V101" i="179"/>
  <c r="V99" i="179"/>
  <c r="W99" i="179" s="1"/>
  <c r="U98" i="179"/>
  <c r="O95" i="179"/>
  <c r="F94" i="179"/>
  <c r="I90" i="179"/>
  <c r="AF90" i="179"/>
  <c r="Z89" i="179"/>
  <c r="AB89" i="179" s="1"/>
  <c r="X89" i="179"/>
  <c r="V89" i="179"/>
  <c r="Q89" i="179"/>
  <c r="AE89" i="179" s="1"/>
  <c r="AH89" i="179" s="1"/>
  <c r="P89" i="179"/>
  <c r="Q90" i="179" s="1"/>
  <c r="Q91" i="179" s="1"/>
  <c r="Q93" i="179" s="1"/>
  <c r="N89" i="179"/>
  <c r="P90" i="179" s="1"/>
  <c r="M89" i="179"/>
  <c r="L89" i="179"/>
  <c r="M90" i="179" s="1"/>
  <c r="K89" i="179"/>
  <c r="J89" i="179"/>
  <c r="K90" i="179" s="1"/>
  <c r="I89" i="179"/>
  <c r="J90" i="179" s="1"/>
  <c r="H89" i="179"/>
  <c r="G89" i="179"/>
  <c r="H90" i="179" s="1"/>
  <c r="H91" i="179" s="1"/>
  <c r="H93" i="179" s="1"/>
  <c r="F89" i="179"/>
  <c r="G90" i="179" s="1"/>
  <c r="E89" i="179"/>
  <c r="E91" i="179" s="1"/>
  <c r="E93" i="179" s="1"/>
  <c r="X88" i="179"/>
  <c r="AB88" i="179" s="1"/>
  <c r="V87" i="179"/>
  <c r="V84" i="179"/>
  <c r="V88" i="179" s="1"/>
  <c r="V83" i="179"/>
  <c r="X87" i="179" s="1"/>
  <c r="AB87" i="179" s="1"/>
  <c r="V82" i="179"/>
  <c r="W84" i="179" s="1"/>
  <c r="O81" i="179"/>
  <c r="F80" i="179"/>
  <c r="K77" i="179"/>
  <c r="K79" i="179" s="1"/>
  <c r="H77" i="179"/>
  <c r="H79" i="179" s="1"/>
  <c r="E77" i="179"/>
  <c r="E79" i="179" s="1"/>
  <c r="Q76" i="179"/>
  <c r="Q77" i="179" s="1"/>
  <c r="Q79" i="179" s="1"/>
  <c r="P76" i="179"/>
  <c r="P77" i="179" s="1"/>
  <c r="P79" i="179" s="1"/>
  <c r="N76" i="179"/>
  <c r="N77" i="179" s="1"/>
  <c r="N79" i="179" s="1"/>
  <c r="M76" i="179"/>
  <c r="M77" i="179" s="1"/>
  <c r="M79" i="179" s="1"/>
  <c r="L76" i="179"/>
  <c r="L77" i="179" s="1"/>
  <c r="L79" i="179" s="1"/>
  <c r="K76" i="179"/>
  <c r="J76" i="179"/>
  <c r="J77" i="179" s="1"/>
  <c r="J79" i="179" s="1"/>
  <c r="I76" i="179"/>
  <c r="I77" i="179" s="1"/>
  <c r="I79" i="179" s="1"/>
  <c r="H76" i="179"/>
  <c r="G76" i="179"/>
  <c r="G77" i="179" s="1"/>
  <c r="G79" i="179" s="1"/>
  <c r="F76" i="179"/>
  <c r="F77" i="179" s="1"/>
  <c r="F79" i="179" s="1"/>
  <c r="O64" i="179"/>
  <c r="F63" i="179"/>
  <c r="AI59" i="179"/>
  <c r="AI94" i="179" s="1"/>
  <c r="M59" i="179"/>
  <c r="K59" i="179"/>
  <c r="I59" i="179"/>
  <c r="I60" i="179" s="1"/>
  <c r="I62" i="179" s="1"/>
  <c r="H59" i="179"/>
  <c r="Z58" i="179"/>
  <c r="AB58" i="179" s="1"/>
  <c r="X58" i="179"/>
  <c r="V58" i="179"/>
  <c r="Q58" i="179"/>
  <c r="AE58" i="179" s="1"/>
  <c r="P58" i="179"/>
  <c r="N58" i="179"/>
  <c r="M58" i="179"/>
  <c r="N59" i="179" s="1"/>
  <c r="L58" i="179"/>
  <c r="K58" i="179"/>
  <c r="L59" i="179" s="1"/>
  <c r="L60" i="179" s="1"/>
  <c r="L62" i="179" s="1"/>
  <c r="J58" i="179"/>
  <c r="I58" i="179"/>
  <c r="J59" i="179" s="1"/>
  <c r="J60" i="179" s="1"/>
  <c r="J62" i="179" s="1"/>
  <c r="H58" i="179"/>
  <c r="G58" i="179"/>
  <c r="F58" i="179"/>
  <c r="G59" i="179" s="1"/>
  <c r="E58" i="179"/>
  <c r="F59" i="179" s="1"/>
  <c r="X57" i="179"/>
  <c r="AB57" i="179" s="1"/>
  <c r="V57" i="179"/>
  <c r="V53" i="179"/>
  <c r="O52" i="179"/>
  <c r="F51" i="179"/>
  <c r="I50" i="179"/>
  <c r="H50" i="179"/>
  <c r="F48" i="179"/>
  <c r="F50" i="179" s="1"/>
  <c r="E48" i="179"/>
  <c r="E50" i="179" s="1"/>
  <c r="Q47" i="179"/>
  <c r="Q48" i="179" s="1"/>
  <c r="Q50" i="179" s="1"/>
  <c r="P47" i="179"/>
  <c r="P48" i="179" s="1"/>
  <c r="P50" i="179" s="1"/>
  <c r="N47" i="179"/>
  <c r="N48" i="179" s="1"/>
  <c r="N50" i="179" s="1"/>
  <c r="M47" i="179"/>
  <c r="M48" i="179" s="1"/>
  <c r="M50" i="179" s="1"/>
  <c r="L47" i="179"/>
  <c r="L48" i="179" s="1"/>
  <c r="L50" i="179" s="1"/>
  <c r="K47" i="179"/>
  <c r="K48" i="179" s="1"/>
  <c r="K50" i="179" s="1"/>
  <c r="J47" i="179"/>
  <c r="J48" i="179" s="1"/>
  <c r="J50" i="179" s="1"/>
  <c r="I47" i="179"/>
  <c r="I48" i="179" s="1"/>
  <c r="H47" i="179"/>
  <c r="H48" i="179" s="1"/>
  <c r="G47" i="179"/>
  <c r="G48" i="179" s="1"/>
  <c r="G50" i="179" s="1"/>
  <c r="F47" i="179"/>
  <c r="X46" i="179"/>
  <c r="AB46" i="179" s="1"/>
  <c r="V46" i="179"/>
  <c r="X45" i="179"/>
  <c r="AB45" i="179" s="1"/>
  <c r="V45" i="179"/>
  <c r="X44" i="179"/>
  <c r="O41" i="179"/>
  <c r="F40" i="179"/>
  <c r="J39" i="179"/>
  <c r="Z37" i="179"/>
  <c r="X37" i="179"/>
  <c r="AB37" i="179" s="1"/>
  <c r="V37" i="179"/>
  <c r="Q37" i="179"/>
  <c r="Q39" i="179" s="1"/>
  <c r="P37" i="179"/>
  <c r="P39" i="179" s="1"/>
  <c r="N37" i="179"/>
  <c r="N39" i="179" s="1"/>
  <c r="M37" i="179"/>
  <c r="M39" i="179" s="1"/>
  <c r="L37" i="179"/>
  <c r="L39" i="179" s="1"/>
  <c r="K37" i="179"/>
  <c r="K39" i="179" s="1"/>
  <c r="J37" i="179"/>
  <c r="I37" i="179"/>
  <c r="I39" i="179" s="1"/>
  <c r="H37" i="179"/>
  <c r="H39" i="179" s="1"/>
  <c r="G37" i="179"/>
  <c r="G39" i="179" s="1"/>
  <c r="F37" i="179"/>
  <c r="F39" i="179" s="1"/>
  <c r="E37" i="179"/>
  <c r="E39" i="179" s="1"/>
  <c r="E41" i="179" s="1"/>
  <c r="V32" i="179"/>
  <c r="X36" i="179" s="1"/>
  <c r="AB36" i="179" s="1"/>
  <c r="V31" i="179"/>
  <c r="V35" i="179" s="1"/>
  <c r="V30" i="179"/>
  <c r="O29" i="179"/>
  <c r="F28" i="179"/>
  <c r="L27" i="179"/>
  <c r="I27" i="179"/>
  <c r="X25" i="179"/>
  <c r="AB25" i="179" s="1"/>
  <c r="V25" i="179"/>
  <c r="Q25" i="179"/>
  <c r="Q27" i="179" s="1"/>
  <c r="P25" i="179"/>
  <c r="P27" i="179" s="1"/>
  <c r="N25" i="179"/>
  <c r="N27" i="179" s="1"/>
  <c r="M25" i="179"/>
  <c r="M27" i="179" s="1"/>
  <c r="L25" i="179"/>
  <c r="K25" i="179"/>
  <c r="K27" i="179" s="1"/>
  <c r="J25" i="179"/>
  <c r="J27" i="179" s="1"/>
  <c r="I25" i="179"/>
  <c r="H25" i="179"/>
  <c r="H27" i="179" s="1"/>
  <c r="G25" i="179"/>
  <c r="G27" i="179" s="1"/>
  <c r="F25" i="179"/>
  <c r="F27" i="179" s="1"/>
  <c r="E25" i="179"/>
  <c r="E27" i="179" s="1"/>
  <c r="X24" i="179"/>
  <c r="AB24" i="179" s="1"/>
  <c r="V20" i="179"/>
  <c r="V24" i="179" s="1"/>
  <c r="V19" i="179"/>
  <c r="X23" i="179" s="1"/>
  <c r="AB23" i="179" s="1"/>
  <c r="V18" i="179"/>
  <c r="O17" i="179"/>
  <c r="F16" i="179"/>
  <c r="L12" i="179"/>
  <c r="J12" i="179"/>
  <c r="P11" i="179"/>
  <c r="Q12" i="179" s="1"/>
  <c r="Q13" i="179" s="1"/>
  <c r="Q15" i="179" s="1"/>
  <c r="N11" i="179"/>
  <c r="P12" i="179" s="1"/>
  <c r="M11" i="179"/>
  <c r="L11" i="179"/>
  <c r="K11" i="179"/>
  <c r="J11" i="179"/>
  <c r="K12" i="179" s="1"/>
  <c r="I11" i="179"/>
  <c r="H11" i="179"/>
  <c r="I12" i="179" s="1"/>
  <c r="G11" i="179"/>
  <c r="H12" i="179" s="1"/>
  <c r="F11" i="179"/>
  <c r="G12" i="179" s="1"/>
  <c r="E11" i="179"/>
  <c r="V10" i="179"/>
  <c r="V9" i="179"/>
  <c r="X8" i="179"/>
  <c r="F5" i="179"/>
  <c r="G5" i="179" s="1"/>
  <c r="H5" i="179" s="1"/>
  <c r="I5" i="179" s="1"/>
  <c r="J5" i="179" s="1"/>
  <c r="K5" i="179" s="1"/>
  <c r="L5" i="179" s="1"/>
  <c r="M5" i="179" s="1"/>
  <c r="N5" i="179" s="1"/>
  <c r="P5" i="179" s="1"/>
  <c r="Q5" i="179" s="1"/>
  <c r="I16" i="178"/>
  <c r="H16" i="178"/>
  <c r="D16" i="178"/>
  <c r="C16" i="178"/>
  <c r="J15" i="178"/>
  <c r="E15" i="178"/>
  <c r="J14" i="178"/>
  <c r="E14" i="178"/>
  <c r="J13" i="178"/>
  <c r="E13" i="178"/>
  <c r="J12" i="178"/>
  <c r="E12" i="178"/>
  <c r="J11" i="178"/>
  <c r="E11" i="178"/>
  <c r="J10" i="178"/>
  <c r="E10" i="178"/>
  <c r="J9" i="178"/>
  <c r="E9" i="178"/>
  <c r="J8" i="178"/>
  <c r="E8" i="178"/>
  <c r="J7" i="178"/>
  <c r="E7" i="178"/>
  <c r="J6" i="178"/>
  <c r="E6" i="178"/>
  <c r="J5" i="178"/>
  <c r="E5" i="178"/>
  <c r="J4" i="178"/>
  <c r="J16" i="178" s="1"/>
  <c r="E4" i="178"/>
  <c r="E16" i="178" s="1"/>
  <c r="J29" i="177"/>
  <c r="J27" i="177"/>
  <c r="N26" i="177"/>
  <c r="N28" i="177" s="1"/>
  <c r="L26" i="177"/>
  <c r="L28" i="177" s="1"/>
  <c r="F26" i="177"/>
  <c r="E26" i="177"/>
  <c r="E28" i="177" s="1"/>
  <c r="J20" i="177"/>
  <c r="O19" i="177"/>
  <c r="N19" i="177"/>
  <c r="N27" i="177" s="1"/>
  <c r="M19" i="177"/>
  <c r="M27" i="177" s="1"/>
  <c r="L19" i="177"/>
  <c r="L27" i="177" s="1"/>
  <c r="K19" i="177"/>
  <c r="K27" i="177" s="1"/>
  <c r="J19" i="177"/>
  <c r="I19" i="177"/>
  <c r="I20" i="177" s="1"/>
  <c r="H19" i="177"/>
  <c r="H20" i="177" s="1"/>
  <c r="G19" i="177"/>
  <c r="F19" i="177"/>
  <c r="F27" i="177" s="1"/>
  <c r="F28" i="177" s="1"/>
  <c r="E19" i="177"/>
  <c r="E27" i="177" s="1"/>
  <c r="D19" i="177"/>
  <c r="D27" i="177" s="1"/>
  <c r="P18" i="177"/>
  <c r="P17" i="177"/>
  <c r="P16" i="177"/>
  <c r="P15" i="177"/>
  <c r="P14" i="177"/>
  <c r="P13" i="177"/>
  <c r="P12" i="177"/>
  <c r="O9" i="177"/>
  <c r="O26" i="177" s="1"/>
  <c r="N9" i="177"/>
  <c r="M9" i="177"/>
  <c r="M20" i="177" s="1"/>
  <c r="L9" i="177"/>
  <c r="L20" i="177" s="1"/>
  <c r="K9" i="177"/>
  <c r="K26" i="177" s="1"/>
  <c r="K28" i="177" s="1"/>
  <c r="J9" i="177"/>
  <c r="J26" i="177" s="1"/>
  <c r="J28" i="177" s="1"/>
  <c r="I9" i="177"/>
  <c r="I26" i="177" s="1"/>
  <c r="H9" i="177"/>
  <c r="H26" i="177" s="1"/>
  <c r="G9" i="177"/>
  <c r="G26" i="177" s="1"/>
  <c r="F9" i="177"/>
  <c r="E9" i="177"/>
  <c r="D9" i="177"/>
  <c r="P8" i="177"/>
  <c r="P7" i="177"/>
  <c r="O94" i="176"/>
  <c r="N94" i="176"/>
  <c r="M94" i="176"/>
  <c r="L94" i="176"/>
  <c r="K94" i="176"/>
  <c r="J94" i="176"/>
  <c r="I94" i="176"/>
  <c r="O93" i="176"/>
  <c r="N93" i="176"/>
  <c r="M93" i="176"/>
  <c r="L93" i="176"/>
  <c r="K93" i="176"/>
  <c r="J93" i="176"/>
  <c r="I93" i="176"/>
  <c r="O91" i="176"/>
  <c r="O95" i="176" s="1"/>
  <c r="N91" i="176"/>
  <c r="N95" i="176" s="1"/>
  <c r="M91" i="176"/>
  <c r="M95" i="176" s="1"/>
  <c r="L91" i="176"/>
  <c r="L95" i="176" s="1"/>
  <c r="K91" i="176"/>
  <c r="K95" i="176" s="1"/>
  <c r="J91" i="176"/>
  <c r="J95" i="176" s="1"/>
  <c r="I91" i="176"/>
  <c r="I95" i="176" s="1"/>
  <c r="H91" i="176"/>
  <c r="H95" i="176" s="1"/>
  <c r="G91" i="176"/>
  <c r="G95" i="176" s="1"/>
  <c r="F91" i="176"/>
  <c r="F95" i="176" s="1"/>
  <c r="E91" i="176"/>
  <c r="E95" i="176" s="1"/>
  <c r="D91" i="176"/>
  <c r="D95" i="176" s="1"/>
  <c r="H90" i="176"/>
  <c r="H94" i="176" s="1"/>
  <c r="G90" i="176"/>
  <c r="G94" i="176" s="1"/>
  <c r="F90" i="176"/>
  <c r="E90" i="176"/>
  <c r="E94" i="176" s="1"/>
  <c r="D94" i="176"/>
  <c r="H89" i="176"/>
  <c r="H93" i="176" s="1"/>
  <c r="G89" i="176"/>
  <c r="G93" i="176" s="1"/>
  <c r="F89" i="176"/>
  <c r="F93" i="176" s="1"/>
  <c r="E89" i="176"/>
  <c r="E93" i="176" s="1"/>
  <c r="O88" i="176"/>
  <c r="O96" i="176" s="1"/>
  <c r="N88" i="176"/>
  <c r="N96" i="176" s="1"/>
  <c r="M88" i="176"/>
  <c r="M96" i="176" s="1"/>
  <c r="L88" i="176"/>
  <c r="L96" i="176" s="1"/>
  <c r="K88" i="176"/>
  <c r="K96" i="176" s="1"/>
  <c r="J88" i="176"/>
  <c r="I88" i="176"/>
  <c r="H88" i="176"/>
  <c r="G88" i="176"/>
  <c r="G96" i="176" s="1"/>
  <c r="F88" i="176"/>
  <c r="F96" i="176" s="1"/>
  <c r="E88" i="176"/>
  <c r="D88" i="176"/>
  <c r="M61" i="176"/>
  <c r="L61" i="176"/>
  <c r="K61" i="176"/>
  <c r="J61" i="176"/>
  <c r="I61" i="176"/>
  <c r="H61" i="176"/>
  <c r="G61" i="176"/>
  <c r="F61" i="176"/>
  <c r="E61" i="176"/>
  <c r="D61" i="176"/>
  <c r="M60" i="176"/>
  <c r="L60" i="176"/>
  <c r="K60" i="176"/>
  <c r="J60" i="176"/>
  <c r="I60" i="176"/>
  <c r="H60" i="176"/>
  <c r="G60" i="176"/>
  <c r="F60" i="176"/>
  <c r="E60" i="176"/>
  <c r="D60" i="176"/>
  <c r="M59" i="176"/>
  <c r="L59" i="176"/>
  <c r="K59" i="176"/>
  <c r="J59" i="176"/>
  <c r="I59" i="176"/>
  <c r="H59" i="176"/>
  <c r="G59" i="176"/>
  <c r="F59" i="176"/>
  <c r="E59" i="176"/>
  <c r="D59" i="176"/>
  <c r="M58" i="176"/>
  <c r="L58" i="176"/>
  <c r="K58" i="176"/>
  <c r="J58" i="176"/>
  <c r="I58" i="176"/>
  <c r="H58" i="176"/>
  <c r="G58" i="176"/>
  <c r="F58" i="176"/>
  <c r="E58" i="176"/>
  <c r="D58" i="176"/>
  <c r="O14" i="176"/>
  <c r="N14" i="176"/>
  <c r="M14" i="176"/>
  <c r="L14" i="176"/>
  <c r="K14" i="176"/>
  <c r="J14" i="176"/>
  <c r="I14" i="176"/>
  <c r="H14" i="176"/>
  <c r="G14" i="176"/>
  <c r="F14" i="176"/>
  <c r="E14" i="176"/>
  <c r="D14" i="176"/>
  <c r="O13" i="176"/>
  <c r="N13" i="176"/>
  <c r="M13" i="176"/>
  <c r="L13" i="176"/>
  <c r="K13" i="176"/>
  <c r="J13" i="176"/>
  <c r="I13" i="176"/>
  <c r="H13" i="176"/>
  <c r="G13" i="176"/>
  <c r="F13" i="176"/>
  <c r="E13" i="176"/>
  <c r="D13" i="176"/>
  <c r="O9" i="176"/>
  <c r="N9" i="176"/>
  <c r="M9" i="176"/>
  <c r="L9" i="176"/>
  <c r="K9" i="176"/>
  <c r="J9" i="176"/>
  <c r="I9" i="176"/>
  <c r="H9" i="176"/>
  <c r="G9" i="176"/>
  <c r="F9" i="176"/>
  <c r="E9" i="176"/>
  <c r="D9" i="176"/>
  <c r="O7" i="176"/>
  <c r="N7" i="176"/>
  <c r="M7" i="176"/>
  <c r="L7" i="176"/>
  <c r="K7" i="176"/>
  <c r="J7" i="176"/>
  <c r="I7" i="176"/>
  <c r="H7" i="176"/>
  <c r="G7" i="176"/>
  <c r="F7" i="176"/>
  <c r="E7" i="176"/>
  <c r="D7" i="176"/>
  <c r="O447" i="175"/>
  <c r="N447" i="175"/>
  <c r="M447" i="175"/>
  <c r="L447" i="175"/>
  <c r="K447" i="175"/>
  <c r="J447" i="175"/>
  <c r="I447" i="175"/>
  <c r="H447" i="175"/>
  <c r="G447" i="175"/>
  <c r="F447" i="175"/>
  <c r="E447" i="175"/>
  <c r="P447" i="175" s="1"/>
  <c r="D447" i="175"/>
  <c r="G446" i="175"/>
  <c r="G448" i="175" s="1"/>
  <c r="P443" i="175"/>
  <c r="B443" i="175"/>
  <c r="P442" i="175"/>
  <c r="B442" i="175"/>
  <c r="P441" i="175"/>
  <c r="B441" i="175"/>
  <c r="P440" i="175"/>
  <c r="B440" i="175"/>
  <c r="P439" i="175"/>
  <c r="B439" i="175"/>
  <c r="P438" i="175"/>
  <c r="B438" i="175"/>
  <c r="P437" i="175"/>
  <c r="B437" i="175"/>
  <c r="P436" i="175"/>
  <c r="B436" i="175"/>
  <c r="P435" i="175"/>
  <c r="B435" i="175"/>
  <c r="P434" i="175"/>
  <c r="B434" i="175"/>
  <c r="P433" i="175"/>
  <c r="B433" i="175"/>
  <c r="P432" i="175"/>
  <c r="B432" i="175"/>
  <c r="P431" i="175"/>
  <c r="B431" i="175"/>
  <c r="P430" i="175"/>
  <c r="B430" i="175"/>
  <c r="P429" i="175"/>
  <c r="B429" i="175"/>
  <c r="P428" i="175"/>
  <c r="B428" i="175"/>
  <c r="P427" i="175"/>
  <c r="B427" i="175"/>
  <c r="P426" i="175"/>
  <c r="P425" i="175"/>
  <c r="P424" i="175"/>
  <c r="P423" i="175"/>
  <c r="B422" i="175"/>
  <c r="O421" i="175"/>
  <c r="N421" i="175"/>
  <c r="M421" i="175"/>
  <c r="L421" i="175"/>
  <c r="K421" i="175"/>
  <c r="J421" i="175"/>
  <c r="I421" i="175"/>
  <c r="H421" i="175"/>
  <c r="G421" i="175"/>
  <c r="F421" i="175"/>
  <c r="P421" i="175" s="1"/>
  <c r="E421" i="175"/>
  <c r="D421" i="175"/>
  <c r="B421" i="175"/>
  <c r="O420" i="175"/>
  <c r="N420" i="175"/>
  <c r="M420" i="175"/>
  <c r="L420" i="175"/>
  <c r="K420" i="175"/>
  <c r="J420" i="175"/>
  <c r="I420" i="175"/>
  <c r="H420" i="175"/>
  <c r="G420" i="175"/>
  <c r="F420" i="175"/>
  <c r="E420" i="175"/>
  <c r="D420" i="175"/>
  <c r="P420" i="175" s="1"/>
  <c r="B420" i="175"/>
  <c r="O419" i="175"/>
  <c r="N419" i="175"/>
  <c r="M419" i="175"/>
  <c r="L419" i="175"/>
  <c r="K419" i="175"/>
  <c r="J419" i="175"/>
  <c r="I419" i="175"/>
  <c r="H419" i="175"/>
  <c r="G419" i="175"/>
  <c r="F419" i="175"/>
  <c r="E419" i="175"/>
  <c r="D419" i="175"/>
  <c r="P419" i="175" s="1"/>
  <c r="B419" i="175"/>
  <c r="O418" i="175"/>
  <c r="N418" i="175"/>
  <c r="M418" i="175"/>
  <c r="L418" i="175"/>
  <c r="K418" i="175"/>
  <c r="J418" i="175"/>
  <c r="I418" i="175"/>
  <c r="H418" i="175"/>
  <c r="P418" i="175" s="1"/>
  <c r="G418" i="175"/>
  <c r="F418" i="175"/>
  <c r="E418" i="175"/>
  <c r="D418" i="175"/>
  <c r="B418" i="175"/>
  <c r="O417" i="175"/>
  <c r="N417" i="175"/>
  <c r="M417" i="175"/>
  <c r="L417" i="175"/>
  <c r="K417" i="175"/>
  <c r="J417" i="175"/>
  <c r="I417" i="175"/>
  <c r="H417" i="175"/>
  <c r="P417" i="175" s="1"/>
  <c r="G417" i="175"/>
  <c r="F417" i="175"/>
  <c r="E417" i="175"/>
  <c r="D417" i="175"/>
  <c r="B417" i="175"/>
  <c r="O416" i="175"/>
  <c r="N416" i="175"/>
  <c r="M416" i="175"/>
  <c r="L416" i="175"/>
  <c r="K416" i="175"/>
  <c r="J416" i="175"/>
  <c r="I416" i="175"/>
  <c r="H416" i="175"/>
  <c r="G416" i="175"/>
  <c r="F416" i="175"/>
  <c r="E416" i="175"/>
  <c r="D416" i="175"/>
  <c r="B416" i="175"/>
  <c r="O415" i="175"/>
  <c r="N415" i="175"/>
  <c r="M415" i="175"/>
  <c r="L415" i="175"/>
  <c r="K415" i="175"/>
  <c r="J415" i="175"/>
  <c r="I415" i="175"/>
  <c r="H415" i="175"/>
  <c r="G415" i="175"/>
  <c r="F415" i="175"/>
  <c r="E415" i="175"/>
  <c r="D415" i="175"/>
  <c r="B415" i="175"/>
  <c r="O414" i="175"/>
  <c r="N414" i="175"/>
  <c r="M414" i="175"/>
  <c r="L414" i="175"/>
  <c r="K414" i="175"/>
  <c r="J414" i="175"/>
  <c r="J422" i="175" s="1"/>
  <c r="J446" i="175" s="1"/>
  <c r="J448" i="175" s="1"/>
  <c r="I414" i="175"/>
  <c r="H414" i="175"/>
  <c r="H422" i="175" s="1"/>
  <c r="H446" i="175" s="1"/>
  <c r="H448" i="175" s="1"/>
  <c r="G414" i="175"/>
  <c r="F414" i="175"/>
  <c r="E414" i="175"/>
  <c r="D414" i="175"/>
  <c r="B414" i="175"/>
  <c r="O413" i="175"/>
  <c r="O422" i="175" s="1"/>
  <c r="N413" i="175"/>
  <c r="N422" i="175" s="1"/>
  <c r="M413" i="175"/>
  <c r="M422" i="175" s="1"/>
  <c r="L413" i="175"/>
  <c r="K413" i="175"/>
  <c r="K422" i="175" s="1"/>
  <c r="J413" i="175"/>
  <c r="I413" i="175"/>
  <c r="I422" i="175" s="1"/>
  <c r="H413" i="175"/>
  <c r="G413" i="175"/>
  <c r="G422" i="175" s="1"/>
  <c r="F413" i="175"/>
  <c r="F422" i="175" s="1"/>
  <c r="E413" i="175"/>
  <c r="E422" i="175" s="1"/>
  <c r="D413" i="175"/>
  <c r="B413" i="175"/>
  <c r="O412" i="175"/>
  <c r="N412" i="175"/>
  <c r="M412" i="175"/>
  <c r="L412" i="175"/>
  <c r="K412" i="175"/>
  <c r="J412" i="175"/>
  <c r="I412" i="175"/>
  <c r="H412" i="175"/>
  <c r="G412" i="175"/>
  <c r="F412" i="175"/>
  <c r="E412" i="175"/>
  <c r="D412" i="175"/>
  <c r="P412" i="175" s="1"/>
  <c r="B412" i="175"/>
  <c r="O411" i="175"/>
  <c r="N411" i="175"/>
  <c r="M411" i="175"/>
  <c r="L411" i="175"/>
  <c r="K411" i="175"/>
  <c r="J411" i="175"/>
  <c r="I411" i="175"/>
  <c r="H411" i="175"/>
  <c r="G411" i="175"/>
  <c r="F411" i="175"/>
  <c r="E411" i="175"/>
  <c r="D411" i="175"/>
  <c r="B411" i="175"/>
  <c r="O410" i="175"/>
  <c r="N410" i="175"/>
  <c r="M410" i="175"/>
  <c r="L410" i="175"/>
  <c r="K410" i="175"/>
  <c r="J410" i="175"/>
  <c r="I410" i="175"/>
  <c r="H410" i="175"/>
  <c r="P410" i="175" s="1"/>
  <c r="G410" i="175"/>
  <c r="F410" i="175"/>
  <c r="E410" i="175"/>
  <c r="D410" i="175"/>
  <c r="B410" i="175"/>
  <c r="O409" i="175"/>
  <c r="N409" i="175"/>
  <c r="M409" i="175"/>
  <c r="L409" i="175"/>
  <c r="K409" i="175"/>
  <c r="J409" i="175"/>
  <c r="I409" i="175"/>
  <c r="H409" i="175"/>
  <c r="G409" i="175"/>
  <c r="F409" i="175"/>
  <c r="P409" i="175" s="1"/>
  <c r="E409" i="175"/>
  <c r="D409" i="175"/>
  <c r="B409" i="175"/>
  <c r="O408" i="175"/>
  <c r="N408" i="175"/>
  <c r="M408" i="175"/>
  <c r="L408" i="175"/>
  <c r="K408" i="175"/>
  <c r="J408" i="175"/>
  <c r="I408" i="175"/>
  <c r="H408" i="175"/>
  <c r="G408" i="175"/>
  <c r="F408" i="175"/>
  <c r="E408" i="175"/>
  <c r="D408" i="175"/>
  <c r="P408" i="175" s="1"/>
  <c r="B408" i="175"/>
  <c r="O407" i="175"/>
  <c r="N407" i="175"/>
  <c r="M407" i="175"/>
  <c r="L407" i="175"/>
  <c r="K407" i="175"/>
  <c r="J407" i="175"/>
  <c r="I407" i="175"/>
  <c r="H407" i="175"/>
  <c r="G407" i="175"/>
  <c r="F407" i="175"/>
  <c r="E407" i="175"/>
  <c r="D407" i="175"/>
  <c r="B407" i="175"/>
  <c r="O406" i="175"/>
  <c r="N406" i="175"/>
  <c r="M406" i="175"/>
  <c r="L406" i="175"/>
  <c r="K406" i="175"/>
  <c r="J406" i="175"/>
  <c r="I406" i="175"/>
  <c r="H406" i="175"/>
  <c r="P406" i="175" s="1"/>
  <c r="G406" i="175"/>
  <c r="F406" i="175"/>
  <c r="E406" i="175"/>
  <c r="D406" i="175"/>
  <c r="B406" i="175"/>
  <c r="P405" i="175"/>
  <c r="P404" i="175"/>
  <c r="P403" i="175"/>
  <c r="O402" i="175"/>
  <c r="N402" i="175"/>
  <c r="M402" i="175"/>
  <c r="L402" i="175"/>
  <c r="K402" i="175"/>
  <c r="J402" i="175"/>
  <c r="I402" i="175"/>
  <c r="H402" i="175"/>
  <c r="G402" i="175"/>
  <c r="F402" i="175"/>
  <c r="E402" i="175"/>
  <c r="D402" i="175"/>
  <c r="P402" i="175" s="1"/>
  <c r="B402" i="175"/>
  <c r="P401" i="175"/>
  <c r="B401" i="175"/>
  <c r="P400" i="175"/>
  <c r="B400" i="175"/>
  <c r="P399" i="175"/>
  <c r="B399" i="175"/>
  <c r="P398" i="175"/>
  <c r="B398" i="175"/>
  <c r="P397" i="175"/>
  <c r="B397" i="175"/>
  <c r="P396" i="175"/>
  <c r="B396" i="175"/>
  <c r="P395" i="175"/>
  <c r="B395" i="175"/>
  <c r="P394" i="175"/>
  <c r="B394" i="175"/>
  <c r="P393" i="175"/>
  <c r="B393" i="175"/>
  <c r="P392" i="175"/>
  <c r="B392" i="175"/>
  <c r="P391" i="175"/>
  <c r="B391" i="175"/>
  <c r="P390" i="175"/>
  <c r="B390" i="175"/>
  <c r="P389" i="175"/>
  <c r="B389" i="175"/>
  <c r="P388" i="175"/>
  <c r="B388" i="175"/>
  <c r="P387" i="175"/>
  <c r="B387" i="175"/>
  <c r="P386" i="175"/>
  <c r="B386" i="175"/>
  <c r="P385" i="175"/>
  <c r="P384" i="175"/>
  <c r="P383" i="175"/>
  <c r="O382" i="175"/>
  <c r="N382" i="175"/>
  <c r="M382" i="175"/>
  <c r="L382" i="175"/>
  <c r="K382" i="175"/>
  <c r="J382" i="175"/>
  <c r="I382" i="175"/>
  <c r="H382" i="175"/>
  <c r="G382" i="175"/>
  <c r="F382" i="175"/>
  <c r="E382" i="175"/>
  <c r="D382" i="175"/>
  <c r="P382" i="175" s="1"/>
  <c r="B382" i="175"/>
  <c r="P381" i="175"/>
  <c r="B381" i="175"/>
  <c r="P380" i="175"/>
  <c r="B380" i="175"/>
  <c r="P379" i="175"/>
  <c r="B379" i="175"/>
  <c r="P378" i="175"/>
  <c r="B378" i="175"/>
  <c r="P377" i="175"/>
  <c r="B377" i="175"/>
  <c r="P376" i="175"/>
  <c r="B376" i="175"/>
  <c r="P375" i="175"/>
  <c r="B375" i="175"/>
  <c r="P374" i="175"/>
  <c r="B374" i="175"/>
  <c r="P373" i="175"/>
  <c r="B373" i="175"/>
  <c r="P372" i="175"/>
  <c r="B372" i="175"/>
  <c r="P371" i="175"/>
  <c r="B371" i="175"/>
  <c r="P370" i="175"/>
  <c r="B370" i="175"/>
  <c r="P369" i="175"/>
  <c r="B369" i="175"/>
  <c r="P368" i="175"/>
  <c r="B368" i="175"/>
  <c r="P367" i="175"/>
  <c r="B367" i="175"/>
  <c r="P366" i="175"/>
  <c r="B366" i="175"/>
  <c r="P365" i="175"/>
  <c r="P364" i="175"/>
  <c r="P363" i="175"/>
  <c r="O362" i="175"/>
  <c r="N362" i="175"/>
  <c r="M362" i="175"/>
  <c r="L362" i="175"/>
  <c r="K362" i="175"/>
  <c r="J362" i="175"/>
  <c r="I362" i="175"/>
  <c r="H362" i="175"/>
  <c r="G362" i="175"/>
  <c r="F362" i="175"/>
  <c r="E362" i="175"/>
  <c r="P362" i="175" s="1"/>
  <c r="D362" i="175"/>
  <c r="B362" i="175"/>
  <c r="P361" i="175"/>
  <c r="B361" i="175"/>
  <c r="P360" i="175"/>
  <c r="B360" i="175"/>
  <c r="P359" i="175"/>
  <c r="B359" i="175"/>
  <c r="P358" i="175"/>
  <c r="B358" i="175"/>
  <c r="P357" i="175"/>
  <c r="B357" i="175"/>
  <c r="P356" i="175"/>
  <c r="B356" i="175"/>
  <c r="P355" i="175"/>
  <c r="B355" i="175"/>
  <c r="P354" i="175"/>
  <c r="B354" i="175"/>
  <c r="P353" i="175"/>
  <c r="B353" i="175"/>
  <c r="P352" i="175"/>
  <c r="B352" i="175"/>
  <c r="P351" i="175"/>
  <c r="B351" i="175"/>
  <c r="P350" i="175"/>
  <c r="B350" i="175"/>
  <c r="P349" i="175"/>
  <c r="B349" i="175"/>
  <c r="P348" i="175"/>
  <c r="B348" i="175"/>
  <c r="P347" i="175"/>
  <c r="B347" i="175"/>
  <c r="P346" i="175"/>
  <c r="B346" i="175"/>
  <c r="P345" i="175"/>
  <c r="P344" i="175"/>
  <c r="P343" i="175"/>
  <c r="O342" i="175"/>
  <c r="N342" i="175"/>
  <c r="M342" i="175"/>
  <c r="L342" i="175"/>
  <c r="K342" i="175"/>
  <c r="J342" i="175"/>
  <c r="I342" i="175"/>
  <c r="H342" i="175"/>
  <c r="G342" i="175"/>
  <c r="F342" i="175"/>
  <c r="E342" i="175"/>
  <c r="D342" i="175"/>
  <c r="P342" i="175" s="1"/>
  <c r="B342" i="175"/>
  <c r="P341" i="175"/>
  <c r="B341" i="175"/>
  <c r="P340" i="175"/>
  <c r="B340" i="175"/>
  <c r="P339" i="175"/>
  <c r="B339" i="175"/>
  <c r="P338" i="175"/>
  <c r="B338" i="175"/>
  <c r="P337" i="175"/>
  <c r="B337" i="175"/>
  <c r="P336" i="175"/>
  <c r="B336" i="175"/>
  <c r="P335" i="175"/>
  <c r="B335" i="175"/>
  <c r="P334" i="175"/>
  <c r="B334" i="175"/>
  <c r="P333" i="175"/>
  <c r="B333" i="175"/>
  <c r="P332" i="175"/>
  <c r="B332" i="175"/>
  <c r="P331" i="175"/>
  <c r="B331" i="175"/>
  <c r="P330" i="175"/>
  <c r="B330" i="175"/>
  <c r="P329" i="175"/>
  <c r="B329" i="175"/>
  <c r="P328" i="175"/>
  <c r="B328" i="175"/>
  <c r="P327" i="175"/>
  <c r="B327" i="175"/>
  <c r="P326" i="175"/>
  <c r="B326" i="175"/>
  <c r="P325" i="175"/>
  <c r="P324" i="175"/>
  <c r="P323" i="175"/>
  <c r="O322" i="175"/>
  <c r="N322" i="175"/>
  <c r="M322" i="175"/>
  <c r="L322" i="175"/>
  <c r="K322" i="175"/>
  <c r="J322" i="175"/>
  <c r="I322" i="175"/>
  <c r="H322" i="175"/>
  <c r="G322" i="175"/>
  <c r="F322" i="175"/>
  <c r="E322" i="175"/>
  <c r="P322" i="175" s="1"/>
  <c r="D322" i="175"/>
  <c r="B322" i="175"/>
  <c r="P321" i="175"/>
  <c r="B321" i="175"/>
  <c r="P320" i="175"/>
  <c r="B320" i="175"/>
  <c r="P319" i="175"/>
  <c r="B319" i="175"/>
  <c r="P318" i="175"/>
  <c r="B318" i="175"/>
  <c r="P317" i="175"/>
  <c r="B317" i="175"/>
  <c r="P316" i="175"/>
  <c r="B316" i="175"/>
  <c r="P315" i="175"/>
  <c r="B315" i="175"/>
  <c r="P314" i="175"/>
  <c r="B314" i="175"/>
  <c r="P313" i="175"/>
  <c r="B313" i="175"/>
  <c r="P312" i="175"/>
  <c r="B312" i="175"/>
  <c r="P311" i="175"/>
  <c r="B311" i="175"/>
  <c r="P310" i="175"/>
  <c r="B310" i="175"/>
  <c r="P309" i="175"/>
  <c r="B309" i="175"/>
  <c r="P308" i="175"/>
  <c r="B308" i="175"/>
  <c r="P307" i="175"/>
  <c r="B307" i="175"/>
  <c r="P306" i="175"/>
  <c r="B306" i="175"/>
  <c r="P305" i="175"/>
  <c r="P304" i="175"/>
  <c r="P303" i="175"/>
  <c r="O302" i="175"/>
  <c r="N302" i="175"/>
  <c r="M302" i="175"/>
  <c r="L302" i="175"/>
  <c r="K302" i="175"/>
  <c r="J302" i="175"/>
  <c r="I302" i="175"/>
  <c r="H302" i="175"/>
  <c r="G302" i="175"/>
  <c r="F302" i="175"/>
  <c r="P302" i="175" s="1"/>
  <c r="E302" i="175"/>
  <c r="D302" i="175"/>
  <c r="B302" i="175"/>
  <c r="P301" i="175"/>
  <c r="B301" i="175"/>
  <c r="P300" i="175"/>
  <c r="B300" i="175"/>
  <c r="P299" i="175"/>
  <c r="B299" i="175"/>
  <c r="P298" i="175"/>
  <c r="B298" i="175"/>
  <c r="P297" i="175"/>
  <c r="B297" i="175"/>
  <c r="P296" i="175"/>
  <c r="B296" i="175"/>
  <c r="P295" i="175"/>
  <c r="B295" i="175"/>
  <c r="P294" i="175"/>
  <c r="B294" i="175"/>
  <c r="P293" i="175"/>
  <c r="B293" i="175"/>
  <c r="P292" i="175"/>
  <c r="B292" i="175"/>
  <c r="P291" i="175"/>
  <c r="B291" i="175"/>
  <c r="P290" i="175"/>
  <c r="B290" i="175"/>
  <c r="P289" i="175"/>
  <c r="B289" i="175"/>
  <c r="P288" i="175"/>
  <c r="B288" i="175"/>
  <c r="P287" i="175"/>
  <c r="B287" i="175"/>
  <c r="P286" i="175"/>
  <c r="B286" i="175"/>
  <c r="P285" i="175"/>
  <c r="P284" i="175"/>
  <c r="P283" i="175"/>
  <c r="O282" i="175"/>
  <c r="N282" i="175"/>
  <c r="M282" i="175"/>
  <c r="L282" i="175"/>
  <c r="K282" i="175"/>
  <c r="J282" i="175"/>
  <c r="I282" i="175"/>
  <c r="H282" i="175"/>
  <c r="G282" i="175"/>
  <c r="P282" i="175" s="1"/>
  <c r="F282" i="175"/>
  <c r="E282" i="175"/>
  <c r="D282" i="175"/>
  <c r="B282" i="175"/>
  <c r="P281" i="175"/>
  <c r="B281" i="175"/>
  <c r="P280" i="175"/>
  <c r="B280" i="175"/>
  <c r="P279" i="175"/>
  <c r="B279" i="175"/>
  <c r="P278" i="175"/>
  <c r="B278" i="175"/>
  <c r="P277" i="175"/>
  <c r="B277" i="175"/>
  <c r="P276" i="175"/>
  <c r="B276" i="175"/>
  <c r="P275" i="175"/>
  <c r="B275" i="175"/>
  <c r="P274" i="175"/>
  <c r="B274" i="175"/>
  <c r="P273" i="175"/>
  <c r="B273" i="175"/>
  <c r="P272" i="175"/>
  <c r="B272" i="175"/>
  <c r="P271" i="175"/>
  <c r="B271" i="175"/>
  <c r="P270" i="175"/>
  <c r="B270" i="175"/>
  <c r="P269" i="175"/>
  <c r="B269" i="175"/>
  <c r="P268" i="175"/>
  <c r="B268" i="175"/>
  <c r="P267" i="175"/>
  <c r="B267" i="175"/>
  <c r="P266" i="175"/>
  <c r="B266" i="175"/>
  <c r="P265" i="175"/>
  <c r="P264" i="175"/>
  <c r="P263" i="175"/>
  <c r="O262" i="175"/>
  <c r="N262" i="175"/>
  <c r="M262" i="175"/>
  <c r="L262" i="175"/>
  <c r="K262" i="175"/>
  <c r="J262" i="175"/>
  <c r="I262" i="175"/>
  <c r="H262" i="175"/>
  <c r="P262" i="175" s="1"/>
  <c r="G262" i="175"/>
  <c r="F262" i="175"/>
  <c r="E262" i="175"/>
  <c r="D262" i="175"/>
  <c r="B262" i="175"/>
  <c r="P261" i="175"/>
  <c r="B261" i="175"/>
  <c r="P260" i="175"/>
  <c r="B260" i="175"/>
  <c r="P259" i="175"/>
  <c r="B259" i="175"/>
  <c r="P258" i="175"/>
  <c r="B258" i="175"/>
  <c r="P257" i="175"/>
  <c r="B257" i="175"/>
  <c r="P256" i="175"/>
  <c r="B256" i="175"/>
  <c r="P255" i="175"/>
  <c r="B255" i="175"/>
  <c r="P254" i="175"/>
  <c r="B254" i="175"/>
  <c r="P253" i="175"/>
  <c r="B253" i="175"/>
  <c r="P252" i="175"/>
  <c r="B252" i="175"/>
  <c r="P251" i="175"/>
  <c r="B251" i="175"/>
  <c r="P250" i="175"/>
  <c r="B250" i="175"/>
  <c r="P249" i="175"/>
  <c r="B249" i="175"/>
  <c r="P248" i="175"/>
  <c r="B248" i="175"/>
  <c r="P247" i="175"/>
  <c r="B247" i="175"/>
  <c r="P246" i="175"/>
  <c r="B246" i="175"/>
  <c r="P245" i="175"/>
  <c r="P244" i="175"/>
  <c r="P243" i="175"/>
  <c r="O242" i="175"/>
  <c r="N242" i="175"/>
  <c r="M242" i="175"/>
  <c r="L242" i="175"/>
  <c r="K242" i="175"/>
  <c r="J242" i="175"/>
  <c r="I242" i="175"/>
  <c r="H242" i="175"/>
  <c r="G242" i="175"/>
  <c r="F242" i="175"/>
  <c r="E242" i="175"/>
  <c r="D242" i="175"/>
  <c r="B242" i="175"/>
  <c r="P241" i="175"/>
  <c r="B241" i="175"/>
  <c r="P240" i="175"/>
  <c r="B240" i="175"/>
  <c r="P239" i="175"/>
  <c r="B239" i="175"/>
  <c r="P238" i="175"/>
  <c r="B238" i="175"/>
  <c r="P237" i="175"/>
  <c r="B237" i="175"/>
  <c r="P236" i="175"/>
  <c r="B236" i="175"/>
  <c r="P235" i="175"/>
  <c r="B235" i="175"/>
  <c r="P234" i="175"/>
  <c r="B234" i="175"/>
  <c r="P233" i="175"/>
  <c r="B233" i="175"/>
  <c r="P232" i="175"/>
  <c r="B232" i="175"/>
  <c r="P231" i="175"/>
  <c r="B231" i="175"/>
  <c r="P230" i="175"/>
  <c r="B230" i="175"/>
  <c r="P229" i="175"/>
  <c r="B229" i="175"/>
  <c r="P228" i="175"/>
  <c r="B228" i="175"/>
  <c r="P227" i="175"/>
  <c r="B227" i="175"/>
  <c r="P226" i="175"/>
  <c r="B226" i="175"/>
  <c r="P225" i="175"/>
  <c r="P224" i="175"/>
  <c r="P223" i="175"/>
  <c r="O222" i="175"/>
  <c r="N222" i="175"/>
  <c r="M222" i="175"/>
  <c r="L222" i="175"/>
  <c r="K222" i="175"/>
  <c r="J222" i="175"/>
  <c r="I222" i="175"/>
  <c r="H222" i="175"/>
  <c r="G222" i="175"/>
  <c r="F222" i="175"/>
  <c r="E222" i="175"/>
  <c r="D222" i="175"/>
  <c r="B222" i="175"/>
  <c r="P221" i="175"/>
  <c r="B221" i="175"/>
  <c r="P220" i="175"/>
  <c r="B220" i="175"/>
  <c r="P219" i="175"/>
  <c r="B219" i="175"/>
  <c r="P218" i="175"/>
  <c r="B218" i="175"/>
  <c r="P217" i="175"/>
  <c r="B217" i="175"/>
  <c r="P216" i="175"/>
  <c r="B216" i="175"/>
  <c r="P215" i="175"/>
  <c r="B215" i="175"/>
  <c r="P214" i="175"/>
  <c r="B214" i="175"/>
  <c r="P213" i="175"/>
  <c r="B213" i="175"/>
  <c r="P212" i="175"/>
  <c r="B212" i="175"/>
  <c r="P211" i="175"/>
  <c r="B211" i="175"/>
  <c r="P210" i="175"/>
  <c r="B210" i="175"/>
  <c r="P209" i="175"/>
  <c r="B209" i="175"/>
  <c r="P208" i="175"/>
  <c r="B208" i="175"/>
  <c r="P207" i="175"/>
  <c r="B207" i="175"/>
  <c r="P206" i="175"/>
  <c r="B206" i="175"/>
  <c r="P205" i="175"/>
  <c r="P204" i="175"/>
  <c r="P203" i="175"/>
  <c r="O202" i="175"/>
  <c r="N202" i="175"/>
  <c r="M202" i="175"/>
  <c r="L202" i="175"/>
  <c r="K202" i="175"/>
  <c r="J202" i="175"/>
  <c r="I202" i="175"/>
  <c r="H202" i="175"/>
  <c r="G202" i="175"/>
  <c r="F202" i="175"/>
  <c r="E202" i="175"/>
  <c r="D202" i="175"/>
  <c r="P202" i="175" s="1"/>
  <c r="B202" i="175"/>
  <c r="P201" i="175"/>
  <c r="B201" i="175"/>
  <c r="P200" i="175"/>
  <c r="B200" i="175"/>
  <c r="P199" i="175"/>
  <c r="B199" i="175"/>
  <c r="P198" i="175"/>
  <c r="B198" i="175"/>
  <c r="P197" i="175"/>
  <c r="B197" i="175"/>
  <c r="P196" i="175"/>
  <c r="B196" i="175"/>
  <c r="P195" i="175"/>
  <c r="B195" i="175"/>
  <c r="P194" i="175"/>
  <c r="B194" i="175"/>
  <c r="P193" i="175"/>
  <c r="B193" i="175"/>
  <c r="P192" i="175"/>
  <c r="B192" i="175"/>
  <c r="P191" i="175"/>
  <c r="B191" i="175"/>
  <c r="P190" i="175"/>
  <c r="B190" i="175"/>
  <c r="P189" i="175"/>
  <c r="B189" i="175"/>
  <c r="P188" i="175"/>
  <c r="B188" i="175"/>
  <c r="P187" i="175"/>
  <c r="B187" i="175"/>
  <c r="P186" i="175"/>
  <c r="B186" i="175"/>
  <c r="P185" i="175"/>
  <c r="P184" i="175"/>
  <c r="P183" i="175"/>
  <c r="O182" i="175"/>
  <c r="N182" i="175"/>
  <c r="M182" i="175"/>
  <c r="L182" i="175"/>
  <c r="K182" i="175"/>
  <c r="J182" i="175"/>
  <c r="I182" i="175"/>
  <c r="H182" i="175"/>
  <c r="G182" i="175"/>
  <c r="F182" i="175"/>
  <c r="E182" i="175"/>
  <c r="D182" i="175"/>
  <c r="B182" i="175"/>
  <c r="P181" i="175"/>
  <c r="B181" i="175"/>
  <c r="P180" i="175"/>
  <c r="B180" i="175"/>
  <c r="P179" i="175"/>
  <c r="B179" i="175"/>
  <c r="P178" i="175"/>
  <c r="B178" i="175"/>
  <c r="P177" i="175"/>
  <c r="B177" i="175"/>
  <c r="P176" i="175"/>
  <c r="B176" i="175"/>
  <c r="P175" i="175"/>
  <c r="B175" i="175"/>
  <c r="P174" i="175"/>
  <c r="B174" i="175"/>
  <c r="P173" i="175"/>
  <c r="B173" i="175"/>
  <c r="P172" i="175"/>
  <c r="B172" i="175"/>
  <c r="P171" i="175"/>
  <c r="B171" i="175"/>
  <c r="P170" i="175"/>
  <c r="B170" i="175"/>
  <c r="P169" i="175"/>
  <c r="B169" i="175"/>
  <c r="P168" i="175"/>
  <c r="B168" i="175"/>
  <c r="P167" i="175"/>
  <c r="B167" i="175"/>
  <c r="P166" i="175"/>
  <c r="B166" i="175"/>
  <c r="P165" i="175"/>
  <c r="P164" i="175"/>
  <c r="P163" i="175"/>
  <c r="O162" i="175"/>
  <c r="N162" i="175"/>
  <c r="M162" i="175"/>
  <c r="L162" i="175"/>
  <c r="K162" i="175"/>
  <c r="J162" i="175"/>
  <c r="I162" i="175"/>
  <c r="H162" i="175"/>
  <c r="G162" i="175"/>
  <c r="F162" i="175"/>
  <c r="E162" i="175"/>
  <c r="D162" i="175"/>
  <c r="B162" i="175"/>
  <c r="P161" i="175"/>
  <c r="B161" i="175"/>
  <c r="P160" i="175"/>
  <c r="B160" i="175"/>
  <c r="P159" i="175"/>
  <c r="B159" i="175"/>
  <c r="P158" i="175"/>
  <c r="B158" i="175"/>
  <c r="P157" i="175"/>
  <c r="B157" i="175"/>
  <c r="P156" i="175"/>
  <c r="B156" i="175"/>
  <c r="P155" i="175"/>
  <c r="B155" i="175"/>
  <c r="P154" i="175"/>
  <c r="B154" i="175"/>
  <c r="P153" i="175"/>
  <c r="B153" i="175"/>
  <c r="P152" i="175"/>
  <c r="B152" i="175"/>
  <c r="P151" i="175"/>
  <c r="B151" i="175"/>
  <c r="P150" i="175"/>
  <c r="B150" i="175"/>
  <c r="P149" i="175"/>
  <c r="B149" i="175"/>
  <c r="P148" i="175"/>
  <c r="B148" i="175"/>
  <c r="P147" i="175"/>
  <c r="B147" i="175"/>
  <c r="P146" i="175"/>
  <c r="B146" i="175"/>
  <c r="P145" i="175"/>
  <c r="P144" i="175"/>
  <c r="P143" i="175"/>
  <c r="O142" i="175"/>
  <c r="N142" i="175"/>
  <c r="M142" i="175"/>
  <c r="L142" i="175"/>
  <c r="K142" i="175"/>
  <c r="J142" i="175"/>
  <c r="I142" i="175"/>
  <c r="H142" i="175"/>
  <c r="P142" i="175" s="1"/>
  <c r="G142" i="175"/>
  <c r="F142" i="175"/>
  <c r="E142" i="175"/>
  <c r="D142" i="175"/>
  <c r="B142" i="175"/>
  <c r="P141" i="175"/>
  <c r="B141" i="175"/>
  <c r="P140" i="175"/>
  <c r="B140" i="175"/>
  <c r="P139" i="175"/>
  <c r="B139" i="175"/>
  <c r="P138" i="175"/>
  <c r="B138" i="175"/>
  <c r="P137" i="175"/>
  <c r="B137" i="175"/>
  <c r="P136" i="175"/>
  <c r="B136" i="175"/>
  <c r="P135" i="175"/>
  <c r="B135" i="175"/>
  <c r="P134" i="175"/>
  <c r="B134" i="175"/>
  <c r="P133" i="175"/>
  <c r="B133" i="175"/>
  <c r="P132" i="175"/>
  <c r="B132" i="175"/>
  <c r="P131" i="175"/>
  <c r="B131" i="175"/>
  <c r="P130" i="175"/>
  <c r="B130" i="175"/>
  <c r="P129" i="175"/>
  <c r="B129" i="175"/>
  <c r="P128" i="175"/>
  <c r="B128" i="175"/>
  <c r="P127" i="175"/>
  <c r="B127" i="175"/>
  <c r="P126" i="175"/>
  <c r="B126" i="175"/>
  <c r="P125" i="175"/>
  <c r="P124" i="175"/>
  <c r="P123" i="175"/>
  <c r="O122" i="175"/>
  <c r="N122" i="175"/>
  <c r="M122" i="175"/>
  <c r="L122" i="175"/>
  <c r="K122" i="175"/>
  <c r="J122" i="175"/>
  <c r="I122" i="175"/>
  <c r="H122" i="175"/>
  <c r="P122" i="175" s="1"/>
  <c r="G122" i="175"/>
  <c r="F122" i="175"/>
  <c r="E122" i="175"/>
  <c r="D122" i="175"/>
  <c r="B122" i="175"/>
  <c r="P121" i="175"/>
  <c r="B121" i="175"/>
  <c r="P120" i="175"/>
  <c r="B120" i="175"/>
  <c r="P119" i="175"/>
  <c r="B119" i="175"/>
  <c r="P118" i="175"/>
  <c r="B118" i="175"/>
  <c r="P117" i="175"/>
  <c r="B117" i="175"/>
  <c r="P116" i="175"/>
  <c r="B116" i="175"/>
  <c r="P115" i="175"/>
  <c r="B115" i="175"/>
  <c r="P114" i="175"/>
  <c r="B114" i="175"/>
  <c r="P113" i="175"/>
  <c r="B113" i="175"/>
  <c r="P112" i="175"/>
  <c r="B112" i="175"/>
  <c r="P111" i="175"/>
  <c r="B111" i="175"/>
  <c r="P110" i="175"/>
  <c r="B110" i="175"/>
  <c r="P109" i="175"/>
  <c r="B109" i="175"/>
  <c r="P108" i="175"/>
  <c r="B108" i="175"/>
  <c r="P107" i="175"/>
  <c r="B107" i="175"/>
  <c r="P106" i="175"/>
  <c r="B106" i="175"/>
  <c r="P105" i="175"/>
  <c r="P104" i="175"/>
  <c r="P103" i="175"/>
  <c r="O102" i="175"/>
  <c r="N102" i="175"/>
  <c r="M102" i="175"/>
  <c r="L102" i="175"/>
  <c r="K102" i="175"/>
  <c r="J102" i="175"/>
  <c r="I102" i="175"/>
  <c r="H102" i="175"/>
  <c r="P102" i="175" s="1"/>
  <c r="G102" i="175"/>
  <c r="F102" i="175"/>
  <c r="E102" i="175"/>
  <c r="D102" i="175"/>
  <c r="B102" i="175"/>
  <c r="P101" i="175"/>
  <c r="B101" i="175"/>
  <c r="P100" i="175"/>
  <c r="B100" i="175"/>
  <c r="P99" i="175"/>
  <c r="B99" i="175"/>
  <c r="P98" i="175"/>
  <c r="B98" i="175"/>
  <c r="P97" i="175"/>
  <c r="B97" i="175"/>
  <c r="P96" i="175"/>
  <c r="B96" i="175"/>
  <c r="P95" i="175"/>
  <c r="B95" i="175"/>
  <c r="P94" i="175"/>
  <c r="B94" i="175"/>
  <c r="P93" i="175"/>
  <c r="B93" i="175"/>
  <c r="P92" i="175"/>
  <c r="B92" i="175"/>
  <c r="P91" i="175"/>
  <c r="B91" i="175"/>
  <c r="P90" i="175"/>
  <c r="B90" i="175"/>
  <c r="P89" i="175"/>
  <c r="B89" i="175"/>
  <c r="P88" i="175"/>
  <c r="B88" i="175"/>
  <c r="P87" i="175"/>
  <c r="B87" i="175"/>
  <c r="P86" i="175"/>
  <c r="B86" i="175"/>
  <c r="P85" i="175"/>
  <c r="P84" i="175"/>
  <c r="P83" i="175"/>
  <c r="O82" i="175"/>
  <c r="N82" i="175"/>
  <c r="M82" i="175"/>
  <c r="L82" i="175"/>
  <c r="K82" i="175"/>
  <c r="J82" i="175"/>
  <c r="I82" i="175"/>
  <c r="H82" i="175"/>
  <c r="G82" i="175"/>
  <c r="F82" i="175"/>
  <c r="E82" i="175"/>
  <c r="D82" i="175"/>
  <c r="B82" i="175"/>
  <c r="P81" i="175"/>
  <c r="B81" i="175"/>
  <c r="P80" i="175"/>
  <c r="B80" i="175"/>
  <c r="P79" i="175"/>
  <c r="B79" i="175"/>
  <c r="P78" i="175"/>
  <c r="B78" i="175"/>
  <c r="P77" i="175"/>
  <c r="B77" i="175"/>
  <c r="P76" i="175"/>
  <c r="B76" i="175"/>
  <c r="P75" i="175"/>
  <c r="B75" i="175"/>
  <c r="P74" i="175"/>
  <c r="B74" i="175"/>
  <c r="P73" i="175"/>
  <c r="B73" i="175"/>
  <c r="P72" i="175"/>
  <c r="B72" i="175"/>
  <c r="P71" i="175"/>
  <c r="B71" i="175"/>
  <c r="P70" i="175"/>
  <c r="B70" i="175"/>
  <c r="P69" i="175"/>
  <c r="B69" i="175"/>
  <c r="P68" i="175"/>
  <c r="B68" i="175"/>
  <c r="P67" i="175"/>
  <c r="B67" i="175"/>
  <c r="P66" i="175"/>
  <c r="B66" i="175"/>
  <c r="P65" i="175"/>
  <c r="P64" i="175"/>
  <c r="P63" i="175"/>
  <c r="O62" i="175"/>
  <c r="N62" i="175"/>
  <c r="M62" i="175"/>
  <c r="L62" i="175"/>
  <c r="K62" i="175"/>
  <c r="J62" i="175"/>
  <c r="I62" i="175"/>
  <c r="H62" i="175"/>
  <c r="G62" i="175"/>
  <c r="F62" i="175"/>
  <c r="E62" i="175"/>
  <c r="D62" i="175"/>
  <c r="B62" i="175"/>
  <c r="P61" i="175"/>
  <c r="B61" i="175"/>
  <c r="P60" i="175"/>
  <c r="B60" i="175"/>
  <c r="P59" i="175"/>
  <c r="B59" i="175"/>
  <c r="P58" i="175"/>
  <c r="B58" i="175"/>
  <c r="P57" i="175"/>
  <c r="B57" i="175"/>
  <c r="P56" i="175"/>
  <c r="B56" i="175"/>
  <c r="P55" i="175"/>
  <c r="B55" i="175"/>
  <c r="P54" i="175"/>
  <c r="B54" i="175"/>
  <c r="P53" i="175"/>
  <c r="B53" i="175"/>
  <c r="P52" i="175"/>
  <c r="B52" i="175"/>
  <c r="P51" i="175"/>
  <c r="B51" i="175"/>
  <c r="P50" i="175"/>
  <c r="B50" i="175"/>
  <c r="P49" i="175"/>
  <c r="B49" i="175"/>
  <c r="P48" i="175"/>
  <c r="B48" i="175"/>
  <c r="P47" i="175"/>
  <c r="B47" i="175"/>
  <c r="P46" i="175"/>
  <c r="B46" i="175"/>
  <c r="P45" i="175"/>
  <c r="P44" i="175"/>
  <c r="O42" i="175"/>
  <c r="N42" i="175"/>
  <c r="M42" i="175"/>
  <c r="L42" i="175"/>
  <c r="K42" i="175"/>
  <c r="J42" i="175"/>
  <c r="I42" i="175"/>
  <c r="H42" i="175"/>
  <c r="G42" i="175"/>
  <c r="F42" i="175"/>
  <c r="E42" i="175"/>
  <c r="D42" i="175"/>
  <c r="B42" i="175"/>
  <c r="P41" i="175"/>
  <c r="B41" i="175"/>
  <c r="P40" i="175"/>
  <c r="B40" i="175"/>
  <c r="P39" i="175"/>
  <c r="B39" i="175"/>
  <c r="P38" i="175"/>
  <c r="B38" i="175"/>
  <c r="P37" i="175"/>
  <c r="B37" i="175"/>
  <c r="P36" i="175"/>
  <c r="B36" i="175"/>
  <c r="P35" i="175"/>
  <c r="B35" i="175"/>
  <c r="P34" i="175"/>
  <c r="B34" i="175"/>
  <c r="P33" i="175"/>
  <c r="B33" i="175"/>
  <c r="P32" i="175"/>
  <c r="B32" i="175"/>
  <c r="P31" i="175"/>
  <c r="B31" i="175"/>
  <c r="P30" i="175"/>
  <c r="B30" i="175"/>
  <c r="P29" i="175"/>
  <c r="B29" i="175"/>
  <c r="P28" i="175"/>
  <c r="B28" i="175"/>
  <c r="P27" i="175"/>
  <c r="B27" i="175"/>
  <c r="P26" i="175"/>
  <c r="B26" i="175"/>
  <c r="P25" i="175"/>
  <c r="P24" i="175"/>
  <c r="P23" i="175"/>
  <c r="O22" i="175"/>
  <c r="N22" i="175"/>
  <c r="M22" i="175"/>
  <c r="L22" i="175"/>
  <c r="K22" i="175"/>
  <c r="J22" i="175"/>
  <c r="I22" i="175"/>
  <c r="H22" i="175"/>
  <c r="G22" i="175"/>
  <c r="F22" i="175"/>
  <c r="E22" i="175"/>
  <c r="D22" i="175"/>
  <c r="B22" i="175"/>
  <c r="P21" i="175"/>
  <c r="B21" i="175"/>
  <c r="P20" i="175"/>
  <c r="B20" i="175"/>
  <c r="P19" i="175"/>
  <c r="B19" i="175"/>
  <c r="P18" i="175"/>
  <c r="B18" i="175"/>
  <c r="P17" i="175"/>
  <c r="B17" i="175"/>
  <c r="P16" i="175"/>
  <c r="B16" i="175"/>
  <c r="P15" i="175"/>
  <c r="B15" i="175"/>
  <c r="P14" i="175"/>
  <c r="B14" i="175"/>
  <c r="P13" i="175"/>
  <c r="B13" i="175"/>
  <c r="P12" i="175"/>
  <c r="B12" i="175"/>
  <c r="P11" i="175"/>
  <c r="B11" i="175"/>
  <c r="P10" i="175"/>
  <c r="B10" i="175"/>
  <c r="P9" i="175"/>
  <c r="B9" i="175"/>
  <c r="P8" i="175"/>
  <c r="B8" i="175"/>
  <c r="P7" i="175"/>
  <c r="B7" i="175"/>
  <c r="P6" i="175"/>
  <c r="B6" i="175"/>
  <c r="M430" i="174"/>
  <c r="L430" i="174"/>
  <c r="K430" i="174"/>
  <c r="J430" i="174"/>
  <c r="H430" i="174"/>
  <c r="G430" i="174"/>
  <c r="F430" i="174"/>
  <c r="E430" i="174"/>
  <c r="D430" i="174"/>
  <c r="P426" i="174"/>
  <c r="P425" i="174"/>
  <c r="O425" i="174"/>
  <c r="N425" i="174"/>
  <c r="M425" i="174"/>
  <c r="L425" i="174"/>
  <c r="K425" i="174"/>
  <c r="J425" i="174"/>
  <c r="I425" i="174"/>
  <c r="H425" i="174"/>
  <c r="G425" i="174"/>
  <c r="F425" i="174"/>
  <c r="E425" i="174"/>
  <c r="D425" i="174"/>
  <c r="B424" i="174"/>
  <c r="B423" i="174"/>
  <c r="B422" i="174"/>
  <c r="B421" i="174"/>
  <c r="B420" i="174"/>
  <c r="P417" i="174"/>
  <c r="P416" i="174"/>
  <c r="O416" i="174"/>
  <c r="N416" i="174"/>
  <c r="M416" i="174"/>
  <c r="L416" i="174"/>
  <c r="K416" i="174"/>
  <c r="J416" i="174"/>
  <c r="I416" i="174"/>
  <c r="H416" i="174"/>
  <c r="G416" i="174"/>
  <c r="F416" i="174"/>
  <c r="E416" i="174"/>
  <c r="D416" i="174"/>
  <c r="B415" i="174"/>
  <c r="B414" i="174"/>
  <c r="B413" i="174"/>
  <c r="B412" i="174"/>
  <c r="B411" i="174"/>
  <c r="P408" i="174"/>
  <c r="P407" i="174"/>
  <c r="O407" i="174"/>
  <c r="N407" i="174"/>
  <c r="M407" i="174"/>
  <c r="L407" i="174"/>
  <c r="K407" i="174"/>
  <c r="J407" i="174"/>
  <c r="I407" i="174"/>
  <c r="H407" i="174"/>
  <c r="G407" i="174"/>
  <c r="F407" i="174"/>
  <c r="E407" i="174"/>
  <c r="D407" i="174"/>
  <c r="B406" i="174"/>
  <c r="B405" i="174"/>
  <c r="B404" i="174"/>
  <c r="B403" i="174"/>
  <c r="B402" i="174"/>
  <c r="P399" i="174"/>
  <c r="P398" i="174"/>
  <c r="O398" i="174"/>
  <c r="N398" i="174"/>
  <c r="M398" i="174"/>
  <c r="L398" i="174"/>
  <c r="K398" i="174"/>
  <c r="J398" i="174"/>
  <c r="I398" i="174"/>
  <c r="H398" i="174"/>
  <c r="G398" i="174"/>
  <c r="F398" i="174"/>
  <c r="E398" i="174"/>
  <c r="D398" i="174"/>
  <c r="B397" i="174"/>
  <c r="B396" i="174"/>
  <c r="B395" i="174"/>
  <c r="B394" i="174"/>
  <c r="B393" i="174"/>
  <c r="P390" i="174"/>
  <c r="P389" i="174"/>
  <c r="O389" i="174"/>
  <c r="N389" i="174"/>
  <c r="M389" i="174"/>
  <c r="L389" i="174"/>
  <c r="K389" i="174"/>
  <c r="J389" i="174"/>
  <c r="I389" i="174"/>
  <c r="H389" i="174"/>
  <c r="G389" i="174"/>
  <c r="F389" i="174"/>
  <c r="E389" i="174"/>
  <c r="D389" i="174"/>
  <c r="B388" i="174"/>
  <c r="B387" i="174"/>
  <c r="B386" i="174"/>
  <c r="B385" i="174"/>
  <c r="B384" i="174"/>
  <c r="P381" i="174"/>
  <c r="P380" i="174"/>
  <c r="O380" i="174"/>
  <c r="N380" i="174"/>
  <c r="M380" i="174"/>
  <c r="L380" i="174"/>
  <c r="K380" i="174"/>
  <c r="J380" i="174"/>
  <c r="I380" i="174"/>
  <c r="H380" i="174"/>
  <c r="G380" i="174"/>
  <c r="F380" i="174"/>
  <c r="E380" i="174"/>
  <c r="D380" i="174"/>
  <c r="B379" i="174"/>
  <c r="B378" i="174"/>
  <c r="B377" i="174"/>
  <c r="B376" i="174"/>
  <c r="B375" i="174"/>
  <c r="P372" i="174"/>
  <c r="O371" i="174"/>
  <c r="N371" i="174"/>
  <c r="M371" i="174"/>
  <c r="L371" i="174"/>
  <c r="K371" i="174"/>
  <c r="J371" i="174"/>
  <c r="I371" i="174"/>
  <c r="H371" i="174"/>
  <c r="G371" i="174"/>
  <c r="F371" i="174"/>
  <c r="E371" i="174"/>
  <c r="D371" i="174"/>
  <c r="P371" i="174" s="1"/>
  <c r="B370" i="174"/>
  <c r="B369" i="174"/>
  <c r="B368" i="174"/>
  <c r="B367" i="174"/>
  <c r="B366" i="174"/>
  <c r="B365" i="174"/>
  <c r="B364" i="174"/>
  <c r="P361" i="174"/>
  <c r="O360" i="174"/>
  <c r="N360" i="174"/>
  <c r="M360" i="174"/>
  <c r="L360" i="174"/>
  <c r="K360" i="174"/>
  <c r="J360" i="174"/>
  <c r="I360" i="174"/>
  <c r="H360" i="174"/>
  <c r="G360" i="174"/>
  <c r="F360" i="174"/>
  <c r="E360" i="174"/>
  <c r="D360" i="174"/>
  <c r="B359" i="174"/>
  <c r="B358" i="174"/>
  <c r="B357" i="174"/>
  <c r="B356" i="174"/>
  <c r="B355" i="174"/>
  <c r="P354" i="174"/>
  <c r="O43" i="176"/>
  <c r="N43" i="176"/>
  <c r="M43" i="176"/>
  <c r="L43" i="176"/>
  <c r="K43" i="176"/>
  <c r="J43" i="176"/>
  <c r="I43" i="176"/>
  <c r="H43" i="176"/>
  <c r="G43" i="176"/>
  <c r="F43" i="176"/>
  <c r="E43" i="176"/>
  <c r="D43" i="176"/>
  <c r="O42" i="176"/>
  <c r="N42" i="176"/>
  <c r="K42" i="176"/>
  <c r="H42" i="176"/>
  <c r="G42" i="176"/>
  <c r="F42" i="176"/>
  <c r="P348" i="174"/>
  <c r="O347" i="174"/>
  <c r="N347" i="174"/>
  <c r="M347" i="174"/>
  <c r="L347" i="174"/>
  <c r="K347" i="174"/>
  <c r="J347" i="174"/>
  <c r="I347" i="174"/>
  <c r="H347" i="174"/>
  <c r="G347" i="174"/>
  <c r="F347" i="174"/>
  <c r="E347" i="174"/>
  <c r="D347" i="174"/>
  <c r="P346" i="174"/>
  <c r="B346" i="174"/>
  <c r="P345" i="174"/>
  <c r="B345" i="174"/>
  <c r="P344" i="174"/>
  <c r="B344" i="174"/>
  <c r="P343" i="174"/>
  <c r="B343" i="174"/>
  <c r="P342" i="174"/>
  <c r="B342" i="174"/>
  <c r="P341" i="174"/>
  <c r="B341" i="174"/>
  <c r="P340" i="174"/>
  <c r="B340" i="174"/>
  <c r="P339" i="174"/>
  <c r="B339" i="174"/>
  <c r="P338" i="174"/>
  <c r="B338" i="174"/>
  <c r="P337" i="174"/>
  <c r="B337" i="174"/>
  <c r="P336" i="174"/>
  <c r="B336" i="174"/>
  <c r="P335" i="174"/>
  <c r="B335" i="174"/>
  <c r="P334" i="174"/>
  <c r="B334" i="174"/>
  <c r="P333" i="174"/>
  <c r="B333" i="174"/>
  <c r="P332" i="174"/>
  <c r="B332" i="174"/>
  <c r="P331" i="174"/>
  <c r="B331" i="174"/>
  <c r="P330" i="174"/>
  <c r="B330" i="174"/>
  <c r="O32" i="176"/>
  <c r="N32" i="176"/>
  <c r="M32" i="176"/>
  <c r="L32" i="176"/>
  <c r="K32" i="176"/>
  <c r="J32" i="176"/>
  <c r="I32" i="176"/>
  <c r="H32" i="176"/>
  <c r="G32" i="176"/>
  <c r="F32" i="176"/>
  <c r="E32" i="176"/>
  <c r="O31" i="176"/>
  <c r="N31" i="176"/>
  <c r="M31" i="176"/>
  <c r="L31" i="176"/>
  <c r="K31" i="176"/>
  <c r="J31" i="176"/>
  <c r="I31" i="176"/>
  <c r="H31" i="176"/>
  <c r="G31" i="176"/>
  <c r="F31" i="176"/>
  <c r="E31" i="176"/>
  <c r="D31" i="176"/>
  <c r="O30" i="176"/>
  <c r="M30" i="176"/>
  <c r="L30" i="176"/>
  <c r="K30" i="176"/>
  <c r="J30" i="176"/>
  <c r="H30" i="176"/>
  <c r="G30" i="176"/>
  <c r="E30" i="176"/>
  <c r="I323" i="174"/>
  <c r="O321" i="174"/>
  <c r="N321" i="174"/>
  <c r="M321" i="174"/>
  <c r="L321" i="174"/>
  <c r="K321" i="174"/>
  <c r="J321" i="174"/>
  <c r="I321" i="174"/>
  <c r="H321" i="174"/>
  <c r="G321" i="174"/>
  <c r="F321" i="174"/>
  <c r="E321" i="174"/>
  <c r="D321" i="174"/>
  <c r="P320" i="174"/>
  <c r="B320" i="174"/>
  <c r="P319" i="174"/>
  <c r="B319" i="174"/>
  <c r="P318" i="174"/>
  <c r="B318" i="174"/>
  <c r="P317" i="174"/>
  <c r="B317" i="174"/>
  <c r="P316" i="174"/>
  <c r="B316" i="174"/>
  <c r="P315" i="174"/>
  <c r="B315" i="174"/>
  <c r="P314" i="174"/>
  <c r="B314" i="174"/>
  <c r="P313" i="174"/>
  <c r="B313" i="174"/>
  <c r="P312" i="174"/>
  <c r="B312" i="174"/>
  <c r="P311" i="174"/>
  <c r="B311" i="174"/>
  <c r="P310" i="174"/>
  <c r="B310" i="174"/>
  <c r="P309" i="174"/>
  <c r="B309" i="174"/>
  <c r="P308" i="174"/>
  <c r="B308" i="174"/>
  <c r="P307" i="174"/>
  <c r="B307" i="174"/>
  <c r="P306" i="174"/>
  <c r="B306" i="174"/>
  <c r="P305" i="174"/>
  <c r="B305" i="174"/>
  <c r="P304" i="174"/>
  <c r="B304" i="174"/>
  <c r="P302" i="174"/>
  <c r="B302" i="174"/>
  <c r="P301" i="174"/>
  <c r="B301" i="174"/>
  <c r="P300" i="174"/>
  <c r="B300" i="174"/>
  <c r="P299" i="174"/>
  <c r="B299" i="174"/>
  <c r="P298" i="174"/>
  <c r="B298" i="174"/>
  <c r="P297" i="174"/>
  <c r="B297" i="174"/>
  <c r="P296" i="174"/>
  <c r="B296" i="174"/>
  <c r="P295" i="174"/>
  <c r="B295" i="174"/>
  <c r="P294" i="174"/>
  <c r="B294" i="174"/>
  <c r="P293" i="174"/>
  <c r="B293" i="174"/>
  <c r="P292" i="174"/>
  <c r="B292" i="174"/>
  <c r="P291" i="174"/>
  <c r="B291" i="174"/>
  <c r="P290" i="174"/>
  <c r="B290" i="174"/>
  <c r="O18" i="176"/>
  <c r="N18" i="176"/>
  <c r="M18" i="176"/>
  <c r="L18" i="176"/>
  <c r="K18" i="176"/>
  <c r="J18" i="176"/>
  <c r="I18" i="176"/>
  <c r="H18" i="176"/>
  <c r="G18" i="176"/>
  <c r="F18" i="176"/>
  <c r="E18" i="176"/>
  <c r="O17" i="176"/>
  <c r="N17" i="176"/>
  <c r="M17" i="176"/>
  <c r="L17" i="176"/>
  <c r="K17" i="176"/>
  <c r="J17" i="176"/>
  <c r="I17" i="176"/>
  <c r="H17" i="176"/>
  <c r="G17" i="176"/>
  <c r="F17" i="176"/>
  <c r="E17" i="176"/>
  <c r="D17" i="176"/>
  <c r="O16" i="176"/>
  <c r="K16" i="176"/>
  <c r="K19" i="176" s="1"/>
  <c r="J16" i="176"/>
  <c r="I16" i="176"/>
  <c r="H16" i="176"/>
  <c r="G16" i="176"/>
  <c r="P282" i="174"/>
  <c r="O281" i="174"/>
  <c r="N281" i="174"/>
  <c r="M281" i="174"/>
  <c r="L281" i="174"/>
  <c r="K281" i="174"/>
  <c r="J281" i="174"/>
  <c r="I281" i="174"/>
  <c r="H281" i="174"/>
  <c r="G281" i="174"/>
  <c r="F281" i="174"/>
  <c r="E281" i="174"/>
  <c r="D281" i="174"/>
  <c r="P281" i="174" s="1"/>
  <c r="P280" i="174"/>
  <c r="B280" i="174"/>
  <c r="P279" i="174"/>
  <c r="B279" i="174"/>
  <c r="P278" i="174"/>
  <c r="B278" i="174"/>
  <c r="P277" i="174"/>
  <c r="B277" i="174"/>
  <c r="P276" i="174"/>
  <c r="B276" i="174"/>
  <c r="P275" i="174"/>
  <c r="B275" i="174"/>
  <c r="P274" i="174"/>
  <c r="B274" i="174"/>
  <c r="P273" i="174"/>
  <c r="B273" i="174"/>
  <c r="P272" i="174"/>
  <c r="B272" i="174"/>
  <c r="P271" i="174"/>
  <c r="B271" i="174"/>
  <c r="P270" i="174"/>
  <c r="B270" i="174"/>
  <c r="P269" i="174"/>
  <c r="B269" i="174"/>
  <c r="P268" i="174"/>
  <c r="B268" i="174"/>
  <c r="P267" i="174"/>
  <c r="B267" i="174"/>
  <c r="P266" i="174"/>
  <c r="B266" i="174"/>
  <c r="P265" i="174"/>
  <c r="B265" i="174"/>
  <c r="P264" i="174"/>
  <c r="B264" i="174"/>
  <c r="P260" i="174"/>
  <c r="O259" i="174"/>
  <c r="N259" i="174"/>
  <c r="M259" i="174"/>
  <c r="L259" i="174"/>
  <c r="K259" i="174"/>
  <c r="J259" i="174"/>
  <c r="I259" i="174"/>
  <c r="H259" i="174"/>
  <c r="G259" i="174"/>
  <c r="F259" i="174"/>
  <c r="E259" i="174"/>
  <c r="D259" i="174"/>
  <c r="P258" i="174"/>
  <c r="B258" i="174"/>
  <c r="P257" i="174"/>
  <c r="B257" i="174"/>
  <c r="P256" i="174"/>
  <c r="B256" i="174"/>
  <c r="P255" i="174"/>
  <c r="B255" i="174"/>
  <c r="P254" i="174"/>
  <c r="B254" i="174"/>
  <c r="P253" i="174"/>
  <c r="B253" i="174"/>
  <c r="P252" i="174"/>
  <c r="B252" i="174"/>
  <c r="P251" i="174"/>
  <c r="B251" i="174"/>
  <c r="P250" i="174"/>
  <c r="B250" i="174"/>
  <c r="P249" i="174"/>
  <c r="B249" i="174"/>
  <c r="P248" i="174"/>
  <c r="B248" i="174"/>
  <c r="P247" i="174"/>
  <c r="B247" i="174"/>
  <c r="P246" i="174"/>
  <c r="B246" i="174"/>
  <c r="P245" i="174"/>
  <c r="B245" i="174"/>
  <c r="P244" i="174"/>
  <c r="B244" i="174"/>
  <c r="P243" i="174"/>
  <c r="B243" i="174"/>
  <c r="P242" i="174"/>
  <c r="B242" i="174"/>
  <c r="P241" i="174"/>
  <c r="B241" i="174"/>
  <c r="P240" i="174"/>
  <c r="B240" i="174"/>
  <c r="P239" i="174"/>
  <c r="B239" i="174"/>
  <c r="P238" i="174"/>
  <c r="B238" i="174"/>
  <c r="P237" i="174"/>
  <c r="B237" i="174"/>
  <c r="P236" i="174"/>
  <c r="B236" i="174"/>
  <c r="P235" i="174"/>
  <c r="B235" i="174"/>
  <c r="P234" i="174"/>
  <c r="B234" i="174"/>
  <c r="P233" i="174"/>
  <c r="B233" i="174"/>
  <c r="P232" i="174"/>
  <c r="B232" i="174"/>
  <c r="P231" i="174"/>
  <c r="B231" i="174"/>
  <c r="P230" i="174"/>
  <c r="B230" i="174"/>
  <c r="P229" i="174"/>
  <c r="B229" i="174"/>
  <c r="P228" i="174"/>
  <c r="B228" i="174"/>
  <c r="P227" i="174"/>
  <c r="B227" i="174"/>
  <c r="P224" i="174"/>
  <c r="O223" i="174"/>
  <c r="N223" i="174"/>
  <c r="M223" i="174"/>
  <c r="L223" i="174"/>
  <c r="K223" i="174"/>
  <c r="J223" i="174"/>
  <c r="I223" i="174"/>
  <c r="H223" i="174"/>
  <c r="G223" i="174"/>
  <c r="F223" i="174"/>
  <c r="E223" i="174"/>
  <c r="D223" i="174"/>
  <c r="P222" i="174"/>
  <c r="B222" i="174"/>
  <c r="P221" i="174"/>
  <c r="B221" i="174"/>
  <c r="P220" i="174"/>
  <c r="B220" i="174"/>
  <c r="P219" i="174"/>
  <c r="B219" i="174"/>
  <c r="P218" i="174"/>
  <c r="B218" i="174"/>
  <c r="P217" i="174"/>
  <c r="B217" i="174"/>
  <c r="P216" i="174"/>
  <c r="B216" i="174"/>
  <c r="P215" i="174"/>
  <c r="B215" i="174"/>
  <c r="P214" i="174"/>
  <c r="B214" i="174"/>
  <c r="P213" i="174"/>
  <c r="B213" i="174"/>
  <c r="P212" i="174"/>
  <c r="B212" i="174"/>
  <c r="P211" i="174"/>
  <c r="B211" i="174"/>
  <c r="P210" i="174"/>
  <c r="B210" i="174"/>
  <c r="P209" i="174"/>
  <c r="B209" i="174"/>
  <c r="P208" i="174"/>
  <c r="B208" i="174"/>
  <c r="P207" i="174"/>
  <c r="B207" i="174"/>
  <c r="P206" i="174"/>
  <c r="B206" i="174"/>
  <c r="P205" i="174"/>
  <c r="B205" i="174"/>
  <c r="P204" i="174"/>
  <c r="B204" i="174"/>
  <c r="P203" i="174"/>
  <c r="B203" i="174"/>
  <c r="P202" i="174"/>
  <c r="B202" i="174"/>
  <c r="P201" i="174"/>
  <c r="B201" i="174"/>
  <c r="P200" i="174"/>
  <c r="B200" i="174"/>
  <c r="P199" i="174"/>
  <c r="B199" i="174"/>
  <c r="P198" i="174"/>
  <c r="B198" i="174"/>
  <c r="P197" i="174"/>
  <c r="B197" i="174"/>
  <c r="P196" i="174"/>
  <c r="B196" i="174"/>
  <c r="P195" i="174"/>
  <c r="B195" i="174"/>
  <c r="P194" i="174"/>
  <c r="B194" i="174"/>
  <c r="P193" i="174"/>
  <c r="B193" i="174"/>
  <c r="P192" i="174"/>
  <c r="B192" i="174"/>
  <c r="P191" i="174"/>
  <c r="B191" i="174"/>
  <c r="P190" i="174"/>
  <c r="B190" i="174"/>
  <c r="P189" i="174"/>
  <c r="B189" i="174"/>
  <c r="P188" i="174"/>
  <c r="B188" i="174"/>
  <c r="O81" i="176"/>
  <c r="N81" i="176"/>
  <c r="M81" i="176"/>
  <c r="L81" i="176"/>
  <c r="K81" i="176"/>
  <c r="J81" i="176"/>
  <c r="I81" i="176"/>
  <c r="H81" i="176"/>
  <c r="G81" i="176"/>
  <c r="F81" i="176"/>
  <c r="E81" i="176"/>
  <c r="D81" i="176"/>
  <c r="O80" i="176"/>
  <c r="N80" i="176"/>
  <c r="M80" i="176"/>
  <c r="L80" i="176"/>
  <c r="K80" i="176"/>
  <c r="J80" i="176"/>
  <c r="I80" i="176"/>
  <c r="H80" i="176"/>
  <c r="G80" i="176"/>
  <c r="F80" i="176"/>
  <c r="E80" i="176"/>
  <c r="O79" i="176"/>
  <c r="N79" i="176"/>
  <c r="M79" i="176"/>
  <c r="L79" i="176"/>
  <c r="K79" i="176"/>
  <c r="J79" i="176"/>
  <c r="I79" i="176"/>
  <c r="H79" i="176"/>
  <c r="G79" i="176"/>
  <c r="F79" i="176"/>
  <c r="E79" i="176"/>
  <c r="D79" i="176"/>
  <c r="M78" i="176"/>
  <c r="L78" i="176"/>
  <c r="K78" i="176"/>
  <c r="J78" i="176"/>
  <c r="I78" i="176"/>
  <c r="E78" i="176"/>
  <c r="D78" i="176"/>
  <c r="P179" i="174"/>
  <c r="O178" i="174"/>
  <c r="N178" i="174"/>
  <c r="M178" i="174"/>
  <c r="L178" i="174"/>
  <c r="K178" i="174"/>
  <c r="J178" i="174"/>
  <c r="I178" i="174"/>
  <c r="H178" i="174"/>
  <c r="G178" i="174"/>
  <c r="F178" i="174"/>
  <c r="E178" i="174"/>
  <c r="D178" i="174"/>
  <c r="P178" i="174" s="1"/>
  <c r="P177" i="174"/>
  <c r="B177" i="174"/>
  <c r="P176" i="174"/>
  <c r="B176" i="174"/>
  <c r="P175" i="174"/>
  <c r="B175" i="174"/>
  <c r="P174" i="174"/>
  <c r="B174" i="174"/>
  <c r="P173" i="174"/>
  <c r="B173" i="174"/>
  <c r="P172" i="174"/>
  <c r="B172" i="174"/>
  <c r="P171" i="174"/>
  <c r="B171" i="174"/>
  <c r="P170" i="174"/>
  <c r="B170" i="174"/>
  <c r="P169" i="174"/>
  <c r="B169" i="174"/>
  <c r="P168" i="174"/>
  <c r="B168" i="174"/>
  <c r="P167" i="174"/>
  <c r="B167" i="174"/>
  <c r="P166" i="174"/>
  <c r="B166" i="174"/>
  <c r="P165" i="174"/>
  <c r="B165" i="174"/>
  <c r="P164" i="174"/>
  <c r="B164" i="174"/>
  <c r="P163" i="174"/>
  <c r="B163" i="174"/>
  <c r="P162" i="174"/>
  <c r="B162" i="174"/>
  <c r="P161" i="174"/>
  <c r="B161" i="174"/>
  <c r="P160" i="174"/>
  <c r="B160" i="174"/>
  <c r="O71" i="176"/>
  <c r="N71" i="176"/>
  <c r="M71" i="176"/>
  <c r="L71" i="176"/>
  <c r="K71" i="176"/>
  <c r="J71" i="176"/>
  <c r="I71" i="176"/>
  <c r="H71" i="176"/>
  <c r="G71" i="176"/>
  <c r="F71" i="176"/>
  <c r="E71" i="176"/>
  <c r="D71" i="176"/>
  <c r="O70" i="176"/>
  <c r="N70" i="176"/>
  <c r="M70" i="176"/>
  <c r="L70" i="176"/>
  <c r="K70" i="176"/>
  <c r="J70" i="176"/>
  <c r="I70" i="176"/>
  <c r="H70" i="176"/>
  <c r="G70" i="176"/>
  <c r="F70" i="176"/>
  <c r="E70" i="176"/>
  <c r="D70" i="176"/>
  <c r="O69" i="176"/>
  <c r="N69" i="176"/>
  <c r="M69" i="176"/>
  <c r="L69" i="176"/>
  <c r="K69" i="176"/>
  <c r="J69" i="176"/>
  <c r="I69" i="176"/>
  <c r="H69" i="176"/>
  <c r="G69" i="176"/>
  <c r="F69" i="176"/>
  <c r="E69" i="176"/>
  <c r="O68" i="176"/>
  <c r="M68" i="176"/>
  <c r="L68" i="176"/>
  <c r="K68" i="176"/>
  <c r="G68" i="176"/>
  <c r="E68" i="176"/>
  <c r="P151" i="174"/>
  <c r="O150" i="174"/>
  <c r="N150" i="174"/>
  <c r="M150" i="174"/>
  <c r="L150" i="174"/>
  <c r="K150" i="174"/>
  <c r="J150" i="174"/>
  <c r="I150" i="174"/>
  <c r="H150" i="174"/>
  <c r="G150" i="174"/>
  <c r="F150" i="174"/>
  <c r="E150" i="174"/>
  <c r="D150" i="174"/>
  <c r="P149" i="174"/>
  <c r="B149" i="174"/>
  <c r="P148" i="174"/>
  <c r="B148" i="174"/>
  <c r="P147" i="174"/>
  <c r="B147" i="174"/>
  <c r="P146" i="174"/>
  <c r="B146" i="174"/>
  <c r="P145" i="174"/>
  <c r="B145" i="174"/>
  <c r="P144" i="174"/>
  <c r="B144" i="174"/>
  <c r="P143" i="174"/>
  <c r="B143" i="174"/>
  <c r="P142" i="174"/>
  <c r="B142" i="174"/>
  <c r="P141" i="174"/>
  <c r="B141" i="174"/>
  <c r="P140" i="174"/>
  <c r="B140" i="174"/>
  <c r="P139" i="174"/>
  <c r="B139" i="174"/>
  <c r="P138" i="174"/>
  <c r="B138" i="174"/>
  <c r="P137" i="174"/>
  <c r="B137" i="174"/>
  <c r="P136" i="174"/>
  <c r="B136" i="174"/>
  <c r="P135" i="174"/>
  <c r="B135" i="174"/>
  <c r="P134" i="174"/>
  <c r="B134" i="174"/>
  <c r="O61" i="176"/>
  <c r="N61" i="176"/>
  <c r="O60" i="176"/>
  <c r="N60" i="176"/>
  <c r="O59" i="176"/>
  <c r="P125" i="174"/>
  <c r="O124" i="174"/>
  <c r="N124" i="174"/>
  <c r="P123" i="174"/>
  <c r="B123" i="174"/>
  <c r="P122" i="174"/>
  <c r="B122" i="174"/>
  <c r="P121" i="174"/>
  <c r="B121" i="174"/>
  <c r="P120" i="174"/>
  <c r="B120" i="174"/>
  <c r="P119" i="174"/>
  <c r="B119" i="174"/>
  <c r="P118" i="174"/>
  <c r="B118" i="174"/>
  <c r="P117" i="174"/>
  <c r="B117" i="174"/>
  <c r="P116" i="174"/>
  <c r="B116" i="174"/>
  <c r="P115" i="174"/>
  <c r="B115" i="174"/>
  <c r="P114" i="174"/>
  <c r="B114" i="174"/>
  <c r="P113" i="174"/>
  <c r="B113" i="174"/>
  <c r="P112" i="174"/>
  <c r="B112" i="174"/>
  <c r="P111" i="174"/>
  <c r="B111" i="174"/>
  <c r="P110" i="174"/>
  <c r="B110" i="174"/>
  <c r="P109" i="174"/>
  <c r="B109" i="174"/>
  <c r="P108" i="174"/>
  <c r="B108" i="174"/>
  <c r="P99" i="174"/>
  <c r="P97" i="174"/>
  <c r="B97" i="174"/>
  <c r="P96" i="174"/>
  <c r="B96" i="174"/>
  <c r="P95" i="174"/>
  <c r="B95" i="174"/>
  <c r="P94" i="174"/>
  <c r="B94" i="174"/>
  <c r="P93" i="174"/>
  <c r="B93" i="174"/>
  <c r="P92" i="174"/>
  <c r="B92" i="174"/>
  <c r="P91" i="174"/>
  <c r="B91" i="174"/>
  <c r="P90" i="174"/>
  <c r="B90" i="174"/>
  <c r="P89" i="174"/>
  <c r="B89" i="174"/>
  <c r="P88" i="174"/>
  <c r="B88" i="174"/>
  <c r="P87" i="174"/>
  <c r="B87" i="174"/>
  <c r="P86" i="174"/>
  <c r="B86" i="174"/>
  <c r="P85" i="174"/>
  <c r="B85" i="174"/>
  <c r="P84" i="174"/>
  <c r="B84" i="174"/>
  <c r="P83" i="174"/>
  <c r="B83" i="174"/>
  <c r="P82" i="174"/>
  <c r="B82" i="174"/>
  <c r="O81" i="174"/>
  <c r="O51" i="176" s="1"/>
  <c r="N81" i="174"/>
  <c r="N51" i="176" s="1"/>
  <c r="M81" i="174"/>
  <c r="L81" i="174"/>
  <c r="K81" i="174"/>
  <c r="J81" i="174"/>
  <c r="I81" i="174"/>
  <c r="H81" i="174"/>
  <c r="G81" i="174"/>
  <c r="F81" i="174"/>
  <c r="B81" i="174"/>
  <c r="E80" i="174"/>
  <c r="D80" i="174"/>
  <c r="P80" i="174" s="1"/>
  <c r="B80" i="174"/>
  <c r="J79" i="174"/>
  <c r="I79" i="174"/>
  <c r="H79" i="174"/>
  <c r="G79" i="174"/>
  <c r="F79" i="174"/>
  <c r="B79" i="174"/>
  <c r="E78" i="174"/>
  <c r="D78" i="174"/>
  <c r="B78" i="174"/>
  <c r="J77" i="174"/>
  <c r="I77" i="174"/>
  <c r="H77" i="174"/>
  <c r="G77" i="174"/>
  <c r="F77" i="174"/>
  <c r="B77" i="174"/>
  <c r="E76" i="174"/>
  <c r="D76" i="174"/>
  <c r="B76" i="174"/>
  <c r="O75" i="174"/>
  <c r="O48" i="176" s="1"/>
  <c r="N75" i="174"/>
  <c r="M75" i="174"/>
  <c r="L75" i="174"/>
  <c r="K75" i="174"/>
  <c r="J75" i="174"/>
  <c r="J98" i="174" s="1"/>
  <c r="I75" i="174"/>
  <c r="H75" i="174"/>
  <c r="G75" i="174"/>
  <c r="F75" i="174"/>
  <c r="F98" i="174" s="1"/>
  <c r="B75" i="174"/>
  <c r="E74" i="174"/>
  <c r="E98" i="174" s="1"/>
  <c r="D74" i="174"/>
  <c r="B74" i="174"/>
  <c r="P73" i="174"/>
  <c r="B73" i="174"/>
  <c r="P72" i="174"/>
  <c r="B72" i="174"/>
  <c r="P71" i="174"/>
  <c r="B71" i="174"/>
  <c r="P70" i="174"/>
  <c r="B70" i="174"/>
  <c r="P69" i="174"/>
  <c r="B69" i="174"/>
  <c r="P68" i="174"/>
  <c r="B68" i="174"/>
  <c r="P67" i="174"/>
  <c r="B67" i="174"/>
  <c r="O28" i="176"/>
  <c r="N28" i="176"/>
  <c r="O27" i="176"/>
  <c r="N27" i="176"/>
  <c r="O26" i="176"/>
  <c r="P59" i="174"/>
  <c r="O58" i="174"/>
  <c r="N58" i="174"/>
  <c r="M58" i="174"/>
  <c r="L58" i="174"/>
  <c r="K58" i="174"/>
  <c r="J58" i="174"/>
  <c r="I58" i="174"/>
  <c r="H58" i="174"/>
  <c r="G58" i="174"/>
  <c r="F58" i="174"/>
  <c r="E58" i="174"/>
  <c r="D58" i="174"/>
  <c r="P58" i="174" s="1"/>
  <c r="P57" i="174"/>
  <c r="B57" i="174"/>
  <c r="P56" i="174"/>
  <c r="B56" i="174"/>
  <c r="P55" i="174"/>
  <c r="B55" i="174"/>
  <c r="P54" i="174"/>
  <c r="B54" i="174"/>
  <c r="P53" i="174"/>
  <c r="B53" i="174"/>
  <c r="P52" i="174"/>
  <c r="B52" i="174"/>
  <c r="P51" i="174"/>
  <c r="B51" i="174"/>
  <c r="P50" i="174"/>
  <c r="B50" i="174"/>
  <c r="P49" i="174"/>
  <c r="B49" i="174"/>
  <c r="P48" i="174"/>
  <c r="B48" i="174"/>
  <c r="P47" i="174"/>
  <c r="B47" i="174"/>
  <c r="P46" i="174"/>
  <c r="B46" i="174"/>
  <c r="P45" i="174"/>
  <c r="B45" i="174"/>
  <c r="P44" i="174"/>
  <c r="B44" i="174"/>
  <c r="P43" i="174"/>
  <c r="B43" i="174"/>
  <c r="P42" i="174"/>
  <c r="B42" i="174"/>
  <c r="P37" i="174"/>
  <c r="O36" i="174"/>
  <c r="N36" i="174"/>
  <c r="M36" i="174"/>
  <c r="L36" i="174"/>
  <c r="K36" i="174"/>
  <c r="J36" i="174"/>
  <c r="I36" i="174"/>
  <c r="H36" i="174"/>
  <c r="G36" i="174"/>
  <c r="F36" i="174"/>
  <c r="E36" i="174"/>
  <c r="D36" i="174"/>
  <c r="P35" i="174"/>
  <c r="B35" i="174"/>
  <c r="P34" i="174"/>
  <c r="B34" i="174"/>
  <c r="P33" i="174"/>
  <c r="B33" i="174"/>
  <c r="P32" i="174"/>
  <c r="B32" i="174"/>
  <c r="P31" i="174"/>
  <c r="B31" i="174"/>
  <c r="P30" i="174"/>
  <c r="B30" i="174"/>
  <c r="P29" i="174"/>
  <c r="B29" i="174"/>
  <c r="P28" i="174"/>
  <c r="B28" i="174"/>
  <c r="P27" i="174"/>
  <c r="B27" i="174"/>
  <c r="P26" i="174"/>
  <c r="B26" i="174"/>
  <c r="P25" i="174"/>
  <c r="B25" i="174"/>
  <c r="P24" i="174"/>
  <c r="B24" i="174"/>
  <c r="P23" i="174"/>
  <c r="B23" i="174"/>
  <c r="P22" i="174"/>
  <c r="B22" i="174"/>
  <c r="P21" i="174"/>
  <c r="B21" i="174"/>
  <c r="AD18" i="174"/>
  <c r="AC18" i="174"/>
  <c r="AE18" i="174"/>
  <c r="P18" i="174"/>
  <c r="AD17" i="174"/>
  <c r="AC17" i="174"/>
  <c r="AB17" i="174"/>
  <c r="AA17" i="174"/>
  <c r="Z17" i="174"/>
  <c r="Y17" i="174"/>
  <c r="X17" i="174"/>
  <c r="W17" i="174"/>
  <c r="V17" i="174"/>
  <c r="U17" i="174"/>
  <c r="T17" i="174"/>
  <c r="S17" i="174"/>
  <c r="O17" i="174"/>
  <c r="N17" i="174"/>
  <c r="M17" i="174"/>
  <c r="L17" i="174"/>
  <c r="K17" i="174"/>
  <c r="J17" i="174"/>
  <c r="I17" i="174"/>
  <c r="H17" i="174"/>
  <c r="G17" i="174"/>
  <c r="F17" i="174"/>
  <c r="E17" i="174"/>
  <c r="D17" i="174"/>
  <c r="AD16" i="174"/>
  <c r="AC16" i="174"/>
  <c r="AB16" i="174"/>
  <c r="AA16" i="174"/>
  <c r="Z16" i="174"/>
  <c r="Y16" i="174"/>
  <c r="X16" i="174"/>
  <c r="W16" i="174"/>
  <c r="V16" i="174"/>
  <c r="U16" i="174"/>
  <c r="T16" i="174"/>
  <c r="S16" i="174"/>
  <c r="AE16" i="174" s="1"/>
  <c r="P16" i="174"/>
  <c r="B16" i="174"/>
  <c r="AD15" i="174"/>
  <c r="AC15" i="174"/>
  <c r="AB15" i="174"/>
  <c r="M86" i="176" s="1"/>
  <c r="AA15" i="174"/>
  <c r="Z15" i="174"/>
  <c r="K86" i="176" s="1"/>
  <c r="Y15" i="174"/>
  <c r="X15" i="174"/>
  <c r="W15" i="174"/>
  <c r="V15" i="174"/>
  <c r="U15" i="174"/>
  <c r="T15" i="174"/>
  <c r="E86" i="176" s="1"/>
  <c r="S15" i="174"/>
  <c r="P15" i="174"/>
  <c r="B15" i="174"/>
  <c r="AD14" i="174"/>
  <c r="AC14" i="174"/>
  <c r="AB14" i="174"/>
  <c r="AA14" i="174"/>
  <c r="Z14" i="174"/>
  <c r="Y14" i="174"/>
  <c r="X14" i="174"/>
  <c r="W14" i="174"/>
  <c r="V14" i="174"/>
  <c r="U14" i="174"/>
  <c r="T14" i="174"/>
  <c r="S14" i="174"/>
  <c r="P14" i="174"/>
  <c r="B14" i="174"/>
  <c r="AD13" i="174"/>
  <c r="AC13" i="174"/>
  <c r="AB13" i="174"/>
  <c r="AA13" i="174"/>
  <c r="Z13" i="174"/>
  <c r="Y13" i="174"/>
  <c r="X13" i="174"/>
  <c r="W13" i="174"/>
  <c r="V13" i="174"/>
  <c r="U13" i="174"/>
  <c r="T13" i="174"/>
  <c r="S13" i="174"/>
  <c r="P13" i="174"/>
  <c r="B13" i="174"/>
  <c r="AD12" i="174"/>
  <c r="P12" i="174"/>
  <c r="B12" i="174"/>
  <c r="AD11" i="174"/>
  <c r="Q119" i="176" s="1"/>
  <c r="R119" i="176" s="1"/>
  <c r="G12" i="99" s="1"/>
  <c r="AC11" i="174"/>
  <c r="AB11" i="174"/>
  <c r="AA11" i="174"/>
  <c r="Z11" i="174"/>
  <c r="Y11" i="174"/>
  <c r="X11" i="174"/>
  <c r="W11" i="174"/>
  <c r="V11" i="174"/>
  <c r="U11" i="174"/>
  <c r="T11" i="174"/>
  <c r="S11" i="174"/>
  <c r="P11" i="174"/>
  <c r="B11" i="174"/>
  <c r="AD10" i="174"/>
  <c r="AC10" i="174"/>
  <c r="AB10" i="174"/>
  <c r="AA10" i="174"/>
  <c r="Z10" i="174"/>
  <c r="Y10" i="174"/>
  <c r="X10" i="174"/>
  <c r="W10" i="174"/>
  <c r="V10" i="174"/>
  <c r="U10" i="174"/>
  <c r="T10" i="174"/>
  <c r="P10" i="174"/>
  <c r="B10" i="174"/>
  <c r="AD9" i="174"/>
  <c r="Q109" i="176" s="1"/>
  <c r="R109" i="176" s="1"/>
  <c r="E12" i="99" s="1"/>
  <c r="AC9" i="174"/>
  <c r="AB9" i="174"/>
  <c r="AA9" i="174"/>
  <c r="Z9" i="174"/>
  <c r="Y9" i="174"/>
  <c r="X9" i="174"/>
  <c r="W9" i="174"/>
  <c r="V9" i="174"/>
  <c r="U9" i="174"/>
  <c r="T9" i="174"/>
  <c r="S9" i="174"/>
  <c r="P9" i="174"/>
  <c r="B9" i="174"/>
  <c r="AD8" i="174"/>
  <c r="AC8" i="174"/>
  <c r="AB8" i="174"/>
  <c r="M10" i="176" s="1"/>
  <c r="AA8" i="174"/>
  <c r="L10" i="176" s="1"/>
  <c r="Z8" i="174"/>
  <c r="K10" i="176" s="1"/>
  <c r="Y8" i="174"/>
  <c r="X8" i="174"/>
  <c r="W8" i="174"/>
  <c r="H10" i="176" s="1"/>
  <c r="V8" i="174"/>
  <c r="G10" i="176" s="1"/>
  <c r="U8" i="174"/>
  <c r="T8" i="174"/>
  <c r="E10" i="176" s="1"/>
  <c r="S8" i="174"/>
  <c r="D10" i="176" s="1"/>
  <c r="P8" i="174"/>
  <c r="B8" i="174"/>
  <c r="AC7" i="174"/>
  <c r="N8" i="176" s="1"/>
  <c r="AB7" i="174"/>
  <c r="AA7" i="174"/>
  <c r="Z7" i="174"/>
  <c r="Y7" i="174"/>
  <c r="J8" i="176" s="1"/>
  <c r="X7" i="174"/>
  <c r="I8" i="176" s="1"/>
  <c r="W7" i="174"/>
  <c r="V7" i="174"/>
  <c r="G8" i="176" s="1"/>
  <c r="U7" i="174"/>
  <c r="F8" i="176" s="1"/>
  <c r="T7" i="174"/>
  <c r="S7" i="174"/>
  <c r="AE7" i="174" s="1"/>
  <c r="P7" i="174"/>
  <c r="B7" i="174"/>
  <c r="P6" i="174"/>
  <c r="B6" i="174"/>
  <c r="P5" i="174"/>
  <c r="B5" i="174"/>
  <c r="E516" i="169"/>
  <c r="E515" i="169"/>
  <c r="E514" i="169"/>
  <c r="E513" i="169"/>
  <c r="E512" i="169"/>
  <c r="E504" i="169"/>
  <c r="E503" i="169"/>
  <c r="E502" i="169"/>
  <c r="E501" i="169"/>
  <c r="L497" i="169"/>
  <c r="E497" i="169"/>
  <c r="C497" i="169" s="1"/>
  <c r="K497" i="169" s="1"/>
  <c r="M497" i="169" s="1"/>
  <c r="L496" i="169"/>
  <c r="E496" i="169"/>
  <c r="C496" i="169" s="1"/>
  <c r="K496" i="169" s="1"/>
  <c r="M496" i="169" s="1"/>
  <c r="L495" i="169"/>
  <c r="E495" i="169"/>
  <c r="C495" i="169" s="1"/>
  <c r="K495" i="169" s="1"/>
  <c r="M495" i="169" s="1"/>
  <c r="L494" i="169"/>
  <c r="E494" i="169"/>
  <c r="C494" i="169" s="1"/>
  <c r="K494" i="169" s="1"/>
  <c r="E488" i="169"/>
  <c r="E487" i="169"/>
  <c r="E486" i="169"/>
  <c r="E485" i="169"/>
  <c r="L481" i="169"/>
  <c r="E481" i="169"/>
  <c r="C481" i="169" s="1"/>
  <c r="K481" i="169" s="1"/>
  <c r="L480" i="169"/>
  <c r="E480" i="169"/>
  <c r="C480" i="169" s="1"/>
  <c r="K480" i="169" s="1"/>
  <c r="L479" i="169"/>
  <c r="E479" i="169"/>
  <c r="C479" i="169" s="1"/>
  <c r="K479" i="169" s="1"/>
  <c r="L478" i="169"/>
  <c r="E478" i="169"/>
  <c r="C478" i="169" s="1"/>
  <c r="K478" i="169" s="1"/>
  <c r="E472" i="169"/>
  <c r="E471" i="169"/>
  <c r="E470" i="169"/>
  <c r="E469" i="169"/>
  <c r="L465" i="169"/>
  <c r="E465" i="169"/>
  <c r="C465" i="169" s="1"/>
  <c r="K465" i="169" s="1"/>
  <c r="L464" i="169"/>
  <c r="E464" i="169"/>
  <c r="C464" i="169" s="1"/>
  <c r="K464" i="169" s="1"/>
  <c r="L463" i="169"/>
  <c r="E463" i="169"/>
  <c r="C463" i="169" s="1"/>
  <c r="K463" i="169" s="1"/>
  <c r="L462" i="169"/>
  <c r="E462" i="169"/>
  <c r="E456" i="169"/>
  <c r="E454" i="169"/>
  <c r="E453" i="169"/>
  <c r="E452" i="169"/>
  <c r="E451" i="169"/>
  <c r="E450" i="169"/>
  <c r="E449" i="169"/>
  <c r="E448" i="169"/>
  <c r="E447" i="169"/>
  <c r="E446" i="169"/>
  <c r="H442" i="169"/>
  <c r="E442" i="169"/>
  <c r="C442" i="169" s="1"/>
  <c r="G442" i="169" s="1"/>
  <c r="H441" i="169"/>
  <c r="E441" i="169"/>
  <c r="C441" i="169" s="1"/>
  <c r="H440" i="169"/>
  <c r="E440" i="169"/>
  <c r="C440" i="169" s="1"/>
  <c r="H439" i="169"/>
  <c r="E439" i="169"/>
  <c r="C439" i="169" s="1"/>
  <c r="H438" i="169"/>
  <c r="E438" i="169"/>
  <c r="C438" i="169" s="1"/>
  <c r="G438" i="169" s="1"/>
  <c r="I438" i="169" s="1"/>
  <c r="H437" i="169"/>
  <c r="E437" i="169"/>
  <c r="C437" i="169" s="1"/>
  <c r="H436" i="169"/>
  <c r="E436" i="169"/>
  <c r="C436" i="169" s="1"/>
  <c r="G436" i="169" s="1"/>
  <c r="H435" i="169"/>
  <c r="E435" i="169"/>
  <c r="C435" i="169" s="1"/>
  <c r="L434" i="169"/>
  <c r="H434" i="169"/>
  <c r="E434" i="169"/>
  <c r="C434" i="169" s="1"/>
  <c r="E433" i="169"/>
  <c r="C433" i="169" s="1"/>
  <c r="L432" i="169"/>
  <c r="H432" i="169"/>
  <c r="E432" i="169"/>
  <c r="C432" i="169" s="1"/>
  <c r="G432" i="169" s="1"/>
  <c r="E424" i="169"/>
  <c r="E423" i="169"/>
  <c r="E422" i="169"/>
  <c r="E421" i="169"/>
  <c r="E420" i="169"/>
  <c r="E419" i="169"/>
  <c r="E418" i="169"/>
  <c r="E417" i="169"/>
  <c r="E416" i="169"/>
  <c r="L412" i="169"/>
  <c r="H412" i="169"/>
  <c r="E412" i="169"/>
  <c r="C412" i="169" s="1"/>
  <c r="L411" i="169"/>
  <c r="H411" i="169"/>
  <c r="E411" i="169"/>
  <c r="C411" i="169" s="1"/>
  <c r="L410" i="169"/>
  <c r="H410" i="169"/>
  <c r="L409" i="169"/>
  <c r="H409" i="169"/>
  <c r="E409" i="169"/>
  <c r="C409" i="169" s="1"/>
  <c r="G409" i="169" s="1"/>
  <c r="K409" i="169" s="1"/>
  <c r="L408" i="169"/>
  <c r="H408" i="169"/>
  <c r="E408" i="169"/>
  <c r="C408" i="169" s="1"/>
  <c r="G408" i="169" s="1"/>
  <c r="K408" i="169" s="1"/>
  <c r="L407" i="169"/>
  <c r="H407" i="169"/>
  <c r="E407" i="169"/>
  <c r="C407" i="169" s="1"/>
  <c r="G407" i="169" s="1"/>
  <c r="K407" i="169" s="1"/>
  <c r="L406" i="169"/>
  <c r="H406" i="169"/>
  <c r="E406" i="169"/>
  <c r="C406" i="169" s="1"/>
  <c r="G406" i="169" s="1"/>
  <c r="L405" i="169"/>
  <c r="H405" i="169"/>
  <c r="E405" i="169"/>
  <c r="C405" i="169" s="1"/>
  <c r="L404" i="169"/>
  <c r="H404" i="169"/>
  <c r="E404" i="169"/>
  <c r="C404" i="169" s="1"/>
  <c r="L403" i="169"/>
  <c r="H403" i="169"/>
  <c r="E403" i="169"/>
  <c r="C403" i="169" s="1"/>
  <c r="L402" i="169"/>
  <c r="H402" i="169"/>
  <c r="E395" i="169"/>
  <c r="E393" i="169"/>
  <c r="E392" i="169"/>
  <c r="E391" i="169"/>
  <c r="E390" i="169"/>
  <c r="E389" i="169"/>
  <c r="E388" i="169"/>
  <c r="H384" i="169"/>
  <c r="E384" i="169"/>
  <c r="C384" i="169" s="1"/>
  <c r="H383" i="169"/>
  <c r="E383" i="169"/>
  <c r="C383" i="169" s="1"/>
  <c r="H382" i="169"/>
  <c r="L382" i="169" s="1"/>
  <c r="E382" i="169"/>
  <c r="C382" i="169" s="1"/>
  <c r="H381" i="169"/>
  <c r="L381" i="169" s="1"/>
  <c r="E381" i="169"/>
  <c r="C381" i="169" s="1"/>
  <c r="G381" i="169" s="1"/>
  <c r="K381" i="169" s="1"/>
  <c r="H380" i="169"/>
  <c r="E380" i="169"/>
  <c r="C380" i="169" s="1"/>
  <c r="G380" i="169" s="1"/>
  <c r="H379" i="169"/>
  <c r="E379" i="169"/>
  <c r="H378" i="169"/>
  <c r="L378" i="169" s="1"/>
  <c r="E378" i="169"/>
  <c r="C378" i="169" s="1"/>
  <c r="H377" i="169"/>
  <c r="L377" i="169" s="1"/>
  <c r="E377" i="169"/>
  <c r="C377" i="169" s="1"/>
  <c r="L376" i="169"/>
  <c r="H376" i="169"/>
  <c r="E376" i="169"/>
  <c r="C376" i="169" s="1"/>
  <c r="L375" i="169"/>
  <c r="H375" i="169"/>
  <c r="E375" i="169"/>
  <c r="C375" i="169" s="1"/>
  <c r="L374" i="169"/>
  <c r="H374" i="169"/>
  <c r="E374" i="169"/>
  <c r="C374" i="169" s="1"/>
  <c r="E367" i="169"/>
  <c r="E366" i="169"/>
  <c r="E365" i="169"/>
  <c r="L361" i="169"/>
  <c r="E361" i="169"/>
  <c r="C361" i="169" s="1"/>
  <c r="K361" i="169" s="1"/>
  <c r="L360" i="169"/>
  <c r="E360" i="169"/>
  <c r="C360" i="169" s="1"/>
  <c r="K360" i="169" s="1"/>
  <c r="L359" i="169"/>
  <c r="E359" i="169"/>
  <c r="C359" i="169" s="1"/>
  <c r="K359" i="169" s="1"/>
  <c r="M359" i="169" s="1"/>
  <c r="L358" i="169"/>
  <c r="E358" i="169"/>
  <c r="E352" i="169"/>
  <c r="E351" i="169"/>
  <c r="E350" i="169"/>
  <c r="L346" i="169"/>
  <c r="E346" i="169"/>
  <c r="C346" i="169" s="1"/>
  <c r="K346" i="169" s="1"/>
  <c r="L345" i="169"/>
  <c r="E345" i="169"/>
  <c r="C345" i="169" s="1"/>
  <c r="K345" i="169" s="1"/>
  <c r="L344" i="169"/>
  <c r="E344" i="169"/>
  <c r="C344" i="169" s="1"/>
  <c r="K344" i="169" s="1"/>
  <c r="L343" i="169"/>
  <c r="E343" i="169"/>
  <c r="E337" i="169"/>
  <c r="E336" i="169"/>
  <c r="E335" i="169"/>
  <c r="L331" i="169"/>
  <c r="E331" i="169"/>
  <c r="C331" i="169" s="1"/>
  <c r="K331" i="169" s="1"/>
  <c r="L330" i="169"/>
  <c r="E330" i="169"/>
  <c r="C330" i="169" s="1"/>
  <c r="K330" i="169" s="1"/>
  <c r="L329" i="169"/>
  <c r="E329" i="169"/>
  <c r="C329" i="169" s="1"/>
  <c r="K329" i="169" s="1"/>
  <c r="L328" i="169"/>
  <c r="E328" i="169"/>
  <c r="C328" i="169" s="1"/>
  <c r="K328" i="169" s="1"/>
  <c r="B325" i="169"/>
  <c r="E322" i="169"/>
  <c r="E321" i="169"/>
  <c r="E320" i="169"/>
  <c r="E323" i="169" s="1"/>
  <c r="L316" i="169"/>
  <c r="E316" i="169"/>
  <c r="L315" i="169"/>
  <c r="E315" i="169"/>
  <c r="C315" i="169" s="1"/>
  <c r="K315" i="169" s="1"/>
  <c r="M315" i="169" s="1"/>
  <c r="L314" i="169"/>
  <c r="E314" i="169"/>
  <c r="C314" i="169" s="1"/>
  <c r="K314" i="169" s="1"/>
  <c r="L313" i="169"/>
  <c r="E313" i="169"/>
  <c r="C313" i="169" s="1"/>
  <c r="K313" i="169" s="1"/>
  <c r="B310" i="169"/>
  <c r="G307" i="169"/>
  <c r="E307" i="169"/>
  <c r="G306" i="169"/>
  <c r="E306" i="169"/>
  <c r="G305" i="169"/>
  <c r="E305" i="169"/>
  <c r="G304" i="169"/>
  <c r="E304" i="169"/>
  <c r="G303" i="169"/>
  <c r="G302" i="169"/>
  <c r="G301" i="169"/>
  <c r="G300" i="169"/>
  <c r="E300" i="169"/>
  <c r="C300" i="169" s="1"/>
  <c r="H299" i="169"/>
  <c r="L299" i="169" s="1"/>
  <c r="E299" i="169"/>
  <c r="C299" i="169" s="1"/>
  <c r="H298" i="169"/>
  <c r="L298" i="169" s="1"/>
  <c r="E298" i="169"/>
  <c r="C298" i="169" s="1"/>
  <c r="L297" i="169"/>
  <c r="H297" i="169"/>
  <c r="E297" i="169"/>
  <c r="E291" i="169"/>
  <c r="E290" i="169"/>
  <c r="E289" i="169"/>
  <c r="E286" i="169"/>
  <c r="E285" i="169"/>
  <c r="E284" i="169"/>
  <c r="E283" i="169"/>
  <c r="E282" i="169"/>
  <c r="E281" i="169"/>
  <c r="E280" i="169"/>
  <c r="E279" i="169"/>
  <c r="E278" i="169"/>
  <c r="E277" i="169"/>
  <c r="E273" i="169"/>
  <c r="M273" i="169" s="1"/>
  <c r="L272" i="169"/>
  <c r="H272" i="169"/>
  <c r="L271" i="169"/>
  <c r="H271" i="169"/>
  <c r="E271" i="169"/>
  <c r="C271" i="169" s="1"/>
  <c r="L270" i="169"/>
  <c r="H270" i="169"/>
  <c r="L269" i="169"/>
  <c r="H269" i="169"/>
  <c r="L268" i="169"/>
  <c r="H268" i="169"/>
  <c r="L267" i="169"/>
  <c r="H267" i="169"/>
  <c r="L266" i="169"/>
  <c r="H266" i="169"/>
  <c r="L265" i="169"/>
  <c r="H265" i="169"/>
  <c r="L264" i="169"/>
  <c r="H264" i="169"/>
  <c r="E264" i="169"/>
  <c r="C264" i="169" s="1"/>
  <c r="L263" i="169"/>
  <c r="H263" i="169"/>
  <c r="E263" i="169"/>
  <c r="C263" i="169" s="1"/>
  <c r="L262" i="169"/>
  <c r="H262" i="169"/>
  <c r="E262" i="169"/>
  <c r="C262" i="169" s="1"/>
  <c r="B259" i="169"/>
  <c r="E256" i="169"/>
  <c r="E255" i="169"/>
  <c r="E254" i="169"/>
  <c r="E253" i="169"/>
  <c r="E252" i="169"/>
  <c r="E251" i="169"/>
  <c r="E250" i="169"/>
  <c r="E249" i="169"/>
  <c r="E248" i="169"/>
  <c r="E247" i="169"/>
  <c r="E246" i="169"/>
  <c r="E245" i="169"/>
  <c r="E244" i="169"/>
  <c r="E243" i="169"/>
  <c r="E242" i="169"/>
  <c r="E241" i="169"/>
  <c r="E240" i="169"/>
  <c r="E239" i="169"/>
  <c r="E238" i="169"/>
  <c r="E235" i="169"/>
  <c r="L232" i="169"/>
  <c r="E232" i="169"/>
  <c r="C232" i="169" s="1"/>
  <c r="K232" i="169" s="1"/>
  <c r="L231" i="169"/>
  <c r="E231" i="169"/>
  <c r="C231" i="169" s="1"/>
  <c r="K231" i="169" s="1"/>
  <c r="L230" i="169"/>
  <c r="E230" i="169"/>
  <c r="C230" i="169" s="1"/>
  <c r="K230" i="169" s="1"/>
  <c r="L229" i="169"/>
  <c r="E229" i="169"/>
  <c r="C229" i="169" s="1"/>
  <c r="L228" i="169"/>
  <c r="E228" i="169"/>
  <c r="E222" i="169"/>
  <c r="E221" i="169"/>
  <c r="E220" i="169"/>
  <c r="E219" i="169"/>
  <c r="E218" i="169"/>
  <c r="E217" i="169"/>
  <c r="E216" i="169"/>
  <c r="E215" i="169"/>
  <c r="E214" i="169"/>
  <c r="E213" i="169"/>
  <c r="E212" i="169"/>
  <c r="E211" i="169"/>
  <c r="E210" i="169"/>
  <c r="E209" i="169"/>
  <c r="E206" i="169"/>
  <c r="L203" i="169"/>
  <c r="H203" i="169"/>
  <c r="H214" i="169" s="1"/>
  <c r="I214" i="169" s="1"/>
  <c r="E203" i="169"/>
  <c r="C203" i="169" s="1"/>
  <c r="L202" i="169"/>
  <c r="H202" i="169"/>
  <c r="H213" i="169" s="1"/>
  <c r="I213" i="169" s="1"/>
  <c r="E202" i="169"/>
  <c r="C202" i="169" s="1"/>
  <c r="L201" i="169"/>
  <c r="H201" i="169"/>
  <c r="H212" i="169" s="1"/>
  <c r="I212" i="169" s="1"/>
  <c r="E201" i="169"/>
  <c r="C201" i="169" s="1"/>
  <c r="G201" i="169" s="1"/>
  <c r="K201" i="169" s="1"/>
  <c r="L200" i="169"/>
  <c r="H200" i="169"/>
  <c r="H211" i="169" s="1"/>
  <c r="I211" i="169" s="1"/>
  <c r="E200" i="169"/>
  <c r="C200" i="169" s="1"/>
  <c r="L199" i="169"/>
  <c r="H199" i="169"/>
  <c r="H210" i="169" s="1"/>
  <c r="I210" i="169" s="1"/>
  <c r="E199" i="169"/>
  <c r="C199" i="169" s="1"/>
  <c r="L198" i="169"/>
  <c r="H198" i="169"/>
  <c r="H209" i="169" s="1"/>
  <c r="I209" i="169" s="1"/>
  <c r="E198" i="169"/>
  <c r="C198" i="169" s="1"/>
  <c r="L197" i="169"/>
  <c r="H197" i="169"/>
  <c r="H208" i="169" s="1"/>
  <c r="I208" i="169" s="1"/>
  <c r="E197" i="169"/>
  <c r="E191" i="169"/>
  <c r="E190" i="169"/>
  <c r="E189" i="169"/>
  <c r="E188" i="169"/>
  <c r="E187" i="169"/>
  <c r="E186" i="169"/>
  <c r="E185" i="169"/>
  <c r="E184" i="169"/>
  <c r="E183" i="169"/>
  <c r="E182" i="169"/>
  <c r="E181" i="169"/>
  <c r="E180" i="169"/>
  <c r="E179" i="169"/>
  <c r="E178" i="169"/>
  <c r="E177" i="169"/>
  <c r="E174" i="169"/>
  <c r="L171" i="169"/>
  <c r="H171" i="169"/>
  <c r="E171" i="169"/>
  <c r="C171" i="169" s="1"/>
  <c r="L170" i="169"/>
  <c r="H170" i="169"/>
  <c r="E170" i="169"/>
  <c r="C170" i="169" s="1"/>
  <c r="L169" i="169"/>
  <c r="H169" i="169"/>
  <c r="E169" i="169"/>
  <c r="C169" i="169" s="1"/>
  <c r="L168" i="169"/>
  <c r="H168" i="169"/>
  <c r="E168" i="169"/>
  <c r="C168" i="169" s="1"/>
  <c r="L167" i="169"/>
  <c r="H167" i="169"/>
  <c r="E167" i="169"/>
  <c r="C167" i="169" s="1"/>
  <c r="L166" i="169"/>
  <c r="H166" i="169"/>
  <c r="E166" i="169"/>
  <c r="C166" i="169" s="1"/>
  <c r="L165" i="169"/>
  <c r="H165" i="169"/>
  <c r="E165" i="169"/>
  <c r="E159" i="169"/>
  <c r="E158" i="169"/>
  <c r="E157" i="169"/>
  <c r="E156" i="169"/>
  <c r="E155" i="169"/>
  <c r="E154" i="169"/>
  <c r="E153" i="169"/>
  <c r="E152" i="169"/>
  <c r="E151" i="169"/>
  <c r="E150" i="169"/>
  <c r="E149" i="169"/>
  <c r="E148" i="169"/>
  <c r="E147" i="169"/>
  <c r="E146" i="169"/>
  <c r="E145" i="169"/>
  <c r="E144" i="169"/>
  <c r="E141" i="169"/>
  <c r="L138" i="169"/>
  <c r="M138" i="169" s="1"/>
  <c r="H138" i="169"/>
  <c r="E138" i="169"/>
  <c r="C138" i="169" s="1"/>
  <c r="G138" i="169" s="1"/>
  <c r="L137" i="169"/>
  <c r="H137" i="169"/>
  <c r="E137" i="169"/>
  <c r="C137" i="169" s="1"/>
  <c r="G137" i="169" s="1"/>
  <c r="L136" i="169"/>
  <c r="H136" i="169"/>
  <c r="E136" i="169"/>
  <c r="C136" i="169" s="1"/>
  <c r="G136" i="169" s="1"/>
  <c r="G39" i="169" s="1"/>
  <c r="E129" i="169"/>
  <c r="E128" i="169"/>
  <c r="E127" i="169"/>
  <c r="E126" i="169"/>
  <c r="E125" i="169"/>
  <c r="E124" i="169"/>
  <c r="E123" i="169"/>
  <c r="E122" i="169"/>
  <c r="E121" i="169"/>
  <c r="E120" i="169"/>
  <c r="E119" i="169"/>
  <c r="E118" i="169"/>
  <c r="E117" i="169"/>
  <c r="E116" i="169"/>
  <c r="E115" i="169"/>
  <c r="E112" i="169"/>
  <c r="E109" i="169"/>
  <c r="M109" i="169" s="1"/>
  <c r="L108" i="169"/>
  <c r="H108" i="169"/>
  <c r="E108" i="169"/>
  <c r="C108" i="169" s="1"/>
  <c r="L107" i="169"/>
  <c r="H107" i="169"/>
  <c r="E107" i="169"/>
  <c r="C107" i="169" s="1"/>
  <c r="L106" i="169"/>
  <c r="H106" i="169"/>
  <c r="E106" i="169"/>
  <c r="C106" i="169" s="1"/>
  <c r="L105" i="169"/>
  <c r="H105" i="169"/>
  <c r="E105" i="169"/>
  <c r="C105" i="169" s="1"/>
  <c r="L104" i="169"/>
  <c r="H104" i="169"/>
  <c r="E104" i="169"/>
  <c r="C104" i="169" s="1"/>
  <c r="L103" i="169"/>
  <c r="H103" i="169"/>
  <c r="E103" i="169"/>
  <c r="C103" i="169" s="1"/>
  <c r="L102" i="169"/>
  <c r="H102" i="169"/>
  <c r="E102" i="169"/>
  <c r="C102" i="169" s="1"/>
  <c r="B98" i="169"/>
  <c r="E96" i="169"/>
  <c r="E95" i="169"/>
  <c r="E94" i="169"/>
  <c r="E93" i="169"/>
  <c r="E92" i="169"/>
  <c r="E91" i="169"/>
  <c r="E90" i="169"/>
  <c r="E89" i="169"/>
  <c r="E88" i="169"/>
  <c r="E87" i="169"/>
  <c r="E86" i="169"/>
  <c r="E85" i="169"/>
  <c r="E84" i="169"/>
  <c r="E81" i="169"/>
  <c r="L78" i="169"/>
  <c r="H78" i="169"/>
  <c r="E78" i="169"/>
  <c r="C78" i="169" s="1"/>
  <c r="L77" i="169"/>
  <c r="H77" i="169"/>
  <c r="E77" i="169"/>
  <c r="C77" i="169" s="1"/>
  <c r="L76" i="169"/>
  <c r="H76" i="169"/>
  <c r="E76" i="169"/>
  <c r="C76" i="169" s="1"/>
  <c r="L75" i="169"/>
  <c r="H75" i="169"/>
  <c r="E75" i="169"/>
  <c r="C75" i="169" s="1"/>
  <c r="L74" i="169"/>
  <c r="H74" i="169"/>
  <c r="E74" i="169"/>
  <c r="C74" i="169" s="1"/>
  <c r="L73" i="169"/>
  <c r="H73" i="169"/>
  <c r="E73" i="169"/>
  <c r="C73" i="169" s="1"/>
  <c r="S72" i="169"/>
  <c r="L72" i="169"/>
  <c r="H72" i="169"/>
  <c r="E72" i="169"/>
  <c r="B68" i="169"/>
  <c r="E65" i="169"/>
  <c r="E537" i="169" s="1"/>
  <c r="E540" i="169" s="1"/>
  <c r="E64" i="169"/>
  <c r="E63" i="169"/>
  <c r="E62" i="169"/>
  <c r="E61" i="169"/>
  <c r="E60" i="169"/>
  <c r="E59" i="169"/>
  <c r="E58" i="169"/>
  <c r="E57" i="169"/>
  <c r="E56" i="169"/>
  <c r="E55" i="169"/>
  <c r="E54" i="169"/>
  <c r="E53" i="169"/>
  <c r="E52" i="169"/>
  <c r="E51" i="169"/>
  <c r="E50" i="169"/>
  <c r="E49" i="169"/>
  <c r="P46" i="169"/>
  <c r="T46" i="169" s="1"/>
  <c r="E46" i="169"/>
  <c r="P44" i="169"/>
  <c r="P41" i="169"/>
  <c r="H41" i="169"/>
  <c r="E41" i="169"/>
  <c r="C41" i="169" s="1"/>
  <c r="L40" i="169"/>
  <c r="L41" i="169" s="1"/>
  <c r="H40" i="169"/>
  <c r="E40" i="169"/>
  <c r="C40" i="169" s="1"/>
  <c r="L39" i="169"/>
  <c r="H39" i="169"/>
  <c r="E39" i="169"/>
  <c r="C39" i="169" s="1"/>
  <c r="B35" i="169"/>
  <c r="E32" i="169"/>
  <c r="E31" i="169"/>
  <c r="E30" i="169"/>
  <c r="E29" i="169"/>
  <c r="E28" i="169"/>
  <c r="E27" i="169"/>
  <c r="E26" i="169"/>
  <c r="E25" i="169"/>
  <c r="E24" i="169"/>
  <c r="E23" i="169"/>
  <c r="E22" i="169"/>
  <c r="E21" i="169"/>
  <c r="E20" i="169"/>
  <c r="E19" i="169"/>
  <c r="E18" i="169"/>
  <c r="E17" i="169"/>
  <c r="E14" i="169"/>
  <c r="E9" i="169"/>
  <c r="C9" i="169" s="1"/>
  <c r="K9" i="169" s="1"/>
  <c r="O9" i="169" s="1"/>
  <c r="Q9" i="169" s="1"/>
  <c r="L8" i="169"/>
  <c r="L9" i="169" s="1"/>
  <c r="E8" i="169"/>
  <c r="C8" i="169" s="1"/>
  <c r="K8" i="169" s="1"/>
  <c r="L7" i="169"/>
  <c r="E7" i="169"/>
  <c r="I153" i="179" l="1"/>
  <c r="V86" i="179"/>
  <c r="V103" i="179"/>
  <c r="P106" i="179"/>
  <c r="P108" i="179" s="1"/>
  <c r="J122" i="179"/>
  <c r="J124" i="179" s="1"/>
  <c r="M137" i="179"/>
  <c r="M139" i="179" s="1"/>
  <c r="M156" i="179" s="1"/>
  <c r="H13" i="179"/>
  <c r="H15" i="179" s="1"/>
  <c r="E60" i="179"/>
  <c r="E62" i="179" s="1"/>
  <c r="E154" i="179" s="1"/>
  <c r="X86" i="179"/>
  <c r="AB86" i="179" s="1"/>
  <c r="I91" i="179"/>
  <c r="I93" i="179" s="1"/>
  <c r="V117" i="179"/>
  <c r="F60" i="179"/>
  <c r="F62" i="179" s="1"/>
  <c r="F64" i="179" s="1"/>
  <c r="F65" i="179" s="1"/>
  <c r="G153" i="179"/>
  <c r="N60" i="179"/>
  <c r="N62" i="179" s="1"/>
  <c r="M60" i="179"/>
  <c r="M62" i="179" s="1"/>
  <c r="P13" i="179"/>
  <c r="P15" i="179" s="1"/>
  <c r="P145" i="179" s="1"/>
  <c r="P151" i="179" s="1"/>
  <c r="M91" i="179"/>
  <c r="M93" i="179" s="1"/>
  <c r="W114" i="179"/>
  <c r="K122" i="179"/>
  <c r="K124" i="179" s="1"/>
  <c r="F137" i="179"/>
  <c r="F139" i="179" s="1"/>
  <c r="F141" i="179" s="1"/>
  <c r="F142" i="179" s="1"/>
  <c r="N137" i="179"/>
  <c r="N139" i="179" s="1"/>
  <c r="AH58" i="179"/>
  <c r="AH94" i="179" s="1"/>
  <c r="AJ94" i="179" s="1"/>
  <c r="J106" i="179"/>
  <c r="J108" i="179" s="1"/>
  <c r="J137" i="179"/>
  <c r="J139" i="179" s="1"/>
  <c r="P153" i="179"/>
  <c r="I154" i="179"/>
  <c r="J13" i="179"/>
  <c r="J15" i="179" s="1"/>
  <c r="AB104" i="179"/>
  <c r="M122" i="179"/>
  <c r="M124" i="179" s="1"/>
  <c r="K137" i="179"/>
  <c r="K139" i="179" s="1"/>
  <c r="K156" i="179" s="1"/>
  <c r="H137" i="179"/>
  <c r="H139" i="179" s="1"/>
  <c r="P59" i="179"/>
  <c r="P60" i="179" s="1"/>
  <c r="P62" i="179" s="1"/>
  <c r="F81" i="179"/>
  <c r="F82" i="179" s="1"/>
  <c r="G80" i="179" s="1"/>
  <c r="V116" i="179"/>
  <c r="M329" i="169"/>
  <c r="E544" i="169"/>
  <c r="E545" i="169"/>
  <c r="E543" i="169" s="1"/>
  <c r="K12" i="169"/>
  <c r="M464" i="169"/>
  <c r="C7" i="169"/>
  <c r="K7" i="169" s="1"/>
  <c r="M512" i="169"/>
  <c r="E338" i="169"/>
  <c r="M346" i="169"/>
  <c r="E533" i="169"/>
  <c r="K10" i="181" s="1"/>
  <c r="K13" i="181" s="1"/>
  <c r="M344" i="169"/>
  <c r="A53" i="99"/>
  <c r="A54" i="99" s="1"/>
  <c r="Q114" i="176"/>
  <c r="O37" i="176"/>
  <c r="O114" i="176" s="1"/>
  <c r="E410" i="169"/>
  <c r="C410" i="169" s="1"/>
  <c r="G410" i="169" s="1"/>
  <c r="K410" i="169" s="1"/>
  <c r="M410" i="169" s="1"/>
  <c r="E402" i="169"/>
  <c r="N64" i="176"/>
  <c r="C379" i="169"/>
  <c r="G379" i="169" s="1"/>
  <c r="I379" i="169" s="1"/>
  <c r="E528" i="169"/>
  <c r="E529" i="169"/>
  <c r="E532" i="169"/>
  <c r="J10" i="181" s="1"/>
  <c r="J13" i="181" s="1"/>
  <c r="E530" i="169"/>
  <c r="H10" i="181" s="1"/>
  <c r="E525" i="169"/>
  <c r="C12" i="181" s="1"/>
  <c r="E526" i="169"/>
  <c r="D12" i="181" s="1"/>
  <c r="E527" i="169"/>
  <c r="E12" i="181" s="1"/>
  <c r="E13" i="181" s="1"/>
  <c r="I10" i="181"/>
  <c r="I13" i="181" s="1"/>
  <c r="G198" i="169"/>
  <c r="I198" i="169" s="1"/>
  <c r="G199" i="169"/>
  <c r="I199" i="169" s="1"/>
  <c r="G200" i="169"/>
  <c r="G202" i="169"/>
  <c r="I202" i="169" s="1"/>
  <c r="I215" i="169"/>
  <c r="G203" i="169"/>
  <c r="I203" i="169" s="1"/>
  <c r="I300" i="169"/>
  <c r="I302" i="169"/>
  <c r="I303" i="169"/>
  <c r="G268" i="169"/>
  <c r="I268" i="169" s="1"/>
  <c r="I305" i="169"/>
  <c r="I306" i="169"/>
  <c r="I307" i="169"/>
  <c r="M9" i="169"/>
  <c r="E10" i="169"/>
  <c r="E473" i="169"/>
  <c r="E301" i="169"/>
  <c r="AE13" i="174"/>
  <c r="AE8" i="174"/>
  <c r="AE10" i="174"/>
  <c r="AE11" i="174"/>
  <c r="P17" i="174"/>
  <c r="P36" i="174"/>
  <c r="N26" i="176"/>
  <c r="H38" i="176"/>
  <c r="H115" i="176" s="1"/>
  <c r="I38" i="176"/>
  <c r="I115" i="176" s="1"/>
  <c r="J39" i="176"/>
  <c r="J116" i="176" s="1"/>
  <c r="K39" i="176"/>
  <c r="K116" i="176" s="1"/>
  <c r="G98" i="174"/>
  <c r="I98" i="174"/>
  <c r="P76" i="174"/>
  <c r="E267" i="169" s="1"/>
  <c r="C267" i="169" s="1"/>
  <c r="N58" i="176"/>
  <c r="N65" i="176"/>
  <c r="O65" i="176"/>
  <c r="P150" i="174"/>
  <c r="D68" i="176"/>
  <c r="D72" i="176" s="1"/>
  <c r="E72" i="176"/>
  <c r="F68" i="176"/>
  <c r="M72" i="176"/>
  <c r="N72" i="176"/>
  <c r="E73" i="176"/>
  <c r="I73" i="176"/>
  <c r="K73" i="176"/>
  <c r="M73" i="176"/>
  <c r="E74" i="176"/>
  <c r="F74" i="176"/>
  <c r="G74" i="176"/>
  <c r="H74" i="176"/>
  <c r="N74" i="176"/>
  <c r="O74" i="176"/>
  <c r="E75" i="176"/>
  <c r="I75" i="176"/>
  <c r="J75" i="176"/>
  <c r="I82" i="176"/>
  <c r="I83" i="176"/>
  <c r="J83" i="176"/>
  <c r="F84" i="176"/>
  <c r="L84" i="176"/>
  <c r="N84" i="176"/>
  <c r="G85" i="176"/>
  <c r="H85" i="176"/>
  <c r="I85" i="176"/>
  <c r="O85" i="176"/>
  <c r="P223" i="174"/>
  <c r="E16" i="176"/>
  <c r="F16" i="176"/>
  <c r="M16" i="176"/>
  <c r="N16" i="176"/>
  <c r="N20" i="176" s="1"/>
  <c r="N109" i="176" s="1"/>
  <c r="H21" i="176"/>
  <c r="F22" i="176"/>
  <c r="L22" i="176"/>
  <c r="N22" i="176"/>
  <c r="P323" i="174"/>
  <c r="I430" i="174"/>
  <c r="I30" i="176"/>
  <c r="O36" i="176"/>
  <c r="I34" i="176"/>
  <c r="K34" i="176"/>
  <c r="L34" i="176"/>
  <c r="E35" i="176"/>
  <c r="I35" i="176"/>
  <c r="J35" i="176"/>
  <c r="L35" i="176"/>
  <c r="M35" i="176"/>
  <c r="I42" i="176"/>
  <c r="I351" i="174"/>
  <c r="J42" i="176"/>
  <c r="J351" i="174"/>
  <c r="E45" i="176"/>
  <c r="F45" i="176"/>
  <c r="G45" i="176"/>
  <c r="G120" i="176" s="1"/>
  <c r="N45" i="176"/>
  <c r="N120" i="176" s="1"/>
  <c r="O45" i="176"/>
  <c r="O120" i="176" s="1"/>
  <c r="P360" i="174"/>
  <c r="O19" i="176"/>
  <c r="J21" i="176"/>
  <c r="J110" i="176" s="1"/>
  <c r="J96" i="176"/>
  <c r="J92" i="176"/>
  <c r="O8" i="169"/>
  <c r="Q8" i="169" s="1"/>
  <c r="K14" i="169"/>
  <c r="I200" i="169"/>
  <c r="C14" i="70"/>
  <c r="M328" i="169"/>
  <c r="E368" i="169"/>
  <c r="I442" i="169"/>
  <c r="M463" i="169"/>
  <c r="L46" i="169"/>
  <c r="L44" i="169"/>
  <c r="I138" i="169"/>
  <c r="G41" i="169"/>
  <c r="I41" i="169" s="1"/>
  <c r="G383" i="169"/>
  <c r="K432" i="169"/>
  <c r="M432" i="169" s="1"/>
  <c r="I432" i="169"/>
  <c r="I201" i="169"/>
  <c r="G106" i="169"/>
  <c r="G375" i="169"/>
  <c r="K375" i="169" s="1"/>
  <c r="M375" i="169" s="1"/>
  <c r="E466" i="169"/>
  <c r="C297" i="169"/>
  <c r="G297" i="169" s="1"/>
  <c r="M313" i="169"/>
  <c r="K406" i="169"/>
  <c r="M406" i="169" s="1"/>
  <c r="K442" i="169"/>
  <c r="M442" i="169" s="1"/>
  <c r="M478" i="169"/>
  <c r="E489" i="169"/>
  <c r="I436" i="169"/>
  <c r="M230" i="169"/>
  <c r="O230" i="169"/>
  <c r="M331" i="169"/>
  <c r="M360" i="169"/>
  <c r="I408" i="169"/>
  <c r="E457" i="169"/>
  <c r="E79" i="169"/>
  <c r="M314" i="169"/>
  <c r="E353" i="169"/>
  <c r="M408" i="169"/>
  <c r="E482" i="169"/>
  <c r="E172" i="169"/>
  <c r="E396" i="169"/>
  <c r="E66" i="169"/>
  <c r="Y508" i="169"/>
  <c r="C11" i="73" s="1"/>
  <c r="M345" i="169"/>
  <c r="M407" i="169"/>
  <c r="C33" i="76"/>
  <c r="M232" i="169"/>
  <c r="O232" i="169"/>
  <c r="I39" i="169"/>
  <c r="E97" i="169"/>
  <c r="E192" i="169"/>
  <c r="E204" i="169"/>
  <c r="M231" i="169"/>
  <c r="O231" i="169"/>
  <c r="E257" i="169"/>
  <c r="M330" i="169"/>
  <c r="K438" i="169"/>
  <c r="M438" i="169" s="1"/>
  <c r="E505" i="169"/>
  <c r="C19" i="76"/>
  <c r="L19" i="76" s="1"/>
  <c r="E139" i="169"/>
  <c r="C462" i="169"/>
  <c r="K462" i="169" s="1"/>
  <c r="M462" i="169" s="1"/>
  <c r="M481" i="169"/>
  <c r="M494" i="169"/>
  <c r="L38" i="181"/>
  <c r="N141" i="31"/>
  <c r="I24" i="4" s="1"/>
  <c r="N119" i="31"/>
  <c r="N58" i="31"/>
  <c r="I16" i="4" s="1"/>
  <c r="N129" i="31"/>
  <c r="I22" i="4" s="1"/>
  <c r="N107" i="31"/>
  <c r="L33" i="181"/>
  <c r="I31" i="4" s="1"/>
  <c r="N70" i="31"/>
  <c r="C316" i="169"/>
  <c r="K316" i="169" s="1"/>
  <c r="M316" i="169" s="1"/>
  <c r="E317" i="169"/>
  <c r="E325" i="169" s="1"/>
  <c r="C325" i="169" s="1"/>
  <c r="E33" i="169"/>
  <c r="G167" i="169"/>
  <c r="K167" i="169" s="1"/>
  <c r="M167" i="169" s="1"/>
  <c r="M361" i="169"/>
  <c r="G433" i="169"/>
  <c r="I433" i="169" s="1"/>
  <c r="G299" i="169"/>
  <c r="K299" i="169" s="1"/>
  <c r="M299" i="169" s="1"/>
  <c r="G308" i="169"/>
  <c r="I301" i="169"/>
  <c r="E347" i="169"/>
  <c r="C343" i="169"/>
  <c r="K343" i="169" s="1"/>
  <c r="M343" i="169" s="1"/>
  <c r="L12" i="169"/>
  <c r="I136" i="169"/>
  <c r="I406" i="169"/>
  <c r="E425" i="169"/>
  <c r="G434" i="169"/>
  <c r="K434" i="169" s="1"/>
  <c r="M434" i="169" s="1"/>
  <c r="G437" i="169"/>
  <c r="E160" i="169"/>
  <c r="G169" i="169"/>
  <c r="G76" i="169" s="1"/>
  <c r="I76" i="169" s="1"/>
  <c r="E233" i="169"/>
  <c r="C228" i="169"/>
  <c r="K228" i="169" s="1"/>
  <c r="O228" i="169" s="1"/>
  <c r="G377" i="169"/>
  <c r="G440" i="169"/>
  <c r="K440" i="169" s="1"/>
  <c r="M440" i="169" s="1"/>
  <c r="C72" i="169"/>
  <c r="E110" i="169"/>
  <c r="E130" i="169"/>
  <c r="G166" i="169"/>
  <c r="G73" i="169" s="1"/>
  <c r="E223" i="169"/>
  <c r="G298" i="169"/>
  <c r="E308" i="169"/>
  <c r="M381" i="169"/>
  <c r="I409" i="169"/>
  <c r="K39" i="169"/>
  <c r="E42" i="169"/>
  <c r="I304" i="169"/>
  <c r="G382" i="169"/>
  <c r="G405" i="169"/>
  <c r="I405" i="169" s="1"/>
  <c r="I407" i="169"/>
  <c r="L14" i="169"/>
  <c r="M8" i="169"/>
  <c r="K137" i="169"/>
  <c r="G168" i="169"/>
  <c r="K168" i="169" s="1"/>
  <c r="M168" i="169" s="1"/>
  <c r="C358" i="169"/>
  <c r="K358" i="169" s="1"/>
  <c r="M358" i="169" s="1"/>
  <c r="E362" i="169"/>
  <c r="G374" i="169"/>
  <c r="K374" i="169" s="1"/>
  <c r="M374" i="169" s="1"/>
  <c r="M409" i="169"/>
  <c r="K136" i="169"/>
  <c r="M136" i="169" s="1"/>
  <c r="C233" i="169"/>
  <c r="K229" i="169"/>
  <c r="G378" i="169"/>
  <c r="I380" i="169"/>
  <c r="L380" i="169"/>
  <c r="C165" i="169"/>
  <c r="M201" i="169"/>
  <c r="K380" i="169"/>
  <c r="E385" i="169"/>
  <c r="M465" i="169"/>
  <c r="G404" i="169"/>
  <c r="I404" i="169" s="1"/>
  <c r="G412" i="169"/>
  <c r="I412" i="169" s="1"/>
  <c r="G170" i="169"/>
  <c r="G171" i="169"/>
  <c r="G78" i="169" s="1"/>
  <c r="I78" i="169" s="1"/>
  <c r="G376" i="169"/>
  <c r="I376" i="169" s="1"/>
  <c r="L379" i="169"/>
  <c r="G384" i="169"/>
  <c r="G403" i="169"/>
  <c r="I403" i="169" s="1"/>
  <c r="G411" i="169"/>
  <c r="C197" i="169"/>
  <c r="G197" i="169" s="1"/>
  <c r="K197" i="169" s="1"/>
  <c r="C204" i="169"/>
  <c r="G439" i="169"/>
  <c r="G441" i="169"/>
  <c r="I441" i="169" s="1"/>
  <c r="M479" i="169"/>
  <c r="E20" i="176"/>
  <c r="E109" i="176" s="1"/>
  <c r="E19" i="176"/>
  <c r="E23" i="176" s="1"/>
  <c r="E443" i="169"/>
  <c r="L384" i="169"/>
  <c r="M480" i="169"/>
  <c r="I99" i="176"/>
  <c r="I54" i="176"/>
  <c r="H100" i="176"/>
  <c r="H55" i="176"/>
  <c r="E332" i="169"/>
  <c r="E340" i="169" s="1"/>
  <c r="I381" i="169"/>
  <c r="L383" i="169"/>
  <c r="G435" i="169"/>
  <c r="K436" i="169"/>
  <c r="M436" i="169" s="1"/>
  <c r="E498" i="169"/>
  <c r="G40" i="176"/>
  <c r="G37" i="176"/>
  <c r="G114" i="176" s="1"/>
  <c r="O40" i="176"/>
  <c r="P81" i="174"/>
  <c r="E272" i="169" s="1"/>
  <c r="C272" i="169" s="1"/>
  <c r="D80" i="176"/>
  <c r="P183" i="174"/>
  <c r="P184" i="174"/>
  <c r="G20" i="176"/>
  <c r="G109" i="176" s="1"/>
  <c r="O20" i="176"/>
  <c r="O109" i="176" s="1"/>
  <c r="K21" i="176"/>
  <c r="K110" i="176" s="1"/>
  <c r="F111" i="176"/>
  <c r="N111" i="176"/>
  <c r="K46" i="176"/>
  <c r="K44" i="176"/>
  <c r="K119" i="176" s="1"/>
  <c r="F446" i="175"/>
  <c r="F448" i="175" s="1"/>
  <c r="N446" i="175"/>
  <c r="N448" i="175" s="1"/>
  <c r="P414" i="175"/>
  <c r="E287" i="169" s="1"/>
  <c r="E8" i="176"/>
  <c r="M8" i="176"/>
  <c r="M20" i="176"/>
  <c r="M109" i="176" s="1"/>
  <c r="M19" i="176"/>
  <c r="M23" i="176" s="1"/>
  <c r="N100" i="176"/>
  <c r="N55" i="176"/>
  <c r="H153" i="179"/>
  <c r="Q153" i="179"/>
  <c r="G39" i="176"/>
  <c r="G116" i="176" s="1"/>
  <c r="P124" i="174"/>
  <c r="N59" i="176"/>
  <c r="N63" i="176" s="1"/>
  <c r="J73" i="176"/>
  <c r="F78" i="176"/>
  <c r="F82" i="176" s="1"/>
  <c r="N78" i="176"/>
  <c r="N82" i="176" s="1"/>
  <c r="E84" i="176"/>
  <c r="M84" i="176"/>
  <c r="P259" i="174"/>
  <c r="G22" i="176"/>
  <c r="G111" i="176" s="1"/>
  <c r="O22" i="176"/>
  <c r="O111" i="176" s="1"/>
  <c r="L33" i="176"/>
  <c r="L36" i="176"/>
  <c r="O34" i="176"/>
  <c r="D42" i="176"/>
  <c r="P349" i="174"/>
  <c r="D351" i="174"/>
  <c r="L42" i="176"/>
  <c r="L351" i="174"/>
  <c r="H45" i="176"/>
  <c r="H120" i="176" s="1"/>
  <c r="P350" i="174"/>
  <c r="O446" i="175"/>
  <c r="O448" i="175" s="1"/>
  <c r="E446" i="175"/>
  <c r="E448" i="175" s="1"/>
  <c r="I22" i="176"/>
  <c r="I111" i="176" s="1"/>
  <c r="G34" i="176"/>
  <c r="N106" i="176"/>
  <c r="C25" i="99" s="1"/>
  <c r="I23" i="77" s="1"/>
  <c r="O8" i="176"/>
  <c r="H68" i="176"/>
  <c r="H72" i="176" s="1"/>
  <c r="P153" i="174"/>
  <c r="G78" i="176"/>
  <c r="G82" i="176" s="1"/>
  <c r="O78" i="176"/>
  <c r="O82" i="176" s="1"/>
  <c r="E36" i="176"/>
  <c r="E33" i="176"/>
  <c r="M33" i="176"/>
  <c r="M36" i="176"/>
  <c r="D32" i="176"/>
  <c r="P326" i="174"/>
  <c r="E42" i="176"/>
  <c r="E351" i="174"/>
  <c r="M42" i="176"/>
  <c r="M351" i="174"/>
  <c r="P413" i="175"/>
  <c r="P415" i="175"/>
  <c r="E288" i="169" s="1"/>
  <c r="G19" i="176"/>
  <c r="G23" i="176" s="1"/>
  <c r="P13" i="176"/>
  <c r="Q13" i="176" s="1"/>
  <c r="O23" i="176"/>
  <c r="AE17" i="174"/>
  <c r="K100" i="176"/>
  <c r="K55" i="176"/>
  <c r="I68" i="176"/>
  <c r="I72" i="176" s="1"/>
  <c r="D69" i="176"/>
  <c r="P154" i="174"/>
  <c r="L73" i="176"/>
  <c r="P155" i="174"/>
  <c r="K75" i="176"/>
  <c r="H78" i="176"/>
  <c r="H82" i="176" s="1"/>
  <c r="P181" i="174"/>
  <c r="K83" i="176"/>
  <c r="F30" i="176"/>
  <c r="F40" i="176" s="1"/>
  <c r="N30" i="176"/>
  <c r="N37" i="176" s="1"/>
  <c r="N114" i="176" s="1"/>
  <c r="P62" i="175"/>
  <c r="P82" i="175"/>
  <c r="I446" i="175"/>
  <c r="I448" i="175" s="1"/>
  <c r="D86" i="176"/>
  <c r="AE15" i="174"/>
  <c r="L86" i="176"/>
  <c r="G38" i="176"/>
  <c r="G115" i="176" s="1"/>
  <c r="O38" i="176"/>
  <c r="O115" i="176" s="1"/>
  <c r="H56" i="176"/>
  <c r="P75" i="174"/>
  <c r="E266" i="169" s="1"/>
  <c r="C266" i="169" s="1"/>
  <c r="E100" i="176"/>
  <c r="E55" i="176"/>
  <c r="I100" i="176"/>
  <c r="I55" i="176"/>
  <c r="J68" i="176"/>
  <c r="J72" i="176" s="1"/>
  <c r="K23" i="176"/>
  <c r="G21" i="176"/>
  <c r="G110" i="176" s="1"/>
  <c r="O21" i="176"/>
  <c r="O110" i="176" s="1"/>
  <c r="J22" i="176"/>
  <c r="J111" i="176" s="1"/>
  <c r="G36" i="176"/>
  <c r="G33" i="176"/>
  <c r="O33" i="176"/>
  <c r="J34" i="176"/>
  <c r="F35" i="176"/>
  <c r="N35" i="176"/>
  <c r="P347" i="174"/>
  <c r="K351" i="174"/>
  <c r="P42" i="175"/>
  <c r="P411" i="175"/>
  <c r="AE12" i="174"/>
  <c r="P61" i="174"/>
  <c r="P62" i="174"/>
  <c r="H98" i="176"/>
  <c r="H53" i="176"/>
  <c r="J55" i="176"/>
  <c r="J100" i="176"/>
  <c r="E85" i="176"/>
  <c r="D16" i="176"/>
  <c r="P284" i="174"/>
  <c r="L16" i="176"/>
  <c r="H110" i="176"/>
  <c r="P285" i="174"/>
  <c r="K22" i="176"/>
  <c r="K111" i="176" s="1"/>
  <c r="P321" i="174"/>
  <c r="H36" i="176"/>
  <c r="H33" i="176"/>
  <c r="P324" i="174"/>
  <c r="K446" i="175"/>
  <c r="K448" i="175" s="1"/>
  <c r="M82" i="176"/>
  <c r="AE9" i="174"/>
  <c r="I56" i="176"/>
  <c r="AE14" i="174"/>
  <c r="E37" i="176"/>
  <c r="E114" i="176" s="1"/>
  <c r="E40" i="176"/>
  <c r="M37" i="176"/>
  <c r="M114" i="176" s="1"/>
  <c r="M40" i="176"/>
  <c r="P63" i="174"/>
  <c r="L39" i="176"/>
  <c r="L116" i="176" s="1"/>
  <c r="I98" i="176"/>
  <c r="I53" i="176"/>
  <c r="J99" i="176"/>
  <c r="J54" i="176"/>
  <c r="F100" i="176"/>
  <c r="F55" i="176"/>
  <c r="H98" i="174"/>
  <c r="K97" i="176"/>
  <c r="K52" i="176"/>
  <c r="I21" i="176"/>
  <c r="I110" i="176" s="1"/>
  <c r="D18" i="176"/>
  <c r="P286" i="174"/>
  <c r="L111" i="176"/>
  <c r="I44" i="176"/>
  <c r="I119" i="176" s="1"/>
  <c r="E120" i="176"/>
  <c r="P162" i="175"/>
  <c r="P182" i="175"/>
  <c r="P222" i="175"/>
  <c r="P242" i="175"/>
  <c r="P407" i="175"/>
  <c r="D422" i="175"/>
  <c r="L422" i="175"/>
  <c r="L446" i="175" s="1"/>
  <c r="L448" i="175" s="1"/>
  <c r="D98" i="174"/>
  <c r="P74" i="174"/>
  <c r="E265" i="169" s="1"/>
  <c r="G100" i="176"/>
  <c r="G55" i="176"/>
  <c r="O100" i="176"/>
  <c r="O55" i="176"/>
  <c r="O58" i="176"/>
  <c r="O62" i="176" s="1"/>
  <c r="F20" i="176"/>
  <c r="F109" i="176" s="1"/>
  <c r="J46" i="176"/>
  <c r="J44" i="176"/>
  <c r="J119" i="176" s="1"/>
  <c r="F120" i="176"/>
  <c r="M446" i="175"/>
  <c r="M448" i="175" s="1"/>
  <c r="P416" i="175"/>
  <c r="P27" i="176"/>
  <c r="Q27" i="176" s="1"/>
  <c r="F10" i="176"/>
  <c r="N10" i="176"/>
  <c r="F19" i="176"/>
  <c r="F23" i="176" s="1"/>
  <c r="N19" i="176"/>
  <c r="N23" i="176" s="1"/>
  <c r="P58" i="176"/>
  <c r="Q58" i="176" s="1"/>
  <c r="Q107" i="176"/>
  <c r="O10" i="176"/>
  <c r="O107" i="176" s="1"/>
  <c r="D26" i="99" s="1"/>
  <c r="E76" i="176"/>
  <c r="F86" i="176"/>
  <c r="N86" i="176"/>
  <c r="J38" i="176"/>
  <c r="J115" i="176" s="1"/>
  <c r="E39" i="176"/>
  <c r="E116" i="176" s="1"/>
  <c r="M39" i="176"/>
  <c r="M116" i="176" s="1"/>
  <c r="O63" i="176"/>
  <c r="K72" i="176"/>
  <c r="F73" i="176"/>
  <c r="N73" i="176"/>
  <c r="I74" i="176"/>
  <c r="I76" i="176" s="1"/>
  <c r="D75" i="176"/>
  <c r="P71" i="176"/>
  <c r="L75" i="176"/>
  <c r="D83" i="176"/>
  <c r="P79" i="176"/>
  <c r="L83" i="176"/>
  <c r="G84" i="176"/>
  <c r="O84" i="176"/>
  <c r="J85" i="176"/>
  <c r="E22" i="176"/>
  <c r="E111" i="176" s="1"/>
  <c r="M22" i="176"/>
  <c r="M111" i="176" s="1"/>
  <c r="I36" i="176"/>
  <c r="I33" i="176"/>
  <c r="D34" i="176"/>
  <c r="P31" i="176"/>
  <c r="G35" i="176"/>
  <c r="O35" i="176"/>
  <c r="F44" i="176"/>
  <c r="F119" i="176" s="1"/>
  <c r="F121" i="176" s="1"/>
  <c r="G17" i="99" s="1"/>
  <c r="F46" i="176"/>
  <c r="N44" i="176"/>
  <c r="N119" i="176" s="1"/>
  <c r="N121" i="176" s="1"/>
  <c r="G25" i="99" s="1"/>
  <c r="N46" i="176"/>
  <c r="I45" i="176"/>
  <c r="I120" i="176" s="1"/>
  <c r="H8" i="176"/>
  <c r="H19" i="176"/>
  <c r="H23" i="176" s="1"/>
  <c r="H40" i="176"/>
  <c r="H37" i="176"/>
  <c r="H114" i="176" s="1"/>
  <c r="K38" i="176"/>
  <c r="K115" i="176" s="1"/>
  <c r="F39" i="176"/>
  <c r="F116" i="176" s="1"/>
  <c r="N39" i="176"/>
  <c r="N116" i="176" s="1"/>
  <c r="L100" i="176"/>
  <c r="L55" i="176"/>
  <c r="P68" i="176"/>
  <c r="Q68" i="176" s="1"/>
  <c r="L72" i="176"/>
  <c r="G73" i="176"/>
  <c r="O73" i="176"/>
  <c r="J74" i="176"/>
  <c r="M75" i="176"/>
  <c r="J82" i="176"/>
  <c r="E83" i="176"/>
  <c r="M83" i="176"/>
  <c r="H84" i="176"/>
  <c r="K85" i="176"/>
  <c r="H20" i="176"/>
  <c r="H109" i="176" s="1"/>
  <c r="J36" i="176"/>
  <c r="J33" i="176"/>
  <c r="E34" i="176"/>
  <c r="M34" i="176"/>
  <c r="H35" i="176"/>
  <c r="G44" i="176"/>
  <c r="G119" i="176" s="1"/>
  <c r="G121" i="176" s="1"/>
  <c r="G18" i="99" s="1"/>
  <c r="G46" i="176"/>
  <c r="O44" i="176"/>
  <c r="O119" i="176" s="1"/>
  <c r="O121" i="176" s="1"/>
  <c r="G26" i="99" s="1"/>
  <c r="O46" i="176"/>
  <c r="J45" i="176"/>
  <c r="J120" i="176" s="1"/>
  <c r="I10" i="176"/>
  <c r="I107" i="176" s="1"/>
  <c r="D20" i="99" s="1"/>
  <c r="I19" i="176"/>
  <c r="I23" i="176" s="1"/>
  <c r="D30" i="176"/>
  <c r="N66" i="176"/>
  <c r="H86" i="176"/>
  <c r="I40" i="176"/>
  <c r="I37" i="176"/>
  <c r="I114" i="176" s="1"/>
  <c r="D38" i="176"/>
  <c r="D115" i="176" s="1"/>
  <c r="L38" i="176"/>
  <c r="L115" i="176" s="1"/>
  <c r="O39" i="176"/>
  <c r="O116" i="176" s="1"/>
  <c r="M100" i="176"/>
  <c r="M55" i="176"/>
  <c r="H73" i="176"/>
  <c r="K74" i="176"/>
  <c r="K76" i="176" s="1"/>
  <c r="F75" i="176"/>
  <c r="N75" i="176"/>
  <c r="K82" i="176"/>
  <c r="F83" i="176"/>
  <c r="N83" i="176"/>
  <c r="I84" i="176"/>
  <c r="P81" i="176"/>
  <c r="Q81" i="176" s="1"/>
  <c r="D85" i="176"/>
  <c r="L85" i="176"/>
  <c r="I20" i="176"/>
  <c r="I109" i="176" s="1"/>
  <c r="I112" i="176" s="1"/>
  <c r="E20" i="99" s="1"/>
  <c r="D21" i="176"/>
  <c r="D110" i="176" s="1"/>
  <c r="L21" i="176"/>
  <c r="L110" i="176" s="1"/>
  <c r="K33" i="176"/>
  <c r="K36" i="176"/>
  <c r="F34" i="176"/>
  <c r="N34" i="176"/>
  <c r="H44" i="176"/>
  <c r="H119" i="176" s="1"/>
  <c r="H46" i="176"/>
  <c r="K45" i="176"/>
  <c r="K120" i="176" s="1"/>
  <c r="F351" i="174"/>
  <c r="N351" i="174"/>
  <c r="J10" i="176"/>
  <c r="J107" i="176" s="1"/>
  <c r="D21" i="99" s="1"/>
  <c r="J19" i="176"/>
  <c r="J23" i="176" s="1"/>
  <c r="P59" i="176"/>
  <c r="Q59" i="176" s="1"/>
  <c r="O66" i="176"/>
  <c r="I86" i="176"/>
  <c r="J40" i="176"/>
  <c r="J37" i="176"/>
  <c r="J114" i="176" s="1"/>
  <c r="E38" i="176"/>
  <c r="E115" i="176" s="1"/>
  <c r="M38" i="176"/>
  <c r="M115" i="176" s="1"/>
  <c r="H39" i="176"/>
  <c r="H116" i="176" s="1"/>
  <c r="P78" i="174"/>
  <c r="E269" i="169" s="1"/>
  <c r="C269" i="169" s="1"/>
  <c r="G97" i="176"/>
  <c r="G52" i="176"/>
  <c r="O52" i="176"/>
  <c r="J53" i="176"/>
  <c r="J98" i="176"/>
  <c r="O64" i="176"/>
  <c r="F72" i="176"/>
  <c r="D74" i="176"/>
  <c r="P70" i="176"/>
  <c r="Q70" i="176" s="1"/>
  <c r="L74" i="176"/>
  <c r="G75" i="176"/>
  <c r="O75" i="176"/>
  <c r="D82" i="176"/>
  <c r="L82" i="176"/>
  <c r="G83" i="176"/>
  <c r="O83" i="176"/>
  <c r="J84" i="176"/>
  <c r="M85" i="176"/>
  <c r="J20" i="176"/>
  <c r="J109" i="176" s="1"/>
  <c r="E21" i="176"/>
  <c r="E110" i="176" s="1"/>
  <c r="M21" i="176"/>
  <c r="M110" i="176" s="1"/>
  <c r="H22" i="176"/>
  <c r="H111" i="176" s="1"/>
  <c r="I46" i="176"/>
  <c r="P43" i="176"/>
  <c r="D45" i="176"/>
  <c r="D120" i="176" s="1"/>
  <c r="L45" i="176"/>
  <c r="L120" i="176" s="1"/>
  <c r="G351" i="174"/>
  <c r="O351" i="174"/>
  <c r="K8" i="176"/>
  <c r="K106" i="176" s="1"/>
  <c r="C22" i="99" s="1"/>
  <c r="I20" i="77" s="1"/>
  <c r="P60" i="176"/>
  <c r="P91" i="176"/>
  <c r="J86" i="176"/>
  <c r="K37" i="176"/>
  <c r="K114" i="176" s="1"/>
  <c r="K40" i="176"/>
  <c r="F38" i="176"/>
  <c r="F115" i="176" s="1"/>
  <c r="N38" i="176"/>
  <c r="N115" i="176" s="1"/>
  <c r="I39" i="176"/>
  <c r="I116" i="176" s="1"/>
  <c r="N62" i="176"/>
  <c r="G72" i="176"/>
  <c r="G76" i="176" s="1"/>
  <c r="O72" i="176"/>
  <c r="O76" i="176" s="1"/>
  <c r="M74" i="176"/>
  <c r="M76" i="176" s="1"/>
  <c r="H75" i="176"/>
  <c r="H76" i="176" s="1"/>
  <c r="P156" i="174"/>
  <c r="E82" i="176"/>
  <c r="H83" i="176"/>
  <c r="P182" i="174"/>
  <c r="K84" i="176"/>
  <c r="F85" i="176"/>
  <c r="N85" i="176"/>
  <c r="K20" i="176"/>
  <c r="K109" i="176" s="1"/>
  <c r="F21" i="176"/>
  <c r="F110" i="176" s="1"/>
  <c r="N21" i="176"/>
  <c r="N110" i="176" s="1"/>
  <c r="N112" i="176" s="1"/>
  <c r="E25" i="99" s="1"/>
  <c r="H34" i="176"/>
  <c r="P325" i="174"/>
  <c r="K35" i="176"/>
  <c r="M45" i="176"/>
  <c r="M120" i="176" s="1"/>
  <c r="H351" i="174"/>
  <c r="C15" i="99"/>
  <c r="I13" i="77" s="1"/>
  <c r="P7" i="176"/>
  <c r="Q7" i="176" s="1"/>
  <c r="L8" i="176"/>
  <c r="L106" i="176" s="1"/>
  <c r="C23" i="99" s="1"/>
  <c r="I21" i="77" s="1"/>
  <c r="P9" i="176"/>
  <c r="Q9" i="176" s="1"/>
  <c r="P17" i="176"/>
  <c r="Q17" i="176" s="1"/>
  <c r="P61" i="176"/>
  <c r="Q61" i="176" s="1"/>
  <c r="F94" i="176"/>
  <c r="P90" i="176"/>
  <c r="H96" i="176"/>
  <c r="D93" i="176"/>
  <c r="P89" i="176"/>
  <c r="I96" i="176"/>
  <c r="I92" i="176"/>
  <c r="L29" i="177"/>
  <c r="P88" i="176"/>
  <c r="Q91" i="176" s="1"/>
  <c r="E96" i="176"/>
  <c r="E92" i="176"/>
  <c r="Q152" i="179"/>
  <c r="H152" i="179"/>
  <c r="E153" i="179"/>
  <c r="E29" i="179"/>
  <c r="M153" i="179"/>
  <c r="G155" i="179"/>
  <c r="J156" i="179"/>
  <c r="K92" i="176"/>
  <c r="G27" i="177"/>
  <c r="G20" i="177"/>
  <c r="G29" i="177" s="1"/>
  <c r="O27" i="177"/>
  <c r="O28" i="177" s="1"/>
  <c r="O20" i="177"/>
  <c r="N13" i="179"/>
  <c r="N15" i="179" s="1"/>
  <c r="X22" i="179"/>
  <c r="AB22" i="179" s="1"/>
  <c r="V22" i="179"/>
  <c r="W20" i="179"/>
  <c r="F29" i="179"/>
  <c r="F30" i="179" s="1"/>
  <c r="F153" i="179"/>
  <c r="N153" i="179"/>
  <c r="F41" i="179"/>
  <c r="F42" i="179" s="1"/>
  <c r="D92" i="176"/>
  <c r="L92" i="176"/>
  <c r="D96" i="176"/>
  <c r="P19" i="177"/>
  <c r="AG18" i="179"/>
  <c r="X34" i="179"/>
  <c r="AB34" i="179" s="1"/>
  <c r="V34" i="179"/>
  <c r="W32" i="179"/>
  <c r="K91" i="179"/>
  <c r="K93" i="179" s="1"/>
  <c r="L90" i="179"/>
  <c r="J155" i="179"/>
  <c r="L156" i="179"/>
  <c r="I156" i="179"/>
  <c r="E126" i="179"/>
  <c r="R124" i="179"/>
  <c r="M92" i="176"/>
  <c r="P9" i="177"/>
  <c r="D20" i="177"/>
  <c r="M26" i="177"/>
  <c r="M28" i="177" s="1"/>
  <c r="I13" i="179"/>
  <c r="I15" i="179" s="1"/>
  <c r="R39" i="179"/>
  <c r="R50" i="179"/>
  <c r="K155" i="179"/>
  <c r="E141" i="179"/>
  <c r="J153" i="179"/>
  <c r="F92" i="176"/>
  <c r="N92" i="176"/>
  <c r="M29" i="177"/>
  <c r="X10" i="179"/>
  <c r="AB10" i="179" s="1"/>
  <c r="X9" i="179"/>
  <c r="AB9" i="179" s="1"/>
  <c r="J152" i="179"/>
  <c r="V23" i="179"/>
  <c r="R27" i="179"/>
  <c r="F52" i="179"/>
  <c r="F53" i="179" s="1"/>
  <c r="E95" i="179"/>
  <c r="F126" i="179"/>
  <c r="F127" i="179" s="1"/>
  <c r="F156" i="179"/>
  <c r="N156" i="179"/>
  <c r="G140" i="179"/>
  <c r="G92" i="176"/>
  <c r="O92" i="176"/>
  <c r="K20" i="177"/>
  <c r="K29" i="177" s="1"/>
  <c r="H27" i="177"/>
  <c r="K13" i="179"/>
  <c r="K15" i="179" s="1"/>
  <c r="X35" i="179"/>
  <c r="AB35" i="179" s="1"/>
  <c r="G63" i="179"/>
  <c r="G81" i="179"/>
  <c r="G82" i="179" s="1"/>
  <c r="M155" i="179"/>
  <c r="P155" i="179"/>
  <c r="H92" i="176"/>
  <c r="G28" i="177"/>
  <c r="I27" i="177"/>
  <c r="I28" i="177" s="1"/>
  <c r="I29" i="177" s="1"/>
  <c r="L13" i="179"/>
  <c r="L15" i="179" s="1"/>
  <c r="F13" i="179"/>
  <c r="F15" i="179" s="1"/>
  <c r="K153" i="179"/>
  <c r="H156" i="179"/>
  <c r="Q137" i="179"/>
  <c r="Q139" i="179" s="1"/>
  <c r="Q141" i="179" s="1"/>
  <c r="Q142" i="179" s="1"/>
  <c r="H28" i="177"/>
  <c r="H29" i="177" s="1"/>
  <c r="D26" i="177"/>
  <c r="D28" i="177" s="1"/>
  <c r="E13" i="179"/>
  <c r="E15" i="179" s="1"/>
  <c r="R15" i="179" s="1"/>
  <c r="F12" i="179"/>
  <c r="N12" i="179"/>
  <c r="G13" i="179"/>
  <c r="G15" i="179" s="1"/>
  <c r="F146" i="179"/>
  <c r="V36" i="179"/>
  <c r="G109" i="179"/>
  <c r="G110" i="179" s="1"/>
  <c r="G111" i="179" s="1"/>
  <c r="F155" i="179"/>
  <c r="L91" i="179"/>
  <c r="L93" i="179" s="1"/>
  <c r="N90" i="179"/>
  <c r="N91" i="179" s="1"/>
  <c r="N93" i="179" s="1"/>
  <c r="H155" i="179"/>
  <c r="I155" i="179"/>
  <c r="G156" i="179"/>
  <c r="E20" i="177"/>
  <c r="E29" i="177" s="1"/>
  <c r="M12" i="179"/>
  <c r="M13" i="179" s="1"/>
  <c r="M15" i="179" s="1"/>
  <c r="G60" i="179"/>
  <c r="G62" i="179" s="1"/>
  <c r="F90" i="179"/>
  <c r="F91" i="179" s="1"/>
  <c r="F93" i="179" s="1"/>
  <c r="P91" i="179"/>
  <c r="P93" i="179" s="1"/>
  <c r="X103" i="179"/>
  <c r="AB103" i="179" s="1"/>
  <c r="L106" i="179"/>
  <c r="L108" i="179" s="1"/>
  <c r="F20" i="177"/>
  <c r="F29" i="177" s="1"/>
  <c r="N20" i="177"/>
  <c r="N29" i="177" s="1"/>
  <c r="L153" i="179"/>
  <c r="M154" i="179"/>
  <c r="H60" i="179"/>
  <c r="H62" i="179" s="1"/>
  <c r="H145" i="179" s="1"/>
  <c r="H151" i="179" s="1"/>
  <c r="AF59" i="179"/>
  <c r="X102" i="179"/>
  <c r="AB102" i="179" s="1"/>
  <c r="V102" i="179"/>
  <c r="E52" i="179"/>
  <c r="K60" i="179"/>
  <c r="K62" i="179" s="1"/>
  <c r="R79" i="179"/>
  <c r="N106" i="179"/>
  <c r="N108" i="179" s="1"/>
  <c r="E81" i="179"/>
  <c r="G91" i="179"/>
  <c r="G93" i="179" s="1"/>
  <c r="Q155" i="179"/>
  <c r="Q59" i="179"/>
  <c r="Q60" i="179" s="1"/>
  <c r="Q62" i="179" s="1"/>
  <c r="Q154" i="179" s="1"/>
  <c r="J91" i="179"/>
  <c r="J93" i="179" s="1"/>
  <c r="E155" i="179"/>
  <c r="G64" i="179" l="1"/>
  <c r="G65" i="179" s="1"/>
  <c r="P152" i="179"/>
  <c r="G154" i="179"/>
  <c r="S156" i="179"/>
  <c r="H154" i="179"/>
  <c r="R62" i="179"/>
  <c r="E64" i="179"/>
  <c r="R108" i="179"/>
  <c r="E546" i="169"/>
  <c r="E547" i="169"/>
  <c r="E413" i="169"/>
  <c r="E35" i="169"/>
  <c r="G35" i="169" s="1"/>
  <c r="G272" i="169"/>
  <c r="K272" i="169" s="1"/>
  <c r="M272" i="169" s="1"/>
  <c r="K379" i="169"/>
  <c r="M379" i="169" s="1"/>
  <c r="L33" i="76"/>
  <c r="C385" i="169"/>
  <c r="G385" i="169" s="1"/>
  <c r="K385" i="169" s="1"/>
  <c r="I308" i="169"/>
  <c r="E292" i="169"/>
  <c r="E398" i="169"/>
  <c r="C398" i="169" s="1"/>
  <c r="E259" i="169"/>
  <c r="C259" i="169" s="1"/>
  <c r="E475" i="169"/>
  <c r="C475" i="169" s="1"/>
  <c r="G270" i="169"/>
  <c r="I270" i="169" s="1"/>
  <c r="I410" i="169"/>
  <c r="C402" i="169"/>
  <c r="G402" i="169" s="1"/>
  <c r="G262" i="169" s="1"/>
  <c r="K262" i="169" s="1"/>
  <c r="O262" i="169" s="1"/>
  <c r="A55" i="99"/>
  <c r="D36" i="176"/>
  <c r="D33" i="176"/>
  <c r="D37" i="176"/>
  <c r="D114" i="176" s="1"/>
  <c r="R114" i="176"/>
  <c r="F12" i="99" s="1"/>
  <c r="S102" i="169"/>
  <c r="C35" i="169"/>
  <c r="I439" i="169"/>
  <c r="G269" i="169"/>
  <c r="I269" i="169" s="1"/>
  <c r="I378" i="169"/>
  <c r="G266" i="169"/>
  <c r="I266" i="169" s="1"/>
  <c r="K298" i="169"/>
  <c r="M298" i="169" s="1"/>
  <c r="G263" i="169"/>
  <c r="K263" i="169" s="1"/>
  <c r="K377" i="169"/>
  <c r="M377" i="169" s="1"/>
  <c r="G265" i="169"/>
  <c r="I265" i="169" s="1"/>
  <c r="I437" i="169"/>
  <c r="G267" i="169"/>
  <c r="I267" i="169" s="1"/>
  <c r="K383" i="169"/>
  <c r="M383" i="169" s="1"/>
  <c r="G271" i="169"/>
  <c r="I271" i="169" s="1"/>
  <c r="K203" i="169"/>
  <c r="M203" i="169" s="1"/>
  <c r="G108" i="169"/>
  <c r="K202" i="169"/>
  <c r="M202" i="169" s="1"/>
  <c r="G107" i="169"/>
  <c r="K200" i="169"/>
  <c r="M200" i="169" s="1"/>
  <c r="G105" i="169"/>
  <c r="K199" i="169"/>
  <c r="M199" i="169" s="1"/>
  <c r="G104" i="169"/>
  <c r="K198" i="169"/>
  <c r="M198" i="169" s="1"/>
  <c r="G103" i="169"/>
  <c r="J117" i="176"/>
  <c r="F21" i="99" s="1"/>
  <c r="K117" i="176"/>
  <c r="F22" i="99" s="1"/>
  <c r="M317" i="169"/>
  <c r="E459" i="169"/>
  <c r="C459" i="169" s="1"/>
  <c r="Q232" i="169"/>
  <c r="I375" i="169"/>
  <c r="I377" i="169"/>
  <c r="O12" i="169"/>
  <c r="Q12" i="169" s="1"/>
  <c r="E370" i="169"/>
  <c r="C370" i="169" s="1"/>
  <c r="M362" i="169"/>
  <c r="I374" i="169"/>
  <c r="E491" i="169"/>
  <c r="C491" i="169" s="1"/>
  <c r="M332" i="169"/>
  <c r="I440" i="169"/>
  <c r="E17" i="181"/>
  <c r="E20" i="181"/>
  <c r="K17" i="181"/>
  <c r="K20" i="181"/>
  <c r="J17" i="181"/>
  <c r="J20" i="181"/>
  <c r="I383" i="169"/>
  <c r="E310" i="169"/>
  <c r="C310" i="169" s="1"/>
  <c r="E355" i="169"/>
  <c r="C355" i="169" s="1"/>
  <c r="M228" i="169"/>
  <c r="Q228" i="169" s="1"/>
  <c r="K41" i="169"/>
  <c r="O41" i="169" s="1"/>
  <c r="Q41" i="169" s="1"/>
  <c r="I20" i="181"/>
  <c r="I17" i="181"/>
  <c r="O14" i="169"/>
  <c r="Q14" i="169" s="1"/>
  <c r="E99" i="169"/>
  <c r="M137" i="169"/>
  <c r="G123" i="176"/>
  <c r="F76" i="176"/>
  <c r="L76" i="176"/>
  <c r="L126" i="176"/>
  <c r="H117" i="176"/>
  <c r="F19" i="99" s="1"/>
  <c r="Q71" i="176"/>
  <c r="N76" i="176"/>
  <c r="D107" i="176"/>
  <c r="D15" i="99" s="1"/>
  <c r="H107" i="176"/>
  <c r="D19" i="99" s="1"/>
  <c r="E107" i="176"/>
  <c r="D16" i="99" s="1"/>
  <c r="N107" i="176"/>
  <c r="D25" i="99" s="1"/>
  <c r="F107" i="176"/>
  <c r="D17" i="99" s="1"/>
  <c r="O126" i="176"/>
  <c r="I121" i="176"/>
  <c r="G20" i="99" s="1"/>
  <c r="K123" i="176"/>
  <c r="F126" i="176"/>
  <c r="AE19" i="174"/>
  <c r="H124" i="176"/>
  <c r="J76" i="176"/>
  <c r="E126" i="176"/>
  <c r="N117" i="176"/>
  <c r="F25" i="99" s="1"/>
  <c r="K126" i="176"/>
  <c r="M106" i="176"/>
  <c r="C24" i="99" s="1"/>
  <c r="I22" i="77" s="1"/>
  <c r="E106" i="176"/>
  <c r="C16" i="99" s="1"/>
  <c r="I14" i="77" s="1"/>
  <c r="G112" i="176"/>
  <c r="E18" i="99" s="1"/>
  <c r="G117" i="176"/>
  <c r="F18" i="99" s="1"/>
  <c r="I73" i="169"/>
  <c r="K73" i="169"/>
  <c r="O73" i="169" s="1"/>
  <c r="K297" i="169"/>
  <c r="M297" i="169" s="1"/>
  <c r="E194" i="169"/>
  <c r="I382" i="169"/>
  <c r="E68" i="169"/>
  <c r="E225" i="169"/>
  <c r="M39" i="169"/>
  <c r="O39" i="169"/>
  <c r="Q39" i="169" s="1"/>
  <c r="M347" i="169"/>
  <c r="I106" i="169"/>
  <c r="K106" i="169"/>
  <c r="M482" i="169"/>
  <c r="K376" i="169"/>
  <c r="M376" i="169" s="1"/>
  <c r="K405" i="169"/>
  <c r="M405" i="169" s="1"/>
  <c r="E162" i="169"/>
  <c r="K403" i="169"/>
  <c r="M403" i="169" s="1"/>
  <c r="M498" i="169"/>
  <c r="E133" i="169"/>
  <c r="M7" i="169"/>
  <c r="O7" i="169"/>
  <c r="Q7" i="169" s="1"/>
  <c r="K435" i="169"/>
  <c r="M435" i="169" s="1"/>
  <c r="I384" i="169"/>
  <c r="E427" i="169"/>
  <c r="C427" i="169" s="1"/>
  <c r="M466" i="169"/>
  <c r="M229" i="169"/>
  <c r="O229" i="169"/>
  <c r="Q230" i="169" s="1"/>
  <c r="K437" i="169"/>
  <c r="M437" i="169" s="1"/>
  <c r="K441" i="169"/>
  <c r="M441" i="169" s="1"/>
  <c r="H80" i="179"/>
  <c r="F95" i="179"/>
  <c r="F96" i="179" s="1"/>
  <c r="R93" i="179"/>
  <c r="F154" i="179"/>
  <c r="M145" i="179"/>
  <c r="M151" i="179" s="1"/>
  <c r="M152" i="179"/>
  <c r="L152" i="179"/>
  <c r="L145" i="179"/>
  <c r="L151" i="179" s="1"/>
  <c r="O106" i="176"/>
  <c r="C26" i="99" s="1"/>
  <c r="I24" i="77" s="1"/>
  <c r="O112" i="176"/>
  <c r="E26" i="99" s="1"/>
  <c r="D98" i="176"/>
  <c r="D124" i="176" s="1"/>
  <c r="H126" i="176"/>
  <c r="K378" i="169"/>
  <c r="M378" i="169" s="1"/>
  <c r="M139" i="169"/>
  <c r="K171" i="169"/>
  <c r="M171" i="169" s="1"/>
  <c r="K78" i="169"/>
  <c r="K404" i="169"/>
  <c r="M404" i="169" s="1"/>
  <c r="H109" i="179"/>
  <c r="H110" i="179" s="1"/>
  <c r="H111" i="179" s="1"/>
  <c r="P20" i="177"/>
  <c r="D29" i="177"/>
  <c r="D39" i="176"/>
  <c r="D116" i="176" s="1"/>
  <c r="P116" i="176" s="1"/>
  <c r="S108" i="169" s="1"/>
  <c r="C29" i="76" s="1"/>
  <c r="P28" i="176"/>
  <c r="Q28" i="176" s="1"/>
  <c r="I298" i="169"/>
  <c r="K169" i="169"/>
  <c r="M169" i="169" s="1"/>
  <c r="K76" i="169"/>
  <c r="G152" i="179"/>
  <c r="G145" i="179"/>
  <c r="G151" i="179" s="1"/>
  <c r="P25" i="177"/>
  <c r="M549" i="169"/>
  <c r="P78" i="176"/>
  <c r="Q78" i="176" s="1"/>
  <c r="Q79" i="176"/>
  <c r="D20" i="176"/>
  <c r="D109" i="176" s="1"/>
  <c r="P16" i="176"/>
  <c r="Q16" i="176" s="1"/>
  <c r="D19" i="176"/>
  <c r="G77" i="169"/>
  <c r="I170" i="169"/>
  <c r="G28" i="179"/>
  <c r="R107" i="176"/>
  <c r="D12" i="99" s="1"/>
  <c r="S39" i="169"/>
  <c r="N40" i="176"/>
  <c r="I126" i="176"/>
  <c r="G106" i="176"/>
  <c r="C18" i="99" s="1"/>
  <c r="I16" i="77" s="1"/>
  <c r="I125" i="176"/>
  <c r="H63" i="179"/>
  <c r="H64" i="179" s="1"/>
  <c r="H65" i="179" s="1"/>
  <c r="K152" i="179"/>
  <c r="K145" i="179"/>
  <c r="K151" i="179" s="1"/>
  <c r="N154" i="179"/>
  <c r="K112" i="176"/>
  <c r="E22" i="99" s="1"/>
  <c r="J106" i="176"/>
  <c r="C21" i="99" s="1"/>
  <c r="I19" i="77" s="1"/>
  <c r="Q43" i="176"/>
  <c r="J112" i="176"/>
  <c r="E21" i="99" s="1"/>
  <c r="P115" i="176"/>
  <c r="S106" i="169" s="1"/>
  <c r="C28" i="76" s="1"/>
  <c r="H112" i="176"/>
  <c r="E19" i="99" s="1"/>
  <c r="O86" i="176"/>
  <c r="G107" i="176"/>
  <c r="D18" i="99" s="1"/>
  <c r="P18" i="176"/>
  <c r="Q18" i="176" s="1"/>
  <c r="D22" i="176"/>
  <c r="D111" i="176" s="1"/>
  <c r="P111" i="176" s="1"/>
  <c r="S78" i="169" s="1"/>
  <c r="C22" i="76" s="1"/>
  <c r="J125" i="176"/>
  <c r="J126" i="176"/>
  <c r="D73" i="176"/>
  <c r="D76" i="176" s="1"/>
  <c r="P69" i="176"/>
  <c r="Q69" i="176" s="1"/>
  <c r="M44" i="176"/>
  <c r="M119" i="176" s="1"/>
  <c r="M121" i="176" s="1"/>
  <c r="G24" i="99" s="1"/>
  <c r="M46" i="176"/>
  <c r="L46" i="176"/>
  <c r="L44" i="176"/>
  <c r="L119" i="176" s="1"/>
  <c r="L121" i="176" s="1"/>
  <c r="G23" i="99" s="1"/>
  <c r="N126" i="176"/>
  <c r="K121" i="176"/>
  <c r="G22" i="99" s="1"/>
  <c r="E99" i="176"/>
  <c r="E125" i="176" s="1"/>
  <c r="E54" i="176"/>
  <c r="I435" i="169"/>
  <c r="G40" i="169"/>
  <c r="I137" i="169"/>
  <c r="I139" i="169" s="1"/>
  <c r="K384" i="169"/>
  <c r="M384" i="169" s="1"/>
  <c r="M12" i="169"/>
  <c r="I171" i="169"/>
  <c r="G125" i="179"/>
  <c r="O29" i="177"/>
  <c r="P32" i="176"/>
  <c r="Q32" i="176" s="1"/>
  <c r="D35" i="176"/>
  <c r="E98" i="176"/>
  <c r="E124" i="176" s="1"/>
  <c r="E53" i="176"/>
  <c r="E507" i="169"/>
  <c r="H99" i="176"/>
  <c r="H125" i="176" s="1"/>
  <c r="H54" i="176"/>
  <c r="G99" i="176"/>
  <c r="G125" i="176" s="1"/>
  <c r="G54" i="176"/>
  <c r="G165" i="169"/>
  <c r="I297" i="169"/>
  <c r="L155" i="179"/>
  <c r="S155" i="179" s="1"/>
  <c r="Q145" i="179"/>
  <c r="Q151" i="179" s="1"/>
  <c r="D446" i="175"/>
  <c r="P422" i="175"/>
  <c r="P26" i="176"/>
  <c r="Q26" i="176" s="1"/>
  <c r="D40" i="176"/>
  <c r="F33" i="176"/>
  <c r="F36" i="176"/>
  <c r="S153" i="179"/>
  <c r="R106" i="176"/>
  <c r="C12" i="99" s="1"/>
  <c r="J13" i="77" s="1"/>
  <c r="C13" i="77" s="1"/>
  <c r="S7" i="169"/>
  <c r="Q156" i="179"/>
  <c r="L154" i="179"/>
  <c r="J124" i="176"/>
  <c r="F112" i="176"/>
  <c r="E17" i="99" s="1"/>
  <c r="J154" i="179"/>
  <c r="J145" i="179"/>
  <c r="J151" i="179" s="1"/>
  <c r="R139" i="179"/>
  <c r="G40" i="179"/>
  <c r="M126" i="176"/>
  <c r="I117" i="176"/>
  <c r="F20" i="99" s="1"/>
  <c r="P30" i="176"/>
  <c r="Q30" i="176" s="1"/>
  <c r="G86" i="176"/>
  <c r="Q31" i="176"/>
  <c r="D99" i="176"/>
  <c r="D125" i="176" s="1"/>
  <c r="D54" i="176"/>
  <c r="E117" i="176"/>
  <c r="F16" i="99" s="1"/>
  <c r="K107" i="176"/>
  <c r="D22" i="99" s="1"/>
  <c r="I97" i="176"/>
  <c r="I123" i="176" s="1"/>
  <c r="I52" i="176"/>
  <c r="P351" i="174"/>
  <c r="F106" i="176"/>
  <c r="C17" i="99" s="1"/>
  <c r="I15" i="77" s="1"/>
  <c r="D84" i="176"/>
  <c r="P80" i="176"/>
  <c r="Q80" i="176" s="1"/>
  <c r="C340" i="169"/>
  <c r="F37" i="176"/>
  <c r="F114" i="176" s="1"/>
  <c r="F117" i="176" s="1"/>
  <c r="F17" i="99" s="1"/>
  <c r="I411" i="169"/>
  <c r="K166" i="169"/>
  <c r="M166" i="169" s="1"/>
  <c r="I434" i="169"/>
  <c r="I169" i="169"/>
  <c r="K439" i="169"/>
  <c r="M439" i="169" s="1"/>
  <c r="G75" i="169"/>
  <c r="I168" i="169"/>
  <c r="P120" i="176"/>
  <c r="S232" i="169" s="1"/>
  <c r="C35" i="76" s="1"/>
  <c r="H106" i="176"/>
  <c r="C19" i="99" s="1"/>
  <c r="I17" i="77" s="1"/>
  <c r="G126" i="176"/>
  <c r="M117" i="176"/>
  <c r="F24" i="99" s="1"/>
  <c r="L107" i="176"/>
  <c r="D23" i="99" s="1"/>
  <c r="H97" i="176"/>
  <c r="H123" i="176" s="1"/>
  <c r="H52" i="176"/>
  <c r="P154" i="179"/>
  <c r="E17" i="179"/>
  <c r="E152" i="179"/>
  <c r="E145" i="179"/>
  <c r="E151" i="179" s="1"/>
  <c r="G141" i="179"/>
  <c r="G142" i="179" s="1"/>
  <c r="K154" i="179"/>
  <c r="Q60" i="176"/>
  <c r="O97" i="176"/>
  <c r="O123" i="176" s="1"/>
  <c r="I106" i="176"/>
  <c r="C20" i="99" s="1"/>
  <c r="I18" i="77" s="1"/>
  <c r="H121" i="176"/>
  <c r="G19" i="99" s="1"/>
  <c r="P110" i="176"/>
  <c r="S76" i="169" s="1"/>
  <c r="C21" i="76" s="1"/>
  <c r="N48" i="176"/>
  <c r="N97" i="176" s="1"/>
  <c r="M107" i="176"/>
  <c r="D24" i="99" s="1"/>
  <c r="I124" i="176"/>
  <c r="L40" i="176"/>
  <c r="L37" i="176"/>
  <c r="L114" i="176" s="1"/>
  <c r="L117" i="176" s="1"/>
  <c r="F23" i="99" s="1"/>
  <c r="E44" i="176"/>
  <c r="E119" i="176" s="1"/>
  <c r="E121" i="176" s="1"/>
  <c r="G16" i="99" s="1"/>
  <c r="E46" i="176"/>
  <c r="F98" i="176"/>
  <c r="F124" i="176" s="1"/>
  <c r="F53" i="176"/>
  <c r="M112" i="176"/>
  <c r="E24" i="99" s="1"/>
  <c r="O117" i="176"/>
  <c r="F26" i="99" s="1"/>
  <c r="E112" i="176"/>
  <c r="E16" i="99" s="1"/>
  <c r="F54" i="176"/>
  <c r="F99" i="176"/>
  <c r="F125" i="176" s="1"/>
  <c r="K412" i="169"/>
  <c r="M412" i="169" s="1"/>
  <c r="M380" i="169"/>
  <c r="K382" i="169"/>
  <c r="M382" i="169" s="1"/>
  <c r="K411" i="169"/>
  <c r="M411" i="169" s="1"/>
  <c r="I299" i="169"/>
  <c r="G264" i="169"/>
  <c r="K433" i="169"/>
  <c r="M433" i="169" s="1"/>
  <c r="I167" i="169"/>
  <c r="G74" i="169"/>
  <c r="K170" i="169"/>
  <c r="M170" i="169" s="1"/>
  <c r="I166" i="169"/>
  <c r="C265" i="169"/>
  <c r="N155" i="179"/>
  <c r="F17" i="179"/>
  <c r="F18" i="179" s="1"/>
  <c r="F152" i="179"/>
  <c r="F145" i="179"/>
  <c r="G51" i="179"/>
  <c r="I152" i="179"/>
  <c r="I145" i="179"/>
  <c r="I151" i="179" s="1"/>
  <c r="N145" i="179"/>
  <c r="N151" i="179" s="1"/>
  <c r="N152" i="179"/>
  <c r="J121" i="176"/>
  <c r="G21" i="99" s="1"/>
  <c r="L20" i="176"/>
  <c r="L109" i="176" s="1"/>
  <c r="L112" i="176" s="1"/>
  <c r="E23" i="99" s="1"/>
  <c r="L19" i="176"/>
  <c r="L23" i="176" s="1"/>
  <c r="N33" i="176"/>
  <c r="N36" i="176"/>
  <c r="P42" i="176"/>
  <c r="Q42" i="176" s="1"/>
  <c r="D44" i="176"/>
  <c r="D119" i="176" s="1"/>
  <c r="D46" i="176"/>
  <c r="M14" i="169"/>
  <c r="S154" i="179" l="1"/>
  <c r="S152" i="179"/>
  <c r="C17" i="70"/>
  <c r="M515" i="169"/>
  <c r="I272" i="169"/>
  <c r="G259" i="169"/>
  <c r="M73" i="169"/>
  <c r="M41" i="169"/>
  <c r="C133" i="169"/>
  <c r="G133" i="169"/>
  <c r="C225" i="169"/>
  <c r="G225" i="169"/>
  <c r="C68" i="169"/>
  <c r="G68" i="169"/>
  <c r="C99" i="169"/>
  <c r="G99" i="169"/>
  <c r="C194" i="169"/>
  <c r="G194" i="169"/>
  <c r="C162" i="169"/>
  <c r="G162" i="169"/>
  <c r="M301" i="169"/>
  <c r="C16" i="77"/>
  <c r="C19" i="77"/>
  <c r="C14" i="77"/>
  <c r="C23" i="77"/>
  <c r="C24" i="77"/>
  <c r="C22" i="77"/>
  <c r="C21" i="77"/>
  <c r="C15" i="77"/>
  <c r="C17" i="77"/>
  <c r="C20" i="77"/>
  <c r="C18" i="77"/>
  <c r="A56" i="99"/>
  <c r="A57" i="99" s="1"/>
  <c r="A58" i="99" s="1"/>
  <c r="C26" i="76"/>
  <c r="L26" i="76" s="1"/>
  <c r="M33" i="76" s="1"/>
  <c r="D117" i="176"/>
  <c r="K103" i="169"/>
  <c r="I103" i="169"/>
  <c r="K104" i="169"/>
  <c r="I104" i="169"/>
  <c r="K105" i="169"/>
  <c r="I105" i="169"/>
  <c r="I107" i="169"/>
  <c r="K107" i="169"/>
  <c r="I108" i="169"/>
  <c r="K108" i="169"/>
  <c r="P114" i="176"/>
  <c r="S104" i="169" s="1"/>
  <c r="C27" i="76" s="1"/>
  <c r="O272" i="169"/>
  <c r="M197" i="169"/>
  <c r="M204" i="169" s="1"/>
  <c r="G102" i="169"/>
  <c r="I443" i="169"/>
  <c r="K271" i="169"/>
  <c r="O271" i="169" s="1"/>
  <c r="M233" i="169"/>
  <c r="J27" i="181"/>
  <c r="J28" i="181" s="1"/>
  <c r="J30" i="181" s="1"/>
  <c r="E27" i="181"/>
  <c r="E28" i="181" s="1"/>
  <c r="E30" i="181" s="1"/>
  <c r="K265" i="169"/>
  <c r="M265" i="169" s="1"/>
  <c r="M15" i="169"/>
  <c r="Q15" i="169"/>
  <c r="I385" i="169"/>
  <c r="I27" i="181"/>
  <c r="I28" i="181" s="1"/>
  <c r="I30" i="181" s="1"/>
  <c r="K27" i="181"/>
  <c r="K28" i="181" s="1"/>
  <c r="K30" i="181" s="1"/>
  <c r="C39" i="76"/>
  <c r="L39" i="76" s="1"/>
  <c r="I402" i="169"/>
  <c r="I413" i="169" s="1"/>
  <c r="I25" i="77"/>
  <c r="M385" i="169"/>
  <c r="M78" i="169"/>
  <c r="O78" i="169"/>
  <c r="M106" i="169"/>
  <c r="O106" i="169"/>
  <c r="K267" i="169"/>
  <c r="M76" i="169"/>
  <c r="O76" i="169"/>
  <c r="M443" i="169"/>
  <c r="K269" i="169"/>
  <c r="U39" i="169"/>
  <c r="C14" i="76"/>
  <c r="L14" i="76" s="1"/>
  <c r="U7" i="169"/>
  <c r="C9" i="76"/>
  <c r="L9" i="76" s="1"/>
  <c r="N32" i="31"/>
  <c r="I63" i="179"/>
  <c r="G98" i="176"/>
  <c r="G124" i="176" s="1"/>
  <c r="G127" i="176" s="1"/>
  <c r="G53" i="176"/>
  <c r="G56" i="176"/>
  <c r="I197" i="169"/>
  <c r="I204" i="169" s="1"/>
  <c r="Y106" i="169"/>
  <c r="G94" i="179"/>
  <c r="I264" i="169"/>
  <c r="K264" i="169"/>
  <c r="K402" i="169"/>
  <c r="M402" i="169" s="1"/>
  <c r="M413" i="169" s="1"/>
  <c r="Q233" i="169"/>
  <c r="U228" i="169"/>
  <c r="I77" i="169"/>
  <c r="K77" i="169"/>
  <c r="W78" i="169"/>
  <c r="Y78" i="169" s="1"/>
  <c r="P19" i="176"/>
  <c r="D23" i="176"/>
  <c r="I263" i="169"/>
  <c r="O263" i="169"/>
  <c r="S263" i="169" s="1"/>
  <c r="N52" i="176"/>
  <c r="N123" i="176"/>
  <c r="H140" i="179"/>
  <c r="H127" i="176"/>
  <c r="I75" i="169"/>
  <c r="K75" i="169"/>
  <c r="G72" i="169"/>
  <c r="I165" i="169"/>
  <c r="I172" i="169" s="1"/>
  <c r="C507" i="169"/>
  <c r="G126" i="179"/>
  <c r="G127" i="179" s="1"/>
  <c r="G29" i="179"/>
  <c r="G30" i="179" s="1"/>
  <c r="D112" i="176"/>
  <c r="P109" i="176"/>
  <c r="S74" i="169" s="1"/>
  <c r="C20" i="76" s="1"/>
  <c r="G41" i="179"/>
  <c r="G42" i="179" s="1"/>
  <c r="D121" i="176"/>
  <c r="G15" i="99" s="1"/>
  <c r="P119" i="176"/>
  <c r="S230" i="169" s="1"/>
  <c r="C34" i="76" s="1"/>
  <c r="K35" i="76" s="1"/>
  <c r="F52" i="176"/>
  <c r="F97" i="176"/>
  <c r="F123" i="176" s="1"/>
  <c r="F127" i="176" s="1"/>
  <c r="F56" i="176"/>
  <c r="G52" i="179"/>
  <c r="G53" i="179" s="1"/>
  <c r="W76" i="169"/>
  <c r="Y76" i="169" s="1"/>
  <c r="I127" i="176"/>
  <c r="K165" i="169"/>
  <c r="M165" i="169" s="1"/>
  <c r="M172" i="169" s="1"/>
  <c r="K266" i="169"/>
  <c r="H81" i="179"/>
  <c r="H82" i="179" s="1"/>
  <c r="U232" i="169"/>
  <c r="W232" i="169"/>
  <c r="F147" i="179"/>
  <c r="F151" i="179"/>
  <c r="S151" i="179" s="1"/>
  <c r="M97" i="176"/>
  <c r="M123" i="176" s="1"/>
  <c r="M52" i="176"/>
  <c r="I109" i="179"/>
  <c r="D97" i="176"/>
  <c r="D123" i="176" s="1"/>
  <c r="P48" i="176"/>
  <c r="Q48" i="176" s="1"/>
  <c r="D56" i="176"/>
  <c r="P446" i="175"/>
  <c r="D448" i="175"/>
  <c r="P448" i="175" s="1"/>
  <c r="I40" i="169"/>
  <c r="I42" i="169" s="1"/>
  <c r="K40" i="169"/>
  <c r="E97" i="176"/>
  <c r="E123" i="176" s="1"/>
  <c r="E127" i="176" s="1"/>
  <c r="E52" i="176"/>
  <c r="E56" i="176"/>
  <c r="S14" i="169"/>
  <c r="T14" i="169" s="1"/>
  <c r="U14" i="169" s="1"/>
  <c r="D100" i="176"/>
  <c r="D126" i="176" s="1"/>
  <c r="P126" i="176" s="1"/>
  <c r="S272" i="169" s="1"/>
  <c r="C45" i="76" s="1"/>
  <c r="D55" i="176"/>
  <c r="P51" i="176"/>
  <c r="Q51" i="176" s="1"/>
  <c r="G16" i="179"/>
  <c r="I74" i="169"/>
  <c r="K74" i="169"/>
  <c r="J97" i="176"/>
  <c r="J123" i="176" s="1"/>
  <c r="J127" i="176" s="1"/>
  <c r="J52" i="176"/>
  <c r="J56" i="176"/>
  <c r="R145" i="179"/>
  <c r="P107" i="176"/>
  <c r="S46" i="169" s="1"/>
  <c r="C15" i="76" s="1"/>
  <c r="W108" i="169"/>
  <c r="Y108" i="169" s="1"/>
  <c r="L97" i="176"/>
  <c r="L123" i="176" s="1"/>
  <c r="L52" i="176"/>
  <c r="Q234" i="169" l="1"/>
  <c r="O40" i="169"/>
  <c r="Q40" i="169" s="1"/>
  <c r="K44" i="169"/>
  <c r="L48" i="76"/>
  <c r="Q272" i="169"/>
  <c r="U272" i="169" s="1"/>
  <c r="T263" i="169"/>
  <c r="Q16" i="169"/>
  <c r="AC262" i="169"/>
  <c r="A59" i="99"/>
  <c r="A60" i="99"/>
  <c r="M108" i="169"/>
  <c r="O108" i="169"/>
  <c r="M107" i="169"/>
  <c r="O107" i="169"/>
  <c r="Q108" i="169" s="1"/>
  <c r="U108" i="169" s="1"/>
  <c r="M105" i="169"/>
  <c r="O105" i="169"/>
  <c r="Q106" i="169" s="1"/>
  <c r="U106" i="169" s="1"/>
  <c r="M104" i="169"/>
  <c r="O104" i="169"/>
  <c r="M103" i="169"/>
  <c r="O103" i="169"/>
  <c r="Q104" i="169" s="1"/>
  <c r="U104" i="169" s="1"/>
  <c r="O265" i="169"/>
  <c r="M271" i="169"/>
  <c r="P117" i="176"/>
  <c r="F15" i="99"/>
  <c r="P112" i="176"/>
  <c r="E15" i="99"/>
  <c r="Q263" i="169"/>
  <c r="C40" i="76"/>
  <c r="M74" i="169"/>
  <c r="O74" i="169"/>
  <c r="Q74" i="169" s="1"/>
  <c r="M75" i="169"/>
  <c r="O75" i="169"/>
  <c r="Q76" i="169" s="1"/>
  <c r="U76" i="169" s="1"/>
  <c r="M269" i="169"/>
  <c r="O269" i="169"/>
  <c r="M267" i="169"/>
  <c r="O267" i="169"/>
  <c r="M266" i="169"/>
  <c r="O266" i="169"/>
  <c r="M264" i="169"/>
  <c r="O264" i="169"/>
  <c r="Q264" i="169" s="1"/>
  <c r="C10" i="76"/>
  <c r="G10" i="97" s="1"/>
  <c r="M77" i="169"/>
  <c r="O77" i="169"/>
  <c r="Q78" i="169" s="1"/>
  <c r="U78" i="169" s="1"/>
  <c r="P121" i="176"/>
  <c r="H40" i="179"/>
  <c r="M263" i="169"/>
  <c r="W230" i="169"/>
  <c r="G146" i="179"/>
  <c r="G17" i="179"/>
  <c r="G18" i="179" s="1"/>
  <c r="I80" i="179"/>
  <c r="H51" i="179"/>
  <c r="H141" i="179"/>
  <c r="H142" i="179" s="1"/>
  <c r="I102" i="169"/>
  <c r="I110" i="169" s="1"/>
  <c r="K102" i="169"/>
  <c r="W74" i="169"/>
  <c r="Y74" i="169" s="1"/>
  <c r="Y79" i="169" s="1"/>
  <c r="I64" i="179"/>
  <c r="I65" i="179" s="1"/>
  <c r="W272" i="169"/>
  <c r="I72" i="169"/>
  <c r="I79" i="169" s="1"/>
  <c r="K72" i="169"/>
  <c r="Y232" i="169"/>
  <c r="H125" i="179"/>
  <c r="I262" i="169"/>
  <c r="I274" i="169" s="1"/>
  <c r="M40" i="169"/>
  <c r="G95" i="179"/>
  <c r="G96" i="179" s="1"/>
  <c r="W8" i="169"/>
  <c r="Y8" i="169" s="1"/>
  <c r="N50" i="176"/>
  <c r="O50" i="176"/>
  <c r="W104" i="169"/>
  <c r="Y104" i="169" s="1"/>
  <c r="Y110" i="169" s="1"/>
  <c r="P123" i="176"/>
  <c r="D127" i="176"/>
  <c r="W40" i="169"/>
  <c r="Y40" i="169" s="1"/>
  <c r="I110" i="179"/>
  <c r="I111" i="179" s="1"/>
  <c r="G147" i="179"/>
  <c r="H28" i="179"/>
  <c r="A61" i="99" l="1"/>
  <c r="Q266" i="169"/>
  <c r="U266" i="169" s="1"/>
  <c r="C42" i="76"/>
  <c r="M72" i="169"/>
  <c r="M79" i="169" s="1"/>
  <c r="O72" i="169"/>
  <c r="M262" i="169"/>
  <c r="Q262" i="169"/>
  <c r="M102" i="169"/>
  <c r="Q102" i="169" s="1"/>
  <c r="O102" i="169"/>
  <c r="M44" i="169"/>
  <c r="O44" i="169"/>
  <c r="Q44" i="169" s="1"/>
  <c r="T15" i="169"/>
  <c r="U15" i="169" s="1"/>
  <c r="N54" i="176"/>
  <c r="N99" i="176"/>
  <c r="N125" i="176" s="1"/>
  <c r="M98" i="174"/>
  <c r="T47" i="169"/>
  <c r="U263" i="169"/>
  <c r="J63" i="179"/>
  <c r="H16" i="179"/>
  <c r="H94" i="179"/>
  <c r="U74" i="169"/>
  <c r="T79" i="169"/>
  <c r="H52" i="179"/>
  <c r="H53" i="179" s="1"/>
  <c r="Y230" i="169"/>
  <c r="Y233" i="169" s="1"/>
  <c r="H41" i="179"/>
  <c r="H42" i="179" s="1"/>
  <c r="H126" i="179"/>
  <c r="H127" i="179" s="1"/>
  <c r="H29" i="179"/>
  <c r="H30" i="179" s="1"/>
  <c r="P79" i="174"/>
  <c r="E270" i="169" s="1"/>
  <c r="C270" i="169" s="1"/>
  <c r="K270" i="169" s="1"/>
  <c r="I81" i="179"/>
  <c r="I82" i="179" s="1"/>
  <c r="U230" i="169"/>
  <c r="T233" i="169"/>
  <c r="U233" i="169" s="1"/>
  <c r="N98" i="174"/>
  <c r="L98" i="174"/>
  <c r="T110" i="169"/>
  <c r="O99" i="176"/>
  <c r="O125" i="176" s="1"/>
  <c r="O54" i="176"/>
  <c r="W266" i="169"/>
  <c r="L99" i="176"/>
  <c r="L125" i="176" s="1"/>
  <c r="L54" i="176"/>
  <c r="K46" i="169"/>
  <c r="O98" i="174"/>
  <c r="J109" i="179"/>
  <c r="Y272" i="169"/>
  <c r="I140" i="179"/>
  <c r="M99" i="176"/>
  <c r="M125" i="176" s="1"/>
  <c r="M54" i="176"/>
  <c r="K98" i="174"/>
  <c r="P77" i="174"/>
  <c r="E268" i="169" s="1"/>
  <c r="A62" i="99" l="1"/>
  <c r="A63" i="99"/>
  <c r="Q72" i="169"/>
  <c r="Q79" i="169" s="1"/>
  <c r="Q80" i="169" s="1"/>
  <c r="M110" i="169"/>
  <c r="M270" i="169"/>
  <c r="O270" i="169"/>
  <c r="Q270" i="169" s="1"/>
  <c r="M46" i="169"/>
  <c r="M47" i="169" s="1"/>
  <c r="O46" i="169"/>
  <c r="Q46" i="169" s="1"/>
  <c r="U262" i="169"/>
  <c r="I40" i="179"/>
  <c r="Q110" i="169"/>
  <c r="U102" i="169"/>
  <c r="O49" i="176"/>
  <c r="Y266" i="169"/>
  <c r="C268" i="169"/>
  <c r="K268" i="169" s="1"/>
  <c r="E274" i="169"/>
  <c r="E509" i="169" s="1"/>
  <c r="I28" i="179"/>
  <c r="J64" i="179"/>
  <c r="J65" i="179" s="1"/>
  <c r="N49" i="176"/>
  <c r="I141" i="179"/>
  <c r="I142" i="179" s="1"/>
  <c r="J80" i="179"/>
  <c r="I51" i="179"/>
  <c r="H95" i="179"/>
  <c r="H96" i="179" s="1"/>
  <c r="P98" i="174"/>
  <c r="J110" i="179"/>
  <c r="J111" i="179" s="1"/>
  <c r="I125" i="179"/>
  <c r="H146" i="179"/>
  <c r="H147" i="179" s="1"/>
  <c r="H17" i="179"/>
  <c r="H18" i="179" s="1"/>
  <c r="Q111" i="169" l="1"/>
  <c r="A64" i="99"/>
  <c r="H13" i="181"/>
  <c r="H20" i="181" s="1"/>
  <c r="U72" i="169"/>
  <c r="L10" i="181"/>
  <c r="N16" i="31" s="1"/>
  <c r="G13" i="181"/>
  <c r="F13" i="181"/>
  <c r="F17" i="181" s="1"/>
  <c r="Q47" i="169"/>
  <c r="U47" i="169" s="1"/>
  <c r="U46" i="169"/>
  <c r="M268" i="169"/>
  <c r="M274" i="169" s="1"/>
  <c r="C10" i="70" s="1"/>
  <c r="O268" i="169"/>
  <c r="Q268" i="169" s="1"/>
  <c r="Q274" i="169" s="1"/>
  <c r="I52" i="179"/>
  <c r="I53" i="179" s="1"/>
  <c r="J140" i="179"/>
  <c r="K109" i="179"/>
  <c r="L98" i="176"/>
  <c r="L124" i="176" s="1"/>
  <c r="L127" i="176" s="1"/>
  <c r="L53" i="176"/>
  <c r="L56" i="176"/>
  <c r="I29" i="179"/>
  <c r="I30" i="179" s="1"/>
  <c r="J81" i="179"/>
  <c r="J82" i="179" s="1"/>
  <c r="I16" i="179"/>
  <c r="E294" i="169"/>
  <c r="U79" i="169"/>
  <c r="M98" i="176"/>
  <c r="M124" i="176" s="1"/>
  <c r="M127" i="176" s="1"/>
  <c r="M53" i="176"/>
  <c r="M56" i="176"/>
  <c r="I41" i="179"/>
  <c r="I42" i="179" s="1"/>
  <c r="I94" i="179"/>
  <c r="K99" i="176"/>
  <c r="K125" i="176" s="1"/>
  <c r="P125" i="176" s="1"/>
  <c r="S270" i="169" s="1"/>
  <c r="C44" i="76" s="1"/>
  <c r="K54" i="176"/>
  <c r="P50" i="176"/>
  <c r="Q50" i="176" s="1"/>
  <c r="K98" i="176"/>
  <c r="K124" i="176" s="1"/>
  <c r="K53" i="176"/>
  <c r="K56" i="176"/>
  <c r="P49" i="176"/>
  <c r="Q49" i="176" s="1"/>
  <c r="N98" i="176"/>
  <c r="N124" i="176" s="1"/>
  <c r="N127" i="176" s="1"/>
  <c r="N53" i="176"/>
  <c r="N56" i="176"/>
  <c r="I126" i="179"/>
  <c r="I127" i="179" s="1"/>
  <c r="U110" i="169"/>
  <c r="K63" i="179"/>
  <c r="O98" i="176"/>
  <c r="O124" i="176" s="1"/>
  <c r="O127" i="176" s="1"/>
  <c r="O53" i="176"/>
  <c r="O56" i="176"/>
  <c r="Q275" i="169" l="1"/>
  <c r="A65" i="99"/>
  <c r="A66" i="99" s="1"/>
  <c r="A67" i="99" s="1"/>
  <c r="A68" i="99" s="1"/>
  <c r="A69" i="99" s="1"/>
  <c r="A70" i="99" s="1"/>
  <c r="A71" i="99" s="1"/>
  <c r="A72" i="99" s="1"/>
  <c r="A73" i="99" s="1"/>
  <c r="A74" i="99" s="1"/>
  <c r="A75" i="99" s="1"/>
  <c r="A76" i="99" s="1"/>
  <c r="A77" i="99" s="1"/>
  <c r="A78" i="99" s="1"/>
  <c r="A79" i="99" s="1"/>
  <c r="A80" i="99" s="1"/>
  <c r="A81" i="99" s="1"/>
  <c r="A82" i="99" s="1"/>
  <c r="A83" i="99" s="1"/>
  <c r="A84" i="99" s="1"/>
  <c r="A85" i="99" s="1"/>
  <c r="A86" i="99" s="1"/>
  <c r="A87" i="99" s="1"/>
  <c r="A88" i="99" s="1"/>
  <c r="A89" i="99" s="1"/>
  <c r="A90" i="99" s="1"/>
  <c r="A91" i="99" s="1"/>
  <c r="A92" i="99" s="1"/>
  <c r="A93" i="99" s="1"/>
  <c r="A94" i="99" s="1"/>
  <c r="A95" i="99" s="1"/>
  <c r="A96" i="99" s="1"/>
  <c r="A97" i="99" s="1"/>
  <c r="A98" i="99" s="1"/>
  <c r="A99" i="99" s="1"/>
  <c r="A100" i="99" s="1"/>
  <c r="A101" i="99" s="1"/>
  <c r="A102" i="99" s="1"/>
  <c r="A103" i="99" s="1"/>
  <c r="H17" i="181"/>
  <c r="D13" i="181"/>
  <c r="D17" i="181" s="1"/>
  <c r="F20" i="181"/>
  <c r="G20" i="181"/>
  <c r="G17" i="181"/>
  <c r="C13" i="181"/>
  <c r="L12" i="181"/>
  <c r="N25" i="31" s="1"/>
  <c r="Q48" i="169"/>
  <c r="U270" i="169"/>
  <c r="W270" i="169"/>
  <c r="I146" i="179"/>
  <c r="I147" i="179" s="1"/>
  <c r="I17" i="179"/>
  <c r="I18" i="179" s="1"/>
  <c r="I95" i="179"/>
  <c r="I96" i="179" s="1"/>
  <c r="K110" i="179"/>
  <c r="K111" i="179" s="1"/>
  <c r="J51" i="179"/>
  <c r="J52" i="179" s="1"/>
  <c r="J53" i="179" s="1"/>
  <c r="K64" i="179"/>
  <c r="K65" i="179" s="1"/>
  <c r="K80" i="179"/>
  <c r="K81" i="179" s="1"/>
  <c r="K82" i="179" s="1"/>
  <c r="J40" i="179"/>
  <c r="J41" i="179" s="1"/>
  <c r="J42" i="179" s="1"/>
  <c r="M511" i="169"/>
  <c r="J28" i="179"/>
  <c r="J29" i="179" s="1"/>
  <c r="J30" i="179" s="1"/>
  <c r="K127" i="176"/>
  <c r="P127" i="176" s="1"/>
  <c r="P124" i="176"/>
  <c r="S268" i="169" s="1"/>
  <c r="C294" i="169"/>
  <c r="E519" i="169"/>
  <c r="J141" i="179"/>
  <c r="J142" i="179" s="1"/>
  <c r="J125" i="179"/>
  <c r="J126" i="179" s="1"/>
  <c r="J127" i="179" s="1"/>
  <c r="L13" i="181" l="1"/>
  <c r="D20" i="181"/>
  <c r="D27" i="181" s="1"/>
  <c r="G27" i="181"/>
  <c r="G28" i="181" s="1"/>
  <c r="G30" i="181" s="1"/>
  <c r="F27" i="181"/>
  <c r="F28" i="181" s="1"/>
  <c r="F30" i="181" s="1"/>
  <c r="C20" i="181"/>
  <c r="C17" i="181"/>
  <c r="L17" i="181" s="1"/>
  <c r="C43" i="76"/>
  <c r="C41" i="76"/>
  <c r="Q509" i="169"/>
  <c r="C11" i="70"/>
  <c r="K51" i="179"/>
  <c r="K52" i="179" s="1"/>
  <c r="K53" i="179" s="1"/>
  <c r="K28" i="179"/>
  <c r="K29" i="179" s="1"/>
  <c r="K30" i="179" s="1"/>
  <c r="K125" i="179"/>
  <c r="K126" i="179" s="1"/>
  <c r="K127" i="179" s="1"/>
  <c r="K40" i="179"/>
  <c r="K41" i="179" s="1"/>
  <c r="K42" i="179" s="1"/>
  <c r="L80" i="179"/>
  <c r="L81" i="179" s="1"/>
  <c r="L82" i="179" s="1"/>
  <c r="L63" i="179"/>
  <c r="L64" i="179" s="1"/>
  <c r="L65" i="179" s="1"/>
  <c r="J94" i="179"/>
  <c r="J95" i="179" s="1"/>
  <c r="J96" i="179"/>
  <c r="K140" i="179"/>
  <c r="K141" i="179" s="1"/>
  <c r="K142" i="179" s="1"/>
  <c r="J16" i="179"/>
  <c r="L109" i="179"/>
  <c r="L110" i="179" s="1"/>
  <c r="L111" i="179" s="1"/>
  <c r="W268" i="169"/>
  <c r="U268" i="169"/>
  <c r="Y270" i="169"/>
  <c r="L20" i="181" l="1"/>
  <c r="D28" i="181"/>
  <c r="D30" i="181" s="1"/>
  <c r="C27" i="181"/>
  <c r="C18" i="70"/>
  <c r="L51" i="179"/>
  <c r="L52" i="179" s="1"/>
  <c r="L53" i="179" s="1"/>
  <c r="M63" i="179"/>
  <c r="M64" i="179" s="1"/>
  <c r="M65" i="179" s="1"/>
  <c r="L28" i="179"/>
  <c r="L29" i="179" s="1"/>
  <c r="L30" i="179" s="1"/>
  <c r="L40" i="179"/>
  <c r="L41" i="179" s="1"/>
  <c r="L42" i="179" s="1"/>
  <c r="L140" i="179"/>
  <c r="L141" i="179" s="1"/>
  <c r="L142" i="179" s="1"/>
  <c r="M80" i="179"/>
  <c r="M81" i="179" s="1"/>
  <c r="M82" i="179" s="1"/>
  <c r="Y268" i="169"/>
  <c r="Y274" i="169" s="1"/>
  <c r="Y507" i="169" s="1"/>
  <c r="C10" i="73" s="1"/>
  <c r="K94" i="179"/>
  <c r="K95" i="179" s="1"/>
  <c r="K96" i="179" s="1"/>
  <c r="L125" i="179"/>
  <c r="L126" i="179" s="1"/>
  <c r="L127" i="179" s="1"/>
  <c r="M109" i="179"/>
  <c r="M110" i="179" s="1"/>
  <c r="M111" i="179"/>
  <c r="J146" i="179"/>
  <c r="J147" i="179" s="1"/>
  <c r="J17" i="179"/>
  <c r="J18" i="179" s="1"/>
  <c r="C28" i="181" l="1"/>
  <c r="C30" i="181" s="1"/>
  <c r="M40" i="179"/>
  <c r="M41" i="179" s="1"/>
  <c r="M42" i="179" s="1"/>
  <c r="N63" i="179"/>
  <c r="N64" i="179" s="1"/>
  <c r="N65" i="179" s="1"/>
  <c r="O65" i="179" s="1"/>
  <c r="M125" i="179"/>
  <c r="M126" i="179" s="1"/>
  <c r="M127" i="179" s="1"/>
  <c r="L94" i="179"/>
  <c r="L95" i="179" s="1"/>
  <c r="L96" i="179" s="1"/>
  <c r="M140" i="179"/>
  <c r="M141" i="179" s="1"/>
  <c r="M142" i="179" s="1"/>
  <c r="M51" i="179"/>
  <c r="M52" i="179" s="1"/>
  <c r="M53" i="179" s="1"/>
  <c r="Y509" i="169"/>
  <c r="K16" i="179"/>
  <c r="N109" i="179"/>
  <c r="N110" i="179" s="1"/>
  <c r="N111" i="179" s="1"/>
  <c r="O111" i="179" s="1"/>
  <c r="M28" i="179"/>
  <c r="M29" i="179" s="1"/>
  <c r="M30" i="179" s="1"/>
  <c r="U264" i="169"/>
  <c r="T274" i="169"/>
  <c r="U274" i="169" s="1"/>
  <c r="U509" i="169" s="1"/>
  <c r="N80" i="179"/>
  <c r="N81" i="179" s="1"/>
  <c r="N82" i="179" s="1"/>
  <c r="O82" i="179" s="1"/>
  <c r="C11" i="74" l="1"/>
  <c r="N28" i="179"/>
  <c r="N29" i="179" s="1"/>
  <c r="N30" i="179" s="1"/>
  <c r="O30" i="179" s="1"/>
  <c r="N140" i="179"/>
  <c r="N125" i="179"/>
  <c r="N126" i="179" s="1"/>
  <c r="N127" i="179" s="1"/>
  <c r="O127" i="179" s="1"/>
  <c r="N51" i="179"/>
  <c r="N52" i="179" s="1"/>
  <c r="N53" i="179" s="1"/>
  <c r="O53" i="179" s="1"/>
  <c r="P63" i="179"/>
  <c r="P64" i="179" s="1"/>
  <c r="P65" i="179" s="1"/>
  <c r="P80" i="179"/>
  <c r="P81" i="179" s="1"/>
  <c r="P82" i="179" s="1"/>
  <c r="N40" i="179"/>
  <c r="N41" i="179" s="1"/>
  <c r="N42" i="179" s="1"/>
  <c r="O42" i="179" s="1"/>
  <c r="P109" i="179"/>
  <c r="P110" i="179" s="1"/>
  <c r="P111" i="179" s="1"/>
  <c r="M94" i="179"/>
  <c r="M95" i="179" s="1"/>
  <c r="M96" i="179" s="1"/>
  <c r="K146" i="179"/>
  <c r="K147" i="179" s="1"/>
  <c r="K17" i="179"/>
  <c r="K18" i="179" s="1"/>
  <c r="Q80" i="179" l="1"/>
  <c r="Q109" i="179"/>
  <c r="P51" i="179"/>
  <c r="P52" i="179" s="1"/>
  <c r="P53" i="179" s="1"/>
  <c r="N94" i="179"/>
  <c r="N95" i="179" s="1"/>
  <c r="N96" i="179" s="1"/>
  <c r="O96" i="179" s="1"/>
  <c r="P40" i="179"/>
  <c r="P41" i="179" s="1"/>
  <c r="P42" i="179" s="1"/>
  <c r="P28" i="179"/>
  <c r="P29" i="179" s="1"/>
  <c r="P30" i="179" s="1"/>
  <c r="L16" i="179"/>
  <c r="P125" i="179"/>
  <c r="P126" i="179" s="1"/>
  <c r="P127" i="179" s="1"/>
  <c r="N141" i="179"/>
  <c r="N142" i="179" s="1"/>
  <c r="R140" i="179"/>
  <c r="R141" i="179" s="1"/>
  <c r="Q63" i="179"/>
  <c r="P94" i="179" l="1"/>
  <c r="P95" i="179" s="1"/>
  <c r="P96" i="179" s="1"/>
  <c r="Q51" i="179"/>
  <c r="Q125" i="179"/>
  <c r="Q40" i="179"/>
  <c r="Q64" i="179"/>
  <c r="Q65" i="179" s="1"/>
  <c r="R63" i="179"/>
  <c r="R64" i="179" s="1"/>
  <c r="L146" i="179"/>
  <c r="L147" i="179" s="1"/>
  <c r="L17" i="179"/>
  <c r="L18" i="179" s="1"/>
  <c r="Q28" i="179"/>
  <c r="Q110" i="179"/>
  <c r="Q111" i="179" s="1"/>
  <c r="R109" i="179"/>
  <c r="R110" i="179" s="1"/>
  <c r="Q81" i="179"/>
  <c r="Q82" i="179" s="1"/>
  <c r="R80" i="179"/>
  <c r="R81" i="179" s="1"/>
  <c r="Q41" i="179" l="1"/>
  <c r="Q42" i="179" s="1"/>
  <c r="R40" i="179"/>
  <c r="R41" i="179" s="1"/>
  <c r="Q29" i="179"/>
  <c r="Q30" i="179" s="1"/>
  <c r="R28" i="179"/>
  <c r="R29" i="179" s="1"/>
  <c r="Q94" i="179"/>
  <c r="Q126" i="179"/>
  <c r="Q127" i="179" s="1"/>
  <c r="R125" i="179"/>
  <c r="R126" i="179" s="1"/>
  <c r="M16" i="179"/>
  <c r="Q52" i="179"/>
  <c r="Q53" i="179" s="1"/>
  <c r="R51" i="179"/>
  <c r="R52" i="179" s="1"/>
  <c r="Q95" i="179" l="1"/>
  <c r="Q96" i="179" s="1"/>
  <c r="R94" i="179"/>
  <c r="R95" i="179" s="1"/>
  <c r="M146" i="179"/>
  <c r="M147" i="179" s="1"/>
  <c r="M17" i="179"/>
  <c r="M18" i="179" s="1"/>
  <c r="N16" i="179" l="1"/>
  <c r="N146" i="179" l="1"/>
  <c r="N147" i="179" s="1"/>
  <c r="O147" i="179" s="1"/>
  <c r="N17" i="179"/>
  <c r="N18" i="179" s="1"/>
  <c r="O18" i="179" s="1"/>
  <c r="P16" i="179" l="1"/>
  <c r="P146" i="179" l="1"/>
  <c r="P147" i="179" s="1"/>
  <c r="P17" i="179"/>
  <c r="P18" i="179" s="1"/>
  <c r="Q16" i="179" l="1"/>
  <c r="Q146" i="179" l="1"/>
  <c r="Q147" i="179" s="1"/>
  <c r="Q17" i="179"/>
  <c r="Q18" i="179" s="1"/>
  <c r="R16" i="179"/>
  <c r="R146" i="179" l="1"/>
  <c r="R147" i="179" s="1"/>
  <c r="R17" i="179"/>
  <c r="AW78" i="59" l="1"/>
  <c r="AW64" i="59"/>
  <c r="AW65" i="59"/>
  <c r="AW66" i="59"/>
  <c r="AW67" i="59"/>
  <c r="AW68" i="59"/>
  <c r="AW57" i="59"/>
  <c r="AW58" i="59"/>
  <c r="AW59" i="59"/>
  <c r="AW60" i="59"/>
  <c r="AW61" i="59"/>
  <c r="AW63" i="59"/>
  <c r="AW47" i="59"/>
  <c r="AW48" i="59"/>
  <c r="AW49" i="59"/>
  <c r="AW50" i="59"/>
  <c r="AW51" i="59"/>
  <c r="AW52" i="59"/>
  <c r="AW53" i="59"/>
  <c r="M78" i="59"/>
  <c r="P78" i="59"/>
  <c r="S78" i="59"/>
  <c r="V78" i="59"/>
  <c r="Y78" i="59"/>
  <c r="AB78" i="59"/>
  <c r="AE78" i="59"/>
  <c r="AH78" i="59"/>
  <c r="AK78" i="59"/>
  <c r="AN78" i="59"/>
  <c r="AQ78" i="59"/>
  <c r="AT78" i="59"/>
  <c r="M79" i="59"/>
  <c r="P79" i="59"/>
  <c r="S79" i="59"/>
  <c r="V79" i="59"/>
  <c r="Y79" i="59"/>
  <c r="AB79" i="59"/>
  <c r="AE79" i="59"/>
  <c r="AH79" i="59"/>
  <c r="AK79" i="59"/>
  <c r="AN79" i="59"/>
  <c r="AQ79" i="59"/>
  <c r="AT79" i="59"/>
  <c r="M80" i="59"/>
  <c r="P80" i="59"/>
  <c r="S80" i="59"/>
  <c r="V80" i="59"/>
  <c r="Y80" i="59"/>
  <c r="AB80" i="59"/>
  <c r="AE80" i="59"/>
  <c r="AH80" i="59"/>
  <c r="AK80" i="59"/>
  <c r="AN80" i="59"/>
  <c r="AQ80" i="59"/>
  <c r="AT80" i="59"/>
  <c r="J81" i="59"/>
  <c r="J80" i="59"/>
  <c r="J79" i="59"/>
  <c r="AN76" i="59"/>
  <c r="AK76" i="59"/>
  <c r="AH76" i="59"/>
  <c r="AE61" i="59"/>
  <c r="AE54" i="59"/>
  <c r="AB76" i="59"/>
  <c r="Y76" i="59"/>
  <c r="V76" i="59"/>
  <c r="S76" i="59"/>
  <c r="P76" i="59"/>
  <c r="M76" i="59"/>
  <c r="J68" i="59"/>
  <c r="AT68" i="59"/>
  <c r="AT67" i="59"/>
  <c r="AT66" i="59"/>
  <c r="AT65" i="59"/>
  <c r="AT64" i="59"/>
  <c r="AT63" i="59"/>
  <c r="AQ68" i="59"/>
  <c r="AQ67" i="59"/>
  <c r="AQ66" i="59"/>
  <c r="AQ65" i="59"/>
  <c r="AQ64" i="59"/>
  <c r="AQ63" i="59"/>
  <c r="AN68" i="59"/>
  <c r="AN67" i="59"/>
  <c r="AN66" i="59"/>
  <c r="AN65" i="59"/>
  <c r="AN64" i="59"/>
  <c r="AN63" i="59"/>
  <c r="AK67" i="59"/>
  <c r="AK66" i="59"/>
  <c r="AK65" i="59"/>
  <c r="AK64" i="59"/>
  <c r="AK63" i="59"/>
  <c r="AH68" i="59"/>
  <c r="AH67" i="59"/>
  <c r="AH66" i="59"/>
  <c r="AH65" i="59"/>
  <c r="AH64" i="59"/>
  <c r="AH63" i="59"/>
  <c r="AE68" i="59"/>
  <c r="AE67" i="59"/>
  <c r="AE66" i="59"/>
  <c r="AE65" i="59"/>
  <c r="AE64" i="59"/>
  <c r="AE63" i="59"/>
  <c r="AB68" i="59"/>
  <c r="AB67" i="59"/>
  <c r="AB66" i="59"/>
  <c r="AB65" i="59"/>
  <c r="AB64" i="59"/>
  <c r="AB63" i="59"/>
  <c r="Y68" i="59"/>
  <c r="Y67" i="59"/>
  <c r="Y66" i="59"/>
  <c r="Y65" i="59"/>
  <c r="Y64" i="59"/>
  <c r="Y63" i="59"/>
  <c r="V68" i="59"/>
  <c r="V67" i="59"/>
  <c r="V66" i="59"/>
  <c r="V65" i="59"/>
  <c r="V64" i="59"/>
  <c r="V63" i="59"/>
  <c r="S68" i="59"/>
  <c r="S67" i="59"/>
  <c r="S66" i="59"/>
  <c r="S65" i="59"/>
  <c r="S64" i="59"/>
  <c r="S63" i="59"/>
  <c r="P67" i="59"/>
  <c r="P66" i="59"/>
  <c r="P65" i="59"/>
  <c r="P64" i="59"/>
  <c r="P63" i="59"/>
  <c r="M68" i="59"/>
  <c r="M67" i="59"/>
  <c r="M66" i="59"/>
  <c r="M65" i="59"/>
  <c r="M64" i="59"/>
  <c r="M63" i="59"/>
  <c r="J67" i="59"/>
  <c r="J66" i="59"/>
  <c r="J65" i="59"/>
  <c r="J64" i="59"/>
  <c r="J63" i="59"/>
  <c r="AK68" i="59" l="1"/>
  <c r="P68" i="59"/>
  <c r="AT60" i="59" l="1"/>
  <c r="AT59" i="59"/>
  <c r="AT58" i="59"/>
  <c r="AT57" i="59"/>
  <c r="AQ60" i="59"/>
  <c r="AQ59" i="59"/>
  <c r="AQ58" i="59"/>
  <c r="AQ57" i="59"/>
  <c r="AN60" i="59"/>
  <c r="AN59" i="59"/>
  <c r="AN58" i="59"/>
  <c r="AN57" i="59"/>
  <c r="AK60" i="59"/>
  <c r="AK59" i="59"/>
  <c r="AK58" i="59"/>
  <c r="AK57" i="59"/>
  <c r="AH61" i="59"/>
  <c r="AH60" i="59"/>
  <c r="AH59" i="59"/>
  <c r="AH58" i="59"/>
  <c r="AH57" i="59"/>
  <c r="AE60" i="59"/>
  <c r="AE59" i="59"/>
  <c r="AE58" i="59"/>
  <c r="AE57" i="59"/>
  <c r="AB60" i="59"/>
  <c r="AB59" i="59"/>
  <c r="AB58" i="59"/>
  <c r="AB57" i="59"/>
  <c r="Y61" i="59"/>
  <c r="Y60" i="59"/>
  <c r="Y59" i="59"/>
  <c r="Y58" i="59"/>
  <c r="Y57" i="59"/>
  <c r="V61" i="59"/>
  <c r="V60" i="59"/>
  <c r="V59" i="59"/>
  <c r="V58" i="59"/>
  <c r="V57" i="59"/>
  <c r="S60" i="59"/>
  <c r="S59" i="59"/>
  <c r="S58" i="59"/>
  <c r="S57" i="59"/>
  <c r="J61" i="59"/>
  <c r="M61" i="59"/>
  <c r="P61" i="59"/>
  <c r="P60" i="59"/>
  <c r="P59" i="59"/>
  <c r="P58" i="59"/>
  <c r="P57" i="59"/>
  <c r="M60" i="59"/>
  <c r="M59" i="59"/>
  <c r="M58" i="59"/>
  <c r="M57" i="59"/>
  <c r="J60" i="59"/>
  <c r="J59" i="59"/>
  <c r="H12" i="6"/>
  <c r="J58" i="59"/>
  <c r="J57" i="59"/>
  <c r="AT53" i="59"/>
  <c r="AT52" i="59"/>
  <c r="AT50" i="59"/>
  <c r="AT51" i="59"/>
  <c r="AT49" i="59"/>
  <c r="AT48" i="59"/>
  <c r="AT47" i="59"/>
  <c r="AQ53" i="59"/>
  <c r="AQ52" i="59"/>
  <c r="AQ50" i="59"/>
  <c r="AQ51" i="59"/>
  <c r="AQ49" i="59"/>
  <c r="AQ48" i="59"/>
  <c r="AQ47" i="59"/>
  <c r="AN53" i="59"/>
  <c r="AN52" i="59"/>
  <c r="AN50" i="59"/>
  <c r="AN51" i="59"/>
  <c r="AN49" i="59"/>
  <c r="AN48" i="59"/>
  <c r="AN47" i="59"/>
  <c r="AK53" i="59"/>
  <c r="AK52" i="59"/>
  <c r="AK50" i="59"/>
  <c r="AK51" i="59"/>
  <c r="AK49" i="59"/>
  <c r="AK48" i="59"/>
  <c r="AK47" i="59"/>
  <c r="AH53" i="59"/>
  <c r="AH52" i="59"/>
  <c r="AH50" i="59"/>
  <c r="AH51" i="59"/>
  <c r="AH49" i="59"/>
  <c r="AH48" i="59"/>
  <c r="AH47" i="59"/>
  <c r="AE53" i="59"/>
  <c r="AE52" i="59"/>
  <c r="AE50" i="59"/>
  <c r="AE51" i="59"/>
  <c r="AE49" i="59"/>
  <c r="AE48" i="59"/>
  <c r="AE47" i="59"/>
  <c r="AB53" i="59"/>
  <c r="AB52" i="59"/>
  <c r="AB50" i="59"/>
  <c r="AB51" i="59"/>
  <c r="AB49" i="59"/>
  <c r="AB48" i="59"/>
  <c r="AB47" i="59"/>
  <c r="Y53" i="59"/>
  <c r="Y52" i="59"/>
  <c r="Y51" i="59"/>
  <c r="Y50" i="59"/>
  <c r="Y49" i="59"/>
  <c r="Y48" i="59"/>
  <c r="Y47" i="59"/>
  <c r="V53" i="59"/>
  <c r="V52" i="59"/>
  <c r="V51" i="59"/>
  <c r="S51" i="59"/>
  <c r="V50" i="59"/>
  <c r="S50" i="59"/>
  <c r="V49" i="59"/>
  <c r="V48" i="59"/>
  <c r="V47" i="59"/>
  <c r="S53" i="59"/>
  <c r="S52" i="59"/>
  <c r="S49" i="59"/>
  <c r="S48" i="59"/>
  <c r="S47" i="59"/>
  <c r="P53" i="59"/>
  <c r="P52" i="59"/>
  <c r="P50" i="59"/>
  <c r="P51" i="59"/>
  <c r="P49" i="59"/>
  <c r="P48" i="59"/>
  <c r="P47" i="59"/>
  <c r="M52" i="59"/>
  <c r="M53" i="59"/>
  <c r="M50" i="59"/>
  <c r="M51" i="59"/>
  <c r="M49" i="59"/>
  <c r="M48" i="59"/>
  <c r="M47" i="59"/>
  <c r="J53" i="59"/>
  <c r="J52" i="59"/>
  <c r="J50" i="59"/>
  <c r="J51" i="59"/>
  <c r="J49" i="59"/>
  <c r="J48" i="59"/>
  <c r="J47" i="59"/>
  <c r="AT61" i="59" l="1"/>
  <c r="AQ61" i="59"/>
  <c r="AN61" i="59"/>
  <c r="AK61" i="59"/>
  <c r="AB61" i="59"/>
  <c r="S61" i="59"/>
  <c r="AB54" i="59"/>
  <c r="F17" i="38"/>
  <c r="P85" i="6"/>
  <c r="P86" i="6"/>
  <c r="P87" i="6"/>
  <c r="P88" i="6"/>
  <c r="P89" i="6"/>
  <c r="P90" i="6"/>
  <c r="P91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83" i="6"/>
  <c r="P77" i="6"/>
  <c r="P78" i="6"/>
  <c r="M10" i="6"/>
  <c r="M12" i="6"/>
  <c r="C19" i="160"/>
  <c r="I136" i="49"/>
  <c r="I116" i="49"/>
  <c r="I59" i="49"/>
  <c r="I54" i="49"/>
  <c r="I31" i="49"/>
  <c r="I30" i="49"/>
  <c r="I29" i="49"/>
  <c r="I28" i="49"/>
  <c r="I26" i="49"/>
  <c r="I24" i="49"/>
  <c r="I10" i="49"/>
  <c r="I8" i="49"/>
  <c r="D110" i="6" l="1"/>
  <c r="AB122" i="31" l="1"/>
  <c r="AB124" i="31" s="1"/>
  <c r="Z122" i="31"/>
  <c r="Z124" i="31" s="1"/>
  <c r="X122" i="31"/>
  <c r="X124" i="31" s="1"/>
  <c r="U21" i="4" s="1"/>
  <c r="AA122" i="31"/>
  <c r="AA124" i="31" s="1"/>
  <c r="F91" i="18" l="1"/>
  <c r="E91" i="18"/>
  <c r="Z129" i="31"/>
  <c r="D91" i="18" l="1"/>
  <c r="AE184" i="58" l="1"/>
  <c r="C11" i="32" s="1"/>
  <c r="AE193" i="58"/>
  <c r="AC193" i="58"/>
  <c r="AA193" i="58"/>
  <c r="Y193" i="58"/>
  <c r="W193" i="58"/>
  <c r="U193" i="58"/>
  <c r="S193" i="58"/>
  <c r="Q193" i="58"/>
  <c r="O193" i="58"/>
  <c r="M193" i="58"/>
  <c r="K193" i="58"/>
  <c r="I193" i="58"/>
  <c r="G193" i="58"/>
  <c r="AC191" i="58"/>
  <c r="AC190" i="58"/>
  <c r="AC189" i="58"/>
  <c r="AC187" i="58"/>
  <c r="AA191" i="58"/>
  <c r="AA190" i="58"/>
  <c r="AA189" i="58"/>
  <c r="AA187" i="58"/>
  <c r="Y191" i="58"/>
  <c r="Y190" i="58"/>
  <c r="Y189" i="58"/>
  <c r="Y187" i="58"/>
  <c r="W191" i="58"/>
  <c r="W190" i="58"/>
  <c r="W189" i="58"/>
  <c r="W187" i="58"/>
  <c r="U191" i="58"/>
  <c r="U190" i="58"/>
  <c r="U189" i="58"/>
  <c r="U187" i="58"/>
  <c r="S191" i="58"/>
  <c r="S190" i="58"/>
  <c r="S189" i="58"/>
  <c r="S187" i="58"/>
  <c r="Q191" i="58"/>
  <c r="Q190" i="58"/>
  <c r="Q189" i="58"/>
  <c r="Q187" i="58"/>
  <c r="O191" i="58"/>
  <c r="O190" i="58"/>
  <c r="O189" i="58"/>
  <c r="O187" i="58"/>
  <c r="M191" i="58"/>
  <c r="M190" i="58"/>
  <c r="M189" i="58"/>
  <c r="M187" i="58"/>
  <c r="K191" i="58"/>
  <c r="K190" i="58"/>
  <c r="K189" i="58"/>
  <c r="K187" i="58"/>
  <c r="I191" i="58"/>
  <c r="I190" i="58"/>
  <c r="I189" i="58"/>
  <c r="I187" i="58"/>
  <c r="G191" i="58"/>
  <c r="G190" i="58"/>
  <c r="G189" i="58"/>
  <c r="G187" i="58"/>
  <c r="H187" i="58"/>
  <c r="B23" i="60" l="1"/>
  <c r="B24" i="60" s="1"/>
  <c r="B25" i="60" s="1"/>
  <c r="B26" i="60" s="1"/>
  <c r="B27" i="60" s="1"/>
  <c r="B28" i="60" s="1"/>
  <c r="B29" i="60" s="1"/>
  <c r="B30" i="60" s="1"/>
  <c r="B31" i="60" s="1"/>
  <c r="B32" i="60" s="1"/>
  <c r="B33" i="60" s="1"/>
  <c r="B34" i="60" s="1"/>
  <c r="E179" i="58" l="1"/>
  <c r="E180" i="58" l="1"/>
  <c r="E173" i="58"/>
  <c r="A3" i="78" l="1"/>
  <c r="A2" i="78"/>
  <c r="A1" i="78"/>
  <c r="A3" i="77"/>
  <c r="A2" i="77"/>
  <c r="A1" i="77"/>
  <c r="A3" i="76"/>
  <c r="A2" i="76"/>
  <c r="A1" i="76"/>
  <c r="A3" i="75"/>
  <c r="A2" i="75"/>
  <c r="A1" i="75"/>
  <c r="A3" i="62"/>
  <c r="A2" i="62"/>
  <c r="A1" i="62"/>
  <c r="A4" i="38"/>
  <c r="A3" i="38"/>
  <c r="A2" i="38"/>
  <c r="A1" i="38"/>
  <c r="A4" i="13"/>
  <c r="A3" i="13"/>
  <c r="A2" i="13"/>
  <c r="A1" i="13"/>
  <c r="A4" i="24"/>
  <c r="A3" i="24"/>
  <c r="A2" i="24"/>
  <c r="A1" i="24"/>
  <c r="A4" i="64"/>
  <c r="A3" i="64"/>
  <c r="A2" i="64"/>
  <c r="A1" i="64"/>
  <c r="A4" i="6"/>
  <c r="A3" i="6"/>
  <c r="A2" i="6"/>
  <c r="A1" i="6"/>
  <c r="A2" i="74"/>
  <c r="A3" i="74"/>
  <c r="A4" i="74"/>
  <c r="A1" i="74"/>
  <c r="A4" i="70"/>
  <c r="A3" i="70"/>
  <c r="A2" i="70"/>
  <c r="A4" i="18"/>
  <c r="A3" i="18"/>
  <c r="A2" i="18"/>
  <c r="A1" i="18"/>
  <c r="A4" i="73"/>
  <c r="A3" i="73"/>
  <c r="A2" i="73"/>
  <c r="A1" i="73"/>
  <c r="A2" i="60"/>
  <c r="A3" i="60"/>
  <c r="A4" i="60"/>
  <c r="A1" i="60"/>
  <c r="A1" i="164"/>
  <c r="A2" i="163"/>
  <c r="A1" i="163"/>
  <c r="A2" i="3"/>
  <c r="A4" i="3"/>
  <c r="A1" i="3"/>
  <c r="A2" i="160"/>
  <c r="A1" i="160"/>
  <c r="C2" i="59"/>
  <c r="C4" i="59"/>
  <c r="C1" i="59"/>
  <c r="A2" i="58"/>
  <c r="A4" i="58"/>
  <c r="A1" i="58"/>
  <c r="A2" i="32"/>
  <c r="A4" i="32"/>
  <c r="A1" i="32"/>
  <c r="A2" i="31"/>
  <c r="H2" i="31" s="1"/>
  <c r="A4" i="31"/>
  <c r="A1" i="31"/>
  <c r="A2" i="165"/>
  <c r="A1" i="165"/>
  <c r="A2" i="49"/>
  <c r="A1" i="49"/>
  <c r="A2" i="4"/>
  <c r="A1" i="4"/>
  <c r="A2" i="2"/>
  <c r="A1" i="2"/>
  <c r="A2" i="26"/>
  <c r="A1" i="26"/>
  <c r="A3" i="1"/>
  <c r="A2" i="1"/>
  <c r="A1" i="1"/>
  <c r="A3" i="99"/>
  <c r="A2" i="99"/>
  <c r="A1" i="99"/>
  <c r="A3" i="97"/>
  <c r="A2" i="97"/>
  <c r="A1" i="97"/>
  <c r="A2" i="83"/>
  <c r="A2" i="82"/>
  <c r="B2" i="79"/>
  <c r="A2" i="164" l="1"/>
  <c r="A3" i="164"/>
  <c r="A3" i="163"/>
  <c r="A3" i="160"/>
  <c r="A3" i="3"/>
  <c r="C3" i="59"/>
  <c r="A3" i="58"/>
  <c r="A3" i="32"/>
  <c r="A3" i="31"/>
  <c r="A3" i="165"/>
  <c r="A3" i="49"/>
  <c r="A3" i="4"/>
  <c r="A3" i="2"/>
  <c r="A3" i="26"/>
  <c r="F27" i="18"/>
  <c r="F26" i="18"/>
  <c r="F25" i="18"/>
  <c r="F24" i="18"/>
  <c r="F23" i="18"/>
  <c r="D19" i="18"/>
  <c r="F18" i="18"/>
  <c r="F17" i="18"/>
  <c r="F16" i="18"/>
  <c r="D72" i="60"/>
  <c r="C72" i="60"/>
  <c r="E71" i="60"/>
  <c r="E34" i="60"/>
  <c r="E33" i="60"/>
  <c r="E32" i="60"/>
  <c r="E31" i="60"/>
  <c r="E30" i="60"/>
  <c r="E29" i="60"/>
  <c r="E28" i="60"/>
  <c r="E27" i="60"/>
  <c r="E26" i="60"/>
  <c r="E25" i="60"/>
  <c r="E24" i="60"/>
  <c r="E23" i="60"/>
  <c r="E22" i="60"/>
  <c r="D63" i="60"/>
  <c r="C63" i="60"/>
  <c r="E62" i="60"/>
  <c r="E61" i="60"/>
  <c r="E60" i="60"/>
  <c r="E59" i="60"/>
  <c r="E58" i="60"/>
  <c r="E57" i="60"/>
  <c r="E56" i="60"/>
  <c r="E55" i="60"/>
  <c r="E54" i="60"/>
  <c r="E53" i="60"/>
  <c r="E52" i="60"/>
  <c r="E51" i="60"/>
  <c r="B52" i="60"/>
  <c r="B53" i="60"/>
  <c r="B54" i="60"/>
  <c r="B55" i="60"/>
  <c r="B56" i="60"/>
  <c r="B57" i="60"/>
  <c r="B58" i="60"/>
  <c r="B59" i="60"/>
  <c r="B60" i="60"/>
  <c r="B61" i="60"/>
  <c r="B62" i="60"/>
  <c r="B51" i="60"/>
  <c r="E45" i="60"/>
  <c r="D46" i="60"/>
  <c r="C46" i="60"/>
  <c r="U12" i="60" s="1"/>
  <c r="D36" i="60"/>
  <c r="C36" i="60"/>
  <c r="E36" i="60" s="1"/>
  <c r="G11" i="31" l="1"/>
  <c r="F19" i="18"/>
  <c r="C64" i="60"/>
  <c r="D64" i="60"/>
  <c r="E63" i="60"/>
  <c r="E46" i="60"/>
  <c r="C37" i="60"/>
  <c r="D37" i="60"/>
  <c r="F174" i="58" l="1"/>
  <c r="G180" i="58" s="1"/>
  <c r="U13" i="60"/>
  <c r="D14" i="60"/>
  <c r="E37" i="60"/>
  <c r="D27" i="13"/>
  <c r="D11" i="13" s="1"/>
  <c r="D32" i="64"/>
  <c r="E32" i="64" s="1"/>
  <c r="F32" i="64" s="1"/>
  <c r="G32" i="64" s="1"/>
  <c r="C27" i="64"/>
  <c r="C29" i="64" s="1"/>
  <c r="C10" i="64"/>
  <c r="C11" i="64"/>
  <c r="C12" i="64"/>
  <c r="C13" i="64"/>
  <c r="C14" i="64"/>
  <c r="G174" i="58" l="1"/>
  <c r="H174" i="58"/>
  <c r="I174" i="58" s="1"/>
  <c r="E11" i="31"/>
  <c r="T14" i="60"/>
  <c r="J174" i="58"/>
  <c r="I180" i="58"/>
  <c r="B166" i="78"/>
  <c r="B167" i="78" s="1"/>
  <c r="B168" i="78" s="1"/>
  <c r="B169" i="78" s="1"/>
  <c r="B170" i="78" s="1"/>
  <c r="B171" i="78" s="1"/>
  <c r="B172" i="78" s="1"/>
  <c r="B173" i="78" s="1"/>
  <c r="B174" i="78" s="1"/>
  <c r="B175" i="78" s="1"/>
  <c r="B176" i="78" s="1"/>
  <c r="B177" i="78" s="1"/>
  <c r="B178" i="78" s="1"/>
  <c r="B179" i="78" s="1"/>
  <c r="B180" i="78" s="1"/>
  <c r="B181" i="78" s="1"/>
  <c r="B182" i="78" s="1"/>
  <c r="B183" i="78" s="1"/>
  <c r="B184" i="78" s="1"/>
  <c r="B185" i="78" s="1"/>
  <c r="B186" i="78" s="1"/>
  <c r="B187" i="78" s="1"/>
  <c r="B188" i="78" s="1"/>
  <c r="B189" i="78" s="1"/>
  <c r="B190" i="78" s="1"/>
  <c r="B191" i="78" s="1"/>
  <c r="B192" i="78" s="1"/>
  <c r="B193" i="78" s="1"/>
  <c r="B194" i="78" s="1"/>
  <c r="B195" i="78" s="1"/>
  <c r="B82" i="78"/>
  <c r="B83" i="78" s="1"/>
  <c r="B84" i="78" s="1"/>
  <c r="B85" i="78" s="1"/>
  <c r="B86" i="78" s="1"/>
  <c r="B87" i="78" s="1"/>
  <c r="B88" i="78" s="1"/>
  <c r="B89" i="78" s="1"/>
  <c r="B90" i="78" s="1"/>
  <c r="B91" i="78" s="1"/>
  <c r="B92" i="78" s="1"/>
  <c r="B93" i="78" s="1"/>
  <c r="B94" i="78" s="1"/>
  <c r="B95" i="78" s="1"/>
  <c r="B96" i="78" s="1"/>
  <c r="B97" i="78" s="1"/>
  <c r="B98" i="78" s="1"/>
  <c r="B99" i="78" s="1"/>
  <c r="B100" i="78" s="1"/>
  <c r="K174" i="58" l="1"/>
  <c r="K180" i="58"/>
  <c r="L174" i="58"/>
  <c r="B101" i="78"/>
  <c r="D194" i="49"/>
  <c r="I195" i="49"/>
  <c r="I196" i="49"/>
  <c r="I200" i="49"/>
  <c r="I201" i="49"/>
  <c r="I203" i="49"/>
  <c r="I204" i="49"/>
  <c r="I205" i="49"/>
  <c r="I206" i="49"/>
  <c r="I207" i="49"/>
  <c r="I208" i="49"/>
  <c r="I210" i="49"/>
  <c r="I211" i="49"/>
  <c r="I212" i="49"/>
  <c r="I213" i="49"/>
  <c r="I214" i="49"/>
  <c r="H187" i="49"/>
  <c r="H186" i="49"/>
  <c r="H185" i="49"/>
  <c r="H184" i="49"/>
  <c r="H183" i="49"/>
  <c r="H182" i="49"/>
  <c r="H181" i="49"/>
  <c r="H180" i="49"/>
  <c r="H179" i="49"/>
  <c r="H177" i="49"/>
  <c r="H176" i="49"/>
  <c r="H174" i="49"/>
  <c r="H173" i="49"/>
  <c r="H167" i="49"/>
  <c r="H164" i="49"/>
  <c r="H163" i="49"/>
  <c r="H162" i="49"/>
  <c r="H161" i="49"/>
  <c r="H160" i="49"/>
  <c r="H159" i="49"/>
  <c r="H158" i="49"/>
  <c r="H157" i="49"/>
  <c r="H156" i="49"/>
  <c r="H155" i="49"/>
  <c r="H154" i="49"/>
  <c r="H152" i="49"/>
  <c r="H146" i="49"/>
  <c r="H145" i="49"/>
  <c r="H144" i="49"/>
  <c r="H143" i="49"/>
  <c r="H142" i="49"/>
  <c r="H141" i="49"/>
  <c r="H139" i="49"/>
  <c r="H138" i="49"/>
  <c r="H136" i="49"/>
  <c r="H133" i="49"/>
  <c r="H132" i="49"/>
  <c r="H131" i="49"/>
  <c r="H130" i="49"/>
  <c r="H129" i="49"/>
  <c r="H128" i="49"/>
  <c r="H127" i="49"/>
  <c r="H126" i="49"/>
  <c r="H125" i="49"/>
  <c r="H124" i="49"/>
  <c r="H123" i="49"/>
  <c r="H122" i="49"/>
  <c r="H121" i="49"/>
  <c r="H120" i="49"/>
  <c r="H119" i="49"/>
  <c r="H118" i="49"/>
  <c r="H117" i="49"/>
  <c r="H116" i="49"/>
  <c r="H115" i="49"/>
  <c r="H114" i="49"/>
  <c r="H113" i="49"/>
  <c r="H112" i="49"/>
  <c r="H111" i="49"/>
  <c r="H110" i="49"/>
  <c r="H109" i="49"/>
  <c r="H108" i="49"/>
  <c r="H107" i="49"/>
  <c r="H106" i="49"/>
  <c r="H105" i="49"/>
  <c r="H104" i="49"/>
  <c r="H103" i="49"/>
  <c r="H102" i="49"/>
  <c r="H101" i="49"/>
  <c r="H100" i="49"/>
  <c r="H99" i="49"/>
  <c r="H98" i="49"/>
  <c r="H97" i="49"/>
  <c r="H96" i="49"/>
  <c r="H95" i="49"/>
  <c r="H94" i="49"/>
  <c r="H93" i="49"/>
  <c r="H92" i="49"/>
  <c r="H91" i="49"/>
  <c r="H90" i="49"/>
  <c r="H89" i="49"/>
  <c r="H88" i="49"/>
  <c r="H87" i="49"/>
  <c r="H86" i="49"/>
  <c r="H84" i="49"/>
  <c r="H83" i="49"/>
  <c r="H82" i="49"/>
  <c r="H81" i="49"/>
  <c r="H80" i="49"/>
  <c r="H79" i="49"/>
  <c r="H78" i="49"/>
  <c r="H77" i="49"/>
  <c r="H76" i="49"/>
  <c r="H75" i="49"/>
  <c r="H74" i="49"/>
  <c r="H73" i="49"/>
  <c r="H72" i="49"/>
  <c r="H71" i="49"/>
  <c r="H70" i="49"/>
  <c r="H69" i="49"/>
  <c r="H68" i="49"/>
  <c r="H67" i="49"/>
  <c r="H66" i="49"/>
  <c r="H65" i="49"/>
  <c r="H64" i="49"/>
  <c r="H63" i="49"/>
  <c r="H62" i="49"/>
  <c r="H61" i="49"/>
  <c r="H60" i="49"/>
  <c r="H59" i="49"/>
  <c r="H58" i="49"/>
  <c r="H57" i="49"/>
  <c r="H56" i="49"/>
  <c r="H55" i="49"/>
  <c r="H54" i="49"/>
  <c r="H53" i="49"/>
  <c r="H52" i="49"/>
  <c r="H51" i="49"/>
  <c r="H50" i="49"/>
  <c r="H49" i="49"/>
  <c r="H48" i="49"/>
  <c r="H47" i="49"/>
  <c r="H46" i="49"/>
  <c r="H45" i="49"/>
  <c r="H44" i="49"/>
  <c r="H43" i="49"/>
  <c r="H41" i="49"/>
  <c r="H39" i="49"/>
  <c r="H38" i="49"/>
  <c r="H37" i="49"/>
  <c r="H34" i="49"/>
  <c r="H33" i="49"/>
  <c r="H32" i="49"/>
  <c r="H27" i="49"/>
  <c r="H26" i="49"/>
  <c r="H25" i="49"/>
  <c r="H23" i="49"/>
  <c r="H16" i="49"/>
  <c r="H12" i="49"/>
  <c r="H11" i="49"/>
  <c r="H9" i="49"/>
  <c r="A8" i="49"/>
  <c r="A9" i="49" s="1"/>
  <c r="A10" i="49" s="1"/>
  <c r="A47" i="76"/>
  <c r="A49" i="76"/>
  <c r="A12" i="76"/>
  <c r="A17" i="76"/>
  <c r="A24" i="76"/>
  <c r="A31" i="76"/>
  <c r="A37" i="76"/>
  <c r="A8" i="76"/>
  <c r="A9" i="76" s="1"/>
  <c r="A159" i="78"/>
  <c r="A161" i="78"/>
  <c r="A162" i="78"/>
  <c r="A201" i="78"/>
  <c r="A203" i="78"/>
  <c r="A204" i="78"/>
  <c r="A241" i="78"/>
  <c r="A120" i="78"/>
  <c r="A117" i="78"/>
  <c r="A119" i="78"/>
  <c r="A77" i="78"/>
  <c r="A78" i="78"/>
  <c r="A75" i="78"/>
  <c r="A37" i="78"/>
  <c r="A38" i="78"/>
  <c r="A35" i="78"/>
  <c r="M180" i="58" l="1"/>
  <c r="M174" i="58"/>
  <c r="N174" i="58"/>
  <c r="B102" i="78"/>
  <c r="B103" i="78" s="1"/>
  <c r="B104" i="78" s="1"/>
  <c r="B105" i="78" s="1"/>
  <c r="B106" i="78" s="1"/>
  <c r="B107" i="78" s="1"/>
  <c r="B108" i="78" s="1"/>
  <c r="B109" i="78" s="1"/>
  <c r="B110" i="78" s="1"/>
  <c r="B111" i="78" s="1"/>
  <c r="A10" i="76"/>
  <c r="A11" i="49"/>
  <c r="A12" i="49" s="1"/>
  <c r="O174" i="58" l="1"/>
  <c r="P174" i="58"/>
  <c r="O180" i="58"/>
  <c r="A13" i="49"/>
  <c r="A14" i="49" s="1"/>
  <c r="B205" i="78"/>
  <c r="A12" i="83"/>
  <c r="A14" i="83" s="1"/>
  <c r="A11" i="83"/>
  <c r="B163" i="78"/>
  <c r="B121" i="78"/>
  <c r="B79" i="78"/>
  <c r="A6" i="77"/>
  <c r="A8" i="75"/>
  <c r="A9" i="75" s="1"/>
  <c r="B39" i="78"/>
  <c r="B7" i="78"/>
  <c r="A7" i="78" s="1"/>
  <c r="A8" i="99"/>
  <c r="A8" i="97"/>
  <c r="A9" i="97" s="1"/>
  <c r="A10" i="97" s="1"/>
  <c r="I10" i="78"/>
  <c r="J10" i="78" s="1"/>
  <c r="B6" i="77"/>
  <c r="A7" i="77" l="1"/>
  <c r="A9" i="99"/>
  <c r="Q174" i="58"/>
  <c r="Q180" i="58"/>
  <c r="R174" i="58"/>
  <c r="A15" i="49"/>
  <c r="A8" i="78"/>
  <c r="A9" i="78" s="1"/>
  <c r="A11" i="97"/>
  <c r="C27" i="99"/>
  <c r="S36" i="4"/>
  <c r="T36" i="4"/>
  <c r="X36" i="4"/>
  <c r="Y36" i="4"/>
  <c r="S16" i="4"/>
  <c r="W16" i="4"/>
  <c r="X16" i="4"/>
  <c r="Y16" i="4"/>
  <c r="X21" i="4"/>
  <c r="Y21" i="4"/>
  <c r="S22" i="4"/>
  <c r="X22" i="4"/>
  <c r="Y22" i="4"/>
  <c r="S24" i="4"/>
  <c r="W24" i="4"/>
  <c r="X24" i="4"/>
  <c r="Y24" i="4"/>
  <c r="S5" i="4"/>
  <c r="T5" i="4"/>
  <c r="W5" i="4"/>
  <c r="X5" i="4"/>
  <c r="Y5" i="4"/>
  <c r="S6" i="4"/>
  <c r="T6" i="4"/>
  <c r="W6" i="4"/>
  <c r="X6" i="4"/>
  <c r="Y6" i="4"/>
  <c r="F36" i="4"/>
  <c r="K36" i="4"/>
  <c r="K50" i="4" s="1"/>
  <c r="J36" i="4"/>
  <c r="I36" i="4"/>
  <c r="H36" i="4"/>
  <c r="G36" i="4"/>
  <c r="D36" i="4"/>
  <c r="D16" i="4"/>
  <c r="F16" i="4"/>
  <c r="G16" i="4"/>
  <c r="H16" i="4"/>
  <c r="D22" i="4"/>
  <c r="F22" i="4"/>
  <c r="G22" i="4"/>
  <c r="H22" i="4"/>
  <c r="D24" i="4"/>
  <c r="G24" i="4"/>
  <c r="H24" i="4"/>
  <c r="F5" i="4"/>
  <c r="G5" i="4"/>
  <c r="H5" i="4"/>
  <c r="I5" i="4"/>
  <c r="K5" i="4"/>
  <c r="D6" i="4"/>
  <c r="E6" i="4"/>
  <c r="F6" i="4"/>
  <c r="G6" i="4"/>
  <c r="H6" i="4"/>
  <c r="I6" i="4"/>
  <c r="J6" i="4"/>
  <c r="K6" i="4"/>
  <c r="L6" i="4"/>
  <c r="H5" i="31"/>
  <c r="H4" i="31"/>
  <c r="H1" i="31"/>
  <c r="H3" i="31"/>
  <c r="B20" i="2"/>
  <c r="AG8" i="4"/>
  <c r="AL8" i="4"/>
  <c r="J8" i="165" s="1"/>
  <c r="AQ8" i="4"/>
  <c r="AO31" i="4"/>
  <c r="AO36" i="4" s="1"/>
  <c r="AO11" i="4"/>
  <c r="AO15" i="4" s="1"/>
  <c r="AJ31" i="4"/>
  <c r="AJ36" i="4" s="1"/>
  <c r="AJ11" i="4"/>
  <c r="AE31" i="4"/>
  <c r="AE36" i="4" s="1"/>
  <c r="AE11" i="4"/>
  <c r="AE15" i="4" s="1"/>
  <c r="AL22" i="4"/>
  <c r="J22" i="165" s="1"/>
  <c r="AN36" i="4"/>
  <c r="AQ35" i="4"/>
  <c r="P35" i="165" s="1"/>
  <c r="AQ34" i="4"/>
  <c r="P34" i="165" s="1"/>
  <c r="AQ33" i="4"/>
  <c r="P33" i="165" s="1"/>
  <c r="AQ32" i="4"/>
  <c r="P32" i="165" s="1"/>
  <c r="AQ27" i="4"/>
  <c r="AQ24" i="4"/>
  <c r="P24" i="165" s="1"/>
  <c r="AQ23" i="4"/>
  <c r="P23" i="165" s="1"/>
  <c r="AQ14" i="4"/>
  <c r="P14" i="165" s="1"/>
  <c r="AQ9" i="4"/>
  <c r="P9" i="165" s="1"/>
  <c r="AL35" i="4"/>
  <c r="J35" i="165" s="1"/>
  <c r="AL34" i="4"/>
  <c r="J34" i="165" s="1"/>
  <c r="AL33" i="4"/>
  <c r="J33" i="165" s="1"/>
  <c r="AL32" i="4"/>
  <c r="J32" i="165" s="1"/>
  <c r="AL27" i="4"/>
  <c r="AL23" i="4"/>
  <c r="J23" i="165" s="1"/>
  <c r="AL16" i="4"/>
  <c r="J16" i="165" s="1"/>
  <c r="AL14" i="4"/>
  <c r="J14" i="165" s="1"/>
  <c r="AL9" i="4"/>
  <c r="J9" i="165" s="1"/>
  <c r="AG35" i="4"/>
  <c r="D35" i="165" s="1"/>
  <c r="AG34" i="4"/>
  <c r="D34" i="165" s="1"/>
  <c r="AG33" i="4"/>
  <c r="D33" i="165" s="1"/>
  <c r="AG32" i="4"/>
  <c r="D32" i="165" s="1"/>
  <c r="AG27" i="4"/>
  <c r="AG23" i="4"/>
  <c r="D23" i="165" s="1"/>
  <c r="AG22" i="4"/>
  <c r="D22" i="165" s="1"/>
  <c r="AG9" i="4"/>
  <c r="D9" i="165" s="1"/>
  <c r="AD36" i="4"/>
  <c r="AL24" i="4"/>
  <c r="J24" i="165" s="1"/>
  <c r="AQ21" i="4"/>
  <c r="P21" i="165" s="1"/>
  <c r="AL21" i="4"/>
  <c r="J21" i="165" s="1"/>
  <c r="AQ20" i="4"/>
  <c r="P20" i="165" s="1"/>
  <c r="AL20" i="4"/>
  <c r="J20" i="165" s="1"/>
  <c r="AQ19" i="4"/>
  <c r="P19" i="165" s="1"/>
  <c r="AL19" i="4"/>
  <c r="J19" i="165" s="1"/>
  <c r="AQ17" i="4"/>
  <c r="P17" i="165" s="1"/>
  <c r="AL17" i="4"/>
  <c r="J17" i="165" s="1"/>
  <c r="AQ16" i="4"/>
  <c r="P16" i="165" s="1"/>
  <c r="AQ10" i="4"/>
  <c r="P10" i="165" s="1"/>
  <c r="A8" i="77" l="1"/>
  <c r="A9" i="77" s="1"/>
  <c r="A10" i="99"/>
  <c r="S180" i="58"/>
  <c r="S174" i="58"/>
  <c r="T174" i="58"/>
  <c r="A16" i="49"/>
  <c r="A10" i="78"/>
  <c r="A11" i="78" s="1"/>
  <c r="A12" i="78" s="1"/>
  <c r="A10" i="77"/>
  <c r="A12" i="97"/>
  <c r="A13" i="97" s="1"/>
  <c r="AG31" i="4"/>
  <c r="D31" i="165" s="1"/>
  <c r="D36" i="165" s="1"/>
  <c r="AJ15" i="4"/>
  <c r="AK36" i="4"/>
  <c r="AF36" i="4"/>
  <c r="AG36" i="4" s="1"/>
  <c r="AN11" i="4"/>
  <c r="P8" i="165"/>
  <c r="P11" i="165" s="1"/>
  <c r="AK11" i="4"/>
  <c r="AI36" i="4"/>
  <c r="AD11" i="4"/>
  <c r="AP11" i="4"/>
  <c r="R36" i="4"/>
  <c r="P27" i="4"/>
  <c r="P23" i="4"/>
  <c r="P9" i="4"/>
  <c r="P136" i="31"/>
  <c r="P122" i="31"/>
  <c r="P124" i="31" s="1"/>
  <c r="K21" i="4" s="1"/>
  <c r="P108" i="31"/>
  <c r="K20" i="4" s="1"/>
  <c r="P101" i="31"/>
  <c r="K19" i="4" s="1"/>
  <c r="P85" i="31"/>
  <c r="P73" i="31"/>
  <c r="P52" i="31"/>
  <c r="P38" i="31"/>
  <c r="K14" i="4" s="1"/>
  <c r="K10" i="4"/>
  <c r="P18" i="31"/>
  <c r="P29" i="31" s="1"/>
  <c r="P54" i="31" s="1"/>
  <c r="K15" i="4" s="1"/>
  <c r="C6" i="4"/>
  <c r="C5" i="4"/>
  <c r="Q136" i="31"/>
  <c r="Q122" i="31"/>
  <c r="Q124" i="31" s="1"/>
  <c r="L21" i="4" s="1"/>
  <c r="Q108" i="31"/>
  <c r="L20" i="4" s="1"/>
  <c r="Q101" i="31"/>
  <c r="L19" i="4" s="1"/>
  <c r="Q85" i="31"/>
  <c r="Q73" i="31"/>
  <c r="Q52" i="31"/>
  <c r="Q38" i="31"/>
  <c r="L14" i="4" s="1"/>
  <c r="Q28" i="31"/>
  <c r="L10" i="4" s="1"/>
  <c r="Q18" i="31"/>
  <c r="AF5" i="4"/>
  <c r="AD5" i="4"/>
  <c r="AI5" i="4" s="1"/>
  <c r="AN5" i="4" s="1"/>
  <c r="R5" i="4"/>
  <c r="R6" i="4"/>
  <c r="X136" i="31"/>
  <c r="X108" i="31"/>
  <c r="U20" i="4" s="1"/>
  <c r="X101" i="31"/>
  <c r="U19" i="4" s="1"/>
  <c r="X85" i="31"/>
  <c r="X52" i="31"/>
  <c r="X38" i="31"/>
  <c r="U14" i="4" s="1"/>
  <c r="X28" i="31"/>
  <c r="U10" i="4" s="1"/>
  <c r="X18" i="31"/>
  <c r="U8" i="4" s="1"/>
  <c r="AA136" i="31"/>
  <c r="AA108" i="31"/>
  <c r="X20" i="4" s="1"/>
  <c r="AA101" i="31"/>
  <c r="X19" i="4" s="1"/>
  <c r="AA85" i="31"/>
  <c r="AA73" i="31"/>
  <c r="AA52" i="31"/>
  <c r="AA38" i="31"/>
  <c r="X14" i="4" s="1"/>
  <c r="AA28" i="31"/>
  <c r="X10" i="4" s="1"/>
  <c r="AA18" i="31"/>
  <c r="X8" i="4" s="1"/>
  <c r="U11" i="4" l="1"/>
  <c r="P86" i="31"/>
  <c r="K17" i="4"/>
  <c r="K8" i="4"/>
  <c r="K11" i="4" s="1"/>
  <c r="U174" i="58"/>
  <c r="V174" i="58"/>
  <c r="U180" i="58"/>
  <c r="Q29" i="31"/>
  <c r="L8" i="4"/>
  <c r="L11" i="4" s="1"/>
  <c r="X11" i="4"/>
  <c r="A17" i="49"/>
  <c r="A13" i="78"/>
  <c r="A14" i="78" s="1"/>
  <c r="A11" i="77"/>
  <c r="A12" i="77"/>
  <c r="A14" i="97"/>
  <c r="AK5" i="4"/>
  <c r="AP5" i="4" s="1"/>
  <c r="AE5" i="4"/>
  <c r="AJ5" i="4" s="1"/>
  <c r="AO5" i="4" s="1"/>
  <c r="Q54" i="31"/>
  <c r="L15" i="4" s="1"/>
  <c r="AL31" i="4"/>
  <c r="J31" i="165" s="1"/>
  <c r="J36" i="165" s="1"/>
  <c r="AL36" i="4"/>
  <c r="AQ22" i="4"/>
  <c r="P22" i="165" s="1"/>
  <c r="AD15" i="4"/>
  <c r="AK15" i="4"/>
  <c r="AN15" i="4"/>
  <c r="AP15" i="4"/>
  <c r="AQ11" i="4"/>
  <c r="X29" i="31"/>
  <c r="Q86" i="31"/>
  <c r="L17" i="4" s="1"/>
  <c r="AA29" i="31"/>
  <c r="AA86" i="31"/>
  <c r="X17" i="4" s="1"/>
  <c r="W180" i="58" l="1"/>
  <c r="X174" i="58"/>
  <c r="W174" i="58"/>
  <c r="A18" i="49"/>
  <c r="A15" i="78"/>
  <c r="A16" i="78" s="1"/>
  <c r="A17" i="78" s="1"/>
  <c r="A18" i="78" s="1"/>
  <c r="A13" i="77"/>
  <c r="A15" i="97"/>
  <c r="Q55" i="31"/>
  <c r="AQ31" i="4"/>
  <c r="P31" i="165" s="1"/>
  <c r="P36" i="165" s="1"/>
  <c r="AP36" i="4"/>
  <c r="AQ36" i="4" s="1"/>
  <c r="X54" i="31"/>
  <c r="U15" i="4" s="1"/>
  <c r="AQ15" i="4"/>
  <c r="P15" i="165" s="1"/>
  <c r="AA54" i="31"/>
  <c r="X15" i="4" s="1"/>
  <c r="A42" i="82"/>
  <c r="A43" i="82"/>
  <c r="B17" i="82"/>
  <c r="B31" i="82" s="1"/>
  <c r="H10" i="78"/>
  <c r="F12" i="38"/>
  <c r="Y180" i="58" l="1"/>
  <c r="Y174" i="58"/>
  <c r="Z174" i="58"/>
  <c r="AB174" i="58" s="1"/>
  <c r="AC174" i="58" s="1"/>
  <c r="B25" i="82"/>
  <c r="A19" i="49"/>
  <c r="A19" i="78"/>
  <c r="A20" i="78" s="1"/>
  <c r="H167" i="78"/>
  <c r="H214" i="78"/>
  <c r="A14" i="77"/>
  <c r="A16" i="97"/>
  <c r="A17" i="97" s="1"/>
  <c r="H126" i="78"/>
  <c r="H42" i="78"/>
  <c r="H85" i="78"/>
  <c r="P55" i="31"/>
  <c r="X55" i="31"/>
  <c r="AA55" i="31"/>
  <c r="F13" i="38"/>
  <c r="F11" i="38"/>
  <c r="F10" i="38"/>
  <c r="A15" i="77" l="1"/>
  <c r="AA174" i="58"/>
  <c r="AA180" i="58"/>
  <c r="A20" i="49"/>
  <c r="A21" i="49" s="1"/>
  <c r="A22" i="49" s="1"/>
  <c r="A23" i="49" s="1"/>
  <c r="A24" i="49" s="1"/>
  <c r="A25" i="49" s="1"/>
  <c r="A26" i="49" s="1"/>
  <c r="A27" i="49" s="1"/>
  <c r="A28" i="49" s="1"/>
  <c r="A29" i="49" s="1"/>
  <c r="A30" i="49" s="1"/>
  <c r="A31" i="49" s="1"/>
  <c r="A32" i="49" s="1"/>
  <c r="A33" i="49" s="1"/>
  <c r="A34" i="49" s="1"/>
  <c r="A35" i="49" s="1"/>
  <c r="A36" i="49" s="1"/>
  <c r="A37" i="49" s="1"/>
  <c r="A38" i="49" s="1"/>
  <c r="A39" i="49" s="1"/>
  <c r="A40" i="49" s="1"/>
  <c r="A41" i="49" s="1"/>
  <c r="A42" i="49" s="1"/>
  <c r="A43" i="49" s="1"/>
  <c r="A44" i="49" s="1"/>
  <c r="A45" i="49" s="1"/>
  <c r="A46" i="49" s="1"/>
  <c r="A47" i="49" s="1"/>
  <c r="A48" i="49" s="1"/>
  <c r="A49" i="49" s="1"/>
  <c r="A50" i="49" s="1"/>
  <c r="A51" i="49" s="1"/>
  <c r="A52" i="49" s="1"/>
  <c r="A21" i="78"/>
  <c r="A22" i="78" s="1"/>
  <c r="A18" i="97"/>
  <c r="A19" i="97" s="1"/>
  <c r="F178" i="49"/>
  <c r="H178" i="49" s="1"/>
  <c r="F175" i="49"/>
  <c r="H175" i="49" s="1"/>
  <c r="F153" i="49"/>
  <c r="H153" i="49" s="1"/>
  <c r="F172" i="49"/>
  <c r="H172" i="49" s="1"/>
  <c r="F171" i="49"/>
  <c r="F42" i="49"/>
  <c r="H42" i="49" s="1"/>
  <c r="F40" i="49"/>
  <c r="H40" i="49" s="1"/>
  <c r="F151" i="49"/>
  <c r="H151" i="49" s="1"/>
  <c r="F150" i="49"/>
  <c r="H150" i="49" s="1"/>
  <c r="F149" i="49"/>
  <c r="H149" i="49" s="1"/>
  <c r="F148" i="49"/>
  <c r="H148" i="49" s="1"/>
  <c r="F147" i="49"/>
  <c r="H147" i="49" s="1"/>
  <c r="F10" i="49"/>
  <c r="H10" i="49" s="1"/>
  <c r="F36" i="49"/>
  <c r="H36" i="49" s="1"/>
  <c r="F8" i="49"/>
  <c r="F35" i="49"/>
  <c r="H35" i="49" s="1"/>
  <c r="G137" i="49"/>
  <c r="H137" i="49" s="1"/>
  <c r="F85" i="49"/>
  <c r="H85" i="49" s="1"/>
  <c r="F31" i="49"/>
  <c r="H31" i="49" s="1"/>
  <c r="F30" i="49"/>
  <c r="H30" i="49" s="1"/>
  <c r="F29" i="49"/>
  <c r="H29" i="49" s="1"/>
  <c r="G140" i="49"/>
  <c r="H140" i="49" s="1"/>
  <c r="F28" i="49"/>
  <c r="H28" i="49" s="1"/>
  <c r="F24" i="49"/>
  <c r="A16" i="77" l="1"/>
  <c r="AC180" i="58"/>
  <c r="A20" i="97"/>
  <c r="A21" i="97" s="1"/>
  <c r="A22" i="97" s="1"/>
  <c r="A23" i="97" s="1"/>
  <c r="A24" i="97" s="1"/>
  <c r="A25" i="97" s="1"/>
  <c r="A26" i="97" s="1"/>
  <c r="A27" i="97" s="1"/>
  <c r="A28" i="97" s="1"/>
  <c r="A29" i="97" s="1"/>
  <c r="A30" i="97" s="1"/>
  <c r="A31" i="97" s="1"/>
  <c r="A32" i="97" s="1"/>
  <c r="A33" i="97" s="1"/>
  <c r="A34" i="97" s="1"/>
  <c r="A35" i="97" s="1"/>
  <c r="A36" i="97" s="1"/>
  <c r="A37" i="97" s="1"/>
  <c r="A38" i="97" s="1"/>
  <c r="A39" i="97" s="1"/>
  <c r="A40" i="97" s="1"/>
  <c r="A41" i="97" s="1"/>
  <c r="A42" i="97" s="1"/>
  <c r="A43" i="97" s="1"/>
  <c r="A44" i="97" s="1"/>
  <c r="A45" i="97" s="1"/>
  <c r="A46" i="97" s="1"/>
  <c r="H24" i="49"/>
  <c r="H134" i="49" s="1"/>
  <c r="F134" i="49"/>
  <c r="H8" i="49"/>
  <c r="F21" i="49"/>
  <c r="A53" i="49"/>
  <c r="A54" i="49" s="1"/>
  <c r="A55" i="49" s="1"/>
  <c r="A56" i="49" s="1"/>
  <c r="A57" i="49" s="1"/>
  <c r="A58" i="49" s="1"/>
  <c r="A59" i="49" s="1"/>
  <c r="A60" i="49" s="1"/>
  <c r="A61" i="49" s="1"/>
  <c r="A62" i="49" s="1"/>
  <c r="A63" i="49" s="1"/>
  <c r="A64" i="49" s="1"/>
  <c r="A65" i="49" s="1"/>
  <c r="A66" i="49" s="1"/>
  <c r="A67" i="49" s="1"/>
  <c r="A68" i="49" s="1"/>
  <c r="A69" i="49" s="1"/>
  <c r="A70" i="49" s="1"/>
  <c r="A71" i="49" s="1"/>
  <c r="A72" i="49" s="1"/>
  <c r="A73" i="49" s="1"/>
  <c r="A74" i="49" s="1"/>
  <c r="A75" i="49" s="1"/>
  <c r="A76" i="49" s="1"/>
  <c r="A77" i="49" s="1"/>
  <c r="A78" i="49" s="1"/>
  <c r="A79" i="49" s="1"/>
  <c r="A80" i="49" s="1"/>
  <c r="A81" i="49" s="1"/>
  <c r="A82" i="49" s="1"/>
  <c r="A83" i="49" s="1"/>
  <c r="A84" i="49" s="1"/>
  <c r="A85" i="49" s="1"/>
  <c r="A86" i="49" s="1"/>
  <c r="A87" i="49" s="1"/>
  <c r="A88" i="49" s="1"/>
  <c r="A89" i="49" s="1"/>
  <c r="A90" i="49" s="1"/>
  <c r="A91" i="49" s="1"/>
  <c r="A92" i="49" s="1"/>
  <c r="A93" i="49" s="1"/>
  <c r="A94" i="49" s="1"/>
  <c r="A95" i="49" s="1"/>
  <c r="A96" i="49" s="1"/>
  <c r="A97" i="49" s="1"/>
  <c r="A98" i="49" s="1"/>
  <c r="A99" i="49" s="1"/>
  <c r="A100" i="49" s="1"/>
  <c r="A101" i="49" s="1"/>
  <c r="A102" i="49" s="1"/>
  <c r="A103" i="49" s="1"/>
  <c r="A104" i="49" s="1"/>
  <c r="A105" i="49" s="1"/>
  <c r="A106" i="49" s="1"/>
  <c r="A107" i="49" s="1"/>
  <c r="A108" i="49" s="1"/>
  <c r="A109" i="49" s="1"/>
  <c r="A110" i="49" s="1"/>
  <c r="A111" i="49" s="1"/>
  <c r="A112" i="49" s="1"/>
  <c r="A113" i="49" s="1"/>
  <c r="A114" i="49" s="1"/>
  <c r="A115" i="49" s="1"/>
  <c r="A116" i="49" s="1"/>
  <c r="A117" i="49" s="1"/>
  <c r="A118" i="49" s="1"/>
  <c r="A119" i="49" s="1"/>
  <c r="A120" i="49" s="1"/>
  <c r="A121" i="49" s="1"/>
  <c r="A122" i="49" s="1"/>
  <c r="A123" i="49" s="1"/>
  <c r="A124" i="49" s="1"/>
  <c r="A125" i="49" s="1"/>
  <c r="A126" i="49" s="1"/>
  <c r="A127" i="49" s="1"/>
  <c r="A128" i="49" s="1"/>
  <c r="A129" i="49" s="1"/>
  <c r="A130" i="49" s="1"/>
  <c r="A131" i="49" s="1"/>
  <c r="A132" i="49" s="1"/>
  <c r="A133" i="49" s="1"/>
  <c r="A134" i="49" s="1"/>
  <c r="A135" i="49" s="1"/>
  <c r="A136" i="49" s="1"/>
  <c r="A137" i="49" s="1"/>
  <c r="A138" i="49" s="1"/>
  <c r="A139" i="49" s="1"/>
  <c r="A140" i="49" s="1"/>
  <c r="A141" i="49" s="1"/>
  <c r="A142" i="49" s="1"/>
  <c r="A143" i="49" s="1"/>
  <c r="A144" i="49" s="1"/>
  <c r="A145" i="49" s="1"/>
  <c r="A146" i="49" s="1"/>
  <c r="A147" i="49" s="1"/>
  <c r="A148" i="49" s="1"/>
  <c r="A149" i="49" s="1"/>
  <c r="A150" i="49" s="1"/>
  <c r="A151" i="49" s="1"/>
  <c r="A152" i="49" s="1"/>
  <c r="A153" i="49" s="1"/>
  <c r="A154" i="49" s="1"/>
  <c r="A155" i="49" s="1"/>
  <c r="A156" i="49" s="1"/>
  <c r="A157" i="49" s="1"/>
  <c r="A158" i="49" s="1"/>
  <c r="A159" i="49" s="1"/>
  <c r="A160" i="49" s="1"/>
  <c r="A161" i="49" s="1"/>
  <c r="A162" i="49" s="1"/>
  <c r="A163" i="49" s="1"/>
  <c r="A164" i="49" s="1"/>
  <c r="A165" i="49" s="1"/>
  <c r="A166" i="49" s="1"/>
  <c r="A167" i="49" s="1"/>
  <c r="A168" i="49" s="1"/>
  <c r="A169" i="49" s="1"/>
  <c r="A170" i="49" s="1"/>
  <c r="A171" i="49" s="1"/>
  <c r="A172" i="49" s="1"/>
  <c r="A173" i="49" s="1"/>
  <c r="A174" i="49" s="1"/>
  <c r="A175" i="49" s="1"/>
  <c r="A176" i="49" s="1"/>
  <c r="A177" i="49" s="1"/>
  <c r="A178" i="49" s="1"/>
  <c r="A179" i="49" s="1"/>
  <c r="A180" i="49" s="1"/>
  <c r="A181" i="49" s="1"/>
  <c r="A182" i="49" s="1"/>
  <c r="A183" i="49" s="1"/>
  <c r="A184" i="49" s="1"/>
  <c r="A185" i="49" s="1"/>
  <c r="A186" i="49" s="1"/>
  <c r="A187" i="49" s="1"/>
  <c r="A188" i="49" s="1"/>
  <c r="A189" i="49" s="1"/>
  <c r="A190" i="49" s="1"/>
  <c r="A191" i="49" s="1"/>
  <c r="A192" i="49" s="1"/>
  <c r="A193" i="49" s="1"/>
  <c r="A194" i="49" s="1"/>
  <c r="A195" i="49" s="1"/>
  <c r="A196" i="49" s="1"/>
  <c r="A197" i="49" s="1"/>
  <c r="A198" i="49" s="1"/>
  <c r="A199" i="49" s="1"/>
  <c r="A200" i="49" s="1"/>
  <c r="A201" i="49" s="1"/>
  <c r="A202" i="49" s="1"/>
  <c r="A203" i="49" s="1"/>
  <c r="A204" i="49" s="1"/>
  <c r="A205" i="49" s="1"/>
  <c r="A206" i="49" s="1"/>
  <c r="A207" i="49" s="1"/>
  <c r="A208" i="49" s="1"/>
  <c r="A209" i="49" s="1"/>
  <c r="A210" i="49" s="1"/>
  <c r="A211" i="49" s="1"/>
  <c r="A212" i="49" s="1"/>
  <c r="A213" i="49" s="1"/>
  <c r="A214" i="49" s="1"/>
  <c r="A215" i="49" s="1"/>
  <c r="A216" i="49" s="1"/>
  <c r="A217" i="49" s="1"/>
  <c r="F188" i="49"/>
  <c r="A23" i="78"/>
  <c r="A17" i="77" l="1"/>
  <c r="A24" i="78"/>
  <c r="A25" i="78" s="1"/>
  <c r="A26" i="78" s="1"/>
  <c r="A27" i="78" s="1"/>
  <c r="A28" i="78" s="1"/>
  <c r="A29" i="78" s="1"/>
  <c r="A30" i="78" s="1"/>
  <c r="A31" i="78" s="1"/>
  <c r="A32" i="78" s="1"/>
  <c r="A33" i="78" s="1"/>
  <c r="A34" i="78" s="1"/>
  <c r="A18" i="77" l="1"/>
  <c r="A19" i="77" l="1"/>
  <c r="A20" i="77" s="1"/>
  <c r="A21" i="77" s="1"/>
  <c r="A22" i="77" s="1"/>
  <c r="A23" i="77" s="1"/>
  <c r="A24" i="77" s="1"/>
  <c r="A25" i="77"/>
  <c r="A26" i="77" s="1"/>
  <c r="A27" i="77" s="1"/>
  <c r="F35" i="64"/>
  <c r="E35" i="64"/>
  <c r="C35" i="64"/>
  <c r="G35" i="64"/>
  <c r="C37" i="64" l="1"/>
  <c r="C39" i="64" l="1"/>
  <c r="F14" i="38"/>
  <c r="F16" i="38" s="1"/>
  <c r="F18" i="38" s="1"/>
  <c r="C14" i="38" l="1"/>
  <c r="AE123" i="58" l="1"/>
  <c r="AE124" i="58"/>
  <c r="AE125" i="58"/>
  <c r="AE126" i="58"/>
  <c r="AE127" i="58"/>
  <c r="AE128" i="58"/>
  <c r="AE129" i="58"/>
  <c r="AE130" i="58"/>
  <c r="AE131" i="58"/>
  <c r="AE132" i="58"/>
  <c r="AD123" i="58"/>
  <c r="AD124" i="58"/>
  <c r="AD125" i="58"/>
  <c r="AD126" i="58"/>
  <c r="AD127" i="58"/>
  <c r="AD128" i="58"/>
  <c r="AD129" i="58"/>
  <c r="AD130" i="58"/>
  <c r="AD131" i="58"/>
  <c r="AD132" i="58"/>
  <c r="AD133" i="58"/>
  <c r="AE70" i="58"/>
  <c r="AE57" i="58"/>
  <c r="AD57" i="58"/>
  <c r="AD70" i="58"/>
  <c r="AE160" i="58"/>
  <c r="AE161" i="58"/>
  <c r="AD160" i="58"/>
  <c r="AD161" i="58"/>
  <c r="D95" i="58"/>
  <c r="D157" i="58"/>
  <c r="D164" i="58"/>
  <c r="I188" i="49" l="1"/>
  <c r="I209" i="49"/>
  <c r="K200" i="49"/>
  <c r="K203" i="49"/>
  <c r="K210" i="49"/>
  <c r="K211" i="49"/>
  <c r="I199" i="49" l="1"/>
  <c r="I194" i="49" l="1"/>
  <c r="I202" i="49"/>
  <c r="K202" i="49" s="1"/>
  <c r="I198" i="49"/>
  <c r="I21" i="49"/>
  <c r="C10" i="163" l="1"/>
  <c r="C14" i="163" l="1"/>
  <c r="M115" i="31" s="1"/>
  <c r="AD613" i="62"/>
  <c r="AB563" i="62"/>
  <c r="AB468" i="62"/>
  <c r="AB306" i="62"/>
  <c r="V613" i="62"/>
  <c r="V565" i="62"/>
  <c r="AD565" i="62" s="1"/>
  <c r="X468" i="62"/>
  <c r="W439" i="62"/>
  <c r="X310" i="62"/>
  <c r="AB310" i="62" s="1"/>
  <c r="X314" i="62"/>
  <c r="AB314" i="62" s="1"/>
  <c r="S612" i="62"/>
  <c r="V612" i="62" s="1"/>
  <c r="S613" i="62"/>
  <c r="S552" i="62"/>
  <c r="V552" i="62" s="1"/>
  <c r="AD552" i="62" s="1"/>
  <c r="S553" i="62"/>
  <c r="S554" i="62"/>
  <c r="X554" i="62" s="1"/>
  <c r="AB554" i="62" s="1"/>
  <c r="S555" i="62"/>
  <c r="X555" i="62" s="1"/>
  <c r="AB555" i="62" s="1"/>
  <c r="S556" i="62"/>
  <c r="X556" i="62" s="1"/>
  <c r="AB556" i="62" s="1"/>
  <c r="S557" i="62"/>
  <c r="X557" i="62" s="1"/>
  <c r="AB557" i="62" s="1"/>
  <c r="S558" i="62"/>
  <c r="X558" i="62" s="1"/>
  <c r="AB558" i="62" s="1"/>
  <c r="S559" i="62"/>
  <c r="AD559" i="62" s="1"/>
  <c r="S560" i="62"/>
  <c r="AB560" i="62" s="1"/>
  <c r="S561" i="62"/>
  <c r="AB561" i="62" s="1"/>
  <c r="S562" i="62"/>
  <c r="S563" i="62"/>
  <c r="X563" i="62" s="1"/>
  <c r="S564" i="62"/>
  <c r="V564" i="62" s="1"/>
  <c r="AD564" i="62" s="1"/>
  <c r="S565" i="62"/>
  <c r="S566" i="62"/>
  <c r="V566" i="62" s="1"/>
  <c r="AD566" i="62" s="1"/>
  <c r="G582" i="62"/>
  <c r="H582" i="62"/>
  <c r="I582" i="62"/>
  <c r="J582" i="62"/>
  <c r="K582" i="62"/>
  <c r="L582" i="62"/>
  <c r="M582" i="62"/>
  <c r="N582" i="62"/>
  <c r="O582" i="62"/>
  <c r="P582" i="62"/>
  <c r="Q582" i="62"/>
  <c r="R582" i="62"/>
  <c r="F582" i="62"/>
  <c r="S477" i="62"/>
  <c r="V477" i="62" s="1"/>
  <c r="AD477" i="62" s="1"/>
  <c r="G473" i="62"/>
  <c r="H473" i="62"/>
  <c r="I473" i="62"/>
  <c r="J473" i="62"/>
  <c r="K473" i="62"/>
  <c r="L473" i="62"/>
  <c r="M473" i="62"/>
  <c r="N473" i="62"/>
  <c r="O473" i="62"/>
  <c r="P473" i="62"/>
  <c r="Q473" i="62"/>
  <c r="R473" i="62"/>
  <c r="F473" i="62"/>
  <c r="S468" i="62"/>
  <c r="S469" i="62"/>
  <c r="AB469" i="62" s="1"/>
  <c r="S470" i="62"/>
  <c r="AB470" i="62" s="1"/>
  <c r="S471" i="62"/>
  <c r="AB471" i="62" s="1"/>
  <c r="S472" i="62"/>
  <c r="AB472" i="62" s="1"/>
  <c r="S439" i="62"/>
  <c r="AC439" i="62" s="1"/>
  <c r="S435" i="62"/>
  <c r="AC435" i="62" s="1"/>
  <c r="S436" i="62"/>
  <c r="AC436" i="62" s="1"/>
  <c r="S437" i="62"/>
  <c r="U437" i="62" s="1"/>
  <c r="S438" i="62"/>
  <c r="G440" i="62"/>
  <c r="H440" i="62"/>
  <c r="I440" i="62"/>
  <c r="J440" i="62"/>
  <c r="K440" i="62"/>
  <c r="L440" i="62"/>
  <c r="M440" i="62"/>
  <c r="N440" i="62"/>
  <c r="O440" i="62"/>
  <c r="P440" i="62"/>
  <c r="Q440" i="62"/>
  <c r="R440" i="62"/>
  <c r="F440" i="62"/>
  <c r="S300" i="62"/>
  <c r="S301" i="62"/>
  <c r="S302" i="62"/>
  <c r="S303" i="62"/>
  <c r="S304" i="62"/>
  <c r="X304" i="62" s="1"/>
  <c r="AB304" i="62" s="1"/>
  <c r="S305" i="62"/>
  <c r="X305" i="62" s="1"/>
  <c r="AB305" i="62" s="1"/>
  <c r="S306" i="62"/>
  <c r="S307" i="62"/>
  <c r="X307" i="62" s="1"/>
  <c r="AB307" i="62" s="1"/>
  <c r="S308" i="62"/>
  <c r="X308" i="62" s="1"/>
  <c r="AB308" i="62" s="1"/>
  <c r="S309" i="62"/>
  <c r="X309" i="62" s="1"/>
  <c r="AB309" i="62" s="1"/>
  <c r="S310" i="62"/>
  <c r="S311" i="62"/>
  <c r="X311" i="62" s="1"/>
  <c r="AB311" i="62" s="1"/>
  <c r="S312" i="62"/>
  <c r="X312" i="62" s="1"/>
  <c r="AB312" i="62" s="1"/>
  <c r="S313" i="62"/>
  <c r="X313" i="62" s="1"/>
  <c r="AB313" i="62" s="1"/>
  <c r="S314" i="62"/>
  <c r="S315" i="62"/>
  <c r="V315" i="62" s="1"/>
  <c r="AD315" i="62" s="1"/>
  <c r="G316" i="62"/>
  <c r="H316" i="62"/>
  <c r="I316" i="62"/>
  <c r="J316" i="62"/>
  <c r="K316" i="62"/>
  <c r="L316" i="62"/>
  <c r="M316" i="62"/>
  <c r="N316" i="62"/>
  <c r="O316" i="62"/>
  <c r="P316" i="62"/>
  <c r="Q316" i="62"/>
  <c r="R316" i="62"/>
  <c r="F316" i="62"/>
  <c r="G232" i="62"/>
  <c r="H232" i="62"/>
  <c r="I232" i="62"/>
  <c r="J232" i="62"/>
  <c r="K232" i="62"/>
  <c r="L232" i="62"/>
  <c r="M232" i="62"/>
  <c r="N232" i="62"/>
  <c r="O232" i="62"/>
  <c r="P232" i="62"/>
  <c r="Q232" i="62"/>
  <c r="R232" i="62"/>
  <c r="F232" i="62"/>
  <c r="S231" i="62"/>
  <c r="AC231" i="62" s="1"/>
  <c r="S225" i="62"/>
  <c r="AC225" i="62" s="1"/>
  <c r="S226" i="62"/>
  <c r="S227" i="62"/>
  <c r="AD227" i="62" s="1"/>
  <c r="G228" i="62"/>
  <c r="H228" i="62"/>
  <c r="I228" i="62"/>
  <c r="J228" i="62"/>
  <c r="K228" i="62"/>
  <c r="L228" i="62"/>
  <c r="M228" i="62"/>
  <c r="N228" i="62"/>
  <c r="O228" i="62"/>
  <c r="P228" i="62"/>
  <c r="Q228" i="62"/>
  <c r="R228" i="62"/>
  <c r="F228" i="62"/>
  <c r="X470" i="62" l="1"/>
  <c r="V227" i="62"/>
  <c r="AD612" i="62"/>
  <c r="X469" i="62"/>
  <c r="V559" i="62"/>
  <c r="W231" i="62"/>
  <c r="AD437" i="62"/>
  <c r="V561" i="62"/>
  <c r="W435" i="62"/>
  <c r="X472" i="62"/>
  <c r="V560" i="62"/>
  <c r="X471" i="62"/>
  <c r="W225" i="62"/>
  <c r="D24" i="1" l="1"/>
  <c r="E24" i="1" s="1"/>
  <c r="D10" i="1"/>
  <c r="Z35" i="4"/>
  <c r="Z33" i="4"/>
  <c r="Z23" i="4"/>
  <c r="Z9" i="4"/>
  <c r="F10" i="1" s="1"/>
  <c r="AB9" i="4" s="1"/>
  <c r="O28" i="31"/>
  <c r="AC138" i="31"/>
  <c r="U73" i="31"/>
  <c r="AB85" i="31"/>
  <c r="AC72" i="31"/>
  <c r="AC71" i="31"/>
  <c r="AC77" i="31"/>
  <c r="C12" i="160"/>
  <c r="C16" i="160"/>
  <c r="C17" i="160" s="1"/>
  <c r="W21" i="4"/>
  <c r="Z108" i="31"/>
  <c r="W20" i="4" s="1"/>
  <c r="Z101" i="31"/>
  <c r="W19" i="4" s="1"/>
  <c r="Z85" i="31"/>
  <c r="Z73" i="31"/>
  <c r="Z52" i="31"/>
  <c r="Z38" i="31"/>
  <c r="W14" i="4" s="1"/>
  <c r="Z28" i="31"/>
  <c r="W10" i="4" s="1"/>
  <c r="Z18" i="31"/>
  <c r="W8" i="4" s="1"/>
  <c r="R16" i="4"/>
  <c r="R22" i="4"/>
  <c r="R24" i="4"/>
  <c r="C16" i="4"/>
  <c r="P16" i="4" s="1"/>
  <c r="C22" i="4"/>
  <c r="C24" i="4"/>
  <c r="C36" i="4"/>
  <c r="T136" i="31"/>
  <c r="T122" i="31"/>
  <c r="T124" i="31" s="1"/>
  <c r="O21" i="4" s="1"/>
  <c r="T108" i="31"/>
  <c r="T101" i="31"/>
  <c r="T85" i="31"/>
  <c r="T73" i="31"/>
  <c r="T52" i="31"/>
  <c r="T38" i="31"/>
  <c r="T28" i="31"/>
  <c r="T18" i="31"/>
  <c r="M136" i="31"/>
  <c r="M108" i="31"/>
  <c r="H20" i="4" s="1"/>
  <c r="M101" i="31"/>
  <c r="H19" i="4" s="1"/>
  <c r="M85" i="31"/>
  <c r="M73" i="31"/>
  <c r="M52" i="31"/>
  <c r="M38" i="31"/>
  <c r="H14" i="4" s="1"/>
  <c r="M28" i="31"/>
  <c r="H10" i="4" s="1"/>
  <c r="M18" i="31"/>
  <c r="H8" i="4" s="1"/>
  <c r="N136" i="31"/>
  <c r="N122" i="31"/>
  <c r="N124" i="31" s="1"/>
  <c r="I21" i="4" s="1"/>
  <c r="N108" i="31"/>
  <c r="I20" i="4" s="1"/>
  <c r="N85" i="31"/>
  <c r="N73" i="31"/>
  <c r="N52" i="31"/>
  <c r="N38" i="31"/>
  <c r="I14" i="4" s="1"/>
  <c r="N28" i="31"/>
  <c r="I10" i="4" s="1"/>
  <c r="N18" i="31"/>
  <c r="AC36" i="31"/>
  <c r="AC35" i="31"/>
  <c r="AB28" i="31"/>
  <c r="Y10" i="4" s="1"/>
  <c r="W28" i="31"/>
  <c r="T10" i="4" s="1"/>
  <c r="U28" i="31"/>
  <c r="R10" i="4" s="1"/>
  <c r="L28" i="31"/>
  <c r="G10" i="4" s="1"/>
  <c r="K28" i="31"/>
  <c r="F10" i="4" s="1"/>
  <c r="J28" i="31"/>
  <c r="E10" i="4" s="1"/>
  <c r="V28" i="31"/>
  <c r="S10" i="4" s="1"/>
  <c r="I28" i="31"/>
  <c r="D10" i="4" s="1"/>
  <c r="H28" i="31"/>
  <c r="C10" i="4" s="1"/>
  <c r="M122" i="31"/>
  <c r="M124" i="31" s="1"/>
  <c r="H21" i="4" s="1"/>
  <c r="M19" i="6"/>
  <c r="M20" i="6" s="1"/>
  <c r="M21" i="6" s="1"/>
  <c r="M22" i="6" s="1"/>
  <c r="M23" i="6" s="1"/>
  <c r="M24" i="6" s="1"/>
  <c r="M25" i="6" s="1"/>
  <c r="M26" i="6" s="1"/>
  <c r="M27" i="6" s="1"/>
  <c r="M28" i="6" s="1"/>
  <c r="M29" i="6" s="1"/>
  <c r="M30" i="6" s="1"/>
  <c r="M31" i="6" s="1"/>
  <c r="M32" i="6" s="1"/>
  <c r="M33" i="6" s="1"/>
  <c r="M34" i="6" s="1"/>
  <c r="M35" i="6" s="1"/>
  <c r="M36" i="6" s="1"/>
  <c r="M37" i="6" s="1"/>
  <c r="M38" i="6" s="1"/>
  <c r="M39" i="6" s="1"/>
  <c r="M40" i="6" s="1"/>
  <c r="M21" i="49"/>
  <c r="M22" i="49"/>
  <c r="M134" i="49"/>
  <c r="O136" i="31"/>
  <c r="O122" i="31"/>
  <c r="O124" i="31" s="1"/>
  <c r="J21" i="4" s="1"/>
  <c r="O108" i="31"/>
  <c r="J20" i="4" s="1"/>
  <c r="O101" i="31"/>
  <c r="J19" i="4" s="1"/>
  <c r="O85" i="31"/>
  <c r="O73" i="31"/>
  <c r="O52" i="31"/>
  <c r="O38" i="31"/>
  <c r="O18" i="31"/>
  <c r="J8" i="4" s="1"/>
  <c r="E11" i="3"/>
  <c r="C25" i="64"/>
  <c r="P10" i="6"/>
  <c r="H19" i="6"/>
  <c r="E31" i="97"/>
  <c r="E30" i="97"/>
  <c r="E26" i="97"/>
  <c r="E25" i="97"/>
  <c r="E24" i="97"/>
  <c r="E20" i="97"/>
  <c r="E19" i="97"/>
  <c r="E18" i="97"/>
  <c r="E14" i="97"/>
  <c r="E10" i="97"/>
  <c r="M186" i="49"/>
  <c r="M183" i="49"/>
  <c r="M182" i="49"/>
  <c r="M179" i="49"/>
  <c r="M172" i="49"/>
  <c r="M171" i="49"/>
  <c r="M167" i="49"/>
  <c r="M156" i="49"/>
  <c r="M150" i="49"/>
  <c r="M146" i="49"/>
  <c r="M144" i="49"/>
  <c r="M142" i="49"/>
  <c r="M131" i="49"/>
  <c r="M129" i="49"/>
  <c r="M128" i="49"/>
  <c r="M123" i="49"/>
  <c r="M121" i="49"/>
  <c r="M117" i="49"/>
  <c r="M115" i="49"/>
  <c r="M114" i="49"/>
  <c r="M106" i="49"/>
  <c r="M50" i="49"/>
  <c r="M42" i="49"/>
  <c r="M41" i="49"/>
  <c r="M39" i="49"/>
  <c r="M36" i="49"/>
  <c r="M35" i="49"/>
  <c r="M30" i="49"/>
  <c r="M25" i="49"/>
  <c r="M16" i="49"/>
  <c r="M43" i="6"/>
  <c r="M44" i="6" s="1"/>
  <c r="M45" i="6" s="1"/>
  <c r="M46" i="6" s="1"/>
  <c r="M47" i="6" s="1"/>
  <c r="M48" i="6" s="1"/>
  <c r="M49" i="6" s="1"/>
  <c r="M50" i="6" s="1"/>
  <c r="M51" i="6" s="1"/>
  <c r="M52" i="6" s="1"/>
  <c r="M53" i="6" s="1"/>
  <c r="M54" i="6" s="1"/>
  <c r="M55" i="6" s="1"/>
  <c r="M56" i="6" s="1"/>
  <c r="M57" i="6" s="1"/>
  <c r="M58" i="6" s="1"/>
  <c r="M59" i="6" s="1"/>
  <c r="M60" i="6" s="1"/>
  <c r="M61" i="6" s="1"/>
  <c r="M62" i="6" s="1"/>
  <c r="F33" i="76"/>
  <c r="AA228" i="169" s="1"/>
  <c r="F26" i="76"/>
  <c r="AA102" i="169" s="1"/>
  <c r="F19" i="76"/>
  <c r="AA72" i="169" s="1"/>
  <c r="F14" i="76"/>
  <c r="F9" i="76"/>
  <c r="A1" i="91"/>
  <c r="A1" i="88"/>
  <c r="A1" i="87"/>
  <c r="A1" i="86"/>
  <c r="A1" i="85"/>
  <c r="A1" i="83"/>
  <c r="A38" i="82"/>
  <c r="A39" i="82"/>
  <c r="A37" i="82"/>
  <c r="A36" i="82"/>
  <c r="A35" i="82"/>
  <c r="A34" i="82"/>
  <c r="A4" i="82"/>
  <c r="R175" i="81"/>
  <c r="Q175" i="81"/>
  <c r="A1" i="81"/>
  <c r="B4" i="79"/>
  <c r="A1" i="79"/>
  <c r="B207" i="78"/>
  <c r="J214" i="78"/>
  <c r="J167" i="78"/>
  <c r="B124" i="78"/>
  <c r="B125" i="78" s="1"/>
  <c r="B126" i="78" s="1"/>
  <c r="J126" i="78"/>
  <c r="J85" i="78"/>
  <c r="J42" i="78"/>
  <c r="E10" i="77"/>
  <c r="B36" i="76"/>
  <c r="B46" i="76"/>
  <c r="J206" i="78"/>
  <c r="I206" i="78"/>
  <c r="B30" i="76"/>
  <c r="J121" i="78"/>
  <c r="I121" i="78"/>
  <c r="B23" i="76"/>
  <c r="B16" i="76"/>
  <c r="B11" i="76"/>
  <c r="A11" i="76" s="1"/>
  <c r="B38" i="75"/>
  <c r="B31" i="75"/>
  <c r="B26" i="75"/>
  <c r="B21" i="75"/>
  <c r="B16" i="75"/>
  <c r="B11" i="75"/>
  <c r="I84" i="78"/>
  <c r="I83" i="78"/>
  <c r="E45" i="76"/>
  <c r="D12" i="38"/>
  <c r="D14" i="38" s="1"/>
  <c r="A11" i="38"/>
  <c r="A12" i="38" s="1"/>
  <c r="A13" i="38" s="1"/>
  <c r="A14" i="38" s="1"/>
  <c r="A15" i="38" s="1"/>
  <c r="A16" i="38" s="1"/>
  <c r="A17" i="38" s="1"/>
  <c r="A18" i="38" s="1"/>
  <c r="A19" i="38" s="1"/>
  <c r="A20" i="38" s="1"/>
  <c r="K213" i="49"/>
  <c r="K209" i="49"/>
  <c r="K208" i="49"/>
  <c r="K207" i="49"/>
  <c r="K206" i="49"/>
  <c r="K205" i="49"/>
  <c r="K204" i="49"/>
  <c r="K201" i="49"/>
  <c r="K196" i="49"/>
  <c r="H136" i="31"/>
  <c r="Y122" i="31"/>
  <c r="Y108" i="31"/>
  <c r="V20" i="4" s="1"/>
  <c r="Y101" i="31"/>
  <c r="V19" i="4" s="1"/>
  <c r="Y85" i="31"/>
  <c r="Y73" i="31"/>
  <c r="AC95" i="58"/>
  <c r="AC178" i="58" s="1"/>
  <c r="AE145" i="58"/>
  <c r="AE146" i="58"/>
  <c r="AE147" i="58"/>
  <c r="AE148" i="58"/>
  <c r="AE149" i="58"/>
  <c r="AE150" i="58"/>
  <c r="AD145" i="58"/>
  <c r="AD146" i="58"/>
  <c r="AD147" i="58"/>
  <c r="AD148" i="58"/>
  <c r="AD149" i="58"/>
  <c r="AD150" i="58"/>
  <c r="H60" i="6"/>
  <c r="P60" i="6" s="1"/>
  <c r="H62" i="6"/>
  <c r="I62" i="6" s="1"/>
  <c r="K62" i="6" s="1"/>
  <c r="H20" i="6"/>
  <c r="P20" i="6" s="1"/>
  <c r="H21" i="6"/>
  <c r="P21" i="6" s="1"/>
  <c r="H22" i="6"/>
  <c r="P22" i="6" s="1"/>
  <c r="H23" i="6"/>
  <c r="I23" i="6" s="1"/>
  <c r="P23" i="6"/>
  <c r="H24" i="6"/>
  <c r="H25" i="6"/>
  <c r="I25" i="6" s="1"/>
  <c r="H26" i="6"/>
  <c r="I26" i="6" s="1"/>
  <c r="H27" i="6"/>
  <c r="P27" i="6" s="1"/>
  <c r="H28" i="6"/>
  <c r="P28" i="6" s="1"/>
  <c r="H29" i="6"/>
  <c r="I29" i="6" s="1"/>
  <c r="H30" i="6"/>
  <c r="H31" i="6"/>
  <c r="P31" i="6" s="1"/>
  <c r="H33" i="6"/>
  <c r="I33" i="6" s="1"/>
  <c r="H34" i="6"/>
  <c r="I34" i="6" s="1"/>
  <c r="H35" i="6"/>
  <c r="H36" i="6"/>
  <c r="P36" i="6" s="1"/>
  <c r="H37" i="6"/>
  <c r="I37" i="6" s="1"/>
  <c r="H38" i="6"/>
  <c r="P38" i="6" s="1"/>
  <c r="H39" i="6"/>
  <c r="P39" i="6" s="1"/>
  <c r="I39" i="6"/>
  <c r="H40" i="6"/>
  <c r="P40" i="6" s="1"/>
  <c r="P34" i="6"/>
  <c r="I36" i="6"/>
  <c r="Q652" i="62"/>
  <c r="R652" i="62"/>
  <c r="G652" i="62"/>
  <c r="H652" i="62"/>
  <c r="I652" i="62"/>
  <c r="J652" i="62"/>
  <c r="K652" i="62"/>
  <c r="L652" i="62"/>
  <c r="M652" i="62"/>
  <c r="N652" i="62"/>
  <c r="O652" i="62"/>
  <c r="P652" i="62"/>
  <c r="F652" i="62"/>
  <c r="G625" i="62"/>
  <c r="H625" i="62"/>
  <c r="I625" i="62"/>
  <c r="J625" i="62"/>
  <c r="K625" i="62"/>
  <c r="L625" i="62"/>
  <c r="M625" i="62"/>
  <c r="N625" i="62"/>
  <c r="O625" i="62"/>
  <c r="P625" i="62"/>
  <c r="Q625" i="62"/>
  <c r="R625" i="62"/>
  <c r="G722" i="62"/>
  <c r="H722" i="62"/>
  <c r="I722" i="62"/>
  <c r="J722" i="62"/>
  <c r="K722" i="62"/>
  <c r="L722" i="62"/>
  <c r="M722" i="62"/>
  <c r="N722" i="62"/>
  <c r="O722" i="62"/>
  <c r="P722" i="62"/>
  <c r="Q722" i="62"/>
  <c r="R722" i="62"/>
  <c r="G735" i="62"/>
  <c r="H735" i="62"/>
  <c r="I735" i="62"/>
  <c r="J735" i="62"/>
  <c r="K735" i="62"/>
  <c r="L735" i="62"/>
  <c r="M735" i="62"/>
  <c r="N735" i="62"/>
  <c r="O735" i="62"/>
  <c r="P735" i="62"/>
  <c r="Q735" i="62"/>
  <c r="R735" i="62"/>
  <c r="F735" i="62"/>
  <c r="S724" i="62"/>
  <c r="W724" i="62" s="1"/>
  <c r="S720" i="62"/>
  <c r="AC720" i="62" s="1"/>
  <c r="S706" i="62"/>
  <c r="AC706" i="62" s="1"/>
  <c r="S707" i="62"/>
  <c r="W707" i="62" s="1"/>
  <c r="S699" i="62"/>
  <c r="W699" i="62" s="1"/>
  <c r="S700" i="62"/>
  <c r="W700" i="62" s="1"/>
  <c r="S687" i="62"/>
  <c r="S688" i="62"/>
  <c r="S648" i="62"/>
  <c r="X648" i="62" s="1"/>
  <c r="Z648" i="62" s="1"/>
  <c r="S650" i="62"/>
  <c r="X650" i="62" s="1"/>
  <c r="Y650" i="62" s="1"/>
  <c r="S651" i="62"/>
  <c r="X651" i="62" s="1"/>
  <c r="Y651" i="62" s="1"/>
  <c r="S591" i="62"/>
  <c r="X591" i="62" s="1"/>
  <c r="S618" i="62"/>
  <c r="S619" i="62"/>
  <c r="S620" i="62"/>
  <c r="S621" i="62"/>
  <c r="AB621" i="62" s="1"/>
  <c r="S622" i="62"/>
  <c r="S623" i="62"/>
  <c r="AD623" i="62" s="1"/>
  <c r="S624" i="62"/>
  <c r="F625" i="62"/>
  <c r="S592" i="62"/>
  <c r="X592" i="62" s="1"/>
  <c r="S577" i="62"/>
  <c r="X577" i="62" s="1"/>
  <c r="AB577" i="62" s="1"/>
  <c r="S578" i="62"/>
  <c r="X578" i="62" s="1"/>
  <c r="AB578" i="62" s="1"/>
  <c r="S547" i="62"/>
  <c r="V547" i="62" s="1"/>
  <c r="S548" i="62"/>
  <c r="V548" i="62" s="1"/>
  <c r="AD548" i="62" s="1"/>
  <c r="S531" i="62"/>
  <c r="V531" i="62" s="1"/>
  <c r="AD531" i="62" s="1"/>
  <c r="S532" i="62"/>
  <c r="V532" i="62" s="1"/>
  <c r="AD532" i="62" s="1"/>
  <c r="S533" i="62"/>
  <c r="V533" i="62" s="1"/>
  <c r="AD533" i="62" s="1"/>
  <c r="S522" i="62"/>
  <c r="V522" i="62" s="1"/>
  <c r="S523" i="62"/>
  <c r="V523" i="62" s="1"/>
  <c r="S524" i="62"/>
  <c r="W524" i="62" s="1"/>
  <c r="AC524" i="62" s="1"/>
  <c r="S525" i="62"/>
  <c r="AD525" i="62" s="1"/>
  <c r="S496" i="62"/>
  <c r="V496" i="62" s="1"/>
  <c r="S485" i="62"/>
  <c r="V485" i="62" s="1"/>
  <c r="S498" i="62"/>
  <c r="V498" i="62" s="1"/>
  <c r="S486" i="62"/>
  <c r="V486" i="62" s="1"/>
  <c r="AD486" i="62" s="1"/>
  <c r="AF486" i="62" s="1"/>
  <c r="S460" i="62"/>
  <c r="V460" i="62" s="1"/>
  <c r="S441" i="62"/>
  <c r="S442" i="62"/>
  <c r="V442" i="62" s="1"/>
  <c r="AD442" i="62" s="1"/>
  <c r="S443" i="62"/>
  <c r="S430" i="62"/>
  <c r="AC430" i="62" s="1"/>
  <c r="S431" i="62"/>
  <c r="W431" i="62" s="1"/>
  <c r="S432" i="62"/>
  <c r="AC432" i="62" s="1"/>
  <c r="S433" i="62"/>
  <c r="S434" i="62"/>
  <c r="W436" i="62"/>
  <c r="S207" i="62"/>
  <c r="S353" i="62"/>
  <c r="W353" i="62" s="1"/>
  <c r="AC353" i="62" s="1"/>
  <c r="S354" i="62"/>
  <c r="W354" i="62" s="1"/>
  <c r="AC354" i="62" s="1"/>
  <c r="S355" i="62"/>
  <c r="W355" i="62" s="1"/>
  <c r="S356" i="62"/>
  <c r="AC356" i="62" s="1"/>
  <c r="S357" i="62"/>
  <c r="W357" i="62" s="1"/>
  <c r="S327" i="62"/>
  <c r="G343" i="62"/>
  <c r="H343" i="62"/>
  <c r="I343" i="62"/>
  <c r="J343" i="62"/>
  <c r="K343" i="62"/>
  <c r="L343" i="62"/>
  <c r="M343" i="62"/>
  <c r="N343" i="62"/>
  <c r="O343" i="62"/>
  <c r="P343" i="62"/>
  <c r="Q343" i="62"/>
  <c r="R343" i="62"/>
  <c r="F343" i="62"/>
  <c r="S270" i="62"/>
  <c r="U270" i="62" s="1"/>
  <c r="S271" i="62"/>
  <c r="U271" i="62" s="1"/>
  <c r="AD271" i="62" s="1"/>
  <c r="AF271" i="62" s="1"/>
  <c r="S272" i="62"/>
  <c r="AD272" i="62" s="1"/>
  <c r="S246" i="62"/>
  <c r="X246" i="62" s="1"/>
  <c r="AB246" i="62" s="1"/>
  <c r="S247" i="62"/>
  <c r="X247" i="62" s="1"/>
  <c r="AB247" i="62" s="1"/>
  <c r="V302" i="62"/>
  <c r="S283" i="62"/>
  <c r="S284" i="62"/>
  <c r="S285" i="62"/>
  <c r="S286" i="62"/>
  <c r="U286" i="62" s="1"/>
  <c r="S287" i="62"/>
  <c r="S288" i="62"/>
  <c r="X288" i="62" s="1"/>
  <c r="AB288" i="62" s="1"/>
  <c r="S289" i="62"/>
  <c r="S290" i="62"/>
  <c r="S291" i="62"/>
  <c r="X291" i="62" s="1"/>
  <c r="AB291" i="62" s="1"/>
  <c r="S292" i="62"/>
  <c r="X292" i="62" s="1"/>
  <c r="AB292" i="62" s="1"/>
  <c r="S293" i="62"/>
  <c r="S294" i="62"/>
  <c r="S295" i="62"/>
  <c r="S296" i="62"/>
  <c r="S297" i="62"/>
  <c r="S298" i="62"/>
  <c r="S299" i="62"/>
  <c r="X300" i="62"/>
  <c r="X301" i="62"/>
  <c r="AD302" i="62"/>
  <c r="AB622" i="62"/>
  <c r="X622" i="62"/>
  <c r="W720" i="62"/>
  <c r="AC431" i="62"/>
  <c r="AB300" i="62"/>
  <c r="AC700" i="62"/>
  <c r="AC688" i="62"/>
  <c r="W688" i="62"/>
  <c r="S235" i="62"/>
  <c r="AD235" i="62" s="1"/>
  <c r="S236" i="62"/>
  <c r="S220" i="62"/>
  <c r="AC220" i="62" s="1"/>
  <c r="S221" i="62"/>
  <c r="AC221" i="62" s="1"/>
  <c r="S222" i="62"/>
  <c r="AC222" i="62" s="1"/>
  <c r="S223" i="62"/>
  <c r="S204" i="62"/>
  <c r="S205" i="62"/>
  <c r="S206" i="62"/>
  <c r="S197" i="62"/>
  <c r="X197" i="62" s="1"/>
  <c r="Z197" i="62" s="1"/>
  <c r="S198" i="62"/>
  <c r="X198" i="62" s="1"/>
  <c r="Z198" i="62" s="1"/>
  <c r="F170" i="62"/>
  <c r="G170" i="62"/>
  <c r="H170" i="62"/>
  <c r="I170" i="62"/>
  <c r="J170" i="62"/>
  <c r="K170" i="62"/>
  <c r="L170" i="62"/>
  <c r="M170" i="62"/>
  <c r="N170" i="62"/>
  <c r="O170" i="62"/>
  <c r="P170" i="62"/>
  <c r="Q170" i="62"/>
  <c r="R170" i="62"/>
  <c r="S166" i="62"/>
  <c r="U166" i="62" s="1"/>
  <c r="AD166" i="62" s="1"/>
  <c r="AF166" i="62" s="1"/>
  <c r="S167" i="62"/>
  <c r="U167" i="62" s="1"/>
  <c r="AD167" i="62" s="1"/>
  <c r="AF167" i="62" s="1"/>
  <c r="S168" i="62"/>
  <c r="U168" i="62" s="1"/>
  <c r="AD168" i="62" s="1"/>
  <c r="S169" i="62"/>
  <c r="U169" i="62" s="1"/>
  <c r="AD169" i="62" s="1"/>
  <c r="S126" i="62"/>
  <c r="U126" i="62" s="1"/>
  <c r="AD126" i="62" s="1"/>
  <c r="AF126" i="62" s="1"/>
  <c r="S127" i="62"/>
  <c r="U127" i="62" s="1"/>
  <c r="S128" i="62"/>
  <c r="U128" i="62" s="1"/>
  <c r="AD128" i="62" s="1"/>
  <c r="S129" i="62"/>
  <c r="U129" i="62" s="1"/>
  <c r="AD129" i="62" s="1"/>
  <c r="AF129" i="62" s="1"/>
  <c r="S130" i="62"/>
  <c r="U130" i="62" s="1"/>
  <c r="AD130" i="62" s="1"/>
  <c r="AF130" i="62" s="1"/>
  <c r="S131" i="62"/>
  <c r="U131" i="62" s="1"/>
  <c r="AD131" i="62" s="1"/>
  <c r="AF131" i="62" s="1"/>
  <c r="S132" i="62"/>
  <c r="U132" i="62" s="1"/>
  <c r="AD132" i="62" s="1"/>
  <c r="AF132" i="62" s="1"/>
  <c r="S133" i="62"/>
  <c r="S134" i="62"/>
  <c r="U134" i="62" s="1"/>
  <c r="AD134" i="62" s="1"/>
  <c r="AF134" i="62" s="1"/>
  <c r="S135" i="62"/>
  <c r="U135" i="62" s="1"/>
  <c r="AD135" i="62" s="1"/>
  <c r="S136" i="62"/>
  <c r="U136" i="62" s="1"/>
  <c r="AD136" i="62" s="1"/>
  <c r="AF136" i="62" s="1"/>
  <c r="S137" i="62"/>
  <c r="U137" i="62" s="1"/>
  <c r="S138" i="62"/>
  <c r="U138" i="62" s="1"/>
  <c r="AD138" i="62" s="1"/>
  <c r="AF138" i="62" s="1"/>
  <c r="S139" i="62"/>
  <c r="U139" i="62" s="1"/>
  <c r="AD139" i="62" s="1"/>
  <c r="AF139" i="62" s="1"/>
  <c r="S140" i="62"/>
  <c r="U140" i="62" s="1"/>
  <c r="AD140" i="62" s="1"/>
  <c r="S141" i="62"/>
  <c r="U141" i="62" s="1"/>
  <c r="S142" i="62"/>
  <c r="U142" i="62" s="1"/>
  <c r="AD142" i="62" s="1"/>
  <c r="S143" i="62"/>
  <c r="U143" i="62" s="1"/>
  <c r="AD143" i="62" s="1"/>
  <c r="AF143" i="62" s="1"/>
  <c r="F82" i="62"/>
  <c r="G82" i="62"/>
  <c r="H82" i="62"/>
  <c r="I82" i="62"/>
  <c r="J82" i="62"/>
  <c r="K82" i="62"/>
  <c r="L82" i="62"/>
  <c r="M82" i="62"/>
  <c r="N82" i="62"/>
  <c r="O82" i="62"/>
  <c r="P82" i="62"/>
  <c r="Q82" i="62"/>
  <c r="R82" i="62"/>
  <c r="S80" i="62"/>
  <c r="U80" i="62" s="1"/>
  <c r="AD80" i="62" s="1"/>
  <c r="S81" i="62"/>
  <c r="U81" i="62" s="1"/>
  <c r="AD81" i="62" s="1"/>
  <c r="S77" i="62"/>
  <c r="U77" i="62" s="1"/>
  <c r="AD77" i="62" s="1"/>
  <c r="S78" i="62"/>
  <c r="U78" i="62" s="1"/>
  <c r="AD78" i="62" s="1"/>
  <c r="S79" i="62"/>
  <c r="U79" i="62" s="1"/>
  <c r="AD79" i="62" s="1"/>
  <c r="S63" i="62"/>
  <c r="S50" i="62"/>
  <c r="U50" i="62" s="1"/>
  <c r="AD50" i="62" s="1"/>
  <c r="AF50" i="62" s="1"/>
  <c r="S51" i="62"/>
  <c r="U51" i="62" s="1"/>
  <c r="AD51" i="62" s="1"/>
  <c r="AF51" i="62" s="1"/>
  <c r="S52" i="62"/>
  <c r="U52" i="62" s="1"/>
  <c r="AD52" i="62" s="1"/>
  <c r="S53" i="62"/>
  <c r="S54" i="62"/>
  <c r="U54" i="62" s="1"/>
  <c r="S55" i="62"/>
  <c r="S56" i="62"/>
  <c r="U56" i="62" s="1"/>
  <c r="AD56" i="62" s="1"/>
  <c r="AF56" i="62" s="1"/>
  <c r="S57" i="62"/>
  <c r="U57" i="62" s="1"/>
  <c r="AD57" i="62" s="1"/>
  <c r="S58" i="62"/>
  <c r="U58" i="62" s="1"/>
  <c r="S59" i="62"/>
  <c r="U59" i="62" s="1"/>
  <c r="AD59" i="62" s="1"/>
  <c r="AF59" i="62" s="1"/>
  <c r="F60" i="62"/>
  <c r="G60" i="62"/>
  <c r="H60" i="62"/>
  <c r="I60" i="62"/>
  <c r="J60" i="62"/>
  <c r="K60" i="62"/>
  <c r="L60" i="62"/>
  <c r="M60" i="62"/>
  <c r="N60" i="62"/>
  <c r="O60" i="62"/>
  <c r="P60" i="62"/>
  <c r="Q60" i="62"/>
  <c r="R60" i="62"/>
  <c r="S46" i="62"/>
  <c r="S43" i="62"/>
  <c r="S44" i="62"/>
  <c r="S45" i="62"/>
  <c r="S42" i="62"/>
  <c r="AB42" i="62" s="1"/>
  <c r="S24" i="62"/>
  <c r="S25" i="62"/>
  <c r="S26" i="62"/>
  <c r="S27" i="62"/>
  <c r="S28" i="62"/>
  <c r="S17" i="62"/>
  <c r="S18" i="62"/>
  <c r="X18" i="62" s="1"/>
  <c r="AY38" i="59"/>
  <c r="AY39" i="59"/>
  <c r="AY40" i="59"/>
  <c r="AY41" i="59"/>
  <c r="AY42" i="59"/>
  <c r="AY43" i="59"/>
  <c r="AX38" i="59"/>
  <c r="AX39" i="59"/>
  <c r="AX40" i="59"/>
  <c r="AX41" i="59"/>
  <c r="AX42" i="59"/>
  <c r="AX43" i="59"/>
  <c r="AT44" i="59"/>
  <c r="AW32" i="59"/>
  <c r="AQ44" i="59"/>
  <c r="AW38" i="59"/>
  <c r="AW35" i="59"/>
  <c r="AH44" i="59"/>
  <c r="AW43" i="59"/>
  <c r="AW39" i="59"/>
  <c r="AW40" i="59"/>
  <c r="P44" i="59"/>
  <c r="AW31" i="59"/>
  <c r="N44" i="59"/>
  <c r="O44" i="59"/>
  <c r="Q44" i="59"/>
  <c r="R44" i="59"/>
  <c r="T44" i="59"/>
  <c r="U44" i="59"/>
  <c r="W44" i="59"/>
  <c r="X44" i="59"/>
  <c r="Z44" i="59"/>
  <c r="AA44" i="59"/>
  <c r="AC44" i="59"/>
  <c r="AD44" i="59"/>
  <c r="AF44" i="59"/>
  <c r="AG44" i="59"/>
  <c r="AI44" i="59"/>
  <c r="AJ44" i="59"/>
  <c r="AL44" i="59"/>
  <c r="AM44" i="59"/>
  <c r="AO44" i="59"/>
  <c r="AP44" i="59"/>
  <c r="AR44" i="59"/>
  <c r="AS44" i="59"/>
  <c r="AV44" i="59"/>
  <c r="K44" i="59"/>
  <c r="L44" i="59"/>
  <c r="AB44" i="59"/>
  <c r="AC99" i="31"/>
  <c r="S16" i="62"/>
  <c r="X16" i="62" s="1"/>
  <c r="S19" i="62"/>
  <c r="S20" i="62"/>
  <c r="S23" i="62"/>
  <c r="S31" i="62"/>
  <c r="S32" i="62"/>
  <c r="S33" i="62" s="1"/>
  <c r="S39" i="62"/>
  <c r="S49" i="62"/>
  <c r="U49" i="62" s="1"/>
  <c r="S62" i="62"/>
  <c r="S64" i="62" s="1"/>
  <c r="S66" i="62"/>
  <c r="U66" i="62" s="1"/>
  <c r="S67" i="62"/>
  <c r="U67" i="62" s="1"/>
  <c r="AD67" i="62" s="1"/>
  <c r="AF67" i="62" s="1"/>
  <c r="S68" i="62"/>
  <c r="U68" i="62" s="1"/>
  <c r="AD68" i="62" s="1"/>
  <c r="AF68" i="62" s="1"/>
  <c r="S69" i="62"/>
  <c r="U69" i="62" s="1"/>
  <c r="AD69" i="62" s="1"/>
  <c r="AF69" i="62" s="1"/>
  <c r="S70" i="62"/>
  <c r="U70" i="62" s="1"/>
  <c r="AD70" i="62" s="1"/>
  <c r="AF70" i="62" s="1"/>
  <c r="S71" i="62"/>
  <c r="U71" i="62" s="1"/>
  <c r="S72" i="62"/>
  <c r="U72" i="62" s="1"/>
  <c r="AD72" i="62" s="1"/>
  <c r="AF72" i="62" s="1"/>
  <c r="S73" i="62"/>
  <c r="U73" i="62" s="1"/>
  <c r="S74" i="62"/>
  <c r="U74" i="62" s="1"/>
  <c r="S75" i="62"/>
  <c r="U75" i="62" s="1"/>
  <c r="AD75" i="62" s="1"/>
  <c r="AF75" i="62" s="1"/>
  <c r="S76" i="62"/>
  <c r="U76" i="62" s="1"/>
  <c r="AD76" i="62" s="1"/>
  <c r="AF76" i="62" s="1"/>
  <c r="S84" i="62"/>
  <c r="S85" i="62"/>
  <c r="S87" i="62"/>
  <c r="X87" i="62" s="1"/>
  <c r="S88" i="62"/>
  <c r="X88" i="62" s="1"/>
  <c r="S89" i="62"/>
  <c r="X89" i="62" s="1"/>
  <c r="S90" i="62"/>
  <c r="AB90" i="62" s="1"/>
  <c r="S91" i="62"/>
  <c r="X91" i="62" s="1"/>
  <c r="S92" i="62"/>
  <c r="AB92" i="62" s="1"/>
  <c r="S93" i="62"/>
  <c r="X93" i="62" s="1"/>
  <c r="S94" i="62"/>
  <c r="AB94" i="62" s="1"/>
  <c r="S95" i="62"/>
  <c r="X95" i="62" s="1"/>
  <c r="S98" i="62"/>
  <c r="S101" i="62"/>
  <c r="S102" i="62"/>
  <c r="S103" i="62"/>
  <c r="U103" i="62" s="1"/>
  <c r="AD103" i="62" s="1"/>
  <c r="S104" i="62"/>
  <c r="U104" i="62" s="1"/>
  <c r="AD104" i="62" s="1"/>
  <c r="AF104" i="62" s="1"/>
  <c r="S105" i="62"/>
  <c r="U105" i="62" s="1"/>
  <c r="AD105" i="62" s="1"/>
  <c r="S106" i="62"/>
  <c r="U106" i="62" s="1"/>
  <c r="AD106" i="62" s="1"/>
  <c r="AF106" i="62" s="1"/>
  <c r="S107" i="62"/>
  <c r="U107" i="62" s="1"/>
  <c r="AD107" i="62" s="1"/>
  <c r="AF107" i="62" s="1"/>
  <c r="S108" i="62"/>
  <c r="U108" i="62" s="1"/>
  <c r="AD108" i="62" s="1"/>
  <c r="AF108" i="62" s="1"/>
  <c r="S109" i="62"/>
  <c r="U109" i="62" s="1"/>
  <c r="S110" i="62"/>
  <c r="U110" i="62" s="1"/>
  <c r="AD110" i="62" s="1"/>
  <c r="S111" i="62"/>
  <c r="U111" i="62" s="1"/>
  <c r="S112" i="62"/>
  <c r="S113" i="62"/>
  <c r="U113" i="62" s="1"/>
  <c r="AD113" i="62" s="1"/>
  <c r="AF113" i="62" s="1"/>
  <c r="S114" i="62"/>
  <c r="U114" i="62" s="1"/>
  <c r="AD114" i="62" s="1"/>
  <c r="AF114" i="62" s="1"/>
  <c r="S115" i="62"/>
  <c r="U115" i="62" s="1"/>
  <c r="S116" i="62"/>
  <c r="S117" i="62"/>
  <c r="U117" i="62" s="1"/>
  <c r="S118" i="62"/>
  <c r="U118" i="62" s="1"/>
  <c r="S119" i="62"/>
  <c r="S120" i="62"/>
  <c r="S125" i="62"/>
  <c r="S144" i="62"/>
  <c r="U144" i="62" s="1"/>
  <c r="AD144" i="62" s="1"/>
  <c r="S145" i="62"/>
  <c r="U145" i="62" s="1"/>
  <c r="S146" i="62"/>
  <c r="U146" i="62" s="1"/>
  <c r="S147" i="62"/>
  <c r="U147" i="62" s="1"/>
  <c r="AD147" i="62" s="1"/>
  <c r="AF147" i="62" s="1"/>
  <c r="S148" i="62"/>
  <c r="U148" i="62" s="1"/>
  <c r="AD148" i="62" s="1"/>
  <c r="S149" i="62"/>
  <c r="U149" i="62" s="1"/>
  <c r="AD149" i="62" s="1"/>
  <c r="AF149" i="62" s="1"/>
  <c r="S152" i="62"/>
  <c r="U152" i="62" s="1"/>
  <c r="S153" i="62"/>
  <c r="U153" i="62" s="1"/>
  <c r="AD153" i="62" s="1"/>
  <c r="S154" i="62"/>
  <c r="U154" i="62" s="1"/>
  <c r="AD154" i="62" s="1"/>
  <c r="AF154" i="62" s="1"/>
  <c r="S155" i="62"/>
  <c r="U155" i="62" s="1"/>
  <c r="AD155" i="62" s="1"/>
  <c r="AF155" i="62" s="1"/>
  <c r="S156" i="62"/>
  <c r="U156" i="62" s="1"/>
  <c r="AD156" i="62" s="1"/>
  <c r="S157" i="62"/>
  <c r="U157" i="62" s="1"/>
  <c r="AD157" i="62" s="1"/>
  <c r="AF157" i="62" s="1"/>
  <c r="S158" i="62"/>
  <c r="S159" i="62"/>
  <c r="U159" i="62" s="1"/>
  <c r="S160" i="62"/>
  <c r="U160" i="62" s="1"/>
  <c r="AD160" i="62" s="1"/>
  <c r="AF160" i="62" s="1"/>
  <c r="S161" i="62"/>
  <c r="U161" i="62" s="1"/>
  <c r="AD161" i="62" s="1"/>
  <c r="S162" i="62"/>
  <c r="U162" i="62" s="1"/>
  <c r="AD162" i="62" s="1"/>
  <c r="AF162" i="62" s="1"/>
  <c r="S163" i="62"/>
  <c r="U163" i="62" s="1"/>
  <c r="AD163" i="62" s="1"/>
  <c r="S164" i="62"/>
  <c r="U164" i="62" s="1"/>
  <c r="AD164" i="62" s="1"/>
  <c r="S165" i="62"/>
  <c r="U165" i="62" s="1"/>
  <c r="S172" i="62"/>
  <c r="S173" i="62"/>
  <c r="U173" i="62" s="1"/>
  <c r="AD173" i="62" s="1"/>
  <c r="S174" i="62"/>
  <c r="U174" i="62" s="1"/>
  <c r="S175" i="62"/>
  <c r="U175" i="62" s="1"/>
  <c r="AD175" i="62" s="1"/>
  <c r="AF175" i="62" s="1"/>
  <c r="S176" i="62"/>
  <c r="U176" i="62" s="1"/>
  <c r="AD176" i="62" s="1"/>
  <c r="S177" i="62"/>
  <c r="U177" i="62" s="1"/>
  <c r="AD177" i="62" s="1"/>
  <c r="AF177" i="62" s="1"/>
  <c r="S178" i="62"/>
  <c r="U178" i="62" s="1"/>
  <c r="AD178" i="62" s="1"/>
  <c r="AF178" i="62" s="1"/>
  <c r="S179" i="62"/>
  <c r="U179" i="62" s="1"/>
  <c r="AD179" i="62" s="1"/>
  <c r="AF179" i="62" s="1"/>
  <c r="S180" i="62"/>
  <c r="U180" i="62" s="1"/>
  <c r="S181" i="62"/>
  <c r="S184" i="62"/>
  <c r="AB184" i="62" s="1"/>
  <c r="S185" i="62"/>
  <c r="X185" i="62" s="1"/>
  <c r="S186" i="62"/>
  <c r="S187" i="62"/>
  <c r="AB187" i="62" s="1"/>
  <c r="S188" i="62"/>
  <c r="U188" i="62" s="1"/>
  <c r="S189" i="62"/>
  <c r="U189" i="62" s="1"/>
  <c r="AD189" i="62" s="1"/>
  <c r="S190" i="62"/>
  <c r="S191" i="62"/>
  <c r="X191" i="62" s="1"/>
  <c r="S192" i="62"/>
  <c r="X192" i="62" s="1"/>
  <c r="Z192" i="62" s="1"/>
  <c r="S193" i="62"/>
  <c r="X193" i="62" s="1"/>
  <c r="Z193" i="62" s="1"/>
  <c r="S194" i="62"/>
  <c r="AB194" i="62" s="1"/>
  <c r="S195" i="62"/>
  <c r="U195" i="62" s="1"/>
  <c r="AD195" i="62" s="1"/>
  <c r="AF195" i="62" s="1"/>
  <c r="S196" i="62"/>
  <c r="U196" i="62" s="1"/>
  <c r="S199" i="62"/>
  <c r="X199" i="62" s="1"/>
  <c r="Y199" i="62" s="1"/>
  <c r="S200" i="62"/>
  <c r="X200" i="62" s="1"/>
  <c r="Y200" i="62" s="1"/>
  <c r="S202" i="62"/>
  <c r="X202" i="62" s="1"/>
  <c r="S203" i="62"/>
  <c r="X203" i="62" s="1"/>
  <c r="S208" i="62"/>
  <c r="S209" i="62"/>
  <c r="AC209" i="62" s="1"/>
  <c r="S210" i="62"/>
  <c r="W210" i="62" s="1"/>
  <c r="S211" i="62"/>
  <c r="W211" i="62" s="1"/>
  <c r="S212" i="62"/>
  <c r="AC212" i="62" s="1"/>
  <c r="S213" i="62"/>
  <c r="AC213" i="62" s="1"/>
  <c r="S214" i="62"/>
  <c r="AC214" i="62" s="1"/>
  <c r="S215" i="62"/>
  <c r="AC215" i="62" s="1"/>
  <c r="S216" i="62"/>
  <c r="W216" i="62" s="1"/>
  <c r="S217" i="62"/>
  <c r="AC217" i="62" s="1"/>
  <c r="S218" i="62"/>
  <c r="W218" i="62" s="1"/>
  <c r="S219" i="62"/>
  <c r="AC219" i="62" s="1"/>
  <c r="S224" i="62"/>
  <c r="S230" i="62"/>
  <c r="S232" i="62" s="1"/>
  <c r="S234" i="62"/>
  <c r="S237" i="62"/>
  <c r="U237" i="62" s="1"/>
  <c r="S238" i="62"/>
  <c r="U238" i="62" s="1"/>
  <c r="AD238" i="62" s="1"/>
  <c r="AF238" i="62" s="1"/>
  <c r="S239" i="62"/>
  <c r="U239" i="62" s="1"/>
  <c r="AD239" i="62" s="1"/>
  <c r="AF239" i="62" s="1"/>
  <c r="S240" i="62"/>
  <c r="U240" i="62" s="1"/>
  <c r="AD240" i="62" s="1"/>
  <c r="S241" i="62"/>
  <c r="S242" i="62"/>
  <c r="S243" i="62"/>
  <c r="AB243" i="62" s="1"/>
  <c r="S244" i="62"/>
  <c r="X244" i="62" s="1"/>
  <c r="AB244" i="62" s="1"/>
  <c r="S245" i="62"/>
  <c r="X245" i="62" s="1"/>
  <c r="AB245" i="62" s="1"/>
  <c r="S248" i="62"/>
  <c r="X248" i="62" s="1"/>
  <c r="AB248" i="62" s="1"/>
  <c r="S249" i="62"/>
  <c r="U249" i="62" s="1"/>
  <c r="AD249" i="62" s="1"/>
  <c r="AF249" i="62" s="1"/>
  <c r="S250" i="62"/>
  <c r="U250" i="62" s="1"/>
  <c r="AD250" i="62" s="1"/>
  <c r="S251" i="62"/>
  <c r="U251" i="62" s="1"/>
  <c r="AD251" i="62" s="1"/>
  <c r="S252" i="62"/>
  <c r="U252" i="62" s="1"/>
  <c r="AD252" i="62" s="1"/>
  <c r="AF252" i="62" s="1"/>
  <c r="S253" i="62"/>
  <c r="U253" i="62" s="1"/>
  <c r="AD253" i="62" s="1"/>
  <c r="AF253" i="62" s="1"/>
  <c r="S254" i="62"/>
  <c r="U254" i="62" s="1"/>
  <c r="S255" i="62"/>
  <c r="U255" i="62" s="1"/>
  <c r="S256" i="62"/>
  <c r="U256" i="62" s="1"/>
  <c r="S257" i="62"/>
  <c r="U257" i="62" s="1"/>
  <c r="AD257" i="62" s="1"/>
  <c r="AF257" i="62" s="1"/>
  <c r="S258" i="62"/>
  <c r="U258" i="62" s="1"/>
  <c r="S259" i="62"/>
  <c r="U259" i="62" s="1"/>
  <c r="AD259" i="62" s="1"/>
  <c r="AF259" i="62" s="1"/>
  <c r="S260" i="62"/>
  <c r="U260" i="62" s="1"/>
  <c r="AD260" i="62" s="1"/>
  <c r="AF260" i="62" s="1"/>
  <c r="S261" i="62"/>
  <c r="U261" i="62" s="1"/>
  <c r="AD261" i="62" s="1"/>
  <c r="S262" i="62"/>
  <c r="U262" i="62" s="1"/>
  <c r="S263" i="62"/>
  <c r="U263" i="62" s="1"/>
  <c r="AD263" i="62" s="1"/>
  <c r="AF263" i="62" s="1"/>
  <c r="S264" i="62"/>
  <c r="U264" i="62" s="1"/>
  <c r="S265" i="62"/>
  <c r="U265" i="62" s="1"/>
  <c r="AD265" i="62" s="1"/>
  <c r="AF265" i="62" s="1"/>
  <c r="S266" i="62"/>
  <c r="U266" i="62" s="1"/>
  <c r="S267" i="62"/>
  <c r="U267" i="62" s="1"/>
  <c r="AD267" i="62" s="1"/>
  <c r="AF267" i="62" s="1"/>
  <c r="S268" i="62"/>
  <c r="U268" i="62" s="1"/>
  <c r="AD268" i="62" s="1"/>
  <c r="AF268" i="62" s="1"/>
  <c r="S269" i="62"/>
  <c r="U269" i="62" s="1"/>
  <c r="S273" i="62"/>
  <c r="AB273" i="62" s="1"/>
  <c r="S274" i="62"/>
  <c r="X274" i="62" s="1"/>
  <c r="S275" i="62"/>
  <c r="S276" i="62"/>
  <c r="AB276" i="62" s="1"/>
  <c r="S277" i="62"/>
  <c r="AD277" i="62" s="1"/>
  <c r="S278" i="62"/>
  <c r="AD278" i="62" s="1"/>
  <c r="S279" i="62"/>
  <c r="S280" i="62"/>
  <c r="AD280" i="62" s="1"/>
  <c r="S281" i="62"/>
  <c r="AD281" i="62" s="1"/>
  <c r="S282" i="62"/>
  <c r="X282" i="62" s="1"/>
  <c r="AB282" i="62" s="1"/>
  <c r="S318" i="62"/>
  <c r="AC318" i="62" s="1"/>
  <c r="S319" i="62"/>
  <c r="S320" i="62"/>
  <c r="S321" i="62"/>
  <c r="S324" i="62"/>
  <c r="W324" i="62" s="1"/>
  <c r="S325" i="62"/>
  <c r="S328" i="62"/>
  <c r="AC328" i="62" s="1"/>
  <c r="S329" i="62"/>
  <c r="W329" i="62" s="1"/>
  <c r="S330" i="62"/>
  <c r="S331" i="62"/>
  <c r="W331" i="62" s="1"/>
  <c r="S332" i="62"/>
  <c r="W332" i="62" s="1"/>
  <c r="S333" i="62"/>
  <c r="W333" i="62" s="1"/>
  <c r="S334" i="62"/>
  <c r="W334" i="62" s="1"/>
  <c r="S335" i="62"/>
  <c r="AC335" i="62" s="1"/>
  <c r="S336" i="62"/>
  <c r="AC336" i="62" s="1"/>
  <c r="S337" i="62"/>
  <c r="S338" i="62"/>
  <c r="S339" i="62"/>
  <c r="W339" i="62" s="1"/>
  <c r="S340" i="62"/>
  <c r="W340" i="62" s="1"/>
  <c r="S341" i="62"/>
  <c r="AC341" i="62" s="1"/>
  <c r="S342" i="62"/>
  <c r="W342" i="62" s="1"/>
  <c r="S345" i="62"/>
  <c r="S346" i="62"/>
  <c r="AC346" i="62" s="1"/>
  <c r="S347" i="62"/>
  <c r="S350" i="62"/>
  <c r="S351" i="62"/>
  <c r="W351" i="62" s="1"/>
  <c r="S352" i="62"/>
  <c r="AC352" i="62" s="1"/>
  <c r="S358" i="62"/>
  <c r="AC358" i="62" s="1"/>
  <c r="S359" i="62"/>
  <c r="W359" i="62" s="1"/>
  <c r="S360" i="62"/>
  <c r="W360" i="62" s="1"/>
  <c r="S361" i="62"/>
  <c r="W361" i="62" s="1"/>
  <c r="S362" i="62"/>
  <c r="AC362" i="62" s="1"/>
  <c r="S363" i="62"/>
  <c r="S364" i="62"/>
  <c r="AC364" i="62" s="1"/>
  <c r="S365" i="62"/>
  <c r="S368" i="62"/>
  <c r="AC368" i="62" s="1"/>
  <c r="S369" i="62"/>
  <c r="AC369" i="62" s="1"/>
  <c r="S370" i="62"/>
  <c r="W370" i="62" s="1"/>
  <c r="S371" i="62"/>
  <c r="S372" i="62"/>
  <c r="W372" i="62" s="1"/>
  <c r="S373" i="62"/>
  <c r="S374" i="62"/>
  <c r="AC374" i="62" s="1"/>
  <c r="S375" i="62"/>
  <c r="AC375" i="62" s="1"/>
  <c r="S376" i="62"/>
  <c r="AC376" i="62" s="1"/>
  <c r="S377" i="62"/>
  <c r="AC377" i="62" s="1"/>
  <c r="S378" i="62"/>
  <c r="W378" i="62" s="1"/>
  <c r="S379" i="62"/>
  <c r="W379" i="62" s="1"/>
  <c r="S380" i="62"/>
  <c r="AC380" i="62" s="1"/>
  <c r="S381" i="62"/>
  <c r="S382" i="62"/>
  <c r="AC382" i="62" s="1"/>
  <c r="S383" i="62"/>
  <c r="AC383" i="62" s="1"/>
  <c r="S384" i="62"/>
  <c r="W384" i="62" s="1"/>
  <c r="S385" i="62"/>
  <c r="AC385" i="62" s="1"/>
  <c r="S386" i="62"/>
  <c r="W386" i="62" s="1"/>
  <c r="S387" i="62"/>
  <c r="AC387" i="62" s="1"/>
  <c r="S388" i="62"/>
  <c r="W388" i="62" s="1"/>
  <c r="S392" i="62"/>
  <c r="S393" i="62"/>
  <c r="AC393" i="62" s="1"/>
  <c r="S394" i="62"/>
  <c r="AC394" i="62" s="1"/>
  <c r="S395" i="62"/>
  <c r="AC395" i="62" s="1"/>
  <c r="S396" i="62"/>
  <c r="AC396" i="62" s="1"/>
  <c r="S397" i="62"/>
  <c r="AC397" i="62" s="1"/>
  <c r="S398" i="62"/>
  <c r="AC398" i="62" s="1"/>
  <c r="S399" i="62"/>
  <c r="AC399" i="62" s="1"/>
  <c r="S400" i="62"/>
  <c r="S401" i="62"/>
  <c r="AC401" i="62" s="1"/>
  <c r="S404" i="62"/>
  <c r="S405" i="62" s="1"/>
  <c r="S410" i="62"/>
  <c r="S411" i="62"/>
  <c r="W411" i="62" s="1"/>
  <c r="AC411" i="62" s="1"/>
  <c r="S412" i="62"/>
  <c r="W412" i="62" s="1"/>
  <c r="S413" i="62"/>
  <c r="AC413" i="62" s="1"/>
  <c r="S414" i="62"/>
  <c r="S415" i="62"/>
  <c r="W415" i="62" s="1"/>
  <c r="S416" i="62"/>
  <c r="AC416" i="62" s="1"/>
  <c r="S419" i="62"/>
  <c r="S420" i="62"/>
  <c r="W420" i="62" s="1"/>
  <c r="S421" i="62"/>
  <c r="AC421" i="62" s="1"/>
  <c r="S422" i="62"/>
  <c r="W422" i="62" s="1"/>
  <c r="S423" i="62"/>
  <c r="AC423" i="62" s="1"/>
  <c r="S424" i="62"/>
  <c r="W424" i="62" s="1"/>
  <c r="S425" i="62"/>
  <c r="AC425" i="62" s="1"/>
  <c r="S426" i="62"/>
  <c r="S427" i="62"/>
  <c r="W427" i="62" s="1"/>
  <c r="S428" i="62"/>
  <c r="AC428" i="62" s="1"/>
  <c r="S429" i="62"/>
  <c r="AC429" i="62" s="1"/>
  <c r="AC438" i="62"/>
  <c r="S445" i="62"/>
  <c r="W445" i="62" s="1"/>
  <c r="S446" i="62"/>
  <c r="S448" i="62"/>
  <c r="V448" i="62" s="1"/>
  <c r="S449" i="62"/>
  <c r="V449" i="62" s="1"/>
  <c r="AD449" i="62" s="1"/>
  <c r="S450" i="62"/>
  <c r="V450" i="62" s="1"/>
  <c r="AD450" i="62" s="1"/>
  <c r="AF450" i="62" s="1"/>
  <c r="S451" i="62"/>
  <c r="V451" i="62" s="1"/>
  <c r="AD451" i="62" s="1"/>
  <c r="AF451" i="62" s="1"/>
  <c r="S452" i="62"/>
  <c r="V452" i="62" s="1"/>
  <c r="AD452" i="62" s="1"/>
  <c r="S453" i="62"/>
  <c r="V453" i="62" s="1"/>
  <c r="AD453" i="62" s="1"/>
  <c r="AF453" i="62" s="1"/>
  <c r="S454" i="62"/>
  <c r="V454" i="62" s="1"/>
  <c r="S455" i="62"/>
  <c r="V455" i="62" s="1"/>
  <c r="S456" i="62"/>
  <c r="V456" i="62" s="1"/>
  <c r="S457" i="62"/>
  <c r="V457" i="62" s="1"/>
  <c r="AD457" i="62" s="1"/>
  <c r="AF457" i="62" s="1"/>
  <c r="S458" i="62"/>
  <c r="V458" i="62" s="1"/>
  <c r="AD458" i="62" s="1"/>
  <c r="AF458" i="62" s="1"/>
  <c r="S459" i="62"/>
  <c r="V459" i="62" s="1"/>
  <c r="S461" i="62"/>
  <c r="V461" i="62" s="1"/>
  <c r="AD461" i="62" s="1"/>
  <c r="S463" i="62"/>
  <c r="S464" i="62"/>
  <c r="AB464" i="62" s="1"/>
  <c r="S465" i="62"/>
  <c r="AB465" i="62" s="1"/>
  <c r="S466" i="62"/>
  <c r="X466" i="62" s="1"/>
  <c r="S467" i="62"/>
  <c r="AB467" i="62" s="1"/>
  <c r="S475" i="62"/>
  <c r="V475" i="62" s="1"/>
  <c r="AD475" i="62" s="1"/>
  <c r="S476" i="62"/>
  <c r="V476" i="62" s="1"/>
  <c r="AD476" i="62" s="1"/>
  <c r="AF476" i="62" s="1"/>
  <c r="S478" i="62"/>
  <c r="V478" i="62" s="1"/>
  <c r="S479" i="62"/>
  <c r="V479" i="62" s="1"/>
  <c r="S487" i="62"/>
  <c r="S488" i="62"/>
  <c r="V488" i="62" s="1"/>
  <c r="AD488" i="62" s="1"/>
  <c r="S489" i="62"/>
  <c r="V489" i="62" s="1"/>
  <c r="AD489" i="62" s="1"/>
  <c r="AF489" i="62" s="1"/>
  <c r="S490" i="62"/>
  <c r="V490" i="62" s="1"/>
  <c r="S491" i="62"/>
  <c r="V491" i="62" s="1"/>
  <c r="AD491" i="62" s="1"/>
  <c r="AF491" i="62" s="1"/>
  <c r="S492" i="62"/>
  <c r="V492" i="62" s="1"/>
  <c r="S493" i="62"/>
  <c r="V493" i="62" s="1"/>
  <c r="S494" i="62"/>
  <c r="S495" i="62"/>
  <c r="S497" i="62"/>
  <c r="V497" i="62" s="1"/>
  <c r="AD497" i="62" s="1"/>
  <c r="AF497" i="62" s="1"/>
  <c r="S499" i="62"/>
  <c r="S500" i="62"/>
  <c r="V500" i="62" s="1"/>
  <c r="S501" i="62"/>
  <c r="V501" i="62" s="1"/>
  <c r="AD501" i="62" s="1"/>
  <c r="AF501" i="62" s="1"/>
  <c r="S502" i="62"/>
  <c r="V502" i="62" s="1"/>
  <c r="AD502" i="62" s="1"/>
  <c r="AF502" i="62" s="1"/>
  <c r="S503" i="62"/>
  <c r="V503" i="62" s="1"/>
  <c r="S504" i="62"/>
  <c r="V504" i="62" s="1"/>
  <c r="S505" i="62"/>
  <c r="S506" i="62"/>
  <c r="AD506" i="62" s="1"/>
  <c r="S507" i="62"/>
  <c r="V507" i="62" s="1"/>
  <c r="AD507" i="62" s="1"/>
  <c r="S508" i="62"/>
  <c r="S509" i="62"/>
  <c r="S510" i="62"/>
  <c r="S511" i="62"/>
  <c r="V511" i="62" s="1"/>
  <c r="AD511" i="62" s="1"/>
  <c r="AF511" i="62" s="1"/>
  <c r="S512" i="62"/>
  <c r="V512" i="62" s="1"/>
  <c r="S513" i="62"/>
  <c r="S514" i="62"/>
  <c r="V514" i="62" s="1"/>
  <c r="S515" i="62"/>
  <c r="S516" i="62"/>
  <c r="V516" i="62" s="1"/>
  <c r="AD516" i="62" s="1"/>
  <c r="AF516" i="62" s="1"/>
  <c r="S517" i="62"/>
  <c r="S518" i="62"/>
  <c r="V518" i="62" s="1"/>
  <c r="AD518" i="62" s="1"/>
  <c r="AF518" i="62" s="1"/>
  <c r="S519" i="62"/>
  <c r="V519" i="62" s="1"/>
  <c r="S520" i="62"/>
  <c r="V520" i="62" s="1"/>
  <c r="AD520" i="62" s="1"/>
  <c r="S521" i="62"/>
  <c r="S526" i="62"/>
  <c r="V526" i="62" s="1"/>
  <c r="AD526" i="62" s="1"/>
  <c r="AF526" i="62" s="1"/>
  <c r="S527" i="62"/>
  <c r="V527" i="62" s="1"/>
  <c r="AD527" i="62" s="1"/>
  <c r="S528" i="62"/>
  <c r="V528" i="62" s="1"/>
  <c r="AD528" i="62" s="1"/>
  <c r="S529" i="62"/>
  <c r="V529" i="62" s="1"/>
  <c r="AD529" i="62" s="1"/>
  <c r="AF529" i="62" s="1"/>
  <c r="S530" i="62"/>
  <c r="V530" i="62" s="1"/>
  <c r="AD530" i="62" s="1"/>
  <c r="AF530" i="62" s="1"/>
  <c r="S534" i="62"/>
  <c r="V534" i="62" s="1"/>
  <c r="S535" i="62"/>
  <c r="V535" i="62" s="1"/>
  <c r="S536" i="62"/>
  <c r="S537" i="62"/>
  <c r="V537" i="62" s="1"/>
  <c r="AD537" i="62" s="1"/>
  <c r="AF537" i="62" s="1"/>
  <c r="S538" i="62"/>
  <c r="V538" i="62" s="1"/>
  <c r="AD538" i="62" s="1"/>
  <c r="AF538" i="62" s="1"/>
  <c r="S539" i="62"/>
  <c r="V539" i="62" s="1"/>
  <c r="AD539" i="62" s="1"/>
  <c r="S540" i="62"/>
  <c r="S541" i="62"/>
  <c r="V541" i="62" s="1"/>
  <c r="AD541" i="62" s="1"/>
  <c r="S542" i="62"/>
  <c r="X542" i="62" s="1"/>
  <c r="AB542" i="62" s="1"/>
  <c r="S543" i="62"/>
  <c r="V543" i="62" s="1"/>
  <c r="S544" i="62"/>
  <c r="S545" i="62"/>
  <c r="V545" i="62" s="1"/>
  <c r="AD545" i="62" s="1"/>
  <c r="AF545" i="62" s="1"/>
  <c r="S546" i="62"/>
  <c r="S549" i="62"/>
  <c r="V549" i="62" s="1"/>
  <c r="AD549" i="62" s="1"/>
  <c r="S550" i="62"/>
  <c r="S551" i="62"/>
  <c r="V551" i="62" s="1"/>
  <c r="AD551" i="62" s="1"/>
  <c r="AF551" i="62" s="1"/>
  <c r="V562" i="62"/>
  <c r="AD562" i="62" s="1"/>
  <c r="AF562" i="62" s="1"/>
  <c r="S567" i="62"/>
  <c r="V567" i="62" s="1"/>
  <c r="AD567" i="62" s="1"/>
  <c r="S568" i="62"/>
  <c r="V568" i="62" s="1"/>
  <c r="AD568" i="62" s="1"/>
  <c r="S569" i="62"/>
  <c r="S570" i="62"/>
  <c r="S571" i="62"/>
  <c r="S572" i="62"/>
  <c r="S573" i="62"/>
  <c r="X573" i="62" s="1"/>
  <c r="AB573" i="62" s="1"/>
  <c r="S574" i="62"/>
  <c r="X574" i="62" s="1"/>
  <c r="AB574" i="62" s="1"/>
  <c r="S575" i="62"/>
  <c r="S576" i="62"/>
  <c r="X576" i="62" s="1"/>
  <c r="AB576" i="62" s="1"/>
  <c r="S579" i="62"/>
  <c r="X579" i="62" s="1"/>
  <c r="AB579" i="62" s="1"/>
  <c r="S580" i="62"/>
  <c r="S581" i="62"/>
  <c r="V581" i="62" s="1"/>
  <c r="AD581" i="62" s="1"/>
  <c r="S584" i="62"/>
  <c r="V584" i="62" s="1"/>
  <c r="AD584" i="62" s="1"/>
  <c r="S585" i="62"/>
  <c r="X585" i="62" s="1"/>
  <c r="AB585" i="62" s="1"/>
  <c r="S586" i="62"/>
  <c r="V586" i="62" s="1"/>
  <c r="AD586" i="62" s="1"/>
  <c r="S587" i="62"/>
  <c r="S588" i="62"/>
  <c r="X588" i="62" s="1"/>
  <c r="AB588" i="62" s="1"/>
  <c r="AF588" i="62" s="1"/>
  <c r="S589" i="62"/>
  <c r="X589" i="62" s="1"/>
  <c r="S590" i="62"/>
  <c r="X590" i="62" s="1"/>
  <c r="S593" i="62"/>
  <c r="X593" i="62" s="1"/>
  <c r="S594" i="62"/>
  <c r="X594" i="62" s="1"/>
  <c r="S595" i="62"/>
  <c r="S596" i="62"/>
  <c r="S597" i="62"/>
  <c r="S598" i="62"/>
  <c r="V598" i="62" s="1"/>
  <c r="AD598" i="62" s="1"/>
  <c r="AF598" i="62" s="1"/>
  <c r="S599" i="62"/>
  <c r="V599" i="62" s="1"/>
  <c r="AD599" i="62" s="1"/>
  <c r="AF599" i="62" s="1"/>
  <c r="S600" i="62"/>
  <c r="V600" i="62" s="1"/>
  <c r="AD600" i="62" s="1"/>
  <c r="AF600" i="62" s="1"/>
  <c r="S601" i="62"/>
  <c r="S602" i="62"/>
  <c r="V602" i="62" s="1"/>
  <c r="S603" i="62"/>
  <c r="V603" i="62" s="1"/>
  <c r="S604" i="62"/>
  <c r="V604" i="62" s="1"/>
  <c r="AD604" i="62" s="1"/>
  <c r="AF604" i="62" s="1"/>
  <c r="S605" i="62"/>
  <c r="V605" i="62" s="1"/>
  <c r="S606" i="62"/>
  <c r="V606" i="62" s="1"/>
  <c r="S607" i="62"/>
  <c r="AB607" i="62" s="1"/>
  <c r="S608" i="62"/>
  <c r="X608" i="62" s="1"/>
  <c r="S609" i="62"/>
  <c r="S610" i="62"/>
  <c r="S611" i="62"/>
  <c r="S614" i="62"/>
  <c r="S615" i="62"/>
  <c r="S616" i="62"/>
  <c r="V616" i="62" s="1"/>
  <c r="AD616" i="62" s="1"/>
  <c r="AF616" i="62" s="1"/>
  <c r="S617" i="62"/>
  <c r="S627" i="62"/>
  <c r="X627" i="62" s="1"/>
  <c r="AB627" i="62" s="1"/>
  <c r="S628" i="62"/>
  <c r="AB628" i="62" s="1"/>
  <c r="S629" i="62"/>
  <c r="S630" i="62"/>
  <c r="X630" i="62" s="1"/>
  <c r="S631" i="62"/>
  <c r="AB631" i="62" s="1"/>
  <c r="S632" i="62"/>
  <c r="S633" i="62"/>
  <c r="AB633" i="62" s="1"/>
  <c r="S634" i="62"/>
  <c r="AB634" i="62" s="1"/>
  <c r="S635" i="62"/>
  <c r="S636" i="62"/>
  <c r="S637" i="62"/>
  <c r="AB637" i="62" s="1"/>
  <c r="S638" i="62"/>
  <c r="AB638" i="62" s="1"/>
  <c r="S639" i="62"/>
  <c r="S640" i="62"/>
  <c r="S641" i="62"/>
  <c r="Z641" i="62" s="1"/>
  <c r="S642" i="62"/>
  <c r="V642" i="62" s="1"/>
  <c r="S643" i="62"/>
  <c r="AB643" i="62" s="1"/>
  <c r="S644" i="62"/>
  <c r="S645" i="62"/>
  <c r="S646" i="62"/>
  <c r="AB646" i="62" s="1"/>
  <c r="S647" i="62"/>
  <c r="AD647" i="62" s="1"/>
  <c r="S654" i="62"/>
  <c r="AC654" i="62" s="1"/>
  <c r="S655" i="62"/>
  <c r="S656" i="62"/>
  <c r="AC656" i="62" s="1"/>
  <c r="S657" i="62"/>
  <c r="W657" i="62" s="1"/>
  <c r="S658" i="62"/>
  <c r="AC658" i="62" s="1"/>
  <c r="S659" i="62"/>
  <c r="S660" i="62"/>
  <c r="AC660" i="62" s="1"/>
  <c r="S661" i="62"/>
  <c r="W661" i="62" s="1"/>
  <c r="S662" i="62"/>
  <c r="W662" i="62" s="1"/>
  <c r="S663" i="62"/>
  <c r="S664" i="62"/>
  <c r="AC664" i="62" s="1"/>
  <c r="S665" i="62"/>
  <c r="AC665" i="62" s="1"/>
  <c r="S666" i="62"/>
  <c r="W666" i="62" s="1"/>
  <c r="S667" i="62"/>
  <c r="S668" i="62"/>
  <c r="AC668" i="62" s="1"/>
  <c r="S669" i="62"/>
  <c r="AC669" i="62" s="1"/>
  <c r="S670" i="62"/>
  <c r="W670" i="62" s="1"/>
  <c r="S671" i="62"/>
  <c r="S672" i="62"/>
  <c r="AC672" i="62" s="1"/>
  <c r="S673" i="62"/>
  <c r="W673" i="62" s="1"/>
  <c r="S674" i="62"/>
  <c r="W674" i="62" s="1"/>
  <c r="S675" i="62"/>
  <c r="S676" i="62"/>
  <c r="AC676" i="62" s="1"/>
  <c r="S677" i="62"/>
  <c r="AC677" i="62" s="1"/>
  <c r="S678" i="62"/>
  <c r="AC678" i="62" s="1"/>
  <c r="S679" i="62"/>
  <c r="S680" i="62"/>
  <c r="W680" i="62" s="1"/>
  <c r="S681" i="62"/>
  <c r="AC681" i="62" s="1"/>
  <c r="S682" i="62"/>
  <c r="AC682" i="62" s="1"/>
  <c r="S683" i="62"/>
  <c r="S684" i="62"/>
  <c r="AC684" i="62" s="1"/>
  <c r="S685" i="62"/>
  <c r="W685" i="62" s="1"/>
  <c r="S686" i="62"/>
  <c r="AC686" i="62" s="1"/>
  <c r="S689" i="62"/>
  <c r="S690" i="62"/>
  <c r="AC690" i="62" s="1"/>
  <c r="S691" i="62"/>
  <c r="AC691" i="62" s="1"/>
  <c r="S692" i="62"/>
  <c r="AC692" i="62" s="1"/>
  <c r="S693" i="62"/>
  <c r="AC693" i="62" s="1"/>
  <c r="S694" i="62"/>
  <c r="W694" i="62" s="1"/>
  <c r="S695" i="62"/>
  <c r="W695" i="62" s="1"/>
  <c r="S696" i="62"/>
  <c r="AC696" i="62" s="1"/>
  <c r="S697" i="62"/>
  <c r="S698" i="62"/>
  <c r="AC698" i="62" s="1"/>
  <c r="S701" i="62"/>
  <c r="AC701" i="62" s="1"/>
  <c r="S702" i="62"/>
  <c r="W702" i="62" s="1"/>
  <c r="S703" i="62"/>
  <c r="AC703" i="62" s="1"/>
  <c r="S704" i="62"/>
  <c r="AC704" i="62" s="1"/>
  <c r="S705" i="62"/>
  <c r="W705" i="62" s="1"/>
  <c r="S708" i="62"/>
  <c r="W708" i="62" s="1"/>
  <c r="S709" i="62"/>
  <c r="S710" i="62"/>
  <c r="AC710" i="62" s="1"/>
  <c r="S711" i="62"/>
  <c r="AC711" i="62" s="1"/>
  <c r="S712" i="62"/>
  <c r="AC712" i="62" s="1"/>
  <c r="S713" i="62"/>
  <c r="AC713" i="62" s="1"/>
  <c r="S714" i="62"/>
  <c r="AC714" i="62" s="1"/>
  <c r="S715" i="62"/>
  <c r="W715" i="62" s="1"/>
  <c r="S716" i="62"/>
  <c r="AC716" i="62" s="1"/>
  <c r="S717" i="62"/>
  <c r="AC717" i="62" s="1"/>
  <c r="S718" i="62"/>
  <c r="W718" i="62" s="1"/>
  <c r="S719" i="62"/>
  <c r="AC719" i="62" s="1"/>
  <c r="S721" i="62"/>
  <c r="AC721" i="62" s="1"/>
  <c r="S725" i="62"/>
  <c r="AC725" i="62" s="1"/>
  <c r="S726" i="62"/>
  <c r="AC726" i="62" s="1"/>
  <c r="S727" i="62"/>
  <c r="W727" i="62" s="1"/>
  <c r="S728" i="62"/>
  <c r="AC728" i="62" s="1"/>
  <c r="S729" i="62"/>
  <c r="S730" i="62"/>
  <c r="W730" i="62" s="1"/>
  <c r="S731" i="62"/>
  <c r="S732" i="62"/>
  <c r="AC732" i="62" s="1"/>
  <c r="S733" i="62"/>
  <c r="AC733" i="62" s="1"/>
  <c r="S734" i="62"/>
  <c r="AC734" i="62" s="1"/>
  <c r="S21" i="62"/>
  <c r="X186" i="62"/>
  <c r="AC731" i="62"/>
  <c r="AC695" i="62"/>
  <c r="AC683" i="62"/>
  <c r="AC675" i="62"/>
  <c r="AC667" i="62"/>
  <c r="AC661" i="62"/>
  <c r="AC659" i="62"/>
  <c r="AC657" i="62"/>
  <c r="AF734" i="62"/>
  <c r="AF733" i="62"/>
  <c r="AF732" i="62"/>
  <c r="AF731" i="62"/>
  <c r="AF730" i="62"/>
  <c r="AF729" i="62"/>
  <c r="AF728" i="62"/>
  <c r="AF727" i="62"/>
  <c r="AF726" i="62"/>
  <c r="AF725" i="62"/>
  <c r="AF723" i="62"/>
  <c r="AF722" i="62"/>
  <c r="AF721" i="62"/>
  <c r="AF719" i="62"/>
  <c r="AF718" i="62"/>
  <c r="AF717" i="62"/>
  <c r="AF716" i="62"/>
  <c r="AF715" i="62"/>
  <c r="AF714" i="62"/>
  <c r="AF713" i="62"/>
  <c r="AF712" i="62"/>
  <c r="AF711" i="62"/>
  <c r="AF710" i="62"/>
  <c r="AF709" i="62"/>
  <c r="AF708" i="62"/>
  <c r="AF705" i="62"/>
  <c r="AF704" i="62"/>
  <c r="AF703" i="62"/>
  <c r="AF702" i="62"/>
  <c r="AF701" i="62"/>
  <c r="AF698" i="62"/>
  <c r="AF697" i="62"/>
  <c r="AF696" i="62"/>
  <c r="AF695" i="62"/>
  <c r="AF694" i="62"/>
  <c r="AF693" i="62"/>
  <c r="AF692" i="62"/>
  <c r="AF691" i="62"/>
  <c r="AF690" i="62"/>
  <c r="AF689" i="62"/>
  <c r="AF686" i="62"/>
  <c r="AF685" i="62"/>
  <c r="AF684" i="62"/>
  <c r="AF683" i="62"/>
  <c r="AF682" i="62"/>
  <c r="AF681" i="62"/>
  <c r="AF680" i="62"/>
  <c r="AF679" i="62"/>
  <c r="AF678" i="62"/>
  <c r="AF677" i="62"/>
  <c r="AF676" i="62"/>
  <c r="AF675" i="62"/>
  <c r="AF674" i="62"/>
  <c r="AF673" i="62"/>
  <c r="AF672" i="62"/>
  <c r="AF671" i="62"/>
  <c r="AF670" i="62"/>
  <c r="AF669" i="62"/>
  <c r="AF668" i="62"/>
  <c r="AF667" i="62"/>
  <c r="AF666" i="62"/>
  <c r="AF665" i="62"/>
  <c r="AF664" i="62"/>
  <c r="AF663" i="62"/>
  <c r="AF662" i="62"/>
  <c r="AF661" i="62"/>
  <c r="AF660" i="62"/>
  <c r="AF659" i="62"/>
  <c r="AF658" i="62"/>
  <c r="AF657" i="62"/>
  <c r="AF656" i="62"/>
  <c r="AF655" i="62"/>
  <c r="AF654" i="62"/>
  <c r="AF653" i="62"/>
  <c r="AF652" i="62"/>
  <c r="AF640" i="62"/>
  <c r="AF639" i="62"/>
  <c r="AF638" i="62"/>
  <c r="AF637" i="62"/>
  <c r="AF635" i="62"/>
  <c r="AF634" i="62"/>
  <c r="AF633" i="62"/>
  <c r="AF632" i="62"/>
  <c r="AF631" i="62"/>
  <c r="AF630" i="62"/>
  <c r="AF629" i="62"/>
  <c r="AF628" i="62"/>
  <c r="AF627" i="62"/>
  <c r="AF626" i="62"/>
  <c r="AF625" i="62"/>
  <c r="AF617" i="62"/>
  <c r="AF613" i="62"/>
  <c r="AF608" i="62"/>
  <c r="AF607" i="62"/>
  <c r="AF595" i="62"/>
  <c r="AF594" i="62"/>
  <c r="AF593" i="62"/>
  <c r="AF592" i="62"/>
  <c r="AF590" i="62"/>
  <c r="AF583" i="62"/>
  <c r="AF582" i="62"/>
  <c r="AF568" i="62"/>
  <c r="AF483" i="62"/>
  <c r="AF482" i="62"/>
  <c r="AF481" i="62"/>
  <c r="AF480" i="62"/>
  <c r="AF474" i="62"/>
  <c r="AF473" i="62"/>
  <c r="AF470" i="62"/>
  <c r="AF469" i="62"/>
  <c r="AF468" i="62"/>
  <c r="AF467" i="62"/>
  <c r="AF466" i="62"/>
  <c r="AF465" i="62"/>
  <c r="AF464" i="62"/>
  <c r="AF463" i="62"/>
  <c r="AF447" i="62"/>
  <c r="AF446" i="62"/>
  <c r="AF445" i="62"/>
  <c r="AF441" i="62"/>
  <c r="AF440" i="62"/>
  <c r="AF438" i="62"/>
  <c r="AF429" i="62"/>
  <c r="AF428" i="62"/>
  <c r="AF427" i="62"/>
  <c r="AF426" i="62"/>
  <c r="AF425" i="62"/>
  <c r="AF424" i="62"/>
  <c r="AF423" i="62"/>
  <c r="AF422" i="62"/>
  <c r="AF421" i="62"/>
  <c r="AF420" i="62"/>
  <c r="AF419" i="62"/>
  <c r="AF418" i="62"/>
  <c r="AF417" i="62"/>
  <c r="AF416" i="62"/>
  <c r="AF415" i="62"/>
  <c r="AF414" i="62"/>
  <c r="AF413" i="62"/>
  <c r="AF412" i="62"/>
  <c r="AF411" i="62"/>
  <c r="AF410" i="62"/>
  <c r="AF409" i="62"/>
  <c r="AF408" i="62"/>
  <c r="AF407" i="62"/>
  <c r="AF406" i="62"/>
  <c r="AF405" i="62"/>
  <c r="AF404" i="62"/>
  <c r="AF403" i="62"/>
  <c r="AF402" i="62"/>
  <c r="AF401" i="62"/>
  <c r="AF400" i="62"/>
  <c r="AF399" i="62"/>
  <c r="AF398" i="62"/>
  <c r="AF397" i="62"/>
  <c r="AF396" i="62"/>
  <c r="AF395" i="62"/>
  <c r="AF394" i="62"/>
  <c r="AF393" i="62"/>
  <c r="AF392" i="62"/>
  <c r="AF391" i="62"/>
  <c r="AF390" i="62"/>
  <c r="AF389" i="62"/>
  <c r="AF388" i="62"/>
  <c r="AF387" i="62"/>
  <c r="AF386" i="62"/>
  <c r="AF385" i="62"/>
  <c r="AF384" i="62"/>
  <c r="AF383" i="62"/>
  <c r="AF382" i="62"/>
  <c r="AF381" i="62"/>
  <c r="AF380" i="62"/>
  <c r="AF379" i="62"/>
  <c r="AF378" i="62"/>
  <c r="AF377" i="62"/>
  <c r="AF376" i="62"/>
  <c r="AF375" i="62"/>
  <c r="AF374" i="62"/>
  <c r="AF373" i="62"/>
  <c r="AF372" i="62"/>
  <c r="AF371" i="62"/>
  <c r="AF370" i="62"/>
  <c r="AF369" i="62"/>
  <c r="AF368" i="62"/>
  <c r="AF367" i="62"/>
  <c r="AF366" i="62"/>
  <c r="AF365" i="62"/>
  <c r="AF364" i="62"/>
  <c r="AF363" i="62"/>
  <c r="AF362" i="62"/>
  <c r="AF361" i="62"/>
  <c r="AF360" i="62"/>
  <c r="AF359" i="62"/>
  <c r="AF358" i="62"/>
  <c r="AF355" i="62"/>
  <c r="AF352" i="62"/>
  <c r="AF351" i="62"/>
  <c r="AF350" i="62"/>
  <c r="AF349" i="62"/>
  <c r="AF348" i="62"/>
  <c r="AF347" i="62"/>
  <c r="AF346" i="62"/>
  <c r="AF345" i="62"/>
  <c r="AF344" i="62"/>
  <c r="AF343" i="62"/>
  <c r="AF342" i="62"/>
  <c r="AF341" i="62"/>
  <c r="AF340" i="62"/>
  <c r="AF339" i="62"/>
  <c r="AF338" i="62"/>
  <c r="AF337" i="62"/>
  <c r="AF336" i="62"/>
  <c r="AF335" i="62"/>
  <c r="AF334" i="62"/>
  <c r="AF333" i="62"/>
  <c r="AF332" i="62"/>
  <c r="AF331" i="62"/>
  <c r="AF330" i="62"/>
  <c r="AF329" i="62"/>
  <c r="AF328" i="62"/>
  <c r="AF327" i="62"/>
  <c r="AF325" i="62"/>
  <c r="AF324" i="62"/>
  <c r="AF323" i="62"/>
  <c r="AF322" i="62"/>
  <c r="AF321" i="62"/>
  <c r="AF320" i="62"/>
  <c r="AF319" i="62"/>
  <c r="AF318" i="62"/>
  <c r="AF317" i="62"/>
  <c r="AF316" i="62"/>
  <c r="AF292" i="62"/>
  <c r="AF291" i="62"/>
  <c r="AF288" i="62"/>
  <c r="AF282" i="62"/>
  <c r="AF275" i="62"/>
  <c r="AF274" i="62"/>
  <c r="AF273" i="62"/>
  <c r="AF233" i="62"/>
  <c r="AF232" i="62"/>
  <c r="AF230" i="62"/>
  <c r="AF229" i="62"/>
  <c r="AF228" i="62"/>
  <c r="AF219" i="62"/>
  <c r="AF218" i="62"/>
  <c r="AF217" i="62"/>
  <c r="AF216" i="62"/>
  <c r="AF215" i="62"/>
  <c r="AF214" i="62"/>
  <c r="AF213" i="62"/>
  <c r="AF212" i="62"/>
  <c r="AF211" i="62"/>
  <c r="AF210" i="62"/>
  <c r="AF209" i="62"/>
  <c r="AF208" i="62"/>
  <c r="AF207" i="62"/>
  <c r="AF203" i="62"/>
  <c r="AF202" i="62"/>
  <c r="AF183" i="62"/>
  <c r="AF182" i="62"/>
  <c r="AF171" i="62"/>
  <c r="AF170" i="62"/>
  <c r="AF151" i="62"/>
  <c r="AF150" i="62"/>
  <c r="AF124" i="62"/>
  <c r="AF123" i="62"/>
  <c r="AF122" i="62"/>
  <c r="AF121" i="62"/>
  <c r="AF101" i="62"/>
  <c r="AF100" i="62"/>
  <c r="AF99" i="62"/>
  <c r="AF98" i="62"/>
  <c r="AF97" i="62"/>
  <c r="AF96" i="62"/>
  <c r="AF95" i="62"/>
  <c r="AF94" i="62"/>
  <c r="AF93" i="62"/>
  <c r="AF92" i="62"/>
  <c r="AF91" i="62"/>
  <c r="AF90" i="62"/>
  <c r="AF89" i="62"/>
  <c r="AF88" i="62"/>
  <c r="AF87" i="62"/>
  <c r="AF86" i="62"/>
  <c r="AF83" i="62"/>
  <c r="AF82" i="62"/>
  <c r="AF65" i="62"/>
  <c r="AF64" i="62"/>
  <c r="AF61" i="62"/>
  <c r="AF60" i="62"/>
  <c r="AF48" i="62"/>
  <c r="AF47" i="62"/>
  <c r="AF45" i="62"/>
  <c r="AF44" i="62"/>
  <c r="AF43" i="62"/>
  <c r="AF42" i="62"/>
  <c r="AF41" i="62"/>
  <c r="AF40" i="62"/>
  <c r="AF38" i="62"/>
  <c r="AF37" i="62"/>
  <c r="AF36" i="62"/>
  <c r="AF35" i="62"/>
  <c r="AF34" i="62"/>
  <c r="AF33" i="62"/>
  <c r="AF32" i="62"/>
  <c r="AF31" i="62"/>
  <c r="AF30" i="62"/>
  <c r="AF29" i="62"/>
  <c r="AF28" i="62"/>
  <c r="AF27" i="62"/>
  <c r="AF24" i="62"/>
  <c r="AF23" i="62"/>
  <c r="AF22" i="62"/>
  <c r="AF21" i="62"/>
  <c r="AF20" i="62"/>
  <c r="AF19" i="62"/>
  <c r="AF16" i="62"/>
  <c r="AB629" i="62"/>
  <c r="AC404" i="62"/>
  <c r="AC365" i="62"/>
  <c r="AC355" i="62"/>
  <c r="AC347" i="62"/>
  <c r="AC342" i="62"/>
  <c r="AC337" i="62"/>
  <c r="AC329" i="62"/>
  <c r="AC327" i="62"/>
  <c r="AC325" i="62"/>
  <c r="AC321" i="62"/>
  <c r="AC320" i="62"/>
  <c r="AC319" i="62"/>
  <c r="AB95" i="58"/>
  <c r="X86" i="62"/>
  <c r="W726" i="62"/>
  <c r="W703" i="62"/>
  <c r="X587" i="62"/>
  <c r="AB587" i="62" s="1"/>
  <c r="AF587" i="62" s="1"/>
  <c r="X595" i="62"/>
  <c r="X631" i="62"/>
  <c r="X629" i="62"/>
  <c r="V544" i="62"/>
  <c r="V546" i="62"/>
  <c r="AD546" i="62" s="1"/>
  <c r="AF546" i="62" s="1"/>
  <c r="V550" i="62"/>
  <c r="AD550" i="62" s="1"/>
  <c r="AB281" i="62"/>
  <c r="AB293" i="62"/>
  <c r="AD199" i="62"/>
  <c r="AF199" i="62" s="1"/>
  <c r="AD190" i="62"/>
  <c r="AF190" i="62" s="1"/>
  <c r="AD200" i="62"/>
  <c r="AF200" i="62" s="1"/>
  <c r="AD194" i="62"/>
  <c r="AF194" i="62" s="1"/>
  <c r="AD193" i="62"/>
  <c r="AF193" i="62" s="1"/>
  <c r="AD192" i="62"/>
  <c r="AF192" i="62" s="1"/>
  <c r="AD191" i="62"/>
  <c r="AF191" i="62" s="1"/>
  <c r="AD187" i="62"/>
  <c r="AF187" i="62" s="1"/>
  <c r="AX32" i="59"/>
  <c r="AX33" i="59"/>
  <c r="AX34" i="59"/>
  <c r="AX35" i="59"/>
  <c r="AX36" i="59"/>
  <c r="AX37" i="59"/>
  <c r="AX20" i="59"/>
  <c r="AX21" i="59"/>
  <c r="AX22" i="59"/>
  <c r="P54" i="59"/>
  <c r="S54" i="59"/>
  <c r="V54" i="59"/>
  <c r="Y54" i="59"/>
  <c r="AH54" i="59"/>
  <c r="AK54" i="59"/>
  <c r="AN54" i="59"/>
  <c r="AQ54" i="59"/>
  <c r="AT54" i="59"/>
  <c r="M54" i="59"/>
  <c r="C15" i="64"/>
  <c r="H43" i="6"/>
  <c r="I43" i="6" s="1"/>
  <c r="AE151" i="58"/>
  <c r="AE152" i="58"/>
  <c r="AE153" i="58"/>
  <c r="AE154" i="58"/>
  <c r="AE155" i="58"/>
  <c r="AE156" i="58"/>
  <c r="AD151" i="58"/>
  <c r="AD152" i="58"/>
  <c r="AD153" i="58"/>
  <c r="AD154" i="58"/>
  <c r="AD155" i="58"/>
  <c r="AD156" i="58"/>
  <c r="AE92" i="58"/>
  <c r="AE93" i="58"/>
  <c r="AD92" i="58"/>
  <c r="AD93" i="58"/>
  <c r="AE47" i="58"/>
  <c r="AD47" i="58"/>
  <c r="E48" i="58"/>
  <c r="F48" i="58"/>
  <c r="G48" i="58"/>
  <c r="H48" i="58"/>
  <c r="I48" i="58"/>
  <c r="J48" i="58"/>
  <c r="K48" i="58"/>
  <c r="L48" i="58"/>
  <c r="M48" i="58"/>
  <c r="N48" i="58"/>
  <c r="O48" i="58"/>
  <c r="P48" i="58"/>
  <c r="Q48" i="58"/>
  <c r="R48" i="58"/>
  <c r="S48" i="58"/>
  <c r="T48" i="58"/>
  <c r="U48" i="58"/>
  <c r="V48" i="58"/>
  <c r="W48" i="58"/>
  <c r="X48" i="58"/>
  <c r="Y48" i="58"/>
  <c r="Z48" i="58"/>
  <c r="AA48" i="58"/>
  <c r="AB48" i="58"/>
  <c r="AC48" i="58"/>
  <c r="D48" i="58"/>
  <c r="AY31" i="59"/>
  <c r="AY32" i="59"/>
  <c r="AY33" i="59"/>
  <c r="AY34" i="59"/>
  <c r="AY35" i="59"/>
  <c r="AY36" i="59"/>
  <c r="AY37" i="59"/>
  <c r="AX31" i="59"/>
  <c r="AW36" i="59"/>
  <c r="H45" i="6"/>
  <c r="I45" i="6" s="1"/>
  <c r="K45" i="6" s="1"/>
  <c r="L45" i="6" s="1"/>
  <c r="I44" i="6"/>
  <c r="K44" i="6" s="1"/>
  <c r="H47" i="6"/>
  <c r="H48" i="6"/>
  <c r="F146" i="31"/>
  <c r="F147" i="31"/>
  <c r="F148" i="31"/>
  <c r="F149" i="31"/>
  <c r="F144" i="31"/>
  <c r="E28" i="31"/>
  <c r="F27" i="31"/>
  <c r="D28" i="31"/>
  <c r="P84" i="6"/>
  <c r="P82" i="6"/>
  <c r="P81" i="6"/>
  <c r="P80" i="6"/>
  <c r="P79" i="6"/>
  <c r="P76" i="6"/>
  <c r="P75" i="6"/>
  <c r="P74" i="6"/>
  <c r="P73" i="6"/>
  <c r="P72" i="6"/>
  <c r="L136" i="31"/>
  <c r="K136" i="31"/>
  <c r="L108" i="31"/>
  <c r="G20" i="4" s="1"/>
  <c r="K108" i="31"/>
  <c r="F20" i="4" s="1"/>
  <c r="L101" i="31"/>
  <c r="G19" i="4" s="1"/>
  <c r="K101" i="31"/>
  <c r="F19" i="4" s="1"/>
  <c r="L85" i="31"/>
  <c r="L73" i="31"/>
  <c r="L52" i="31"/>
  <c r="K52" i="31"/>
  <c r="L38" i="31"/>
  <c r="G14" i="4" s="1"/>
  <c r="K38" i="31"/>
  <c r="F14" i="4" s="1"/>
  <c r="L18" i="31"/>
  <c r="G8" i="4" s="1"/>
  <c r="G11" i="4" s="1"/>
  <c r="K18" i="31"/>
  <c r="F8" i="4" s="1"/>
  <c r="F11" i="4" s="1"/>
  <c r="W734" i="62"/>
  <c r="W733" i="62"/>
  <c r="W731" i="62"/>
  <c r="W728" i="62"/>
  <c r="F722" i="62"/>
  <c r="W719" i="62"/>
  <c r="W713" i="62"/>
  <c r="W711" i="62"/>
  <c r="W693" i="62"/>
  <c r="W683" i="62"/>
  <c r="W681" i="62"/>
  <c r="W675" i="62"/>
  <c r="W667" i="62"/>
  <c r="W665" i="62"/>
  <c r="W659" i="62"/>
  <c r="W654" i="62"/>
  <c r="X645" i="62"/>
  <c r="Z645" i="62" s="1"/>
  <c r="AD603" i="62"/>
  <c r="AF603" i="62" s="1"/>
  <c r="AD601" i="62"/>
  <c r="AF601" i="62" s="1"/>
  <c r="AD579" i="62"/>
  <c r="AF579" i="62" s="1"/>
  <c r="AD576" i="62"/>
  <c r="AF576" i="62" s="1"/>
  <c r="AD575" i="62"/>
  <c r="AF575" i="62" s="1"/>
  <c r="X575" i="62"/>
  <c r="AB575" i="62" s="1"/>
  <c r="AD574" i="62"/>
  <c r="AF574" i="62" s="1"/>
  <c r="AD573" i="62"/>
  <c r="AF573" i="62" s="1"/>
  <c r="AB568" i="62"/>
  <c r="V540" i="62"/>
  <c r="AD540" i="62" s="1"/>
  <c r="V536" i="62"/>
  <c r="V521" i="62"/>
  <c r="AD521" i="62" s="1"/>
  <c r="V517" i="62"/>
  <c r="AD517" i="62" s="1"/>
  <c r="AF517" i="62" s="1"/>
  <c r="V515" i="62"/>
  <c r="AD515" i="62" s="1"/>
  <c r="V513" i="62"/>
  <c r="AD505" i="62"/>
  <c r="V499" i="62"/>
  <c r="AD499" i="62" s="1"/>
  <c r="AF499" i="62" s="1"/>
  <c r="V495" i="62"/>
  <c r="AD495" i="62" s="1"/>
  <c r="AF495" i="62" s="1"/>
  <c r="R480" i="62"/>
  <c r="R482" i="62" s="1"/>
  <c r="Q480" i="62"/>
  <c r="P480" i="62"/>
  <c r="O480" i="62"/>
  <c r="O482" i="62" s="1"/>
  <c r="N480" i="62"/>
  <c r="M480" i="62"/>
  <c r="L480" i="62"/>
  <c r="K480" i="62"/>
  <c r="J480" i="62"/>
  <c r="I480" i="62"/>
  <c r="H480" i="62"/>
  <c r="G480" i="62"/>
  <c r="G482" i="62" s="1"/>
  <c r="F480" i="62"/>
  <c r="Q482" i="62"/>
  <c r="L482" i="62"/>
  <c r="I482" i="62"/>
  <c r="H482" i="62"/>
  <c r="AD462" i="62"/>
  <c r="AF462" i="62" s="1"/>
  <c r="AC426" i="62"/>
  <c r="R417" i="62"/>
  <c r="Q417" i="62"/>
  <c r="P417" i="62"/>
  <c r="O417" i="62"/>
  <c r="N417" i="62"/>
  <c r="M417" i="62"/>
  <c r="L417" i="62"/>
  <c r="K417" i="62"/>
  <c r="J417" i="62"/>
  <c r="I417" i="62"/>
  <c r="H417" i="62"/>
  <c r="G417" i="62"/>
  <c r="F417" i="62"/>
  <c r="AC410" i="62"/>
  <c r="R405" i="62"/>
  <c r="Q405" i="62"/>
  <c r="P405" i="62"/>
  <c r="O405" i="62"/>
  <c r="N405" i="62"/>
  <c r="M405" i="62"/>
  <c r="L405" i="62"/>
  <c r="K405" i="62"/>
  <c r="J405" i="62"/>
  <c r="I405" i="62"/>
  <c r="H405" i="62"/>
  <c r="G405" i="62"/>
  <c r="F405" i="62"/>
  <c r="R402" i="62"/>
  <c r="Q402" i="62"/>
  <c r="P402" i="62"/>
  <c r="O402" i="62"/>
  <c r="N402" i="62"/>
  <c r="M402" i="62"/>
  <c r="L402" i="62"/>
  <c r="K402" i="62"/>
  <c r="J402" i="62"/>
  <c r="I402" i="62"/>
  <c r="H402" i="62"/>
  <c r="G402" i="62"/>
  <c r="F402" i="62"/>
  <c r="R389" i="62"/>
  <c r="Q389" i="62"/>
  <c r="P389" i="62"/>
  <c r="O389" i="62"/>
  <c r="N389" i="62"/>
  <c r="M389" i="62"/>
  <c r="L389" i="62"/>
  <c r="K389" i="62"/>
  <c r="J389" i="62"/>
  <c r="I389" i="62"/>
  <c r="H389" i="62"/>
  <c r="G389" i="62"/>
  <c r="F389" i="62"/>
  <c r="R366" i="62"/>
  <c r="Q366" i="62"/>
  <c r="P366" i="62"/>
  <c r="O366" i="62"/>
  <c r="N366" i="62"/>
  <c r="M366" i="62"/>
  <c r="L366" i="62"/>
  <c r="K366" i="62"/>
  <c r="J366" i="62"/>
  <c r="I366" i="62"/>
  <c r="H366" i="62"/>
  <c r="G366" i="62"/>
  <c r="F366" i="62"/>
  <c r="W365" i="62"/>
  <c r="W364" i="62"/>
  <c r="R348" i="62"/>
  <c r="Q348" i="62"/>
  <c r="P348" i="62"/>
  <c r="O348" i="62"/>
  <c r="N348" i="62"/>
  <c r="M348" i="62"/>
  <c r="L348" i="62"/>
  <c r="K348" i="62"/>
  <c r="J348" i="62"/>
  <c r="I348" i="62"/>
  <c r="H348" i="62"/>
  <c r="G348" i="62"/>
  <c r="F348" i="62"/>
  <c r="W347" i="62"/>
  <c r="W337" i="62"/>
  <c r="W327" i="62"/>
  <c r="W325" i="62"/>
  <c r="R322" i="62"/>
  <c r="Q322" i="62"/>
  <c r="P322" i="62"/>
  <c r="O322" i="62"/>
  <c r="N322" i="62"/>
  <c r="M322" i="62"/>
  <c r="L322" i="62"/>
  <c r="K322" i="62"/>
  <c r="J322" i="62"/>
  <c r="I322" i="62"/>
  <c r="H322" i="62"/>
  <c r="G322" i="62"/>
  <c r="F322" i="62"/>
  <c r="W321" i="62"/>
  <c r="W320" i="62"/>
  <c r="W319" i="62"/>
  <c r="AF276" i="62"/>
  <c r="AC230" i="62"/>
  <c r="U201" i="62"/>
  <c r="AF201" i="62" s="1"/>
  <c r="R182" i="62"/>
  <c r="Q182" i="62"/>
  <c r="P182" i="62"/>
  <c r="O182" i="62"/>
  <c r="N182" i="62"/>
  <c r="M182" i="62"/>
  <c r="L182" i="62"/>
  <c r="K182" i="62"/>
  <c r="J182" i="62"/>
  <c r="I182" i="62"/>
  <c r="H182" i="62"/>
  <c r="G182" i="62"/>
  <c r="F182" i="62"/>
  <c r="U181" i="62"/>
  <c r="AD181" i="62" s="1"/>
  <c r="AF181" i="62" s="1"/>
  <c r="R150" i="62"/>
  <c r="Q150" i="62"/>
  <c r="P150" i="62"/>
  <c r="O150" i="62"/>
  <c r="N150" i="62"/>
  <c r="M150" i="62"/>
  <c r="L150" i="62"/>
  <c r="K150" i="62"/>
  <c r="J150" i="62"/>
  <c r="I150" i="62"/>
  <c r="H150" i="62"/>
  <c r="G150" i="62"/>
  <c r="F150" i="62"/>
  <c r="R121" i="62"/>
  <c r="Q121" i="62"/>
  <c r="P121" i="62"/>
  <c r="O121" i="62"/>
  <c r="N121" i="62"/>
  <c r="M121" i="62"/>
  <c r="L121" i="62"/>
  <c r="K121" i="62"/>
  <c r="J121" i="62"/>
  <c r="I121" i="62"/>
  <c r="H121" i="62"/>
  <c r="G121" i="62"/>
  <c r="F121" i="62"/>
  <c r="U120" i="62"/>
  <c r="AD120" i="62" s="1"/>
  <c r="U119" i="62"/>
  <c r="U116" i="62"/>
  <c r="AD116" i="62" s="1"/>
  <c r="U112" i="62"/>
  <c r="AD112" i="62" s="1"/>
  <c r="AF112" i="62" s="1"/>
  <c r="R96" i="62"/>
  <c r="Q96" i="62"/>
  <c r="Q100" i="62" s="1"/>
  <c r="P96" i="62"/>
  <c r="O96" i="62"/>
  <c r="N96" i="62"/>
  <c r="M96" i="62"/>
  <c r="M100" i="62" s="1"/>
  <c r="L96" i="62"/>
  <c r="L100" i="62" s="1"/>
  <c r="K96" i="62"/>
  <c r="J96" i="62"/>
  <c r="I96" i="62"/>
  <c r="I100" i="62" s="1"/>
  <c r="H96" i="62"/>
  <c r="G96" i="62"/>
  <c r="F96" i="62"/>
  <c r="U85" i="62"/>
  <c r="AF85" i="62" s="1"/>
  <c r="R64" i="62"/>
  <c r="Q64" i="62"/>
  <c r="P64" i="62"/>
  <c r="O64" i="62"/>
  <c r="N64" i="62"/>
  <c r="M64" i="62"/>
  <c r="L64" i="62"/>
  <c r="K64" i="62"/>
  <c r="J64" i="62"/>
  <c r="I64" i="62"/>
  <c r="H64" i="62"/>
  <c r="G64" i="62"/>
  <c r="F64" i="62"/>
  <c r="U53" i="62"/>
  <c r="AD53" i="62" s="1"/>
  <c r="AF53" i="62" s="1"/>
  <c r="R47" i="62"/>
  <c r="Q47" i="62"/>
  <c r="P47" i="62"/>
  <c r="O47" i="62"/>
  <c r="N47" i="62"/>
  <c r="M47" i="62"/>
  <c r="L47" i="62"/>
  <c r="K47" i="62"/>
  <c r="J47" i="62"/>
  <c r="I47" i="62"/>
  <c r="H47" i="62"/>
  <c r="G47" i="62"/>
  <c r="F47" i="62"/>
  <c r="AB46" i="62"/>
  <c r="U46" i="62"/>
  <c r="AF46" i="62"/>
  <c r="AB45" i="62"/>
  <c r="X45" i="62"/>
  <c r="AB44" i="62"/>
  <c r="X44" i="62"/>
  <c r="AB43" i="62"/>
  <c r="X43" i="62"/>
  <c r="F40" i="62"/>
  <c r="S40" i="62"/>
  <c r="U39" i="62"/>
  <c r="AF39" i="62" s="1"/>
  <c r="R33" i="62"/>
  <c r="R35" i="62" s="1"/>
  <c r="R37" i="62" s="1"/>
  <c r="Q33" i="62"/>
  <c r="P33" i="62"/>
  <c r="O33" i="62"/>
  <c r="O35" i="62" s="1"/>
  <c r="N33" i="62"/>
  <c r="M33" i="62"/>
  <c r="M35" i="62" s="1"/>
  <c r="L33" i="62"/>
  <c r="K33" i="62"/>
  <c r="J33" i="62"/>
  <c r="I33" i="62"/>
  <c r="H33" i="62"/>
  <c r="G33" i="62"/>
  <c r="F33" i="62"/>
  <c r="R29" i="62"/>
  <c r="Q29" i="62"/>
  <c r="Q35" i="62" s="1"/>
  <c r="P29" i="62"/>
  <c r="O29" i="62"/>
  <c r="N29" i="62"/>
  <c r="M29" i="62"/>
  <c r="L29" i="62"/>
  <c r="K29" i="62"/>
  <c r="J29" i="62"/>
  <c r="I29" i="62"/>
  <c r="I35" i="62" s="1"/>
  <c r="H29" i="62"/>
  <c r="G29" i="62"/>
  <c r="F29" i="62"/>
  <c r="R21" i="62"/>
  <c r="Q21" i="62"/>
  <c r="P21" i="62"/>
  <c r="O21" i="62"/>
  <c r="N21" i="62"/>
  <c r="M21" i="62"/>
  <c r="L21" i="62"/>
  <c r="K21" i="62"/>
  <c r="J21" i="62"/>
  <c r="I21" i="62"/>
  <c r="H21" i="62"/>
  <c r="G21" i="62"/>
  <c r="F21" i="62"/>
  <c r="X20" i="62"/>
  <c r="X19" i="62"/>
  <c r="AD186" i="62"/>
  <c r="AF186" i="62" s="1"/>
  <c r="AD244" i="62"/>
  <c r="AF244" i="62" s="1"/>
  <c r="AD185" i="62"/>
  <c r="AF185" i="62"/>
  <c r="AD243" i="62"/>
  <c r="AF243" i="62" s="1"/>
  <c r="AD245" i="62"/>
  <c r="AF245" i="62" s="1"/>
  <c r="AD184" i="62"/>
  <c r="AF184" i="62"/>
  <c r="AD455" i="62"/>
  <c r="V487" i="62"/>
  <c r="AD487" i="62" s="1"/>
  <c r="AF487" i="62" s="1"/>
  <c r="X637" i="62"/>
  <c r="V505" i="62"/>
  <c r="AF505" i="62" s="1"/>
  <c r="X643" i="62"/>
  <c r="AF643" i="62" s="1"/>
  <c r="G100" i="62"/>
  <c r="G123" i="62" s="1"/>
  <c r="O100" i="62"/>
  <c r="O123" i="62" s="1"/>
  <c r="W404" i="62"/>
  <c r="J100" i="62"/>
  <c r="R100" i="62"/>
  <c r="G35" i="62"/>
  <c r="F35" i="62"/>
  <c r="AB20" i="62"/>
  <c r="W438" i="62"/>
  <c r="W725" i="62"/>
  <c r="U84" i="62"/>
  <c r="AF84" i="62" s="1"/>
  <c r="W230" i="62"/>
  <c r="W426" i="62"/>
  <c r="U102" i="62"/>
  <c r="AD102" i="62" s="1"/>
  <c r="U125" i="62"/>
  <c r="AD125" i="62" s="1"/>
  <c r="W410" i="62"/>
  <c r="AA740" i="62"/>
  <c r="E12" i="60"/>
  <c r="C35" i="60"/>
  <c r="D35" i="60"/>
  <c r="AY30" i="59"/>
  <c r="AX30" i="59"/>
  <c r="AW30" i="59"/>
  <c r="AY29" i="59"/>
  <c r="AX29" i="59"/>
  <c r="AY28" i="59"/>
  <c r="AX28" i="59"/>
  <c r="AY27" i="59"/>
  <c r="AX27" i="59"/>
  <c r="AW29" i="59"/>
  <c r="AW28" i="59"/>
  <c r="AW27" i="59"/>
  <c r="E34" i="4"/>
  <c r="AV24" i="59"/>
  <c r="AU24" i="59"/>
  <c r="D13" i="32" s="1"/>
  <c r="AT24" i="59"/>
  <c r="AS24" i="59"/>
  <c r="AR24" i="59"/>
  <c r="AQ24" i="59"/>
  <c r="AP24" i="59"/>
  <c r="AO24" i="59"/>
  <c r="AN24" i="59"/>
  <c r="AM24" i="59"/>
  <c r="AL24" i="59"/>
  <c r="AK24" i="59"/>
  <c r="AJ24" i="59"/>
  <c r="AI24" i="59"/>
  <c r="AH24" i="59"/>
  <c r="AG24" i="59"/>
  <c r="AF24" i="59"/>
  <c r="AE24" i="59"/>
  <c r="AD24" i="59"/>
  <c r="AC24" i="59"/>
  <c r="AB24" i="59"/>
  <c r="AA24" i="59"/>
  <c r="Z24" i="59"/>
  <c r="Y24" i="59"/>
  <c r="X24" i="59"/>
  <c r="W24" i="59"/>
  <c r="V24" i="59"/>
  <c r="U24" i="59"/>
  <c r="T24" i="59"/>
  <c r="S24" i="59"/>
  <c r="R24" i="59"/>
  <c r="Q24" i="59"/>
  <c r="P24" i="59"/>
  <c r="O24" i="59"/>
  <c r="N24" i="59"/>
  <c r="M24" i="59"/>
  <c r="L24" i="59"/>
  <c r="K24" i="59"/>
  <c r="J24" i="59"/>
  <c r="AY23" i="59"/>
  <c r="AX23" i="59"/>
  <c r="AY22" i="59"/>
  <c r="AY21" i="59"/>
  <c r="AY20" i="59"/>
  <c r="AY19" i="59"/>
  <c r="AY24" i="59" s="1"/>
  <c r="AX19" i="59"/>
  <c r="AW23" i="59"/>
  <c r="AW22" i="59"/>
  <c r="AW21" i="59"/>
  <c r="AW20" i="59"/>
  <c r="AW19" i="59"/>
  <c r="AC164" i="58"/>
  <c r="AC188" i="58" s="1"/>
  <c r="AB164" i="58"/>
  <c r="AA164" i="58"/>
  <c r="AA188" i="58" s="1"/>
  <c r="Z164" i="58"/>
  <c r="Y164" i="58"/>
  <c r="Y188" i="58" s="1"/>
  <c r="X164" i="58"/>
  <c r="W164" i="58"/>
  <c r="W188" i="58" s="1"/>
  <c r="V164" i="58"/>
  <c r="U164" i="58"/>
  <c r="U188" i="58" s="1"/>
  <c r="T164" i="58"/>
  <c r="S164" i="58"/>
  <c r="S188" i="58" s="1"/>
  <c r="R164" i="58"/>
  <c r="Q164" i="58"/>
  <c r="Q188" i="58" s="1"/>
  <c r="P164" i="58"/>
  <c r="O164" i="58"/>
  <c r="O188" i="58" s="1"/>
  <c r="N164" i="58"/>
  <c r="M164" i="58"/>
  <c r="M188" i="58" s="1"/>
  <c r="L164" i="58"/>
  <c r="K164" i="58"/>
  <c r="K188" i="58" s="1"/>
  <c r="J164" i="58"/>
  <c r="I164" i="58"/>
  <c r="I188" i="58" s="1"/>
  <c r="H164" i="58"/>
  <c r="G164" i="58"/>
  <c r="G188" i="58" s="1"/>
  <c r="F164" i="58"/>
  <c r="E164" i="58"/>
  <c r="AE163" i="58"/>
  <c r="AD163" i="58"/>
  <c r="AE162" i="58"/>
  <c r="AD162" i="58"/>
  <c r="AE159" i="58"/>
  <c r="AD159" i="58"/>
  <c r="AC157" i="58"/>
  <c r="AB157" i="58"/>
  <c r="AA157" i="58"/>
  <c r="Z157" i="58"/>
  <c r="Y157" i="58"/>
  <c r="X157" i="58"/>
  <c r="W157" i="58"/>
  <c r="V157" i="58"/>
  <c r="U157" i="58"/>
  <c r="T157" i="58"/>
  <c r="T166" i="58" s="1"/>
  <c r="S157" i="58"/>
  <c r="R157" i="58"/>
  <c r="Q157" i="58"/>
  <c r="P157" i="58"/>
  <c r="O157" i="58"/>
  <c r="N157" i="58"/>
  <c r="M157" i="58"/>
  <c r="L157" i="58"/>
  <c r="K157" i="58"/>
  <c r="J157" i="58"/>
  <c r="I157" i="58"/>
  <c r="H157" i="58"/>
  <c r="G157" i="58"/>
  <c r="F157" i="58"/>
  <c r="E157" i="58"/>
  <c r="AE144" i="58"/>
  <c r="AD144" i="58"/>
  <c r="AE143" i="58"/>
  <c r="AD143" i="58"/>
  <c r="AE142" i="58"/>
  <c r="AD142" i="58"/>
  <c r="AE141" i="58"/>
  <c r="AD141" i="58"/>
  <c r="AE140" i="58"/>
  <c r="AD140" i="58"/>
  <c r="AE139" i="58"/>
  <c r="AD139" i="58"/>
  <c r="AE138" i="58"/>
  <c r="AD138" i="58"/>
  <c r="AE137" i="58"/>
  <c r="AD137" i="58"/>
  <c r="AE136" i="58"/>
  <c r="AD136" i="58"/>
  <c r="AE135" i="58"/>
  <c r="AD135" i="58"/>
  <c r="AE134" i="58"/>
  <c r="AD134" i="58"/>
  <c r="AE133" i="58"/>
  <c r="AE122" i="58"/>
  <c r="AD122" i="58"/>
  <c r="AE121" i="58"/>
  <c r="AD121" i="58"/>
  <c r="AE120" i="58"/>
  <c r="AD120" i="58"/>
  <c r="AE119" i="58"/>
  <c r="AD119" i="58"/>
  <c r="AE118" i="58"/>
  <c r="AD118" i="58"/>
  <c r="AE117" i="58"/>
  <c r="AD117" i="58"/>
  <c r="AE116" i="58"/>
  <c r="AD116" i="58"/>
  <c r="AE115" i="58"/>
  <c r="AD115" i="58"/>
  <c r="AE114" i="58"/>
  <c r="AD114" i="58"/>
  <c r="AE113" i="58"/>
  <c r="AD113" i="58"/>
  <c r="AE112" i="58"/>
  <c r="AD112" i="58"/>
  <c r="AE111" i="58"/>
  <c r="AD111" i="58"/>
  <c r="AE110" i="58"/>
  <c r="AD110" i="58"/>
  <c r="AE109" i="58"/>
  <c r="AD109" i="58"/>
  <c r="AE108" i="58"/>
  <c r="AD108" i="58"/>
  <c r="AE107" i="58"/>
  <c r="AD107" i="58"/>
  <c r="AE106" i="58"/>
  <c r="AD106" i="58"/>
  <c r="AE105" i="58"/>
  <c r="AD105" i="58"/>
  <c r="AE104" i="58"/>
  <c r="AD104" i="58"/>
  <c r="AE103" i="58"/>
  <c r="AD103" i="58"/>
  <c r="AE102" i="58"/>
  <c r="AD102" i="58"/>
  <c r="AE101" i="58"/>
  <c r="AD101" i="58"/>
  <c r="AE100" i="58"/>
  <c r="AD100" i="58"/>
  <c r="AE99" i="58"/>
  <c r="AD99" i="58"/>
  <c r="AE98" i="58"/>
  <c r="AD98" i="58"/>
  <c r="AE97" i="58"/>
  <c r="AD97" i="58"/>
  <c r="AA95" i="58"/>
  <c r="AA178" i="58" s="1"/>
  <c r="Z95" i="58"/>
  <c r="AA172" i="58" s="1"/>
  <c r="Y95" i="58"/>
  <c r="Y178" i="58" s="1"/>
  <c r="X95" i="58"/>
  <c r="Y172" i="58" s="1"/>
  <c r="W95" i="58"/>
  <c r="W178" i="58" s="1"/>
  <c r="V95" i="58"/>
  <c r="W172" i="58" s="1"/>
  <c r="U95" i="58"/>
  <c r="U178" i="58" s="1"/>
  <c r="T95" i="58"/>
  <c r="U172" i="58" s="1"/>
  <c r="S95" i="58"/>
  <c r="S178" i="58" s="1"/>
  <c r="R95" i="58"/>
  <c r="S172" i="58" s="1"/>
  <c r="Q95" i="58"/>
  <c r="Q178" i="58" s="1"/>
  <c r="P95" i="58"/>
  <c r="Q172" i="58" s="1"/>
  <c r="O95" i="58"/>
  <c r="O178" i="58" s="1"/>
  <c r="N95" i="58"/>
  <c r="O172" i="58" s="1"/>
  <c r="M95" i="58"/>
  <c r="M178" i="58" s="1"/>
  <c r="L95" i="58"/>
  <c r="M172" i="58" s="1"/>
  <c r="K95" i="58"/>
  <c r="K178" i="58" s="1"/>
  <c r="J95" i="58"/>
  <c r="K172" i="58" s="1"/>
  <c r="I95" i="58"/>
  <c r="I178" i="58" s="1"/>
  <c r="H95" i="58"/>
  <c r="I172" i="58" s="1"/>
  <c r="G95" i="58"/>
  <c r="G178" i="58" s="1"/>
  <c r="F95" i="58"/>
  <c r="G172" i="58" s="1"/>
  <c r="E95" i="58"/>
  <c r="E178" i="58" s="1"/>
  <c r="E182" i="58" s="1"/>
  <c r="E185" i="58" s="1"/>
  <c r="E172" i="58"/>
  <c r="E176" i="58" s="1"/>
  <c r="AE94" i="58"/>
  <c r="AD94" i="58"/>
  <c r="AE91" i="58"/>
  <c r="AD91" i="58"/>
  <c r="AE90" i="58"/>
  <c r="AD90" i="58"/>
  <c r="AE89" i="58"/>
  <c r="AD89" i="58"/>
  <c r="AE88" i="58"/>
  <c r="AD88" i="58"/>
  <c r="AE87" i="58"/>
  <c r="AD87" i="58"/>
  <c r="AE86" i="58"/>
  <c r="AD86" i="58"/>
  <c r="AE85" i="58"/>
  <c r="AD85" i="58"/>
  <c r="AE84" i="58"/>
  <c r="AD84" i="58"/>
  <c r="AE83" i="58"/>
  <c r="AD83" i="58"/>
  <c r="AE82" i="58"/>
  <c r="AD82" i="58"/>
  <c r="AE81" i="58"/>
  <c r="AD81" i="58"/>
  <c r="AE80" i="58"/>
  <c r="AD80" i="58"/>
  <c r="AE79" i="58"/>
  <c r="AD79" i="58"/>
  <c r="AE78" i="58"/>
  <c r="AD78" i="58"/>
  <c r="AE77" i="58"/>
  <c r="AD77" i="58"/>
  <c r="AE76" i="58"/>
  <c r="AD76" i="58"/>
  <c r="AE75" i="58"/>
  <c r="AD75" i="58"/>
  <c r="AE74" i="58"/>
  <c r="AD74" i="58"/>
  <c r="AE73" i="58"/>
  <c r="AD73" i="58"/>
  <c r="AE72" i="58"/>
  <c r="AD72" i="58"/>
  <c r="AE71" i="58"/>
  <c r="AD71" i="58"/>
  <c r="AE69" i="58"/>
  <c r="AD69" i="58"/>
  <c r="AE68" i="58"/>
  <c r="AD68" i="58"/>
  <c r="AE67" i="58"/>
  <c r="AD67" i="58"/>
  <c r="AE66" i="58"/>
  <c r="AD66" i="58"/>
  <c r="AE65" i="58"/>
  <c r="AD65" i="58"/>
  <c r="AE64" i="58"/>
  <c r="AD64" i="58"/>
  <c r="AE63" i="58"/>
  <c r="AD63" i="58"/>
  <c r="AE62" i="58"/>
  <c r="AD62" i="58"/>
  <c r="AE61" i="58"/>
  <c r="AD61" i="58"/>
  <c r="AE60" i="58"/>
  <c r="AD60" i="58"/>
  <c r="AE59" i="58"/>
  <c r="AD59" i="58"/>
  <c r="AE58" i="58"/>
  <c r="AD58" i="58"/>
  <c r="AE56" i="58"/>
  <c r="AD56" i="58"/>
  <c r="AE55" i="58"/>
  <c r="AD55" i="58"/>
  <c r="AE54" i="58"/>
  <c r="AD54" i="58"/>
  <c r="AE53" i="58"/>
  <c r="AD53" i="58"/>
  <c r="AE52" i="58"/>
  <c r="AD52" i="58"/>
  <c r="AE51" i="58"/>
  <c r="AD51" i="58"/>
  <c r="AE50" i="58"/>
  <c r="AD50" i="58"/>
  <c r="AE46" i="58"/>
  <c r="AD46" i="58"/>
  <c r="AE45" i="58"/>
  <c r="AD45" i="58"/>
  <c r="AE44" i="58"/>
  <c r="AD44" i="58"/>
  <c r="AE43" i="58"/>
  <c r="AD43" i="58"/>
  <c r="AE42" i="58"/>
  <c r="AD42" i="58"/>
  <c r="AE41" i="58"/>
  <c r="AD41" i="58"/>
  <c r="AE40" i="58"/>
  <c r="AD40" i="58"/>
  <c r="AE39" i="58"/>
  <c r="AD39" i="58"/>
  <c r="AE38" i="58"/>
  <c r="AD38" i="58"/>
  <c r="AE37" i="58"/>
  <c r="AD37" i="58"/>
  <c r="AE36" i="58"/>
  <c r="AD36" i="58"/>
  <c r="AE35" i="58"/>
  <c r="AD35" i="58"/>
  <c r="AE34" i="58"/>
  <c r="AD34" i="58"/>
  <c r="AE33" i="58"/>
  <c r="AD33" i="58"/>
  <c r="AE32" i="58"/>
  <c r="AD32" i="58"/>
  <c r="AE31" i="58"/>
  <c r="AD31" i="58"/>
  <c r="AE30" i="58"/>
  <c r="AD30" i="58"/>
  <c r="AE29" i="58"/>
  <c r="AD29" i="58"/>
  <c r="AE28" i="58"/>
  <c r="AD28" i="58"/>
  <c r="AE27" i="58"/>
  <c r="AD27" i="58"/>
  <c r="AE26" i="58"/>
  <c r="AD26" i="58"/>
  <c r="AE25" i="58"/>
  <c r="AD25" i="58"/>
  <c r="AE24" i="58"/>
  <c r="AD24" i="58"/>
  <c r="AE23" i="58"/>
  <c r="AD23" i="58"/>
  <c r="AE22" i="58"/>
  <c r="AD22" i="58"/>
  <c r="AE21" i="58"/>
  <c r="AD21" i="58"/>
  <c r="AE20" i="58"/>
  <c r="AD20" i="58"/>
  <c r="AE19" i="58"/>
  <c r="AD19" i="58"/>
  <c r="AE18" i="58"/>
  <c r="AD18" i="58"/>
  <c r="AE17" i="58"/>
  <c r="AD17" i="58"/>
  <c r="AE16" i="58"/>
  <c r="AD16" i="58"/>
  <c r="AE15" i="58"/>
  <c r="AD15" i="58"/>
  <c r="AE14" i="58"/>
  <c r="AD14" i="58"/>
  <c r="AE13" i="58"/>
  <c r="AD13" i="58"/>
  <c r="AE12" i="58"/>
  <c r="AD12" i="58"/>
  <c r="AE11" i="58"/>
  <c r="AD11" i="58"/>
  <c r="D63" i="6"/>
  <c r="D12" i="6" s="1"/>
  <c r="I12" i="6" s="1"/>
  <c r="K12" i="6" s="1"/>
  <c r="H61" i="6"/>
  <c r="P61" i="6" s="1"/>
  <c r="K111" i="31" s="1"/>
  <c r="H59" i="6"/>
  <c r="I59" i="6" s="1"/>
  <c r="K59" i="6" s="1"/>
  <c r="H58" i="6"/>
  <c r="I58" i="6" s="1"/>
  <c r="K58" i="6" s="1"/>
  <c r="L58" i="6" s="1"/>
  <c r="H57" i="6"/>
  <c r="I57" i="6" s="1"/>
  <c r="H56" i="6"/>
  <c r="I56" i="6" s="1"/>
  <c r="H55" i="6"/>
  <c r="I55" i="6" s="1"/>
  <c r="H54" i="6"/>
  <c r="P54" i="6" s="1"/>
  <c r="K80" i="31" s="1"/>
  <c r="H53" i="6"/>
  <c r="P53" i="6" s="1"/>
  <c r="K79" i="31" s="1"/>
  <c r="H52" i="6"/>
  <c r="P52" i="6" s="1"/>
  <c r="K78" i="31" s="1"/>
  <c r="H51" i="6"/>
  <c r="I51" i="6" s="1"/>
  <c r="K51" i="6" s="1"/>
  <c r="H50" i="6"/>
  <c r="I50" i="6" s="1"/>
  <c r="K50" i="6" s="1"/>
  <c r="H49" i="6"/>
  <c r="I49" i="6" s="1"/>
  <c r="K49" i="6" s="1"/>
  <c r="H46" i="6"/>
  <c r="I46" i="6" s="1"/>
  <c r="AC17" i="31"/>
  <c r="AC149" i="31"/>
  <c r="AC148" i="31"/>
  <c r="AC147" i="31"/>
  <c r="AC146" i="31"/>
  <c r="AC145" i="31"/>
  <c r="AB136" i="31"/>
  <c r="W136" i="31"/>
  <c r="U136" i="31"/>
  <c r="V136" i="31"/>
  <c r="I136" i="31"/>
  <c r="AC135" i="31"/>
  <c r="AC134" i="31"/>
  <c r="AC133" i="31"/>
  <c r="AC132" i="31"/>
  <c r="AC131" i="31"/>
  <c r="AC130" i="31"/>
  <c r="AC123" i="31"/>
  <c r="U122" i="31"/>
  <c r="U124" i="31" s="1"/>
  <c r="R21" i="4" s="1"/>
  <c r="J122" i="31"/>
  <c r="J124" i="31" s="1"/>
  <c r="E21" i="4" s="1"/>
  <c r="V122" i="31"/>
  <c r="V124" i="31" s="1"/>
  <c r="S21" i="4" s="1"/>
  <c r="H122" i="31"/>
  <c r="H124" i="31" s="1"/>
  <c r="C21" i="4" s="1"/>
  <c r="AC120" i="31"/>
  <c r="AC119" i="31"/>
  <c r="AC117" i="31"/>
  <c r="AC115" i="31"/>
  <c r="AC114" i="31"/>
  <c r="AB108" i="31"/>
  <c r="Y20" i="4" s="1"/>
  <c r="U108" i="31"/>
  <c r="R20" i="4" s="1"/>
  <c r="J108" i="31"/>
  <c r="E20" i="4" s="1"/>
  <c r="V108" i="31"/>
  <c r="S20" i="4" s="1"/>
  <c r="H108" i="31"/>
  <c r="C20" i="4" s="1"/>
  <c r="AC107" i="31"/>
  <c r="AC104" i="31"/>
  <c r="AB101" i="31"/>
  <c r="Y19" i="4" s="1"/>
  <c r="U101" i="31"/>
  <c r="R19" i="4" s="1"/>
  <c r="V101" i="31"/>
  <c r="S19" i="4" s="1"/>
  <c r="I101" i="31"/>
  <c r="D19" i="4" s="1"/>
  <c r="H101" i="31"/>
  <c r="C19" i="4" s="1"/>
  <c r="AC97" i="31"/>
  <c r="AC93" i="31"/>
  <c r="U85" i="31"/>
  <c r="J85" i="31"/>
  <c r="V85" i="31"/>
  <c r="I85" i="31"/>
  <c r="H85" i="31"/>
  <c r="J73" i="31"/>
  <c r="V73" i="31"/>
  <c r="I73" i="31"/>
  <c r="H73" i="31"/>
  <c r="AB52" i="31"/>
  <c r="Y52" i="31"/>
  <c r="W52" i="31"/>
  <c r="U52" i="31"/>
  <c r="J52" i="31"/>
  <c r="V52" i="31"/>
  <c r="I52" i="31"/>
  <c r="H52" i="31"/>
  <c r="F52" i="31"/>
  <c r="E52" i="31"/>
  <c r="D52" i="31"/>
  <c r="AC51" i="31"/>
  <c r="AD51" i="31" s="1"/>
  <c r="AC50" i="31"/>
  <c r="AD50" i="31" s="1"/>
  <c r="AC49" i="31"/>
  <c r="AD49" i="31" s="1"/>
  <c r="AC48" i="31"/>
  <c r="AD48" i="31" s="1"/>
  <c r="AC47" i="31"/>
  <c r="AD47" i="31" s="1"/>
  <c r="AC46" i="31"/>
  <c r="AD46" i="31" s="1"/>
  <c r="AC45" i="31"/>
  <c r="AD45" i="31" s="1"/>
  <c r="AC44" i="31"/>
  <c r="AD44" i="31" s="1"/>
  <c r="AC43" i="31"/>
  <c r="AD43" i="31" s="1"/>
  <c r="AC42" i="31"/>
  <c r="AD42" i="31" s="1"/>
  <c r="AC41" i="31"/>
  <c r="AB38" i="31"/>
  <c r="Y14" i="4" s="1"/>
  <c r="Y38" i="31"/>
  <c r="V14" i="4" s="1"/>
  <c r="W38" i="31"/>
  <c r="T14" i="4" s="1"/>
  <c r="U38" i="31"/>
  <c r="R14" i="4" s="1"/>
  <c r="J38" i="31"/>
  <c r="E14" i="4" s="1"/>
  <c r="I38" i="31"/>
  <c r="D14" i="4" s="1"/>
  <c r="AC37" i="31"/>
  <c r="AC34" i="31"/>
  <c r="AC33" i="31"/>
  <c r="AC26" i="31"/>
  <c r="AC24" i="31"/>
  <c r="AC23" i="31"/>
  <c r="AC21" i="31"/>
  <c r="AB18" i="31"/>
  <c r="W18" i="31"/>
  <c r="T8" i="4" s="1"/>
  <c r="U18" i="31"/>
  <c r="I18" i="31"/>
  <c r="D8" i="4" s="1"/>
  <c r="D11" i="4" s="1"/>
  <c r="F24" i="1"/>
  <c r="AB23" i="4" s="1"/>
  <c r="C33" i="2"/>
  <c r="K91" i="31"/>
  <c r="I40" i="6"/>
  <c r="I47" i="6"/>
  <c r="K47" i="6" s="1"/>
  <c r="L47" i="6" s="1"/>
  <c r="P47" i="6"/>
  <c r="K66" i="31" s="1"/>
  <c r="I48" i="6"/>
  <c r="K48" i="6" s="1"/>
  <c r="L48" i="6" s="1"/>
  <c r="P48" i="6"/>
  <c r="K67" i="31" s="1"/>
  <c r="F25" i="31"/>
  <c r="F160" i="31"/>
  <c r="E18" i="31"/>
  <c r="E29" i="31" s="1"/>
  <c r="F117" i="31"/>
  <c r="F35" i="31"/>
  <c r="F91" i="31"/>
  <c r="F98" i="31"/>
  <c r="F100" i="31"/>
  <c r="F145" i="31"/>
  <c r="F155" i="31"/>
  <c r="F168" i="31"/>
  <c r="F17" i="31"/>
  <c r="F37" i="31"/>
  <c r="C16" i="1"/>
  <c r="F70" i="31"/>
  <c r="F71" i="31"/>
  <c r="AD71" i="31" s="1"/>
  <c r="F177" i="31"/>
  <c r="F33" i="31"/>
  <c r="F131" i="31"/>
  <c r="F166" i="31"/>
  <c r="F158" i="31"/>
  <c r="F77" i="31"/>
  <c r="F82" i="31"/>
  <c r="F89" i="31"/>
  <c r="F116" i="31"/>
  <c r="F118" i="31"/>
  <c r="F123" i="31"/>
  <c r="F132" i="31"/>
  <c r="F156" i="31"/>
  <c r="F134" i="31"/>
  <c r="F135" i="31"/>
  <c r="F22" i="31"/>
  <c r="E38" i="31"/>
  <c r="F65" i="31"/>
  <c r="F105" i="31"/>
  <c r="F114" i="31"/>
  <c r="F133" i="31"/>
  <c r="E174" i="31"/>
  <c r="F167" i="31"/>
  <c r="F169" i="31"/>
  <c r="F178" i="31"/>
  <c r="F179" i="31"/>
  <c r="F181" i="31"/>
  <c r="F185" i="31"/>
  <c r="F16" i="31"/>
  <c r="F36" i="31"/>
  <c r="AD36" i="31" s="1"/>
  <c r="F69" i="31"/>
  <c r="F106" i="31"/>
  <c r="F170" i="31"/>
  <c r="F182" i="31"/>
  <c r="F183" i="31"/>
  <c r="F32" i="31"/>
  <c r="D150" i="31"/>
  <c r="D18" i="31"/>
  <c r="F34" i="31"/>
  <c r="F68" i="31"/>
  <c r="F90" i="31"/>
  <c r="F115" i="31"/>
  <c r="F186" i="31"/>
  <c r="F24" i="31"/>
  <c r="F26" i="31"/>
  <c r="F79" i="31"/>
  <c r="F80" i="31"/>
  <c r="F119" i="31"/>
  <c r="F62" i="31"/>
  <c r="F72" i="31"/>
  <c r="AD72" i="31" s="1"/>
  <c r="F92" i="31"/>
  <c r="D108" i="31"/>
  <c r="F113" i="31"/>
  <c r="F172" i="31"/>
  <c r="F180" i="31"/>
  <c r="F130" i="31"/>
  <c r="D10" i="6"/>
  <c r="I10" i="6" s="1"/>
  <c r="K10" i="6" s="1"/>
  <c r="F58" i="31"/>
  <c r="C17" i="1" s="1"/>
  <c r="D85" i="31"/>
  <c r="F78" i="31"/>
  <c r="D161" i="31"/>
  <c r="F159" i="31"/>
  <c r="F21" i="31"/>
  <c r="E136" i="31"/>
  <c r="F129" i="31"/>
  <c r="F81" i="31"/>
  <c r="E94" i="31"/>
  <c r="D38" i="31"/>
  <c r="E73" i="31"/>
  <c r="F64" i="31"/>
  <c r="F67" i="31"/>
  <c r="F99" i="31"/>
  <c r="E122" i="31"/>
  <c r="E124" i="31" s="1"/>
  <c r="D73" i="31"/>
  <c r="F93" i="31"/>
  <c r="F97" i="31"/>
  <c r="E101" i="31"/>
  <c r="F138" i="31"/>
  <c r="D94" i="31"/>
  <c r="F120" i="31"/>
  <c r="F23" i="31"/>
  <c r="F63" i="31"/>
  <c r="F66" i="31"/>
  <c r="E85" i="31"/>
  <c r="F76" i="31"/>
  <c r="F83" i="31"/>
  <c r="F84" i="31"/>
  <c r="E108" i="31"/>
  <c r="F104" i="31"/>
  <c r="F107" i="31"/>
  <c r="F112" i="31"/>
  <c r="D101" i="31"/>
  <c r="D122" i="31"/>
  <c r="D124" i="31" s="1"/>
  <c r="F121" i="31"/>
  <c r="D136" i="31"/>
  <c r="F141" i="31"/>
  <c r="C25" i="1" s="1"/>
  <c r="F165" i="31"/>
  <c r="F173" i="31"/>
  <c r="F111" i="31"/>
  <c r="D187" i="31"/>
  <c r="E150" i="31"/>
  <c r="E161" i="31"/>
  <c r="D174" i="31"/>
  <c r="F164" i="31"/>
  <c r="E187" i="31"/>
  <c r="F184" i="31"/>
  <c r="F157" i="31"/>
  <c r="F171" i="31"/>
  <c r="J101" i="31"/>
  <c r="E19" i="4" s="1"/>
  <c r="H38" i="31"/>
  <c r="C14" i="4" s="1"/>
  <c r="AC113" i="31"/>
  <c r="AC25" i="31"/>
  <c r="V38" i="31"/>
  <c r="S14" i="4" s="1"/>
  <c r="AC32" i="31"/>
  <c r="C12" i="3"/>
  <c r="E12" i="3" s="1"/>
  <c r="J19" i="6"/>
  <c r="J20" i="6" s="1"/>
  <c r="J21" i="6" s="1"/>
  <c r="AB72" i="169" l="1"/>
  <c r="AC72" i="169" s="1"/>
  <c r="AB102" i="169"/>
  <c r="AC102" i="169" s="1"/>
  <c r="AB228" i="169"/>
  <c r="AC228" i="169" s="1"/>
  <c r="P26" i="6"/>
  <c r="P19" i="6"/>
  <c r="I19" i="6"/>
  <c r="AD138" i="31"/>
  <c r="Y124" i="31"/>
  <c r="V21" i="4" s="1"/>
  <c r="I8" i="4"/>
  <c r="I11" i="4" s="1"/>
  <c r="J8" i="78"/>
  <c r="AA7" i="169"/>
  <c r="J40" i="78"/>
  <c r="AA39" i="169"/>
  <c r="I40" i="78"/>
  <c r="D8" i="77"/>
  <c r="E8" i="77"/>
  <c r="I8" i="78"/>
  <c r="I9" i="78"/>
  <c r="D9" i="77"/>
  <c r="G33" i="76"/>
  <c r="D29" i="75" s="1"/>
  <c r="I52" i="6"/>
  <c r="K52" i="6" s="1"/>
  <c r="P50" i="6"/>
  <c r="K69" i="31" s="1"/>
  <c r="R188" i="58"/>
  <c r="Q194" i="58"/>
  <c r="Q192" i="58"/>
  <c r="Q195" i="58" s="1"/>
  <c r="L188" i="58"/>
  <c r="K194" i="58"/>
  <c r="K192" i="58"/>
  <c r="S194" i="58"/>
  <c r="S192" i="58"/>
  <c r="S195" i="58" s="1"/>
  <c r="T188" i="58"/>
  <c r="AA194" i="58"/>
  <c r="AA192" i="58"/>
  <c r="AA195" i="58" s="1"/>
  <c r="AB188" i="58"/>
  <c r="AA166" i="58"/>
  <c r="AE164" i="58"/>
  <c r="L166" i="58"/>
  <c r="AB166" i="58"/>
  <c r="N188" i="58"/>
  <c r="M194" i="58"/>
  <c r="M192" i="58"/>
  <c r="M195" i="58" s="1"/>
  <c r="V188" i="58"/>
  <c r="U194" i="58"/>
  <c r="U192" i="58"/>
  <c r="AC194" i="58"/>
  <c r="AC192" i="58"/>
  <c r="AC195" i="58" s="1"/>
  <c r="AD188" i="58"/>
  <c r="J188" i="58"/>
  <c r="I194" i="58"/>
  <c r="I192" i="58"/>
  <c r="Y166" i="58"/>
  <c r="H188" i="58"/>
  <c r="G194" i="58"/>
  <c r="G192" i="58"/>
  <c r="G195" i="58" s="1"/>
  <c r="P188" i="58"/>
  <c r="O194" i="58"/>
  <c r="O192" i="58"/>
  <c r="O195" i="58" s="1"/>
  <c r="W194" i="58"/>
  <c r="W192" i="58"/>
  <c r="W195" i="58" s="1"/>
  <c r="X188" i="58"/>
  <c r="Z188" i="58"/>
  <c r="Y194" i="58"/>
  <c r="Y192" i="58"/>
  <c r="I28" i="6"/>
  <c r="P37" i="6"/>
  <c r="P59" i="6"/>
  <c r="K90" i="31" s="1"/>
  <c r="P62" i="6"/>
  <c r="K121" i="31" s="1"/>
  <c r="K122" i="31" s="1"/>
  <c r="K124" i="31" s="1"/>
  <c r="F21" i="4" s="1"/>
  <c r="I61" i="6"/>
  <c r="K61" i="6" s="1"/>
  <c r="I21" i="6"/>
  <c r="P58" i="6"/>
  <c r="K84" i="31" s="1"/>
  <c r="I20" i="6"/>
  <c r="I60" i="6"/>
  <c r="K60" i="6" s="1"/>
  <c r="AD279" i="62"/>
  <c r="U279" i="62"/>
  <c r="AF279" i="62" s="1"/>
  <c r="X624" i="62"/>
  <c r="G737" i="62"/>
  <c r="U62" i="62"/>
  <c r="AD62" i="62" s="1"/>
  <c r="AF62" i="62" s="1"/>
  <c r="M123" i="62"/>
  <c r="Y595" i="62"/>
  <c r="Z595" i="62"/>
  <c r="V611" i="62"/>
  <c r="AD611" i="62"/>
  <c r="AB510" i="62"/>
  <c r="V510" i="62"/>
  <c r="AB241" i="62"/>
  <c r="U241" i="62"/>
  <c r="AD241" i="62" s="1"/>
  <c r="AF241" i="62" s="1"/>
  <c r="AC223" i="62"/>
  <c r="W223" i="62"/>
  <c r="X284" i="62"/>
  <c r="AB284" i="62"/>
  <c r="AF224" i="62"/>
  <c r="AC224" i="62"/>
  <c r="W224" i="62"/>
  <c r="AD293" i="62"/>
  <c r="U293" i="62"/>
  <c r="AF293" i="62" s="1"/>
  <c r="F100" i="62"/>
  <c r="F123" i="62" s="1"/>
  <c r="N100" i="62"/>
  <c r="N123" i="62" s="1"/>
  <c r="W669" i="62"/>
  <c r="AC705" i="62"/>
  <c r="V610" i="62"/>
  <c r="AD610" i="62"/>
  <c r="Y594" i="62"/>
  <c r="Z594" i="62"/>
  <c r="AB572" i="62"/>
  <c r="V572" i="62"/>
  <c r="AD572" i="62" s="1"/>
  <c r="AF572" i="62" s="1"/>
  <c r="AB509" i="62"/>
  <c r="V509" i="62"/>
  <c r="AD299" i="62"/>
  <c r="V299" i="62"/>
  <c r="AF299" i="62" s="1"/>
  <c r="X649" i="62"/>
  <c r="Y649" i="62"/>
  <c r="X639" i="62"/>
  <c r="AB242" i="62"/>
  <c r="U242" i="62"/>
  <c r="AD242" i="62" s="1"/>
  <c r="AF242" i="62" s="1"/>
  <c r="AC324" i="62"/>
  <c r="AC715" i="62"/>
  <c r="V636" i="62"/>
  <c r="AF636" i="62" s="1"/>
  <c r="AD636" i="62"/>
  <c r="AD609" i="62"/>
  <c r="V609" i="62"/>
  <c r="X601" i="62"/>
  <c r="AB601" i="62"/>
  <c r="Y593" i="62"/>
  <c r="Z593" i="62"/>
  <c r="AB571" i="62"/>
  <c r="V571" i="62"/>
  <c r="AD571" i="62" s="1"/>
  <c r="AF571" i="62" s="1"/>
  <c r="AC508" i="62"/>
  <c r="V508" i="62"/>
  <c r="V298" i="62"/>
  <c r="AF298" i="62" s="1"/>
  <c r="AD298" i="62"/>
  <c r="AB290" i="62"/>
  <c r="AD290" i="62"/>
  <c r="U290" i="62"/>
  <c r="AF290" i="62" s="1"/>
  <c r="L737" i="62"/>
  <c r="AD614" i="62"/>
  <c r="V614" i="62"/>
  <c r="V647" i="62"/>
  <c r="W677" i="62"/>
  <c r="X635" i="62"/>
  <c r="AB635" i="62"/>
  <c r="AD580" i="62"/>
  <c r="AF580" i="62" s="1"/>
  <c r="X580" i="62"/>
  <c r="AB580" i="62" s="1"/>
  <c r="AB570" i="62"/>
  <c r="V570" i="62"/>
  <c r="AD570" i="62" s="1"/>
  <c r="AF570" i="62" s="1"/>
  <c r="U297" i="62"/>
  <c r="AD297" i="62"/>
  <c r="AB289" i="62"/>
  <c r="AD289" i="62"/>
  <c r="U289" i="62"/>
  <c r="AF289" i="62" s="1"/>
  <c r="AB620" i="62"/>
  <c r="X620" i="62"/>
  <c r="F737" i="62"/>
  <c r="AC727" i="62"/>
  <c r="X617" i="62"/>
  <c r="AB617" i="62"/>
  <c r="AF589" i="62"/>
  <c r="Y589" i="62"/>
  <c r="Z589" i="62"/>
  <c r="AB569" i="62"/>
  <c r="V569" i="62"/>
  <c r="AD569" i="62" s="1"/>
  <c r="AF569" i="62" s="1"/>
  <c r="X296" i="62"/>
  <c r="AB296" i="62" s="1"/>
  <c r="AD296" i="62"/>
  <c r="AF296" i="62" s="1"/>
  <c r="AB619" i="62"/>
  <c r="X619" i="62"/>
  <c r="R737" i="62"/>
  <c r="J737" i="62"/>
  <c r="AB285" i="62"/>
  <c r="X285" i="62"/>
  <c r="O737" i="62"/>
  <c r="AC685" i="62"/>
  <c r="AB295" i="62"/>
  <c r="AD295" i="62"/>
  <c r="U295" i="62"/>
  <c r="AB287" i="62"/>
  <c r="U287" i="62"/>
  <c r="AD287" i="62"/>
  <c r="AF434" i="62"/>
  <c r="W434" i="62"/>
  <c r="AC434" i="62"/>
  <c r="Z592" i="62"/>
  <c r="Y592" i="62"/>
  <c r="X618" i="62"/>
  <c r="AB618" i="62"/>
  <c r="Q737" i="62"/>
  <c r="I737" i="62"/>
  <c r="V596" i="62"/>
  <c r="AF596" i="62" s="1"/>
  <c r="AD596" i="62"/>
  <c r="X640" i="62"/>
  <c r="AB640" i="62"/>
  <c r="X632" i="62"/>
  <c r="AB632" i="62"/>
  <c r="X615" i="62"/>
  <c r="V597" i="62"/>
  <c r="AF597" i="62" s="1"/>
  <c r="AD597" i="62"/>
  <c r="S348" i="62"/>
  <c r="AB294" i="62"/>
  <c r="AD294" i="62"/>
  <c r="U294" i="62"/>
  <c r="W433" i="62"/>
  <c r="AC433" i="62"/>
  <c r="Z591" i="62"/>
  <c r="Y591" i="62"/>
  <c r="H737" i="62"/>
  <c r="I27" i="6"/>
  <c r="P110" i="6"/>
  <c r="I22" i="6"/>
  <c r="K19" i="6"/>
  <c r="P29" i="6"/>
  <c r="I38" i="6"/>
  <c r="I31" i="6"/>
  <c r="H32" i="6"/>
  <c r="P32" i="6" s="1"/>
  <c r="F14" i="6"/>
  <c r="AY44" i="59"/>
  <c r="AW79" i="59"/>
  <c r="AX44" i="59"/>
  <c r="C14" i="32" s="1"/>
  <c r="C35" i="1" s="1"/>
  <c r="AX24" i="59"/>
  <c r="C13" i="32" s="1"/>
  <c r="C34" i="1" s="1"/>
  <c r="AW24" i="59"/>
  <c r="Y8" i="4"/>
  <c r="Y11" i="4" s="1"/>
  <c r="W11" i="4"/>
  <c r="AD104" i="31"/>
  <c r="J86" i="31"/>
  <c r="E17" i="4" s="1"/>
  <c r="AD120" i="31"/>
  <c r="AD99" i="31"/>
  <c r="AD149" i="31"/>
  <c r="H11" i="4"/>
  <c r="G39" i="76"/>
  <c r="E42" i="76"/>
  <c r="E35" i="60"/>
  <c r="E13" i="60"/>
  <c r="G40" i="97"/>
  <c r="G39" i="97"/>
  <c r="G41" i="97"/>
  <c r="E43" i="76"/>
  <c r="I80" i="78"/>
  <c r="J80" i="78"/>
  <c r="I163" i="78"/>
  <c r="E33" i="76"/>
  <c r="C29" i="75" s="1"/>
  <c r="J163" i="78"/>
  <c r="A13" i="76"/>
  <c r="I166" i="78"/>
  <c r="C124" i="78"/>
  <c r="F41" i="76"/>
  <c r="AA264" i="169" s="1"/>
  <c r="I208" i="78"/>
  <c r="E38" i="97"/>
  <c r="I210" i="78"/>
  <c r="E39" i="97"/>
  <c r="I211" i="78"/>
  <c r="E34" i="76"/>
  <c r="E40" i="97"/>
  <c r="I212" i="78"/>
  <c r="E41" i="97"/>
  <c r="I213" i="78"/>
  <c r="F40" i="76"/>
  <c r="AA263" i="169" s="1"/>
  <c r="I207" i="78"/>
  <c r="B208" i="78"/>
  <c r="B209" i="78" s="1"/>
  <c r="E44" i="76"/>
  <c r="I165" i="78"/>
  <c r="I41" i="78"/>
  <c r="G30" i="97"/>
  <c r="H30" i="97" s="1"/>
  <c r="I82" i="78"/>
  <c r="B127" i="78"/>
  <c r="B128" i="78" s="1"/>
  <c r="J11" i="4"/>
  <c r="G24" i="1"/>
  <c r="I24" i="1" s="1"/>
  <c r="C23" i="165" s="1"/>
  <c r="E23" i="165" s="1"/>
  <c r="G23" i="165" s="1"/>
  <c r="I23" i="165" s="1"/>
  <c r="K23" i="165" s="1"/>
  <c r="M23" i="165" s="1"/>
  <c r="O23" i="165" s="1"/>
  <c r="Q23" i="165" s="1"/>
  <c r="S23" i="165" s="1"/>
  <c r="U86" i="31"/>
  <c r="R17" i="4" s="1"/>
  <c r="G27" i="99"/>
  <c r="G10" i="99" s="1"/>
  <c r="F34" i="1"/>
  <c r="AB33" i="4" s="1"/>
  <c r="F36" i="1"/>
  <c r="AB35" i="4" s="1"/>
  <c r="P10" i="4"/>
  <c r="D11" i="1" s="1"/>
  <c r="Z86" i="31"/>
  <c r="W17" i="4" s="1"/>
  <c r="P14" i="4"/>
  <c r="D15" i="1" s="1"/>
  <c r="U29" i="31"/>
  <c r="U54" i="31" s="1"/>
  <c r="R15" i="4" s="1"/>
  <c r="AD107" i="31"/>
  <c r="AD35" i="31"/>
  <c r="Y86" i="31"/>
  <c r="V17" i="4" s="1"/>
  <c r="AD77" i="31"/>
  <c r="O29" i="31"/>
  <c r="O54" i="31" s="1"/>
  <c r="AD135" i="31"/>
  <c r="AD24" i="31"/>
  <c r="I29" i="31"/>
  <c r="I54" i="31" s="1"/>
  <c r="D15" i="4" s="1"/>
  <c r="E55" i="31"/>
  <c r="AD25" i="31"/>
  <c r="AD23" i="31"/>
  <c r="AD32" i="31"/>
  <c r="AD114" i="31"/>
  <c r="W29" i="31"/>
  <c r="W54" i="31" s="1"/>
  <c r="T15" i="4" s="1"/>
  <c r="AD123" i="31"/>
  <c r="K29" i="31"/>
  <c r="K54" i="31" s="1"/>
  <c r="F15" i="4" s="1"/>
  <c r="T86" i="31"/>
  <c r="AD113" i="31"/>
  <c r="O86" i="31"/>
  <c r="J17" i="4" s="1"/>
  <c r="D86" i="31"/>
  <c r="D126" i="31" s="1"/>
  <c r="D151" i="31" s="1"/>
  <c r="AD131" i="31"/>
  <c r="AC52" i="31"/>
  <c r="F150" i="31"/>
  <c r="C26" i="1" s="1"/>
  <c r="AD145" i="31"/>
  <c r="I86" i="31"/>
  <c r="D17" i="4" s="1"/>
  <c r="AD147" i="31"/>
  <c r="AC38" i="31"/>
  <c r="AD146" i="31"/>
  <c r="Z29" i="31"/>
  <c r="F101" i="31"/>
  <c r="C20" i="1" s="1"/>
  <c r="AD41" i="31"/>
  <c r="AD52" i="31" s="1"/>
  <c r="L86" i="31"/>
  <c r="G17" i="4" s="1"/>
  <c r="N86" i="31"/>
  <c r="I17" i="4" s="1"/>
  <c r="F161" i="31"/>
  <c r="E10" i="24" s="1"/>
  <c r="AD93" i="31"/>
  <c r="AD26" i="31"/>
  <c r="AD34" i="31"/>
  <c r="AD148" i="31"/>
  <c r="F38" i="31"/>
  <c r="C15" i="1" s="1"/>
  <c r="AD37" i="31"/>
  <c r="N29" i="31"/>
  <c r="N54" i="31" s="1"/>
  <c r="M86" i="31"/>
  <c r="H17" i="4" s="1"/>
  <c r="C10" i="1"/>
  <c r="F174" i="31"/>
  <c r="AD130" i="31"/>
  <c r="AD33" i="31"/>
  <c r="AD17" i="31"/>
  <c r="H86" i="31"/>
  <c r="C17" i="4" s="1"/>
  <c r="AD119" i="31"/>
  <c r="AD133" i="31"/>
  <c r="AD134" i="31"/>
  <c r="AD117" i="31"/>
  <c r="L29" i="31"/>
  <c r="L54" i="31" s="1"/>
  <c r="G15" i="4" s="1"/>
  <c r="T29" i="31"/>
  <c r="T54" i="31" s="1"/>
  <c r="O15" i="4" s="1"/>
  <c r="M29" i="31"/>
  <c r="M54" i="31" s="1"/>
  <c r="H15" i="4" s="1"/>
  <c r="V86" i="31"/>
  <c r="S17" i="4" s="1"/>
  <c r="G10" i="24"/>
  <c r="AD21" i="31"/>
  <c r="AB81" i="59"/>
  <c r="G166" i="58"/>
  <c r="O166" i="58"/>
  <c r="W166" i="58"/>
  <c r="V166" i="58"/>
  <c r="U166" i="58"/>
  <c r="M166" i="58"/>
  <c r="E166" i="58"/>
  <c r="AD164" i="58"/>
  <c r="AE157" i="58"/>
  <c r="AD157" i="58"/>
  <c r="AC166" i="58"/>
  <c r="AE95" i="58"/>
  <c r="AE48" i="58"/>
  <c r="AD95" i="58"/>
  <c r="AD166" i="58" s="1"/>
  <c r="AD48" i="58"/>
  <c r="P51" i="6"/>
  <c r="K70" i="31" s="1"/>
  <c r="I54" i="6"/>
  <c r="K54" i="6" s="1"/>
  <c r="L54" i="6" s="1"/>
  <c r="N54" i="6" s="1"/>
  <c r="Q54" i="6" s="1"/>
  <c r="P45" i="6"/>
  <c r="K64" i="31" s="1"/>
  <c r="P57" i="6"/>
  <c r="K83" i="31" s="1"/>
  <c r="P49" i="6"/>
  <c r="K68" i="31" s="1"/>
  <c r="H63" i="6"/>
  <c r="P43" i="6"/>
  <c r="K62" i="31" s="1"/>
  <c r="AC27" i="31"/>
  <c r="AD27" i="31" s="1"/>
  <c r="D17" i="1"/>
  <c r="E17" i="1" s="1"/>
  <c r="P46" i="6"/>
  <c r="K65" i="31" s="1"/>
  <c r="P56" i="6"/>
  <c r="P44" i="6"/>
  <c r="K63" i="31" s="1"/>
  <c r="L62" i="6"/>
  <c r="N62" i="6" s="1"/>
  <c r="Q62" i="6" s="1"/>
  <c r="W121" i="31" s="1"/>
  <c r="L49" i="6"/>
  <c r="K214" i="49"/>
  <c r="J215" i="49"/>
  <c r="K195" i="49"/>
  <c r="F190" i="49"/>
  <c r="W732" i="62"/>
  <c r="AC666" i="62"/>
  <c r="W721" i="62"/>
  <c r="AC702" i="62"/>
  <c r="W658" i="62"/>
  <c r="AC674" i="62"/>
  <c r="X607" i="62"/>
  <c r="V506" i="62"/>
  <c r="AF506" i="62" s="1"/>
  <c r="W401" i="62"/>
  <c r="X467" i="62"/>
  <c r="W678" i="62"/>
  <c r="AC351" i="62"/>
  <c r="X641" i="62"/>
  <c r="AF641" i="62" s="1"/>
  <c r="W341" i="62"/>
  <c r="W358" i="62"/>
  <c r="W374" i="62"/>
  <c r="AC699" i="62"/>
  <c r="W382" i="62"/>
  <c r="W393" i="62"/>
  <c r="W696" i="62"/>
  <c r="AD524" i="62"/>
  <c r="AF524" i="62" s="1"/>
  <c r="S582" i="62"/>
  <c r="W668" i="62"/>
  <c r="W682" i="62"/>
  <c r="AC372" i="62"/>
  <c r="W706" i="62"/>
  <c r="AD504" i="62"/>
  <c r="AF504" i="62" s="1"/>
  <c r="W684" i="62"/>
  <c r="W712" i="62"/>
  <c r="W380" i="62"/>
  <c r="AC680" i="62"/>
  <c r="V623" i="62"/>
  <c r="W362" i="62"/>
  <c r="W676" i="62"/>
  <c r="W692" i="62"/>
  <c r="W714" i="62"/>
  <c r="W704" i="62"/>
  <c r="AC388" i="62"/>
  <c r="W430" i="62"/>
  <c r="AC420" i="62"/>
  <c r="W660" i="62"/>
  <c r="X646" i="62"/>
  <c r="AF646" i="62" s="1"/>
  <c r="AC670" i="62"/>
  <c r="AC694" i="62"/>
  <c r="AD492" i="62"/>
  <c r="AF492" i="62" s="1"/>
  <c r="W395" i="62"/>
  <c r="AC708" i="62"/>
  <c r="W428" i="62"/>
  <c r="W686" i="62"/>
  <c r="W701" i="62"/>
  <c r="W716" i="62"/>
  <c r="AB608" i="62"/>
  <c r="W690" i="62"/>
  <c r="W691" i="62"/>
  <c r="X634" i="62"/>
  <c r="AC333" i="62"/>
  <c r="AC673" i="62"/>
  <c r="AC662" i="62"/>
  <c r="X463" i="62"/>
  <c r="S473" i="62"/>
  <c r="W396" i="62"/>
  <c r="W385" i="62"/>
  <c r="AC334" i="62"/>
  <c r="AC359" i="62"/>
  <c r="AC419" i="62"/>
  <c r="S440" i="62"/>
  <c r="W394" i="62"/>
  <c r="W421" i="62"/>
  <c r="W429" i="62"/>
  <c r="AF461" i="62"/>
  <c r="W423" i="62"/>
  <c r="W397" i="62"/>
  <c r="W398" i="62"/>
  <c r="AC386" i="62"/>
  <c r="AD286" i="62"/>
  <c r="W432" i="62"/>
  <c r="X464" i="62"/>
  <c r="W387" i="62"/>
  <c r="AC370" i="62"/>
  <c r="AC422" i="62"/>
  <c r="AC378" i="62"/>
  <c r="AB463" i="62"/>
  <c r="AC412" i="62"/>
  <c r="W375" i="62"/>
  <c r="AC415" i="62"/>
  <c r="AB466" i="62"/>
  <c r="AC332" i="62"/>
  <c r="W425" i="62"/>
  <c r="W352" i="62"/>
  <c r="AC427" i="62"/>
  <c r="U234" i="62"/>
  <c r="AD234" i="62" s="1"/>
  <c r="AF234" i="62" s="1"/>
  <c r="S316" i="62"/>
  <c r="AC340" i="62"/>
  <c r="W419" i="62"/>
  <c r="W383" i="62"/>
  <c r="W416" i="62"/>
  <c r="W399" i="62"/>
  <c r="W377" i="62"/>
  <c r="W368" i="62"/>
  <c r="W369" i="62"/>
  <c r="AC384" i="62"/>
  <c r="W376" i="62"/>
  <c r="AC357" i="62"/>
  <c r="AC360" i="62"/>
  <c r="W345" i="62"/>
  <c r="AC345" i="62"/>
  <c r="W335" i="62"/>
  <c r="AC339" i="62"/>
  <c r="AC331" i="62"/>
  <c r="AD523" i="62"/>
  <c r="AF523" i="62" s="1"/>
  <c r="AD459" i="62"/>
  <c r="AF459" i="62" s="1"/>
  <c r="I37" i="62"/>
  <c r="Q37" i="62"/>
  <c r="L35" i="62"/>
  <c r="L37" i="62" s="1"/>
  <c r="AF475" i="62"/>
  <c r="M482" i="62"/>
  <c r="M737" i="62" s="1"/>
  <c r="F482" i="62"/>
  <c r="AF449" i="62"/>
  <c r="P482" i="62"/>
  <c r="P737" i="62" s="1"/>
  <c r="N35" i="62"/>
  <c r="S389" i="62"/>
  <c r="J482" i="62"/>
  <c r="H35" i="62"/>
  <c r="H37" i="62" s="1"/>
  <c r="P35" i="62"/>
  <c r="K35" i="62"/>
  <c r="K37" i="62" s="1"/>
  <c r="AB301" i="62"/>
  <c r="U235" i="62"/>
  <c r="U277" i="62"/>
  <c r="AF277" i="62" s="1"/>
  <c r="AB91" i="62"/>
  <c r="AD269" i="62"/>
  <c r="AF269" i="62" s="1"/>
  <c r="AB88" i="62"/>
  <c r="U278" i="62"/>
  <c r="AF278" i="62" s="1"/>
  <c r="U280" i="62"/>
  <c r="AF280" i="62" s="1"/>
  <c r="AF297" i="62"/>
  <c r="X276" i="62"/>
  <c r="AD237" i="62"/>
  <c r="AF237" i="62" s="1"/>
  <c r="AD255" i="62"/>
  <c r="AF255" i="62" s="1"/>
  <c r="X92" i="62"/>
  <c r="AB274" i="62"/>
  <c r="U272" i="62"/>
  <c r="AD270" i="62"/>
  <c r="AF270" i="62" s="1"/>
  <c r="AB191" i="62"/>
  <c r="X194" i="62"/>
  <c r="AB203" i="62"/>
  <c r="X94" i="62"/>
  <c r="W215" i="62"/>
  <c r="AC208" i="62"/>
  <c r="S228" i="62"/>
  <c r="AC211" i="62"/>
  <c r="W219" i="62"/>
  <c r="AD642" i="62"/>
  <c r="AF642" i="62" s="1"/>
  <c r="AD542" i="62"/>
  <c r="AF542" i="62" s="1"/>
  <c r="AD534" i="62"/>
  <c r="AF534" i="62" s="1"/>
  <c r="AD519" i="62"/>
  <c r="AF519" i="62" s="1"/>
  <c r="AD503" i="62"/>
  <c r="AF503" i="62" s="1"/>
  <c r="AD493" i="62"/>
  <c r="AF493" i="62" s="1"/>
  <c r="AD478" i="62"/>
  <c r="AF478" i="62" s="1"/>
  <c r="AD454" i="62"/>
  <c r="AF454" i="62" s="1"/>
  <c r="AD262" i="62"/>
  <c r="AF262" i="62" s="1"/>
  <c r="AD254" i="62"/>
  <c r="AF254" i="62" s="1"/>
  <c r="AD522" i="62"/>
  <c r="AF522" i="62" s="1"/>
  <c r="AD543" i="62"/>
  <c r="AF543" i="62" s="1"/>
  <c r="AB185" i="62"/>
  <c r="S480" i="62"/>
  <c r="R123" i="62"/>
  <c r="R407" i="62" s="1"/>
  <c r="AF540" i="62"/>
  <c r="AD514" i="62"/>
  <c r="AF514" i="62" s="1"/>
  <c r="AF452" i="62"/>
  <c r="AF539" i="62"/>
  <c r="W346" i="62"/>
  <c r="W371" i="62"/>
  <c r="W672" i="62"/>
  <c r="AF541" i="62"/>
  <c r="AF531" i="62"/>
  <c r="AF645" i="62"/>
  <c r="AF515" i="62"/>
  <c r="X273" i="62"/>
  <c r="W336" i="62"/>
  <c r="AC445" i="62"/>
  <c r="AF581" i="62"/>
  <c r="W664" i="62"/>
  <c r="W710" i="62"/>
  <c r="AC379" i="62"/>
  <c r="AC730" i="62"/>
  <c r="S652" i="62"/>
  <c r="AF647" i="62"/>
  <c r="AD485" i="62"/>
  <c r="W356" i="62"/>
  <c r="AF251" i="62"/>
  <c r="AF528" i="62"/>
  <c r="I123" i="62"/>
  <c r="I407" i="62" s="1"/>
  <c r="Q123" i="62"/>
  <c r="Q407" i="62" s="1"/>
  <c r="N482" i="62"/>
  <c r="N737" i="62" s="1"/>
  <c r="W656" i="62"/>
  <c r="AC371" i="62"/>
  <c r="AC707" i="62"/>
  <c r="AF261" i="62"/>
  <c r="X628" i="62"/>
  <c r="U281" i="62"/>
  <c r="AF281" i="62" s="1"/>
  <c r="AC361" i="62"/>
  <c r="AC718" i="62"/>
  <c r="X621" i="62"/>
  <c r="V525" i="62"/>
  <c r="AF525" i="62" s="1"/>
  <c r="AF507" i="62"/>
  <c r="W328" i="62"/>
  <c r="W413" i="62"/>
  <c r="AF527" i="62"/>
  <c r="AF488" i="62"/>
  <c r="K482" i="62"/>
  <c r="K737" i="62" s="1"/>
  <c r="AF549" i="62"/>
  <c r="M37" i="62"/>
  <c r="J35" i="62"/>
  <c r="J37" i="62" s="1"/>
  <c r="W698" i="62"/>
  <c r="AD544" i="62"/>
  <c r="AF544" i="62" s="1"/>
  <c r="W717" i="62"/>
  <c r="AD145" i="62"/>
  <c r="AF145" i="62" s="1"/>
  <c r="AF135" i="62"/>
  <c r="X187" i="62"/>
  <c r="W222" i="62"/>
  <c r="AB95" i="62"/>
  <c r="AC210" i="62"/>
  <c r="AB87" i="62"/>
  <c r="AD49" i="62"/>
  <c r="AF49" i="62" s="1"/>
  <c r="W214" i="62"/>
  <c r="AC216" i="62"/>
  <c r="W221" i="62"/>
  <c r="W208" i="62"/>
  <c r="W213" i="62"/>
  <c r="AB93" i="62"/>
  <c r="AD111" i="62"/>
  <c r="AF111" i="62" s="1"/>
  <c r="AD58" i="62"/>
  <c r="AF58" i="62" s="1"/>
  <c r="AD137" i="62"/>
  <c r="AF137" i="62" s="1"/>
  <c r="AF144" i="62"/>
  <c r="AF52" i="62"/>
  <c r="AB89" i="62"/>
  <c r="AF163" i="62"/>
  <c r="AD196" i="62"/>
  <c r="AF196" i="62" s="1"/>
  <c r="AF116" i="62"/>
  <c r="AC218" i="62"/>
  <c r="W217" i="62"/>
  <c r="W220" i="62"/>
  <c r="W209" i="62"/>
  <c r="U205" i="62"/>
  <c r="AB205" i="62" s="1"/>
  <c r="AB202" i="62"/>
  <c r="U206" i="62"/>
  <c r="AB206" i="62" s="1"/>
  <c r="AF189" i="62"/>
  <c r="X184" i="62"/>
  <c r="AD174" i="62"/>
  <c r="AF174" i="62" s="1"/>
  <c r="AD159" i="62"/>
  <c r="AF159" i="62" s="1"/>
  <c r="AD165" i="62"/>
  <c r="AF165" i="62" s="1"/>
  <c r="AF156" i="62"/>
  <c r="AF161" i="62"/>
  <c r="AF153" i="62"/>
  <c r="AF142" i="62"/>
  <c r="AF128" i="62"/>
  <c r="AD117" i="62"/>
  <c r="AF117" i="62" s="1"/>
  <c r="AD115" i="62"/>
  <c r="AF115" i="62" s="1"/>
  <c r="J123" i="62"/>
  <c r="J407" i="62" s="1"/>
  <c r="AF103" i="62"/>
  <c r="AF105" i="62"/>
  <c r="K100" i="62"/>
  <c r="K123" i="62" s="1"/>
  <c r="P100" i="62"/>
  <c r="P123" i="62" s="1"/>
  <c r="H100" i="62"/>
  <c r="H123" i="62" s="1"/>
  <c r="AD71" i="62"/>
  <c r="AF71" i="62" s="1"/>
  <c r="L123" i="62"/>
  <c r="X53" i="62"/>
  <c r="AB53" i="62" s="1"/>
  <c r="X42" i="62"/>
  <c r="S47" i="62"/>
  <c r="F37" i="62"/>
  <c r="F407" i="62" s="1"/>
  <c r="N37" i="62"/>
  <c r="G37" i="62"/>
  <c r="P37" i="62"/>
  <c r="Q166" i="58"/>
  <c r="I166" i="58"/>
  <c r="H166" i="58"/>
  <c r="X166" i="58"/>
  <c r="D166" i="58"/>
  <c r="N166" i="58"/>
  <c r="F166" i="58"/>
  <c r="Z166" i="58"/>
  <c r="R166" i="58"/>
  <c r="J166" i="58"/>
  <c r="F187" i="31"/>
  <c r="AD132" i="31"/>
  <c r="AD115" i="31"/>
  <c r="F94" i="31"/>
  <c r="C19" i="1" s="1"/>
  <c r="E86" i="31"/>
  <c r="E126" i="31" s="1"/>
  <c r="E151" i="31" s="1"/>
  <c r="E152" i="31" s="1"/>
  <c r="E188" i="31" s="1"/>
  <c r="D29" i="31"/>
  <c r="D55" i="31" s="1"/>
  <c r="M72" i="6"/>
  <c r="M73" i="6" s="1"/>
  <c r="M74" i="6" s="1"/>
  <c r="M75" i="6" s="1"/>
  <c r="M76" i="6" s="1"/>
  <c r="J22" i="6"/>
  <c r="K21" i="6"/>
  <c r="L21" i="6" s="1"/>
  <c r="N21" i="6" s="1"/>
  <c r="Q21" i="6" s="1"/>
  <c r="N58" i="6"/>
  <c r="Q58" i="6" s="1"/>
  <c r="N45" i="6"/>
  <c r="Q45" i="6" s="1"/>
  <c r="W64" i="31" s="1"/>
  <c r="D14" i="6"/>
  <c r="N47" i="6"/>
  <c r="Q47" i="6" s="1"/>
  <c r="W66" i="31" s="1"/>
  <c r="K55" i="6"/>
  <c r="L55" i="6" s="1"/>
  <c r="L10" i="6"/>
  <c r="N48" i="6"/>
  <c r="Q48" i="6" s="1"/>
  <c r="W67" i="31" s="1"/>
  <c r="AC67" i="31" s="1"/>
  <c r="AD67" i="31" s="1"/>
  <c r="K46" i="6"/>
  <c r="L46" i="6" s="1"/>
  <c r="K56" i="6"/>
  <c r="L56" i="6" s="1"/>
  <c r="K57" i="6"/>
  <c r="L57" i="6" s="1"/>
  <c r="N49" i="6"/>
  <c r="Q49" i="6" s="1"/>
  <c r="K20" i="6"/>
  <c r="L20" i="6" s="1"/>
  <c r="N20" i="6" s="1"/>
  <c r="F122" i="31"/>
  <c r="F124" i="31" s="1"/>
  <c r="C22" i="1" s="1"/>
  <c r="L59" i="6"/>
  <c r="R8" i="4"/>
  <c r="P166" i="58"/>
  <c r="AF125" i="62"/>
  <c r="O37" i="62"/>
  <c r="O407" i="62" s="1"/>
  <c r="AD127" i="62"/>
  <c r="AF127" i="62" s="1"/>
  <c r="AD536" i="62"/>
  <c r="AF536" i="62" s="1"/>
  <c r="AD606" i="62"/>
  <c r="AF606" i="62" s="1"/>
  <c r="X190" i="62"/>
  <c r="AB190" i="62"/>
  <c r="AD180" i="62"/>
  <c r="AF180" i="62" s="1"/>
  <c r="S182" i="62"/>
  <c r="U172" i="62"/>
  <c r="U158" i="62"/>
  <c r="S170" i="62"/>
  <c r="AF148" i="62"/>
  <c r="AD118" i="62"/>
  <c r="AF118" i="62" s="1"/>
  <c r="AF110" i="62"/>
  <c r="S121" i="62"/>
  <c r="X90" i="62"/>
  <c r="S96" i="62"/>
  <c r="AD74" i="62"/>
  <c r="AF74" i="62" s="1"/>
  <c r="AD66" i="62"/>
  <c r="AF66" i="62" s="1"/>
  <c r="J44" i="59"/>
  <c r="M44" i="59"/>
  <c r="S44" i="59"/>
  <c r="V44" i="59"/>
  <c r="Y44" i="59"/>
  <c r="U133" i="62"/>
  <c r="S150" i="62"/>
  <c r="AF169" i="62"/>
  <c r="AB283" i="62"/>
  <c r="X283" i="62"/>
  <c r="G407" i="62"/>
  <c r="AD498" i="62"/>
  <c r="AF498" i="62" s="1"/>
  <c r="AD547" i="62"/>
  <c r="AF547" i="62" s="1"/>
  <c r="I35" i="6"/>
  <c r="P35" i="6"/>
  <c r="F28" i="31"/>
  <c r="C11" i="1" s="1"/>
  <c r="AB29" i="31"/>
  <c r="AB54" i="31" s="1"/>
  <c r="Y15" i="4" s="1"/>
  <c r="P55" i="6"/>
  <c r="K81" i="31" s="1"/>
  <c r="L51" i="6"/>
  <c r="L52" i="6"/>
  <c r="Z14" i="4"/>
  <c r="AD258" i="62"/>
  <c r="AF258" i="62" s="1"/>
  <c r="AF521" i="62"/>
  <c r="S735" i="62"/>
  <c r="AD605" i="62"/>
  <c r="AF605" i="62" s="1"/>
  <c r="W212" i="62"/>
  <c r="AD97" i="31"/>
  <c r="F108" i="31"/>
  <c r="C21" i="1" s="1"/>
  <c r="I53" i="6"/>
  <c r="S166" i="58"/>
  <c r="AF173" i="62"/>
  <c r="AD119" i="62"/>
  <c r="AF119" i="62" s="1"/>
  <c r="AD109" i="62"/>
  <c r="AF109" i="62" s="1"/>
  <c r="AF250" i="62"/>
  <c r="L407" i="62"/>
  <c r="AD513" i="62"/>
  <c r="AF513" i="62" s="1"/>
  <c r="AB644" i="62"/>
  <c r="X644" i="62"/>
  <c r="AF644" i="62" s="1"/>
  <c r="X638" i="62"/>
  <c r="AF168" i="62"/>
  <c r="AD496" i="62"/>
  <c r="AF496" i="62" s="1"/>
  <c r="L44" i="6"/>
  <c r="AD188" i="62"/>
  <c r="AF188" i="62" s="1"/>
  <c r="W400" i="62"/>
  <c r="AC400" i="62"/>
  <c r="W392" i="62"/>
  <c r="S402" i="62"/>
  <c r="AC392" i="62"/>
  <c r="W381" i="62"/>
  <c r="AC381" i="62"/>
  <c r="W373" i="62"/>
  <c r="AC373" i="62"/>
  <c r="W363" i="62"/>
  <c r="AC363" i="62"/>
  <c r="S366" i="62"/>
  <c r="W338" i="62"/>
  <c r="AC338" i="62"/>
  <c r="S343" i="62"/>
  <c r="W330" i="62"/>
  <c r="AC330" i="62"/>
  <c r="S322" i="62"/>
  <c r="W318" i="62"/>
  <c r="AB275" i="62"/>
  <c r="X275" i="62"/>
  <c r="AD264" i="62"/>
  <c r="AF264" i="62" s="1"/>
  <c r="AD256" i="62"/>
  <c r="AF256" i="62" s="1"/>
  <c r="AD248" i="62"/>
  <c r="AF248" i="62" s="1"/>
  <c r="AF240" i="62"/>
  <c r="U55" i="62"/>
  <c r="S60" i="62"/>
  <c r="AD236" i="62"/>
  <c r="U236" i="62"/>
  <c r="F136" i="31"/>
  <c r="C23" i="1" s="1"/>
  <c r="F18" i="31"/>
  <c r="K166" i="58"/>
  <c r="AF584" i="62"/>
  <c r="AD152" i="62"/>
  <c r="AF152" i="62" s="1"/>
  <c r="AF567" i="62"/>
  <c r="AD73" i="62"/>
  <c r="AF73" i="62" s="1"/>
  <c r="P407" i="62"/>
  <c r="N407" i="62"/>
  <c r="K43" i="6"/>
  <c r="L43" i="6" s="1"/>
  <c r="AD141" i="62"/>
  <c r="AF141" i="62" s="1"/>
  <c r="AD602" i="62"/>
  <c r="AF602" i="62" s="1"/>
  <c r="S625" i="62"/>
  <c r="AF566" i="62"/>
  <c r="AD535" i="62"/>
  <c r="AF535" i="62" s="1"/>
  <c r="AF520" i="62"/>
  <c r="AD512" i="62"/>
  <c r="AF512" i="62" s="1"/>
  <c r="V494" i="62"/>
  <c r="X465" i="62"/>
  <c r="AF455" i="62"/>
  <c r="AC446" i="62"/>
  <c r="W446" i="62"/>
  <c r="AC424" i="62"/>
  <c r="W414" i="62"/>
  <c r="S417" i="62"/>
  <c r="AC414" i="62"/>
  <c r="AK44" i="59"/>
  <c r="AW42" i="59"/>
  <c r="AD460" i="62"/>
  <c r="AF460" i="62" s="1"/>
  <c r="L61" i="6"/>
  <c r="L50" i="6"/>
  <c r="AD54" i="62"/>
  <c r="AF54" i="62" s="1"/>
  <c r="AF176" i="62"/>
  <c r="AD500" i="62"/>
  <c r="AF500" i="62" s="1"/>
  <c r="AD585" i="62"/>
  <c r="AF585" i="62" s="1"/>
  <c r="W729" i="62"/>
  <c r="AC729" i="62"/>
  <c r="W709" i="62"/>
  <c r="AC709" i="62"/>
  <c r="AC697" i="62"/>
  <c r="W697" i="62"/>
  <c r="AC689" i="62"/>
  <c r="W689" i="62"/>
  <c r="AC679" i="62"/>
  <c r="W679" i="62"/>
  <c r="AC671" i="62"/>
  <c r="W671" i="62"/>
  <c r="AC663" i="62"/>
  <c r="W663" i="62"/>
  <c r="S722" i="62"/>
  <c r="AC655" i="62"/>
  <c r="W655" i="62"/>
  <c r="AW37" i="59"/>
  <c r="AN44" i="59"/>
  <c r="AW34" i="59"/>
  <c r="AW33" i="59"/>
  <c r="AW41" i="59"/>
  <c r="C13" i="3"/>
  <c r="F85" i="31"/>
  <c r="F73" i="31"/>
  <c r="AF102" i="62"/>
  <c r="AD266" i="62"/>
  <c r="AF266" i="62" s="1"/>
  <c r="AD456" i="62"/>
  <c r="AF456" i="62" s="1"/>
  <c r="AD479" i="62"/>
  <c r="AF479" i="62" s="1"/>
  <c r="AD490" i="62"/>
  <c r="AF490" i="62" s="1"/>
  <c r="X633" i="62"/>
  <c r="S82" i="62"/>
  <c r="AE44" i="59"/>
  <c r="AC687" i="62"/>
  <c r="W687" i="62"/>
  <c r="AD146" i="62"/>
  <c r="AF146" i="62" s="1"/>
  <c r="AD448" i="62"/>
  <c r="AF448" i="62" s="1"/>
  <c r="AF615" i="62"/>
  <c r="S29" i="62"/>
  <c r="S35" i="62" s="1"/>
  <c r="X23" i="62"/>
  <c r="I30" i="6"/>
  <c r="P30" i="6"/>
  <c r="I24" i="6"/>
  <c r="P24" i="6"/>
  <c r="P33" i="6"/>
  <c r="AF120" i="62"/>
  <c r="AF550" i="62"/>
  <c r="AF57" i="62"/>
  <c r="AF164" i="62"/>
  <c r="AF586" i="62"/>
  <c r="U204" i="62"/>
  <c r="AB204" i="62" s="1"/>
  <c r="P25" i="6"/>
  <c r="AF140" i="62"/>
  <c r="M17" i="49"/>
  <c r="M33" i="49"/>
  <c r="M18" i="49"/>
  <c r="M26" i="49"/>
  <c r="M34" i="49"/>
  <c r="M11" i="49"/>
  <c r="M37" i="49"/>
  <c r="M45" i="49"/>
  <c r="M53" i="49"/>
  <c r="M112" i="49"/>
  <c r="M120" i="49"/>
  <c r="M126" i="49"/>
  <c r="M132" i="49"/>
  <c r="M152" i="49"/>
  <c r="M160" i="49"/>
  <c r="M168" i="49"/>
  <c r="M176" i="49"/>
  <c r="M184" i="49"/>
  <c r="M38" i="49"/>
  <c r="M46" i="49"/>
  <c r="M54" i="49"/>
  <c r="M62" i="49"/>
  <c r="M113" i="49"/>
  <c r="M127" i="49"/>
  <c r="M133" i="49"/>
  <c r="M145" i="49"/>
  <c r="M153" i="49"/>
  <c r="M161" i="49"/>
  <c r="M169" i="49"/>
  <c r="M177" i="49"/>
  <c r="M185" i="49"/>
  <c r="M19" i="49"/>
  <c r="M14" i="49"/>
  <c r="M20" i="49"/>
  <c r="M28" i="49"/>
  <c r="M48" i="49"/>
  <c r="M56" i="49"/>
  <c r="M107" i="49"/>
  <c r="M122" i="49"/>
  <c r="M147" i="49"/>
  <c r="M155" i="49"/>
  <c r="M163" i="49"/>
  <c r="M187" i="49"/>
  <c r="M15" i="49"/>
  <c r="M29" i="49"/>
  <c r="M49" i="49"/>
  <c r="M57" i="49"/>
  <c r="M116" i="49"/>
  <c r="M136" i="49"/>
  <c r="M148" i="49"/>
  <c r="M164" i="49"/>
  <c r="M180" i="49"/>
  <c r="M23" i="49"/>
  <c r="M31" i="49"/>
  <c r="M51" i="49"/>
  <c r="M110" i="49"/>
  <c r="M118" i="49"/>
  <c r="M124" i="49"/>
  <c r="M130" i="49"/>
  <c r="M158" i="49"/>
  <c r="M166" i="49"/>
  <c r="M174" i="49"/>
  <c r="M9" i="49"/>
  <c r="M24" i="49"/>
  <c r="M32" i="49"/>
  <c r="M44" i="49"/>
  <c r="M52" i="49"/>
  <c r="M119" i="49"/>
  <c r="M125" i="49"/>
  <c r="M143" i="49"/>
  <c r="M151" i="49"/>
  <c r="M159" i="49"/>
  <c r="M175" i="49"/>
  <c r="M27" i="49"/>
  <c r="M47" i="49"/>
  <c r="M162" i="49"/>
  <c r="M170" i="49"/>
  <c r="M178" i="49"/>
  <c r="M8" i="49"/>
  <c r="M109" i="49"/>
  <c r="M141" i="49"/>
  <c r="M149" i="49"/>
  <c r="M157" i="49"/>
  <c r="M165" i="49"/>
  <c r="M173" i="49"/>
  <c r="M181" i="49"/>
  <c r="M10" i="49"/>
  <c r="M58" i="49"/>
  <c r="M108" i="49"/>
  <c r="M43" i="49"/>
  <c r="M59" i="49"/>
  <c r="M40" i="49"/>
  <c r="M12" i="49"/>
  <c r="M60" i="49"/>
  <c r="M111" i="49"/>
  <c r="M55" i="49"/>
  <c r="M154" i="49"/>
  <c r="M61" i="49"/>
  <c r="H39" i="97" l="1"/>
  <c r="C42" i="78"/>
  <c r="AB263" i="169"/>
  <c r="AC263" i="169" s="1"/>
  <c r="AB39" i="169"/>
  <c r="AC39" i="169" s="1"/>
  <c r="AB264" i="169"/>
  <c r="AC264" i="169" s="1"/>
  <c r="AB7" i="169"/>
  <c r="AC7" i="169" s="1"/>
  <c r="H41" i="97"/>
  <c r="D13" i="77"/>
  <c r="H40" i="97"/>
  <c r="AC121" i="31"/>
  <c r="AD121" i="31" s="1"/>
  <c r="L19" i="6"/>
  <c r="N19" i="6" s="1"/>
  <c r="Q19" i="6" s="1"/>
  <c r="M79" i="6"/>
  <c r="M80" i="6" s="1"/>
  <c r="M81" i="6" s="1"/>
  <c r="M82" i="6" s="1"/>
  <c r="M77" i="6"/>
  <c r="N10" i="6"/>
  <c r="O10" i="6" s="1"/>
  <c r="I15" i="4"/>
  <c r="E10" i="1"/>
  <c r="G10" i="1" s="1"/>
  <c r="I10" i="1" s="1"/>
  <c r="C9" i="165" s="1"/>
  <c r="E9" i="165" s="1"/>
  <c r="G9" i="165" s="1"/>
  <c r="I9" i="165" s="1"/>
  <c r="K9" i="165" s="1"/>
  <c r="M9" i="165" s="1"/>
  <c r="O9" i="165" s="1"/>
  <c r="Q9" i="165" s="1"/>
  <c r="S9" i="165" s="1"/>
  <c r="C22" i="78"/>
  <c r="C12" i="78"/>
  <c r="C15" i="78"/>
  <c r="C27" i="78"/>
  <c r="C32" i="78"/>
  <c r="C19" i="78"/>
  <c r="C16" i="78"/>
  <c r="C24" i="78"/>
  <c r="C18" i="78"/>
  <c r="C20" i="78"/>
  <c r="C23" i="78"/>
  <c r="C31" i="78"/>
  <c r="C21" i="78"/>
  <c r="H33" i="76"/>
  <c r="I33" i="76" s="1"/>
  <c r="C11" i="78"/>
  <c r="C30" i="78"/>
  <c r="C26" i="78"/>
  <c r="C8" i="78"/>
  <c r="C34" i="78"/>
  <c r="C33" i="78"/>
  <c r="C29" i="78"/>
  <c r="C28" i="78"/>
  <c r="C17" i="78"/>
  <c r="C25" i="78"/>
  <c r="C9" i="78"/>
  <c r="C13" i="78"/>
  <c r="C10" i="78"/>
  <c r="C14" i="78"/>
  <c r="E39" i="76"/>
  <c r="C34" i="75" s="1"/>
  <c r="AW80" i="59"/>
  <c r="I195" i="58"/>
  <c r="AE166" i="58"/>
  <c r="X192" i="58"/>
  <c r="X194" i="58"/>
  <c r="H192" i="58"/>
  <c r="H194" i="58"/>
  <c r="U195" i="58"/>
  <c r="K195" i="58"/>
  <c r="Z192" i="58"/>
  <c r="Z194" i="58"/>
  <c r="V192" i="58"/>
  <c r="V194" i="58"/>
  <c r="AB192" i="58"/>
  <c r="AB194" i="58"/>
  <c r="L192" i="58"/>
  <c r="L194" i="58"/>
  <c r="J192" i="58"/>
  <c r="J194" i="58"/>
  <c r="Y195" i="58"/>
  <c r="P192" i="58"/>
  <c r="P194" i="58"/>
  <c r="AD192" i="58"/>
  <c r="AD194" i="58"/>
  <c r="N192" i="58"/>
  <c r="N194" i="58"/>
  <c r="T192" i="58"/>
  <c r="T194" i="58"/>
  <c r="R192" i="58"/>
  <c r="R194" i="58"/>
  <c r="H14" i="6"/>
  <c r="L60" i="6"/>
  <c r="N60" i="6" s="1"/>
  <c r="Q60" i="6" s="1"/>
  <c r="I63" i="6"/>
  <c r="AC64" i="31"/>
  <c r="AD64" i="31" s="1"/>
  <c r="K82" i="31"/>
  <c r="K85" i="31" s="1"/>
  <c r="AF294" i="62"/>
  <c r="AF287" i="62"/>
  <c r="AF610" i="62"/>
  <c r="M407" i="62"/>
  <c r="AD509" i="62"/>
  <c r="AF509" i="62" s="1"/>
  <c r="AD510" i="62"/>
  <c r="AF510" i="62"/>
  <c r="AF295" i="62"/>
  <c r="AF614" i="62"/>
  <c r="AD508" i="62"/>
  <c r="AF508" i="62"/>
  <c r="AF609" i="62"/>
  <c r="AF611" i="62"/>
  <c r="AB73" i="31"/>
  <c r="AB86" i="31" s="1"/>
  <c r="Y17" i="4" s="1"/>
  <c r="X62" i="31"/>
  <c r="X73" i="31" s="1"/>
  <c r="X86" i="31" s="1"/>
  <c r="U17" i="4" s="1"/>
  <c r="P41" i="6"/>
  <c r="I32" i="6"/>
  <c r="I41" i="6" s="1"/>
  <c r="I55" i="31"/>
  <c r="I144" i="31" s="1"/>
  <c r="G38" i="97"/>
  <c r="K45" i="76"/>
  <c r="B242" i="78" s="1"/>
  <c r="B12" i="83" s="1"/>
  <c r="E15" i="1"/>
  <c r="G31" i="97"/>
  <c r="H31" i="97" s="1"/>
  <c r="C80" i="78"/>
  <c r="A14" i="76"/>
  <c r="A15" i="76" s="1"/>
  <c r="C122" i="78"/>
  <c r="C164" i="78"/>
  <c r="C209" i="78"/>
  <c r="C126" i="78"/>
  <c r="C127" i="78"/>
  <c r="C123" i="78"/>
  <c r="D34" i="75"/>
  <c r="C125" i="78"/>
  <c r="C37" i="75"/>
  <c r="C206" i="78"/>
  <c r="C208" i="78"/>
  <c r="C81" i="78"/>
  <c r="C165" i="78"/>
  <c r="C166" i="78"/>
  <c r="J208" i="78"/>
  <c r="C207" i="78"/>
  <c r="J207" i="78"/>
  <c r="C82" i="78"/>
  <c r="C128" i="78"/>
  <c r="C167" i="78"/>
  <c r="C83" i="78"/>
  <c r="C53" i="78"/>
  <c r="C54" i="78"/>
  <c r="C60" i="78"/>
  <c r="C67" i="78"/>
  <c r="C71" i="78"/>
  <c r="C70" i="78"/>
  <c r="C58" i="78"/>
  <c r="C47" i="78"/>
  <c r="C66" i="78"/>
  <c r="B210" i="78"/>
  <c r="C73" i="78"/>
  <c r="C48" i="78"/>
  <c r="C63" i="78"/>
  <c r="C45" i="78"/>
  <c r="C40" i="78"/>
  <c r="C61" i="78"/>
  <c r="C62" i="78"/>
  <c r="C57" i="78"/>
  <c r="C56" i="78"/>
  <c r="C44" i="78"/>
  <c r="C59" i="78"/>
  <c r="C68" i="78"/>
  <c r="C46" i="78"/>
  <c r="C52" i="78"/>
  <c r="C74" i="78"/>
  <c r="C64" i="78"/>
  <c r="C65" i="78"/>
  <c r="C51" i="78"/>
  <c r="C50" i="78"/>
  <c r="C72" i="78"/>
  <c r="C55" i="78"/>
  <c r="C43" i="78"/>
  <c r="C49" i="78"/>
  <c r="B202" i="78"/>
  <c r="C41" i="78"/>
  <c r="C69" i="78"/>
  <c r="L55" i="31"/>
  <c r="E11" i="1"/>
  <c r="K55" i="31"/>
  <c r="F86" i="31"/>
  <c r="F126" i="31" s="1"/>
  <c r="F151" i="31" s="1"/>
  <c r="Z54" i="31"/>
  <c r="W15" i="4" s="1"/>
  <c r="J15" i="4"/>
  <c r="P34" i="4"/>
  <c r="D35" i="1" s="1"/>
  <c r="E35" i="1" s="1"/>
  <c r="P33" i="4"/>
  <c r="D34" i="1" s="1"/>
  <c r="E34" i="1" s="1"/>
  <c r="G34" i="1" s="1"/>
  <c r="I34" i="1" s="1"/>
  <c r="C33" i="165" s="1"/>
  <c r="E33" i="165" s="1"/>
  <c r="G33" i="165" s="1"/>
  <c r="I33" i="165" s="1"/>
  <c r="K33" i="165" s="1"/>
  <c r="M33" i="165" s="1"/>
  <c r="O33" i="165" s="1"/>
  <c r="Q33" i="165" s="1"/>
  <c r="S33" i="165" s="1"/>
  <c r="R11" i="4"/>
  <c r="W55" i="31"/>
  <c r="AD38" i="31"/>
  <c r="K73" i="31"/>
  <c r="T55" i="31"/>
  <c r="D152" i="31"/>
  <c r="D188" i="31" s="1"/>
  <c r="U55" i="31"/>
  <c r="V740" i="62"/>
  <c r="S482" i="62"/>
  <c r="S737" i="62" s="1"/>
  <c r="H407" i="62"/>
  <c r="K407" i="62"/>
  <c r="U740" i="62"/>
  <c r="O54" i="6"/>
  <c r="O47" i="6"/>
  <c r="O49" i="6"/>
  <c r="O58" i="6"/>
  <c r="O48" i="6"/>
  <c r="N46" i="6"/>
  <c r="Q46" i="6" s="1"/>
  <c r="N57" i="6"/>
  <c r="Q57" i="6" s="1"/>
  <c r="E10" i="3"/>
  <c r="M55" i="31"/>
  <c r="AW81" i="59"/>
  <c r="N43" i="6"/>
  <c r="O43" i="6" s="1"/>
  <c r="AD55" i="62"/>
  <c r="AF55" i="62" s="1"/>
  <c r="C18" i="1"/>
  <c r="AB55" i="31"/>
  <c r="O62" i="6"/>
  <c r="N55" i="6"/>
  <c r="Q55" i="6" s="1"/>
  <c r="W81" i="31" s="1"/>
  <c r="AC81" i="31" s="1"/>
  <c r="AD81" i="31" s="1"/>
  <c r="P63" i="6"/>
  <c r="AD494" i="62"/>
  <c r="AF494" i="62" s="1"/>
  <c r="N44" i="6"/>
  <c r="Q44" i="6" s="1"/>
  <c r="AB740" i="62"/>
  <c r="N59" i="6"/>
  <c r="Q59" i="6" s="1"/>
  <c r="O45" i="6"/>
  <c r="I197" i="49"/>
  <c r="I215" i="49" s="1"/>
  <c r="S37" i="62"/>
  <c r="X35" i="62"/>
  <c r="X740" i="62" s="1"/>
  <c r="AW44" i="59"/>
  <c r="N50" i="6"/>
  <c r="Q50" i="6" s="1"/>
  <c r="W69" i="31" s="1"/>
  <c r="AC69" i="31" s="1"/>
  <c r="AD69" i="31" s="1"/>
  <c r="F15" i="1"/>
  <c r="AB14" i="4" s="1"/>
  <c r="AD133" i="62"/>
  <c r="AF133" i="62" s="1"/>
  <c r="N56" i="6"/>
  <c r="Q56" i="6" s="1"/>
  <c r="O21" i="6"/>
  <c r="D27" i="99"/>
  <c r="N61" i="6"/>
  <c r="Q61" i="6" s="1"/>
  <c r="N52" i="6"/>
  <c r="Q52" i="6" s="1"/>
  <c r="J23" i="6"/>
  <c r="K22" i="6"/>
  <c r="F29" i="31"/>
  <c r="C9" i="1"/>
  <c r="W740" i="62"/>
  <c r="N51" i="6"/>
  <c r="Q51" i="6" s="1"/>
  <c r="S100" i="62"/>
  <c r="S123" i="62" s="1"/>
  <c r="AD158" i="62"/>
  <c r="AF158" i="62" s="1"/>
  <c r="O20" i="6"/>
  <c r="Q20" i="6"/>
  <c r="E35" i="76"/>
  <c r="K53" i="6"/>
  <c r="K63" i="6" s="1"/>
  <c r="B129" i="78"/>
  <c r="AD172" i="62"/>
  <c r="AF172" i="62" s="1"/>
  <c r="G42" i="97" l="1"/>
  <c r="G44" i="97" s="1"/>
  <c r="H38" i="97"/>
  <c r="H42" i="97" s="1"/>
  <c r="H44" i="97" s="1"/>
  <c r="O19" i="6"/>
  <c r="K86" i="31"/>
  <c r="M78" i="6"/>
  <c r="M84" i="6"/>
  <c r="M86" i="6" s="1"/>
  <c r="M83" i="6"/>
  <c r="C27" i="1"/>
  <c r="C12" i="1"/>
  <c r="G32" i="97"/>
  <c r="G44" i="99" s="1"/>
  <c r="H39" i="76"/>
  <c r="I39" i="76" s="1"/>
  <c r="E34" i="75"/>
  <c r="F34" i="75" s="1"/>
  <c r="E29" i="75"/>
  <c r="F29" i="75" s="1"/>
  <c r="O60" i="6"/>
  <c r="K14" i="6"/>
  <c r="V195" i="58"/>
  <c r="J195" i="58"/>
  <c r="Z195" i="58"/>
  <c r="L195" i="58"/>
  <c r="AD195" i="58"/>
  <c r="AB195" i="58"/>
  <c r="H195" i="58"/>
  <c r="N195" i="58"/>
  <c r="R195" i="58"/>
  <c r="P195" i="58"/>
  <c r="X195" i="58"/>
  <c r="T195" i="58"/>
  <c r="P12" i="6"/>
  <c r="P14" i="6" s="1"/>
  <c r="P16" i="6" s="1"/>
  <c r="C242" i="78"/>
  <c r="C12" i="83" s="1"/>
  <c r="G41" i="76"/>
  <c r="D36" i="75" s="1"/>
  <c r="E41" i="76"/>
  <c r="C36" i="75" s="1"/>
  <c r="G19" i="97"/>
  <c r="H19" i="97" s="1"/>
  <c r="G26" i="97"/>
  <c r="H26" i="97" s="1"/>
  <c r="A16" i="76"/>
  <c r="A18" i="76" s="1"/>
  <c r="A19" i="76" s="1"/>
  <c r="K197" i="49"/>
  <c r="I134" i="49"/>
  <c r="B11" i="83"/>
  <c r="C202" i="78"/>
  <c r="C11" i="83" s="1"/>
  <c r="C210" i="78"/>
  <c r="C168" i="78"/>
  <c r="C129" i="78"/>
  <c r="C84" i="78"/>
  <c r="B211" i="78"/>
  <c r="G24" i="97"/>
  <c r="H24" i="97" s="1"/>
  <c r="G18" i="97"/>
  <c r="H18" i="97" s="1"/>
  <c r="D10" i="99"/>
  <c r="N55" i="31"/>
  <c r="Z55" i="31"/>
  <c r="O55" i="31"/>
  <c r="G15" i="1"/>
  <c r="I15" i="1" s="1"/>
  <c r="C14" i="165" s="1"/>
  <c r="F17" i="4"/>
  <c r="L116" i="31"/>
  <c r="L122" i="31" s="1"/>
  <c r="L124" i="31" s="1"/>
  <c r="G21" i="4" s="1"/>
  <c r="S407" i="62"/>
  <c r="V741" i="62"/>
  <c r="O44" i="6"/>
  <c r="O57" i="6"/>
  <c r="O51" i="6"/>
  <c r="G9" i="76"/>
  <c r="G14" i="76"/>
  <c r="G19" i="76"/>
  <c r="G26" i="76"/>
  <c r="F10" i="31"/>
  <c r="H32" i="97"/>
  <c r="F55" i="31"/>
  <c r="F152" i="31" s="1"/>
  <c r="F188" i="31" s="1"/>
  <c r="C10" i="2"/>
  <c r="E29" i="76"/>
  <c r="E20" i="76"/>
  <c r="E13" i="3"/>
  <c r="C10" i="24"/>
  <c r="L53" i="6"/>
  <c r="E36" i="76"/>
  <c r="C30" i="75"/>
  <c r="O50" i="6"/>
  <c r="Q10" i="6"/>
  <c r="Q43" i="6"/>
  <c r="W62" i="31" s="1"/>
  <c r="O52" i="6"/>
  <c r="O46" i="6"/>
  <c r="X741" i="62"/>
  <c r="L22" i="6"/>
  <c r="K23" i="6"/>
  <c r="L23" i="6" s="1"/>
  <c r="N23" i="6" s="1"/>
  <c r="J24" i="6"/>
  <c r="O59" i="6"/>
  <c r="E27" i="76"/>
  <c r="O56" i="6"/>
  <c r="B130" i="78"/>
  <c r="O61" i="6"/>
  <c r="W58" i="31"/>
  <c r="T16" i="4" s="1"/>
  <c r="O55" i="6"/>
  <c r="E36" i="75" l="1"/>
  <c r="F36" i="75" s="1"/>
  <c r="S92" i="31"/>
  <c r="S94" i="31" s="1"/>
  <c r="N18" i="4" s="1"/>
  <c r="D12" i="2"/>
  <c r="R92" i="31"/>
  <c r="R94" i="31" s="1"/>
  <c r="M18" i="4" s="1"/>
  <c r="N92" i="31"/>
  <c r="N94" i="31" s="1"/>
  <c r="E22" i="4"/>
  <c r="P22" i="4" s="1"/>
  <c r="J136" i="31"/>
  <c r="K141" i="31"/>
  <c r="F24" i="4" s="1"/>
  <c r="P24" i="4" s="1"/>
  <c r="D25" i="1" s="1"/>
  <c r="E25" i="1" s="1"/>
  <c r="M85" i="6"/>
  <c r="M88" i="6"/>
  <c r="P92" i="31"/>
  <c r="P94" i="31" s="1"/>
  <c r="C29" i="1"/>
  <c r="B22" i="82" s="1"/>
  <c r="C14" i="2"/>
  <c r="AA92" i="31"/>
  <c r="I14" i="6"/>
  <c r="P17" i="4"/>
  <c r="D18" i="1" s="1"/>
  <c r="E18" i="1" s="1"/>
  <c r="E21" i="76"/>
  <c r="H41" i="76"/>
  <c r="I41" i="76" s="1"/>
  <c r="B30" i="82"/>
  <c r="B15" i="82"/>
  <c r="A20" i="76"/>
  <c r="C211" i="78"/>
  <c r="C169" i="78"/>
  <c r="C130" i="78"/>
  <c r="C85" i="78"/>
  <c r="B212" i="78"/>
  <c r="K15" i="76"/>
  <c r="B76" i="78" s="1"/>
  <c r="G14" i="97"/>
  <c r="H14" i="97" s="1"/>
  <c r="E27" i="99"/>
  <c r="W92" i="31"/>
  <c r="Q92" i="31"/>
  <c r="Q94" i="31" s="1"/>
  <c r="L18" i="4" s="1"/>
  <c r="AB92" i="31"/>
  <c r="AB94" i="31" s="1"/>
  <c r="Y18" i="4" s="1"/>
  <c r="K92" i="31"/>
  <c r="K94" i="31" s="1"/>
  <c r="F18" i="4" s="1"/>
  <c r="U92" i="31"/>
  <c r="U94" i="31" s="1"/>
  <c r="I92" i="31"/>
  <c r="I94" i="31" s="1"/>
  <c r="D18" i="4" s="1"/>
  <c r="T92" i="31"/>
  <c r="T94" i="31" s="1"/>
  <c r="L92" i="31"/>
  <c r="L94" i="31" s="1"/>
  <c r="G18" i="4" s="1"/>
  <c r="M92" i="31"/>
  <c r="M94" i="31" s="1"/>
  <c r="H18" i="4" s="1"/>
  <c r="AO18" i="4"/>
  <c r="AO25" i="4" s="1"/>
  <c r="AO26" i="4" s="1"/>
  <c r="AO28" i="4" s="1"/>
  <c r="AE18" i="4"/>
  <c r="AJ18" i="4"/>
  <c r="AK18" i="4"/>
  <c r="AK25" i="4" s="1"/>
  <c r="AK26" i="4" s="1"/>
  <c r="AK28" i="4" s="1"/>
  <c r="AN18" i="4"/>
  <c r="AP18" i="4"/>
  <c r="AP25" i="4" s="1"/>
  <c r="AP26" i="4" s="1"/>
  <c r="AP28" i="4" s="1"/>
  <c r="AD18" i="4"/>
  <c r="AD25" i="4" s="1"/>
  <c r="AD26" i="4" s="1"/>
  <c r="AD28" i="4" s="1"/>
  <c r="AA94" i="31"/>
  <c r="X18" i="4" s="1"/>
  <c r="X92" i="31"/>
  <c r="X94" i="31" s="1"/>
  <c r="U18" i="4" s="1"/>
  <c r="Z92" i="31"/>
  <c r="Z94" i="31" s="1"/>
  <c r="W18" i="4" s="1"/>
  <c r="O92" i="31"/>
  <c r="O94" i="31" s="1"/>
  <c r="J18" i="4" s="1"/>
  <c r="AI11" i="4"/>
  <c r="E26" i="76"/>
  <c r="C24" i="75" s="1"/>
  <c r="E14" i="76"/>
  <c r="C14" i="75" s="1"/>
  <c r="E9" i="76"/>
  <c r="C9" i="75" s="1"/>
  <c r="E19" i="76"/>
  <c r="C19" i="75" s="1"/>
  <c r="N22" i="6"/>
  <c r="AF38" i="31"/>
  <c r="AG14" i="4" s="1"/>
  <c r="D14" i="165" s="1"/>
  <c r="E14" i="165" s="1"/>
  <c r="G14" i="165" s="1"/>
  <c r="I14" i="165" s="1"/>
  <c r="K14" i="165" s="1"/>
  <c r="M14" i="165" s="1"/>
  <c r="O14" i="165" s="1"/>
  <c r="Q14" i="165" s="1"/>
  <c r="S14" i="165" s="1"/>
  <c r="L12" i="6"/>
  <c r="N12" i="6" s="1"/>
  <c r="O12" i="6" s="1"/>
  <c r="AC62" i="31"/>
  <c r="D23" i="77"/>
  <c r="D19" i="77"/>
  <c r="D22" i="77"/>
  <c r="D14" i="77"/>
  <c r="D24" i="77"/>
  <c r="D18" i="77"/>
  <c r="D21" i="77"/>
  <c r="D15" i="77"/>
  <c r="D20" i="77"/>
  <c r="D16" i="77"/>
  <c r="D17" i="77"/>
  <c r="C10" i="99"/>
  <c r="N53" i="6"/>
  <c r="O53" i="6" s="1"/>
  <c r="O63" i="6" s="1"/>
  <c r="L63" i="6"/>
  <c r="K199" i="49"/>
  <c r="X742" i="62"/>
  <c r="C9" i="26"/>
  <c r="J25" i="6"/>
  <c r="K24" i="6"/>
  <c r="L24" i="6" s="1"/>
  <c r="N24" i="6" s="1"/>
  <c r="E15" i="76"/>
  <c r="F11" i="31"/>
  <c r="AC58" i="31"/>
  <c r="AD58" i="31" s="1"/>
  <c r="O23" i="6"/>
  <c r="Q23" i="6"/>
  <c r="W65" i="31" s="1"/>
  <c r="AC65" i="31" s="1"/>
  <c r="AD65" i="31" s="1"/>
  <c r="B131" i="78"/>
  <c r="C16" i="2" l="1"/>
  <c r="C18" i="2" s="1"/>
  <c r="S126" i="31"/>
  <c r="S144" i="31" s="1"/>
  <c r="R126" i="31"/>
  <c r="R144" i="31" s="1"/>
  <c r="M90" i="6"/>
  <c r="M87" i="6"/>
  <c r="K18" i="4"/>
  <c r="I18" i="4"/>
  <c r="P126" i="31"/>
  <c r="P144" i="31" s="1"/>
  <c r="G20" i="97"/>
  <c r="H20" i="97" s="1"/>
  <c r="E22" i="76"/>
  <c r="C20" i="75" s="1"/>
  <c r="C21" i="75" s="1"/>
  <c r="K22" i="76"/>
  <c r="B118" i="78" s="1"/>
  <c r="B9" i="83" s="1"/>
  <c r="H9" i="76"/>
  <c r="I9" i="76" s="1"/>
  <c r="K10" i="76"/>
  <c r="A21" i="76"/>
  <c r="A22" i="76" s="1"/>
  <c r="G15" i="97"/>
  <c r="D44" i="99" s="1"/>
  <c r="H15" i="97"/>
  <c r="B8" i="83"/>
  <c r="C76" i="78"/>
  <c r="C8" i="83" s="1"/>
  <c r="C212" i="78"/>
  <c r="B213" i="78"/>
  <c r="C170" i="78"/>
  <c r="C131" i="78"/>
  <c r="C86" i="78"/>
  <c r="E10" i="99"/>
  <c r="Q126" i="31"/>
  <c r="Q144" i="31" s="1"/>
  <c r="L25" i="4" s="1"/>
  <c r="L26" i="4" s="1"/>
  <c r="L28" i="4" s="1"/>
  <c r="AJ25" i="4"/>
  <c r="AJ26" i="4" s="1"/>
  <c r="AJ28" i="4" s="1"/>
  <c r="AE25" i="4"/>
  <c r="AE26" i="4" s="1"/>
  <c r="AE28" i="4" s="1"/>
  <c r="AQ18" i="4"/>
  <c r="P18" i="165" s="1"/>
  <c r="AN25" i="4"/>
  <c r="AQ25" i="4" s="1"/>
  <c r="P25" i="165" s="1"/>
  <c r="AI15" i="4"/>
  <c r="AI18" i="4"/>
  <c r="AL18" i="4" s="1"/>
  <c r="J18" i="165" s="1"/>
  <c r="AA126" i="31"/>
  <c r="AA144" i="31" s="1"/>
  <c r="AL11" i="4"/>
  <c r="X126" i="31"/>
  <c r="X144" i="31" s="1"/>
  <c r="U25" i="4" s="1"/>
  <c r="U26" i="4" s="1"/>
  <c r="U28" i="4" s="1"/>
  <c r="K212" i="49"/>
  <c r="K194" i="49"/>
  <c r="D19" i="75"/>
  <c r="E19" i="75" s="1"/>
  <c r="F19" i="75" s="1"/>
  <c r="H19" i="76"/>
  <c r="I19" i="76" s="1"/>
  <c r="D9" i="75"/>
  <c r="E9" i="75" s="1"/>
  <c r="F9" i="75" s="1"/>
  <c r="D14" i="75"/>
  <c r="E14" i="75" s="1"/>
  <c r="F14" i="75" s="1"/>
  <c r="H14" i="76"/>
  <c r="I14" i="76" s="1"/>
  <c r="D24" i="75"/>
  <c r="E24" i="75" s="1"/>
  <c r="F24" i="75" s="1"/>
  <c r="H26" i="76"/>
  <c r="I26" i="76" s="1"/>
  <c r="T126" i="31"/>
  <c r="O126" i="31"/>
  <c r="O144" i="31" s="1"/>
  <c r="K126" i="31"/>
  <c r="C15" i="75"/>
  <c r="C16" i="75" s="1"/>
  <c r="E16" i="76"/>
  <c r="O24" i="6"/>
  <c r="Q24" i="6"/>
  <c r="Y186" i="62"/>
  <c r="Y596" i="62"/>
  <c r="Y597" i="62"/>
  <c r="Y590" i="62"/>
  <c r="Y19" i="62"/>
  <c r="Y18" i="62"/>
  <c r="Y23" i="62"/>
  <c r="Y35" i="62"/>
  <c r="L14" i="6"/>
  <c r="M126" i="31"/>
  <c r="J26" i="6"/>
  <c r="K25" i="6"/>
  <c r="I190" i="49"/>
  <c r="I217" i="49" s="1"/>
  <c r="Z126" i="31"/>
  <c r="Q53" i="6"/>
  <c r="N63" i="6"/>
  <c r="C25" i="77"/>
  <c r="D25" i="77"/>
  <c r="D27" i="77" s="1"/>
  <c r="Z16" i="4"/>
  <c r="AD62" i="31"/>
  <c r="B132" i="78"/>
  <c r="AB126" i="31"/>
  <c r="G40" i="76"/>
  <c r="E10" i="76"/>
  <c r="R18" i="4"/>
  <c r="U126" i="31"/>
  <c r="L126" i="31"/>
  <c r="Q22" i="6"/>
  <c r="O22" i="6"/>
  <c r="C20" i="2" l="1"/>
  <c r="S150" i="31"/>
  <c r="S151" i="31" s="1"/>
  <c r="S152" i="31" s="1"/>
  <c r="N25" i="4"/>
  <c r="N26" i="4" s="1"/>
  <c r="N28" i="4" s="1"/>
  <c r="C27" i="77"/>
  <c r="I26" i="77"/>
  <c r="R150" i="31"/>
  <c r="R151" i="31" s="1"/>
  <c r="R152" i="31" s="1"/>
  <c r="M25" i="4"/>
  <c r="M26" i="4" s="1"/>
  <c r="M28" i="4" s="1"/>
  <c r="M89" i="6"/>
  <c r="M92" i="6"/>
  <c r="K25" i="4"/>
  <c r="K26" i="4" s="1"/>
  <c r="K28" i="4" s="1"/>
  <c r="K47" i="4" s="1"/>
  <c r="P150" i="31"/>
  <c r="P151" i="31" s="1"/>
  <c r="P152" i="31" s="1"/>
  <c r="E23" i="76"/>
  <c r="C118" i="78"/>
  <c r="C9" i="83" s="1"/>
  <c r="AC66" i="31"/>
  <c r="AD66" i="31" s="1"/>
  <c r="W68" i="31"/>
  <c r="AC68" i="31" s="1"/>
  <c r="AD68" i="31" s="1"/>
  <c r="P26" i="165"/>
  <c r="P28" i="165" s="1"/>
  <c r="G25" i="97"/>
  <c r="H25" i="97" s="1"/>
  <c r="H21" i="97"/>
  <c r="G21" i="97"/>
  <c r="E44" i="99" s="1"/>
  <c r="AA150" i="31"/>
  <c r="AA151" i="31" s="1"/>
  <c r="AA152" i="31" s="1"/>
  <c r="X25" i="4"/>
  <c r="X26" i="4" s="1"/>
  <c r="X28" i="4" s="1"/>
  <c r="A23" i="76"/>
  <c r="A25" i="76" s="1"/>
  <c r="A26" i="76" s="1"/>
  <c r="A27" i="76" s="1"/>
  <c r="A28" i="76" s="1"/>
  <c r="A29" i="76" s="1"/>
  <c r="A30" i="76" s="1"/>
  <c r="A32" i="76" s="1"/>
  <c r="A33" i="76" s="1"/>
  <c r="A34" i="76" s="1"/>
  <c r="A35" i="76" s="1"/>
  <c r="A36" i="76" s="1"/>
  <c r="A38" i="76" s="1"/>
  <c r="A39" i="76" s="1"/>
  <c r="A40" i="76" s="1"/>
  <c r="A41" i="76" s="1"/>
  <c r="A42" i="76" s="1"/>
  <c r="A43" i="76" s="1"/>
  <c r="A44" i="76" s="1"/>
  <c r="A45" i="76" s="1"/>
  <c r="A46" i="76" s="1"/>
  <c r="A48" i="76" s="1"/>
  <c r="C213" i="78"/>
  <c r="B214" i="78"/>
  <c r="C171" i="78"/>
  <c r="C132" i="78"/>
  <c r="C87" i="78"/>
  <c r="K29" i="76"/>
  <c r="B160" i="78" s="1"/>
  <c r="B36" i="78"/>
  <c r="C7" i="83"/>
  <c r="G11" i="97"/>
  <c r="C44" i="99" s="1"/>
  <c r="Q150" i="31"/>
  <c r="Q151" i="31" s="1"/>
  <c r="Q152" i="31" s="1"/>
  <c r="Q162" i="31" s="1"/>
  <c r="AN26" i="4"/>
  <c r="AQ26" i="4" s="1"/>
  <c r="AI25" i="4"/>
  <c r="AL15" i="4"/>
  <c r="J15" i="165" s="1"/>
  <c r="AB144" i="31"/>
  <c r="M144" i="31"/>
  <c r="H25" i="4" s="1"/>
  <c r="H26" i="4" s="1"/>
  <c r="H28" i="4" s="1"/>
  <c r="H47" i="4" s="1"/>
  <c r="L144" i="31"/>
  <c r="G25" i="4" s="1"/>
  <c r="G26" i="4" s="1"/>
  <c r="G28" i="4" s="1"/>
  <c r="T144" i="31"/>
  <c r="O25" i="4" s="1"/>
  <c r="O26" i="4" s="1"/>
  <c r="O28" i="4" s="1"/>
  <c r="K144" i="31"/>
  <c r="X150" i="31"/>
  <c r="X151" i="31" s="1"/>
  <c r="X152" i="31" s="1"/>
  <c r="X162" i="31" s="1"/>
  <c r="Z597" i="62"/>
  <c r="Z596" i="62"/>
  <c r="Z18" i="62"/>
  <c r="Z590" i="62"/>
  <c r="Z186" i="62"/>
  <c r="Z16" i="62"/>
  <c r="Z19" i="62"/>
  <c r="Z23" i="62"/>
  <c r="Z35" i="62"/>
  <c r="F17" i="1"/>
  <c r="F27" i="99"/>
  <c r="C12" i="73"/>
  <c r="H16" i="31" s="1"/>
  <c r="E40" i="76"/>
  <c r="W63" i="31"/>
  <c r="L25" i="6"/>
  <c r="K198" i="49"/>
  <c r="K215" i="49" s="1"/>
  <c r="D14" i="13" s="1"/>
  <c r="B133" i="78"/>
  <c r="K26" i="6"/>
  <c r="L26" i="6" s="1"/>
  <c r="N26" i="6" s="1"/>
  <c r="J27" i="6"/>
  <c r="Q12" i="6"/>
  <c r="N14" i="6"/>
  <c r="C10" i="75"/>
  <c r="C11" i="75" s="1"/>
  <c r="E11" i="76"/>
  <c r="W79" i="31"/>
  <c r="AC79" i="31" s="1"/>
  <c r="AD79" i="31" s="1"/>
  <c r="Q63" i="6"/>
  <c r="D10" i="13"/>
  <c r="AA162" i="31" l="1"/>
  <c r="P162" i="31"/>
  <c r="C29" i="77"/>
  <c r="D16" i="13"/>
  <c r="V31" i="4"/>
  <c r="M94" i="6"/>
  <c r="M91" i="6"/>
  <c r="J25" i="4"/>
  <c r="J26" i="4" s="1"/>
  <c r="J28" i="4" s="1"/>
  <c r="O150" i="31"/>
  <c r="O151" i="31" s="1"/>
  <c r="O152" i="31" s="1"/>
  <c r="E28" i="76"/>
  <c r="E30" i="76" s="1"/>
  <c r="A36" i="78"/>
  <c r="C36" i="78"/>
  <c r="D29" i="77" s="1"/>
  <c r="K150" i="31"/>
  <c r="K151" i="31" s="1"/>
  <c r="K152" i="31" s="1"/>
  <c r="F25" i="4"/>
  <c r="F26" i="4" s="1"/>
  <c r="F28" i="4" s="1"/>
  <c r="T150" i="31"/>
  <c r="T151" i="31" s="1"/>
  <c r="T152" i="31" s="1"/>
  <c r="T162" i="31" s="1"/>
  <c r="AB150" i="31"/>
  <c r="AB151" i="31" s="1"/>
  <c r="AB152" i="31" s="1"/>
  <c r="Y25" i="4"/>
  <c r="Y26" i="4" s="1"/>
  <c r="Y28" i="4" s="1"/>
  <c r="M150" i="31"/>
  <c r="M151" i="31" s="1"/>
  <c r="M152" i="31" s="1"/>
  <c r="M162" i="31" s="1"/>
  <c r="D12" i="13"/>
  <c r="Y141" i="31" s="1"/>
  <c r="V24" i="4" s="1"/>
  <c r="A50" i="76"/>
  <c r="G27" i="97"/>
  <c r="F44" i="99" s="1"/>
  <c r="B10" i="83"/>
  <c r="C160" i="78"/>
  <c r="C10" i="83" s="1"/>
  <c r="C214" i="78"/>
  <c r="B215" i="78"/>
  <c r="C172" i="78"/>
  <c r="C133" i="78"/>
  <c r="C88" i="78"/>
  <c r="B7" i="83"/>
  <c r="F10" i="99"/>
  <c r="AN28" i="4"/>
  <c r="AQ28" i="4" s="1"/>
  <c r="C22" i="2"/>
  <c r="C24" i="2" s="1"/>
  <c r="C26" i="2" s="1"/>
  <c r="O38" i="4" s="1"/>
  <c r="L150" i="31"/>
  <c r="L151" i="31" s="1"/>
  <c r="L152" i="31" s="1"/>
  <c r="L162" i="31" s="1"/>
  <c r="G17" i="1"/>
  <c r="I17" i="1" s="1"/>
  <c r="C16" i="165" s="1"/>
  <c r="AI26" i="4"/>
  <c r="AL25" i="4"/>
  <c r="J25" i="165" s="1"/>
  <c r="J26" i="165" s="1"/>
  <c r="AB16" i="4"/>
  <c r="C12" i="70"/>
  <c r="C12" i="74"/>
  <c r="Q14" i="6"/>
  <c r="S10" i="6" s="1"/>
  <c r="AC63" i="31"/>
  <c r="H27" i="97"/>
  <c r="B134" i="78"/>
  <c r="Z740" i="62"/>
  <c r="D19" i="13"/>
  <c r="K27" i="6"/>
  <c r="L27" i="6" s="1"/>
  <c r="N27" i="6" s="1"/>
  <c r="J28" i="6"/>
  <c r="O26" i="6"/>
  <c r="Q26" i="6"/>
  <c r="W76" i="31" s="1"/>
  <c r="N25" i="6"/>
  <c r="D35" i="75"/>
  <c r="H40" i="76"/>
  <c r="I40" i="76" s="1"/>
  <c r="H18" i="31"/>
  <c r="E46" i="76"/>
  <c r="C35" i="75"/>
  <c r="C38" i="75" s="1"/>
  <c r="C31" i="75"/>
  <c r="C15" i="70" l="1"/>
  <c r="C19" i="70" s="1"/>
  <c r="V16" i="31" s="1"/>
  <c r="V18" i="31" s="1"/>
  <c r="S8" i="4" s="1"/>
  <c r="AA742" i="62"/>
  <c r="J16" i="31"/>
  <c r="J18" i="31" s="1"/>
  <c r="N38" i="4"/>
  <c r="AB162" i="31"/>
  <c r="M38" i="4"/>
  <c r="K162" i="31"/>
  <c r="C40" i="181"/>
  <c r="U38" i="4"/>
  <c r="O162" i="31"/>
  <c r="M93" i="6"/>
  <c r="M96" i="6"/>
  <c r="C25" i="75"/>
  <c r="C26" i="75" s="1"/>
  <c r="C40" i="75" s="1"/>
  <c r="J40" i="181"/>
  <c r="K40" i="181"/>
  <c r="I40" i="181"/>
  <c r="E40" i="181"/>
  <c r="F40" i="181"/>
  <c r="G40" i="181"/>
  <c r="D40" i="181"/>
  <c r="D17" i="13"/>
  <c r="D18" i="13" s="1"/>
  <c r="V34" i="4" s="1"/>
  <c r="E48" i="76"/>
  <c r="Y16" i="31"/>
  <c r="Y18" i="31" s="1"/>
  <c r="V8" i="4" s="1"/>
  <c r="Y22" i="31"/>
  <c r="A39" i="78"/>
  <c r="Z136" i="31"/>
  <c r="Z144" i="31" s="1"/>
  <c r="W25" i="4" s="1"/>
  <c r="D15" i="13"/>
  <c r="G34" i="97"/>
  <c r="I10" i="99" s="1"/>
  <c r="H38" i="4"/>
  <c r="H44" i="4" s="1"/>
  <c r="X38" i="4"/>
  <c r="F38" i="4"/>
  <c r="G38" i="4"/>
  <c r="Y38" i="4"/>
  <c r="K38" i="4"/>
  <c r="K44" i="4" s="1"/>
  <c r="J38" i="4"/>
  <c r="C215" i="78"/>
  <c r="B216" i="78"/>
  <c r="C173" i="78"/>
  <c r="C134" i="78"/>
  <c r="C89" i="78"/>
  <c r="AF58" i="31"/>
  <c r="AG16" i="4" s="1"/>
  <c r="D16" i="165" s="1"/>
  <c r="E16" i="165" s="1"/>
  <c r="G16" i="165" s="1"/>
  <c r="I16" i="165" s="1"/>
  <c r="K16" i="165" s="1"/>
  <c r="M16" i="165" s="1"/>
  <c r="O16" i="165" s="1"/>
  <c r="Q16" i="165" s="1"/>
  <c r="S16" i="165" s="1"/>
  <c r="AJ38" i="4"/>
  <c r="AP38" i="4"/>
  <c r="C13" i="26"/>
  <c r="AD38" i="4"/>
  <c r="AN38" i="4"/>
  <c r="AE38" i="4"/>
  <c r="AK38" i="4"/>
  <c r="AO38" i="4"/>
  <c r="T11" i="4"/>
  <c r="AL26" i="4"/>
  <c r="AI28" i="4"/>
  <c r="X743" i="62"/>
  <c r="AD63" i="31"/>
  <c r="H29" i="31"/>
  <c r="H54" i="31" s="1"/>
  <c r="C8" i="4"/>
  <c r="AC76" i="31"/>
  <c r="J29" i="6"/>
  <c r="K28" i="6"/>
  <c r="L28" i="6" s="1"/>
  <c r="Y129" i="31"/>
  <c r="V22" i="4" s="1"/>
  <c r="Q16" i="6"/>
  <c r="W141" i="31" s="1"/>
  <c r="T24" i="4" s="1"/>
  <c r="O27" i="6"/>
  <c r="Q27" i="6"/>
  <c r="S12" i="6"/>
  <c r="O25" i="6"/>
  <c r="Q25" i="6"/>
  <c r="AE740" i="62"/>
  <c r="AE741" i="62" s="1"/>
  <c r="E35" i="75"/>
  <c r="F35" i="75" s="1"/>
  <c r="D23" i="1"/>
  <c r="E23" i="1" s="1"/>
  <c r="H34" i="97"/>
  <c r="B135" i="78"/>
  <c r="Z743" i="62" l="1"/>
  <c r="Z745" i="62" s="1"/>
  <c r="E8" i="4"/>
  <c r="E11" i="4" s="1"/>
  <c r="J29" i="31"/>
  <c r="J54" i="31" s="1"/>
  <c r="E15" i="4" s="1"/>
  <c r="V32" i="4"/>
  <c r="M98" i="6"/>
  <c r="M95" i="6"/>
  <c r="J92" i="31"/>
  <c r="J94" i="31" s="1"/>
  <c r="E18" i="4" s="1"/>
  <c r="D20" i="13"/>
  <c r="A40" i="78"/>
  <c r="Y28" i="31"/>
  <c r="V10" i="4" s="1"/>
  <c r="V11" i="4" s="1"/>
  <c r="AC22" i="31"/>
  <c r="Z34" i="4"/>
  <c r="F35" i="1" s="1"/>
  <c r="G35" i="1" s="1"/>
  <c r="I35" i="1" s="1"/>
  <c r="C34" i="165" s="1"/>
  <c r="E34" i="165" s="1"/>
  <c r="G34" i="165" s="1"/>
  <c r="I34" i="165" s="1"/>
  <c r="K34" i="165" s="1"/>
  <c r="M34" i="165" s="1"/>
  <c r="O34" i="165" s="1"/>
  <c r="Q34" i="165" s="1"/>
  <c r="S34" i="165" s="1"/>
  <c r="G46" i="97"/>
  <c r="C216" i="78"/>
  <c r="B217" i="78"/>
  <c r="C174" i="78"/>
  <c r="C135" i="78"/>
  <c r="C90" i="78"/>
  <c r="Z8" i="4"/>
  <c r="F9" i="1" s="1"/>
  <c r="AB8" i="4" s="1"/>
  <c r="S11" i="4"/>
  <c r="AC16" i="31"/>
  <c r="AC18" i="31" s="1"/>
  <c r="H55" i="31"/>
  <c r="H92" i="31"/>
  <c r="V29" i="31"/>
  <c r="V54" i="31" s="1"/>
  <c r="S15" i="4" s="1"/>
  <c r="AI38" i="4"/>
  <c r="AL28" i="4"/>
  <c r="C11" i="4"/>
  <c r="W70" i="31"/>
  <c r="B136" i="78"/>
  <c r="H46" i="97"/>
  <c r="Z150" i="31"/>
  <c r="Z151" i="31" s="1"/>
  <c r="Z152" i="31" s="1"/>
  <c r="N28" i="6"/>
  <c r="J30" i="6"/>
  <c r="K29" i="6"/>
  <c r="L29" i="6" s="1"/>
  <c r="N29" i="6" s="1"/>
  <c r="Z24" i="4"/>
  <c r="AC141" i="31"/>
  <c r="AD141" i="31" s="1"/>
  <c r="Y136" i="31"/>
  <c r="AC129" i="31"/>
  <c r="AD76" i="31"/>
  <c r="J11" i="97" l="1"/>
  <c r="P8" i="4"/>
  <c r="D9" i="1" s="1"/>
  <c r="E9" i="1" s="1"/>
  <c r="J20" i="97"/>
  <c r="J32" i="97"/>
  <c r="J21" i="97"/>
  <c r="J38" i="97"/>
  <c r="J24" i="97"/>
  <c r="J39" i="97"/>
  <c r="J25" i="97"/>
  <c r="J40" i="97"/>
  <c r="J42" i="97"/>
  <c r="J30" i="97"/>
  <c r="J44" i="97"/>
  <c r="J26" i="97"/>
  <c r="J41" i="97"/>
  <c r="J15" i="97"/>
  <c r="J27" i="97"/>
  <c r="J18" i="97"/>
  <c r="J19" i="97"/>
  <c r="J31" i="97"/>
  <c r="J34" i="97"/>
  <c r="J46" i="97" s="1"/>
  <c r="P11" i="4"/>
  <c r="V36" i="4"/>
  <c r="Z32" i="4"/>
  <c r="F33" i="1" s="1"/>
  <c r="AB32" i="4" s="1"/>
  <c r="M97" i="6"/>
  <c r="M100" i="6"/>
  <c r="AD22" i="31"/>
  <c r="AC28" i="31"/>
  <c r="AC29" i="31" s="1"/>
  <c r="Y29" i="31"/>
  <c r="A41" i="78"/>
  <c r="C217" i="78"/>
  <c r="B218" i="78"/>
  <c r="C175" i="78"/>
  <c r="C136" i="78"/>
  <c r="C91" i="78"/>
  <c r="AD16" i="31"/>
  <c r="AD18" i="31" s="1"/>
  <c r="V92" i="31"/>
  <c r="V94" i="31" s="1"/>
  <c r="S18" i="4" s="1"/>
  <c r="G9" i="1"/>
  <c r="AB34" i="4"/>
  <c r="V55" i="31"/>
  <c r="C15" i="32"/>
  <c r="D15" i="32" s="1"/>
  <c r="E35" i="4" s="1"/>
  <c r="C36" i="1"/>
  <c r="AC136" i="31"/>
  <c r="AD129" i="31"/>
  <c r="AD136" i="31" s="1"/>
  <c r="J31" i="6"/>
  <c r="K30" i="6"/>
  <c r="L30" i="6" s="1"/>
  <c r="N30" i="6" s="1"/>
  <c r="O29" i="6"/>
  <c r="Q29" i="6"/>
  <c r="W80" i="31" s="1"/>
  <c r="AC80" i="31" s="1"/>
  <c r="AD80" i="31" s="1"/>
  <c r="H94" i="31"/>
  <c r="C15" i="4"/>
  <c r="E12" i="1"/>
  <c r="D12" i="1"/>
  <c r="J55" i="31"/>
  <c r="O28" i="6"/>
  <c r="Q28" i="6"/>
  <c r="B137" i="78"/>
  <c r="F25" i="1"/>
  <c r="J126" i="31"/>
  <c r="AC70" i="31"/>
  <c r="W73" i="31"/>
  <c r="J144" i="31" l="1"/>
  <c r="M102" i="6"/>
  <c r="M99" i="6"/>
  <c r="A42" i="78"/>
  <c r="Y54" i="31"/>
  <c r="V15" i="4" s="1"/>
  <c r="Y92" i="31"/>
  <c r="Y94" i="31" s="1"/>
  <c r="V18" i="4" s="1"/>
  <c r="Z10" i="4"/>
  <c r="F11" i="1" s="1"/>
  <c r="Z11" i="4"/>
  <c r="AD28" i="31"/>
  <c r="AF28" i="31" s="1"/>
  <c r="AF22" i="31"/>
  <c r="C218" i="78"/>
  <c r="B219" i="78"/>
  <c r="C176" i="78"/>
  <c r="C137" i="78"/>
  <c r="C92" i="78"/>
  <c r="V126" i="31"/>
  <c r="V144" i="31" s="1"/>
  <c r="S25" i="4" s="1"/>
  <c r="S26" i="4" s="1"/>
  <c r="S28" i="4" s="1"/>
  <c r="S38" i="4" s="1"/>
  <c r="G25" i="1"/>
  <c r="I25" i="1" s="1"/>
  <c r="C24" i="165" s="1"/>
  <c r="P15" i="4"/>
  <c r="D16" i="1" s="1"/>
  <c r="E16" i="1" s="1"/>
  <c r="P35" i="4"/>
  <c r="D36" i="1" s="1"/>
  <c r="E36" i="1" s="1"/>
  <c r="G36" i="1" s="1"/>
  <c r="I36" i="1" s="1"/>
  <c r="C35" i="165" s="1"/>
  <c r="E35" i="165" s="1"/>
  <c r="G35" i="165" s="1"/>
  <c r="I35" i="165" s="1"/>
  <c r="K35" i="165" s="1"/>
  <c r="M35" i="165" s="1"/>
  <c r="O35" i="165" s="1"/>
  <c r="Q35" i="165" s="1"/>
  <c r="S35" i="165" s="1"/>
  <c r="AB24" i="4"/>
  <c r="W78" i="31"/>
  <c r="C18" i="4"/>
  <c r="H126" i="31"/>
  <c r="H144" i="31" s="1"/>
  <c r="O30" i="6"/>
  <c r="Q30" i="6"/>
  <c r="W82" i="31" s="1"/>
  <c r="AC82" i="31" s="1"/>
  <c r="AD82" i="31" s="1"/>
  <c r="B138" i="78"/>
  <c r="K31" i="6"/>
  <c r="L31" i="6" s="1"/>
  <c r="N31" i="6" s="1"/>
  <c r="J32" i="6"/>
  <c r="AD70" i="31"/>
  <c r="AD73" i="31" s="1"/>
  <c r="AC73" i="31"/>
  <c r="E25" i="4" l="1"/>
  <c r="E26" i="4" s="1"/>
  <c r="E28" i="4" s="1"/>
  <c r="E47" i="4" s="1"/>
  <c r="M101" i="6"/>
  <c r="M104" i="6"/>
  <c r="AC92" i="31"/>
  <c r="AD92" i="31" s="1"/>
  <c r="Z15" i="4"/>
  <c r="F16" i="1" s="1"/>
  <c r="AB15" i="4" s="1"/>
  <c r="Y55" i="31"/>
  <c r="AC54" i="31"/>
  <c r="AG10" i="4"/>
  <c r="D10" i="165" s="1"/>
  <c r="AB10" i="4"/>
  <c r="G11" i="1"/>
  <c r="I11" i="1" s="1"/>
  <c r="C10" i="165" s="1"/>
  <c r="F12" i="1"/>
  <c r="AB11" i="4" s="1"/>
  <c r="A43" i="78"/>
  <c r="Y126" i="31"/>
  <c r="AD29" i="31"/>
  <c r="C219" i="78"/>
  <c r="B220" i="78"/>
  <c r="B221" i="78" s="1"/>
  <c r="C177" i="78"/>
  <c r="C138" i="78"/>
  <c r="C93" i="78"/>
  <c r="AF141" i="31"/>
  <c r="AG24" i="4" s="1"/>
  <c r="D24" i="165" s="1"/>
  <c r="E24" i="165" s="1"/>
  <c r="G24" i="165" s="1"/>
  <c r="I24" i="165" s="1"/>
  <c r="K24" i="165" s="1"/>
  <c r="M24" i="165" s="1"/>
  <c r="O24" i="165" s="1"/>
  <c r="Q24" i="165" s="1"/>
  <c r="S24" i="165" s="1"/>
  <c r="P18" i="4"/>
  <c r="D19" i="1" s="1"/>
  <c r="E19" i="1" s="1"/>
  <c r="V150" i="31"/>
  <c r="V151" i="31" s="1"/>
  <c r="V152" i="31" s="1"/>
  <c r="V162" i="31" s="1"/>
  <c r="AF18" i="31"/>
  <c r="D8" i="165" s="1"/>
  <c r="AC78" i="31"/>
  <c r="J150" i="31"/>
  <c r="J151" i="31" s="1"/>
  <c r="J152" i="31" s="1"/>
  <c r="B139" i="78"/>
  <c r="J33" i="6"/>
  <c r="K32" i="6"/>
  <c r="L32" i="6" s="1"/>
  <c r="N32" i="6" s="1"/>
  <c r="O31" i="6"/>
  <c r="Q31" i="6"/>
  <c r="C25" i="4"/>
  <c r="H150" i="31"/>
  <c r="H151" i="31" s="1"/>
  <c r="H152" i="31" s="1"/>
  <c r="D11" i="165" l="1"/>
  <c r="G16" i="1"/>
  <c r="E10" i="165"/>
  <c r="G10" i="165" s="1"/>
  <c r="I10" i="165" s="1"/>
  <c r="J162" i="31"/>
  <c r="W83" i="31"/>
  <c r="AC83" i="31" s="1"/>
  <c r="AD83" i="31" s="1"/>
  <c r="M106" i="6"/>
  <c r="M103" i="6"/>
  <c r="AG28" i="31"/>
  <c r="AL10" i="4" s="1"/>
  <c r="J10" i="165" s="1"/>
  <c r="J11" i="165" s="1"/>
  <c r="J28" i="165" s="1"/>
  <c r="G12" i="1"/>
  <c r="C16" i="26" s="1"/>
  <c r="AD54" i="31"/>
  <c r="AD55" i="31" s="1"/>
  <c r="AC55" i="31"/>
  <c r="Y144" i="31"/>
  <c r="V25" i="4" s="1"/>
  <c r="V26" i="4" s="1"/>
  <c r="V28" i="4" s="1"/>
  <c r="V38" i="4" s="1"/>
  <c r="A44" i="78"/>
  <c r="C221" i="78"/>
  <c r="C220" i="78"/>
  <c r="B222" i="78"/>
  <c r="C178" i="78"/>
  <c r="C139" i="78"/>
  <c r="C94" i="78"/>
  <c r="AF11" i="4"/>
  <c r="C26" i="4"/>
  <c r="AD78" i="31"/>
  <c r="Q32" i="6"/>
  <c r="W84" i="31" s="1"/>
  <c r="O32" i="6"/>
  <c r="J34" i="6"/>
  <c r="K33" i="6"/>
  <c r="L33" i="6" s="1"/>
  <c r="N33" i="6" s="1"/>
  <c r="B140" i="78"/>
  <c r="AC84" i="31" l="1"/>
  <c r="W85" i="31"/>
  <c r="W86" i="31" s="1"/>
  <c r="M105" i="6"/>
  <c r="M108" i="6"/>
  <c r="K10" i="165"/>
  <c r="M10" i="165" s="1"/>
  <c r="O10" i="165" s="1"/>
  <c r="Q10" i="165" s="1"/>
  <c r="S10" i="165" s="1"/>
  <c r="AF29" i="31"/>
  <c r="A45" i="78"/>
  <c r="A46" i="78" s="1"/>
  <c r="A47" i="78" s="1"/>
  <c r="A48" i="78" s="1"/>
  <c r="A49" i="78" s="1"/>
  <c r="A50" i="78" s="1"/>
  <c r="Y150" i="31"/>
  <c r="Y151" i="31" s="1"/>
  <c r="Y152" i="31" s="1"/>
  <c r="Y162" i="31" s="1"/>
  <c r="C222" i="78"/>
  <c r="B223" i="78"/>
  <c r="C179" i="78"/>
  <c r="C140" i="78"/>
  <c r="C95" i="78"/>
  <c r="AF18" i="4"/>
  <c r="AF15" i="4"/>
  <c r="AG11" i="4"/>
  <c r="C28" i="4"/>
  <c r="B141" i="78"/>
  <c r="AF54" i="31"/>
  <c r="O33" i="6"/>
  <c r="Q33" i="6"/>
  <c r="J35" i="6"/>
  <c r="K34" i="6"/>
  <c r="L34" i="6" s="1"/>
  <c r="N34" i="6" s="1"/>
  <c r="C38" i="4" l="1"/>
  <c r="T17" i="4"/>
  <c r="Z17" i="4" s="1"/>
  <c r="F18" i="1" s="1"/>
  <c r="G18" i="1" s="1"/>
  <c r="W89" i="31"/>
  <c r="AC89" i="31" s="1"/>
  <c r="AD89" i="31" s="1"/>
  <c r="AD84" i="31"/>
  <c r="AD85" i="31" s="1"/>
  <c r="AD86" i="31" s="1"/>
  <c r="AC85" i="31"/>
  <c r="AC86" i="31" s="1"/>
  <c r="M107" i="6"/>
  <c r="A51" i="78"/>
  <c r="A52" i="78" s="1"/>
  <c r="A53" i="78" s="1"/>
  <c r="A54" i="78" s="1"/>
  <c r="A55" i="78" s="1"/>
  <c r="A56" i="78" s="1"/>
  <c r="A57" i="78" s="1"/>
  <c r="A58" i="78" s="1"/>
  <c r="A59" i="78" s="1"/>
  <c r="A60" i="78" s="1"/>
  <c r="A61" i="78" s="1"/>
  <c r="A62" i="78" s="1"/>
  <c r="A63" i="78" s="1"/>
  <c r="A64" i="78" s="1"/>
  <c r="A65" i="78" s="1"/>
  <c r="A66" i="78" s="1"/>
  <c r="A67" i="78" s="1"/>
  <c r="A68" i="78" s="1"/>
  <c r="A69" i="78" s="1"/>
  <c r="A70" i="78" s="1"/>
  <c r="A71" i="78" s="1"/>
  <c r="A72" i="78" s="1"/>
  <c r="A73" i="78" s="1"/>
  <c r="A74" i="78" s="1"/>
  <c r="A76" i="78" s="1"/>
  <c r="A79" i="78" s="1"/>
  <c r="A80" i="78" s="1"/>
  <c r="A81" i="78" s="1"/>
  <c r="A82" i="78" s="1"/>
  <c r="A83" i="78" s="1"/>
  <c r="A84" i="78" s="1"/>
  <c r="A85" i="78" s="1"/>
  <c r="A86" i="78" s="1"/>
  <c r="A87" i="78" s="1"/>
  <c r="A88" i="78" s="1"/>
  <c r="A89" i="78" s="1"/>
  <c r="C223" i="78"/>
  <c r="B224" i="78"/>
  <c r="C180" i="78"/>
  <c r="C141" i="78"/>
  <c r="C96" i="78"/>
  <c r="AF25" i="4"/>
  <c r="AG25" i="4" s="1"/>
  <c r="D25" i="165" s="1"/>
  <c r="AG15" i="4"/>
  <c r="D15" i="165" s="1"/>
  <c r="H162" i="31"/>
  <c r="O34" i="6"/>
  <c r="Q34" i="6"/>
  <c r="J36" i="6"/>
  <c r="K35" i="6"/>
  <c r="L35" i="6" s="1"/>
  <c r="N35" i="6" s="1"/>
  <c r="B142" i="78"/>
  <c r="W90" i="31" l="1"/>
  <c r="AC90" i="31" s="1"/>
  <c r="AD90" i="31" s="1"/>
  <c r="M109" i="6"/>
  <c r="A90" i="78"/>
  <c r="A91" i="78" s="1"/>
  <c r="A92" i="78" s="1"/>
  <c r="C224" i="78"/>
  <c r="B225" i="78"/>
  <c r="C181" i="78"/>
  <c r="C142" i="78"/>
  <c r="C97" i="78"/>
  <c r="B143" i="78"/>
  <c r="K36" i="6"/>
  <c r="L36" i="6" s="1"/>
  <c r="N36" i="6" s="1"/>
  <c r="J37" i="6"/>
  <c r="I18" i="1"/>
  <c r="C17" i="165" s="1"/>
  <c r="AB17" i="4"/>
  <c r="O35" i="6"/>
  <c r="Q35" i="6"/>
  <c r="W91" i="31" s="1"/>
  <c r="AC91" i="31" l="1"/>
  <c r="W94" i="31"/>
  <c r="A93" i="78"/>
  <c r="A94" i="78" s="1"/>
  <c r="A95" i="78" s="1"/>
  <c r="A96" i="78" s="1"/>
  <c r="C225" i="78"/>
  <c r="B226" i="78"/>
  <c r="C182" i="78"/>
  <c r="C143" i="78"/>
  <c r="C98" i="78"/>
  <c r="AF86" i="31"/>
  <c r="AG17" i="4" s="1"/>
  <c r="D17" i="165" s="1"/>
  <c r="J38" i="6"/>
  <c r="K37" i="6"/>
  <c r="L37" i="6" s="1"/>
  <c r="N37" i="6" s="1"/>
  <c r="O36" i="6"/>
  <c r="Q36" i="6"/>
  <c r="B144" i="78"/>
  <c r="C33" i="1"/>
  <c r="T18" i="4" l="1"/>
  <c r="Z18" i="4" s="1"/>
  <c r="F19" i="1" s="1"/>
  <c r="G19" i="1" s="1"/>
  <c r="W98" i="31"/>
  <c r="AC98" i="31" s="1"/>
  <c r="AD98" i="31" s="1"/>
  <c r="AD91" i="31"/>
  <c r="AD94" i="31" s="1"/>
  <c r="AC94" i="31"/>
  <c r="A97" i="78"/>
  <c r="A98" i="78" s="1"/>
  <c r="A99" i="78" s="1"/>
  <c r="A100" i="78" s="1"/>
  <c r="C226" i="78"/>
  <c r="B227" i="78"/>
  <c r="C183" i="78"/>
  <c r="C144" i="78"/>
  <c r="C99" i="78"/>
  <c r="E17" i="165"/>
  <c r="G17" i="165" s="1"/>
  <c r="I17" i="165" s="1"/>
  <c r="K17" i="165" s="1"/>
  <c r="M17" i="165" s="1"/>
  <c r="O17" i="165" s="1"/>
  <c r="Q17" i="165" s="1"/>
  <c r="S17" i="165" s="1"/>
  <c r="O37" i="6"/>
  <c r="Q37" i="6"/>
  <c r="W100" i="31" s="1"/>
  <c r="B145" i="78"/>
  <c r="J39" i="6"/>
  <c r="K38" i="6"/>
  <c r="L38" i="6" s="1"/>
  <c r="N38" i="6" s="1"/>
  <c r="W101" i="31" l="1"/>
  <c r="C227" i="78"/>
  <c r="B228" i="78"/>
  <c r="C184" i="78"/>
  <c r="C145" i="78"/>
  <c r="C100" i="78"/>
  <c r="A101" i="78"/>
  <c r="B146" i="78"/>
  <c r="W108" i="31"/>
  <c r="T20" i="4" s="1"/>
  <c r="AC105" i="31"/>
  <c r="O38" i="6"/>
  <c r="Q38" i="6"/>
  <c r="K39" i="6"/>
  <c r="L39" i="6" s="1"/>
  <c r="N39" i="6" s="1"/>
  <c r="J40" i="6"/>
  <c r="AB18" i="4"/>
  <c r="T19" i="4" l="1"/>
  <c r="Z19" i="4" s="1"/>
  <c r="C228" i="78"/>
  <c r="B229" i="78"/>
  <c r="C185" i="78"/>
  <c r="C146" i="78"/>
  <c r="C101" i="78"/>
  <c r="A102" i="78"/>
  <c r="AF94" i="31"/>
  <c r="AG18" i="4" s="1"/>
  <c r="D18" i="165" s="1"/>
  <c r="Z20" i="4"/>
  <c r="J72" i="6"/>
  <c r="K72" i="6" s="1"/>
  <c r="L72" i="6" s="1"/>
  <c r="K40" i="6"/>
  <c r="O39" i="6"/>
  <c r="Q39" i="6"/>
  <c r="AD105" i="31"/>
  <c r="B147" i="78"/>
  <c r="F20" i="1" l="1"/>
  <c r="AC112" i="31"/>
  <c r="AD112" i="31" s="1"/>
  <c r="C229" i="78"/>
  <c r="B230" i="78"/>
  <c r="C186" i="78"/>
  <c r="C147" i="78"/>
  <c r="C102" i="78"/>
  <c r="A103" i="78"/>
  <c r="J73" i="6"/>
  <c r="K73" i="6" s="1"/>
  <c r="L73" i="6" s="1"/>
  <c r="L40" i="6"/>
  <c r="K41" i="6"/>
  <c r="F21" i="1"/>
  <c r="B148" i="78"/>
  <c r="AB19" i="4" l="1"/>
  <c r="C230" i="78"/>
  <c r="B231" i="78"/>
  <c r="C231" i="78" s="1"/>
  <c r="C187" i="78"/>
  <c r="C148" i="78"/>
  <c r="C103" i="78"/>
  <c r="A104" i="78"/>
  <c r="AB20" i="4"/>
  <c r="N40" i="6"/>
  <c r="L41" i="6"/>
  <c r="B149" i="78"/>
  <c r="J74" i="6"/>
  <c r="K74" i="6" s="1"/>
  <c r="L74" i="6" s="1"/>
  <c r="B232" i="78" l="1"/>
  <c r="C232" i="78" s="1"/>
  <c r="C188" i="78"/>
  <c r="C149" i="78"/>
  <c r="C104" i="78"/>
  <c r="A105" i="78"/>
  <c r="J75" i="6"/>
  <c r="K75" i="6" s="1"/>
  <c r="L75" i="6" s="1"/>
  <c r="O40" i="6"/>
  <c r="O41" i="6" s="1"/>
  <c r="Q40" i="6"/>
  <c r="N41" i="6"/>
  <c r="N72" i="6"/>
  <c r="O72" i="6" s="1"/>
  <c r="B150" i="78"/>
  <c r="N73" i="6"/>
  <c r="Q73" i="6" s="1"/>
  <c r="Q41" i="6" l="1"/>
  <c r="W116" i="31"/>
  <c r="AC116" i="31" s="1"/>
  <c r="AD116" i="31" s="1"/>
  <c r="B233" i="78"/>
  <c r="C233" i="78" s="1"/>
  <c r="C189" i="78"/>
  <c r="C150" i="78"/>
  <c r="C105" i="78"/>
  <c r="A106" i="78"/>
  <c r="O73" i="6"/>
  <c r="Q72" i="6"/>
  <c r="B151" i="78"/>
  <c r="N74" i="6"/>
  <c r="Q74" i="6" s="1"/>
  <c r="J76" i="6"/>
  <c r="J77" i="6" l="1"/>
  <c r="K77" i="6" s="1"/>
  <c r="L77" i="6" s="1"/>
  <c r="K76" i="6"/>
  <c r="L76" i="6" s="1"/>
  <c r="B234" i="78"/>
  <c r="C234" i="78" s="1"/>
  <c r="C190" i="78"/>
  <c r="C151" i="78"/>
  <c r="C106" i="78"/>
  <c r="A107" i="78"/>
  <c r="O74" i="6"/>
  <c r="B152" i="78"/>
  <c r="J78" i="6" l="1"/>
  <c r="K78" i="6" s="1"/>
  <c r="L78" i="6" s="1"/>
  <c r="J79" i="6"/>
  <c r="K79" i="6" s="1"/>
  <c r="L79" i="6" s="1"/>
  <c r="N77" i="6"/>
  <c r="Q77" i="6" s="1"/>
  <c r="B235" i="78"/>
  <c r="C235" i="78" s="1"/>
  <c r="C191" i="78"/>
  <c r="C152" i="78"/>
  <c r="C107" i="78"/>
  <c r="A108" i="78"/>
  <c r="B153" i="78"/>
  <c r="N76" i="6"/>
  <c r="Q76" i="6" s="1"/>
  <c r="N75" i="6"/>
  <c r="O77" i="6" l="1"/>
  <c r="J80" i="6"/>
  <c r="K80" i="6" s="1"/>
  <c r="L80" i="6" s="1"/>
  <c r="N78" i="6"/>
  <c r="Q78" i="6" s="1"/>
  <c r="B236" i="78"/>
  <c r="C192" i="78"/>
  <c r="C153" i="78"/>
  <c r="C108" i="78"/>
  <c r="N79" i="6"/>
  <c r="Q79" i="6" s="1"/>
  <c r="Q75" i="6"/>
  <c r="O75" i="6"/>
  <c r="O76" i="6"/>
  <c r="B154" i="78"/>
  <c r="O78" i="6" l="1"/>
  <c r="J81" i="6"/>
  <c r="K81" i="6" s="1"/>
  <c r="L81" i="6" s="1"/>
  <c r="O79" i="6"/>
  <c r="A109" i="78"/>
  <c r="A110" i="78" s="1"/>
  <c r="B112" i="78"/>
  <c r="B113" i="78" s="1"/>
  <c r="B114" i="78" s="1"/>
  <c r="B115" i="78" s="1"/>
  <c r="C236" i="78"/>
  <c r="B237" i="78"/>
  <c r="B238" i="78" s="1"/>
  <c r="C193" i="78"/>
  <c r="C154" i="78"/>
  <c r="C109" i="78"/>
  <c r="B155" i="78"/>
  <c r="N80" i="6"/>
  <c r="O80" i="6" s="1"/>
  <c r="J82" i="6" l="1"/>
  <c r="K82" i="6" s="1"/>
  <c r="L82" i="6" s="1"/>
  <c r="C238" i="78"/>
  <c r="C237" i="78"/>
  <c r="B239" i="78"/>
  <c r="B240" i="78" s="1"/>
  <c r="C240" i="78" s="1"/>
  <c r="C194" i="78"/>
  <c r="C155" i="78"/>
  <c r="C110" i="78"/>
  <c r="A111" i="78"/>
  <c r="Q80" i="6"/>
  <c r="N81" i="6"/>
  <c r="Q81" i="6" s="1"/>
  <c r="B156" i="78"/>
  <c r="J83" i="6" l="1"/>
  <c r="K83" i="6" s="1"/>
  <c r="L83" i="6" s="1"/>
  <c r="C239" i="78"/>
  <c r="C195" i="78"/>
  <c r="B196" i="78"/>
  <c r="C156" i="78"/>
  <c r="C111" i="78"/>
  <c r="A112" i="78"/>
  <c r="B157" i="78"/>
  <c r="N82" i="6"/>
  <c r="Q82" i="6" s="1"/>
  <c r="O81" i="6"/>
  <c r="B197" i="78" l="1"/>
  <c r="B198" i="78" s="1"/>
  <c r="B199" i="78" s="1"/>
  <c r="B200" i="78" s="1"/>
  <c r="J84" i="6"/>
  <c r="K84" i="6" s="1"/>
  <c r="L84" i="6" s="1"/>
  <c r="C196" i="78"/>
  <c r="C157" i="78"/>
  <c r="C112" i="78"/>
  <c r="A113" i="78"/>
  <c r="B158" i="78"/>
  <c r="O82" i="6"/>
  <c r="N84" i="6" l="1"/>
  <c r="O84" i="6" s="1"/>
  <c r="J85" i="6"/>
  <c r="K85" i="6" s="1"/>
  <c r="L85" i="6" s="1"/>
  <c r="J86" i="6"/>
  <c r="K86" i="6" s="1"/>
  <c r="L86" i="6" s="1"/>
  <c r="N83" i="6"/>
  <c r="Q83" i="6" s="1"/>
  <c r="C197" i="78"/>
  <c r="C158" i="78"/>
  <c r="C113" i="78"/>
  <c r="A114" i="78"/>
  <c r="Q84" i="6"/>
  <c r="O83" i="6" l="1"/>
  <c r="J87" i="6"/>
  <c r="K87" i="6" s="1"/>
  <c r="L87" i="6" s="1"/>
  <c r="N85" i="6"/>
  <c r="Q85" i="6" s="1"/>
  <c r="O85" i="6"/>
  <c r="C198" i="78"/>
  <c r="C114" i="78"/>
  <c r="J88" i="6" l="1"/>
  <c r="K88" i="6" s="1"/>
  <c r="L88" i="6" s="1"/>
  <c r="N86" i="6"/>
  <c r="Q86" i="6" s="1"/>
  <c r="A115" i="78"/>
  <c r="B116" i="78"/>
  <c r="C199" i="78"/>
  <c r="C115" i="78"/>
  <c r="O86" i="6" l="1"/>
  <c r="A116" i="78"/>
  <c r="N87" i="6"/>
  <c r="Q87" i="6" s="1"/>
  <c r="O87" i="6"/>
  <c r="J89" i="6"/>
  <c r="K89" i="6" s="1"/>
  <c r="L89" i="6" s="1"/>
  <c r="C200" i="78"/>
  <c r="C116" i="78"/>
  <c r="N88" i="6" l="1"/>
  <c r="Q88" i="6" s="1"/>
  <c r="J90" i="6"/>
  <c r="K90" i="6" s="1"/>
  <c r="L90" i="6" s="1"/>
  <c r="O88" i="6" l="1"/>
  <c r="J91" i="6"/>
  <c r="K91" i="6" s="1"/>
  <c r="L91" i="6" s="1"/>
  <c r="N89" i="6"/>
  <c r="Q89" i="6" s="1"/>
  <c r="O89" i="6"/>
  <c r="N90" i="6" l="1"/>
  <c r="Q90" i="6" s="1"/>
  <c r="J92" i="6"/>
  <c r="K92" i="6" s="1"/>
  <c r="L92" i="6" s="1"/>
  <c r="O90" i="6" l="1"/>
  <c r="N91" i="6"/>
  <c r="Q91" i="6" s="1"/>
  <c r="J93" i="6"/>
  <c r="K93" i="6" s="1"/>
  <c r="L93" i="6" s="1"/>
  <c r="A118" i="78"/>
  <c r="A121" i="78" s="1"/>
  <c r="A122" i="78" s="1"/>
  <c r="A123" i="78" s="1"/>
  <c r="A124" i="78" s="1"/>
  <c r="A125" i="78" s="1"/>
  <c r="A126" i="78" s="1"/>
  <c r="A127" i="78" s="1"/>
  <c r="A128" i="78" s="1"/>
  <c r="A129" i="78" s="1"/>
  <c r="A130" i="78" s="1"/>
  <c r="A131" i="78" s="1"/>
  <c r="A132" i="78" s="1"/>
  <c r="A133" i="78" s="1"/>
  <c r="A134" i="78" s="1"/>
  <c r="A135" i="78" s="1"/>
  <c r="A136" i="78" s="1"/>
  <c r="A137" i="78" s="1"/>
  <c r="A138" i="78" s="1"/>
  <c r="A139" i="78" s="1"/>
  <c r="A140" i="78" s="1"/>
  <c r="A141" i="78" s="1"/>
  <c r="A142" i="78" s="1"/>
  <c r="A143" i="78" s="1"/>
  <c r="A144" i="78" s="1"/>
  <c r="A145" i="78" s="1"/>
  <c r="A146" i="78" s="1"/>
  <c r="A147" i="78" s="1"/>
  <c r="A148" i="78" s="1"/>
  <c r="A149" i="78" s="1"/>
  <c r="A150" i="78" s="1"/>
  <c r="A151" i="78" s="1"/>
  <c r="A152" i="78" s="1"/>
  <c r="A153" i="78" s="1"/>
  <c r="A154" i="78" s="1"/>
  <c r="A155" i="78" s="1"/>
  <c r="A156" i="78" s="1"/>
  <c r="A157" i="78" s="1"/>
  <c r="A158" i="78" s="1"/>
  <c r="A160" i="78" s="1"/>
  <c r="A163" i="78" s="1"/>
  <c r="A164" i="78" s="1"/>
  <c r="A165" i="78" s="1"/>
  <c r="A166" i="78" s="1"/>
  <c r="A167" i="78" s="1"/>
  <c r="A168" i="78" s="1"/>
  <c r="A169" i="78" s="1"/>
  <c r="A170" i="78" s="1"/>
  <c r="A171" i="78" s="1"/>
  <c r="A172" i="78" s="1"/>
  <c r="A173" i="78" s="1"/>
  <c r="A174" i="78" s="1"/>
  <c r="A175" i="78" s="1"/>
  <c r="A176" i="78" s="1"/>
  <c r="A177" i="78" s="1"/>
  <c r="A178" i="78" s="1"/>
  <c r="A179" i="78" s="1"/>
  <c r="A180" i="78" s="1"/>
  <c r="A181" i="78" s="1"/>
  <c r="A182" i="78" s="1"/>
  <c r="A183" i="78" s="1"/>
  <c r="A184" i="78" s="1"/>
  <c r="A185" i="78" s="1"/>
  <c r="A186" i="78" s="1"/>
  <c r="A187" i="78" s="1"/>
  <c r="A188" i="78" s="1"/>
  <c r="A189" i="78" s="1"/>
  <c r="A190" i="78" s="1"/>
  <c r="A191" i="78" s="1"/>
  <c r="A192" i="78" s="1"/>
  <c r="A193" i="78" s="1"/>
  <c r="A194" i="78" s="1"/>
  <c r="A195" i="78" s="1"/>
  <c r="A196" i="78" s="1"/>
  <c r="A197" i="78" s="1"/>
  <c r="A198" i="78" s="1"/>
  <c r="A199" i="78" s="1"/>
  <c r="A200" i="78" s="1"/>
  <c r="A202" i="78" s="1"/>
  <c r="A205" i="78" s="1"/>
  <c r="A206" i="78" s="1"/>
  <c r="A207" i="78" s="1"/>
  <c r="A208" i="78" s="1"/>
  <c r="A209" i="78" s="1"/>
  <c r="A210" i="78" s="1"/>
  <c r="A211" i="78" s="1"/>
  <c r="A212" i="78" s="1"/>
  <c r="A213" i="78" s="1"/>
  <c r="A214" i="78" s="1"/>
  <c r="A215" i="78" s="1"/>
  <c r="A216" i="78" s="1"/>
  <c r="A217" i="78" s="1"/>
  <c r="A218" i="78" s="1"/>
  <c r="A219" i="78" s="1"/>
  <c r="A220" i="78" s="1"/>
  <c r="A221" i="78" s="1"/>
  <c r="A222" i="78" s="1"/>
  <c r="A223" i="78" s="1"/>
  <c r="A224" i="78" s="1"/>
  <c r="A225" i="78" s="1"/>
  <c r="A226" i="78" s="1"/>
  <c r="A227" i="78" s="1"/>
  <c r="A228" i="78" s="1"/>
  <c r="A229" i="78" s="1"/>
  <c r="A230" i="78" s="1"/>
  <c r="A231" i="78" s="1"/>
  <c r="A232" i="78" s="1"/>
  <c r="A233" i="78" s="1"/>
  <c r="A234" i="78" s="1"/>
  <c r="A235" i="78" s="1"/>
  <c r="A236" i="78" s="1"/>
  <c r="A237" i="78" s="1"/>
  <c r="A238" i="78" s="1"/>
  <c r="A239" i="78" s="1"/>
  <c r="A240" i="78" s="1"/>
  <c r="A242" i="78" s="1"/>
  <c r="O91" i="6" l="1"/>
  <c r="N92" i="6"/>
  <c r="Q92" i="6" s="1"/>
  <c r="J94" i="6"/>
  <c r="K94" i="6" s="1"/>
  <c r="L94" i="6" s="1"/>
  <c r="O92" i="6" l="1"/>
  <c r="J95" i="6"/>
  <c r="K95" i="6" s="1"/>
  <c r="L95" i="6" s="1"/>
  <c r="N93" i="6"/>
  <c r="Q93" i="6" s="1"/>
  <c r="O93" i="6" l="1"/>
  <c r="N94" i="6"/>
  <c r="Q94" i="6" s="1"/>
  <c r="O94" i="6"/>
  <c r="J96" i="6"/>
  <c r="K96" i="6" s="1"/>
  <c r="L96" i="6" s="1"/>
  <c r="N95" i="6" l="1"/>
  <c r="Q95" i="6" s="1"/>
  <c r="J97" i="6"/>
  <c r="K97" i="6" s="1"/>
  <c r="L97" i="6" s="1"/>
  <c r="O95" i="6" l="1"/>
  <c r="J98" i="6"/>
  <c r="K98" i="6" s="1"/>
  <c r="L98" i="6" s="1"/>
  <c r="N96" i="6"/>
  <c r="Q96" i="6" s="1"/>
  <c r="O96" i="6" l="1"/>
  <c r="J99" i="6"/>
  <c r="K99" i="6" s="1"/>
  <c r="L99" i="6" s="1"/>
  <c r="N97" i="6"/>
  <c r="Q97" i="6" s="1"/>
  <c r="O97" i="6" l="1"/>
  <c r="N98" i="6"/>
  <c r="Q98" i="6" s="1"/>
  <c r="O98" i="6"/>
  <c r="J100" i="6"/>
  <c r="K100" i="6" s="1"/>
  <c r="L100" i="6" s="1"/>
  <c r="J101" i="6" l="1"/>
  <c r="K101" i="6" s="1"/>
  <c r="L101" i="6" s="1"/>
  <c r="N99" i="6"/>
  <c r="Q99" i="6" s="1"/>
  <c r="O99" i="6" l="1"/>
  <c r="J102" i="6"/>
  <c r="K102" i="6" s="1"/>
  <c r="L102" i="6" s="1"/>
  <c r="N100" i="6"/>
  <c r="Q100" i="6" s="1"/>
  <c r="O100" i="6"/>
  <c r="J103" i="6" l="1"/>
  <c r="K103" i="6" s="1"/>
  <c r="L103" i="6" s="1"/>
  <c r="N101" i="6"/>
  <c r="Q101" i="6" s="1"/>
  <c r="O101" i="6"/>
  <c r="N102" i="6" l="1"/>
  <c r="Q102" i="6" s="1"/>
  <c r="O102" i="6"/>
  <c r="J104" i="6"/>
  <c r="K104" i="6" s="1"/>
  <c r="L104" i="6" s="1"/>
  <c r="N103" i="6" l="1"/>
  <c r="Q103" i="6" s="1"/>
  <c r="J105" i="6"/>
  <c r="K105" i="6" s="1"/>
  <c r="L105" i="6" s="1"/>
  <c r="O103" i="6" l="1"/>
  <c r="J106" i="6"/>
  <c r="K106" i="6" s="1"/>
  <c r="L106" i="6" s="1"/>
  <c r="N104" i="6"/>
  <c r="Q104" i="6" s="1"/>
  <c r="O104" i="6" l="1"/>
  <c r="J107" i="6"/>
  <c r="K107" i="6" s="1"/>
  <c r="L107" i="6" s="1"/>
  <c r="N105" i="6"/>
  <c r="Q105" i="6" s="1"/>
  <c r="O105" i="6" l="1"/>
  <c r="N106" i="6"/>
  <c r="Q106" i="6" s="1"/>
  <c r="O106" i="6"/>
  <c r="J108" i="6"/>
  <c r="K108" i="6" s="1"/>
  <c r="L108" i="6" s="1"/>
  <c r="N107" i="6" l="1"/>
  <c r="Q107" i="6" s="1"/>
  <c r="J109" i="6"/>
  <c r="K109" i="6" s="1"/>
  <c r="L109" i="6" s="1"/>
  <c r="O107" i="6" l="1"/>
  <c r="N108" i="6"/>
  <c r="Q108" i="6" s="1"/>
  <c r="O108" i="6" l="1"/>
  <c r="N109" i="6"/>
  <c r="Q109" i="6" s="1"/>
  <c r="O109" i="6" l="1"/>
  <c r="K110" i="6"/>
  <c r="L110" i="6" l="1"/>
  <c r="O110" i="6" l="1"/>
  <c r="Q110" i="6"/>
  <c r="W111" i="31" s="1"/>
  <c r="N110" i="6"/>
  <c r="W122" i="31" l="1"/>
  <c r="W124" i="31" s="1"/>
  <c r="T21" i="4" s="1"/>
  <c r="AC111" i="31"/>
  <c r="AD111" i="31" s="1"/>
  <c r="Z21" i="4" l="1"/>
  <c r="F22" i="1" s="1"/>
  <c r="W126" i="31"/>
  <c r="W144" i="31" s="1"/>
  <c r="T25" i="4" l="1"/>
  <c r="T26" i="4" s="1"/>
  <c r="T28" i="4" s="1"/>
  <c r="AB21" i="4"/>
  <c r="W150" i="31"/>
  <c r="W151" i="31" s="1"/>
  <c r="W152" i="31" s="1"/>
  <c r="AF26" i="4"/>
  <c r="AG26" i="4" s="1"/>
  <c r="W162" i="31" l="1"/>
  <c r="T38" i="4"/>
  <c r="AF28" i="4"/>
  <c r="AG28" i="4" s="1"/>
  <c r="AG38" i="4" s="1"/>
  <c r="AF38" i="4" l="1"/>
  <c r="AL38" i="4" l="1"/>
  <c r="AQ38" i="4" l="1"/>
  <c r="E72" i="60" l="1"/>
  <c r="AG21" i="4"/>
  <c r="D21" i="165"/>
  <c r="I122" i="31"/>
  <c r="I124" i="31" s="1"/>
  <c r="AC118" i="31" l="1"/>
  <c r="AC122" i="31" s="1"/>
  <c r="AC124" i="31" s="1"/>
  <c r="D21" i="4"/>
  <c r="P21" i="4" s="1"/>
  <c r="AD118" i="31" l="1"/>
  <c r="AD122" i="31" s="1"/>
  <c r="AD124" i="31" s="1"/>
  <c r="D22" i="1"/>
  <c r="E22" i="1" l="1"/>
  <c r="G22" i="1" l="1"/>
  <c r="I22" i="1" l="1"/>
  <c r="C21" i="165" s="1"/>
  <c r="E21" i="165" s="1"/>
  <c r="G21" i="165" s="1"/>
  <c r="I21" i="165" s="1"/>
  <c r="K21" i="165" s="1"/>
  <c r="M21" i="165" s="1"/>
  <c r="O21" i="165" s="1"/>
  <c r="Q21" i="165" s="1"/>
  <c r="S21" i="165" s="1"/>
  <c r="AF124" i="31"/>
  <c r="AG20" i="4"/>
  <c r="D20" i="165" s="1"/>
  <c r="E19" i="18" l="1"/>
  <c r="AC106" i="31" l="1"/>
  <c r="I108" i="31"/>
  <c r="I126" i="31" l="1"/>
  <c r="D20" i="4"/>
  <c r="AD106" i="31"/>
  <c r="AD108" i="31" s="1"/>
  <c r="AC108" i="31"/>
  <c r="I150" i="31" l="1"/>
  <c r="I151" i="31" s="1"/>
  <c r="I152" i="31" s="1"/>
  <c r="D25" i="4"/>
  <c r="P20" i="4"/>
  <c r="D21" i="1" s="1"/>
  <c r="E21" i="1" l="1"/>
  <c r="D26" i="4"/>
  <c r="D28" i="4" l="1"/>
  <c r="G21" i="1"/>
  <c r="I162" i="31" l="1"/>
  <c r="D38" i="4"/>
  <c r="I21" i="1"/>
  <c r="C20" i="165" s="1"/>
  <c r="E20" i="165" s="1"/>
  <c r="G20" i="165" s="1"/>
  <c r="I20" i="165" s="1"/>
  <c r="K20" i="165" s="1"/>
  <c r="M20" i="165" s="1"/>
  <c r="O20" i="165" s="1"/>
  <c r="Q20" i="165" s="1"/>
  <c r="S20" i="165" s="1"/>
  <c r="AF108" i="31"/>
  <c r="P81" i="59" l="1"/>
  <c r="M81" i="59"/>
  <c r="S81" i="59"/>
  <c r="V81" i="59"/>
  <c r="Y81" i="59"/>
  <c r="AH81" i="59"/>
  <c r="AK81" i="59"/>
  <c r="AN81" i="59"/>
  <c r="AQ81" i="59"/>
  <c r="AT81" i="59"/>
  <c r="AE76" i="59"/>
  <c r="AE81" i="59"/>
  <c r="N17" i="182" l="1"/>
  <c r="N21" i="182"/>
  <c r="AG19" i="4" l="1"/>
  <c r="D19" i="165"/>
  <c r="D26" i="165" s="1"/>
  <c r="D28" i="165" s="1"/>
  <c r="H66" i="181"/>
  <c r="H21" i="181" s="1"/>
  <c r="L21" i="181" s="1"/>
  <c r="N100" i="31" s="1"/>
  <c r="AC100" i="31" l="1"/>
  <c r="N101" i="31"/>
  <c r="H27" i="181"/>
  <c r="L27" i="181" s="1"/>
  <c r="H28" i="181" l="1"/>
  <c r="N126" i="31"/>
  <c r="N144" i="31" s="1"/>
  <c r="I19" i="4"/>
  <c r="AD100" i="31"/>
  <c r="AD101" i="31" s="1"/>
  <c r="AC101" i="31"/>
  <c r="AC126" i="31" l="1"/>
  <c r="P19" i="4"/>
  <c r="D20" i="1" s="1"/>
  <c r="AD126" i="31"/>
  <c r="I25" i="4"/>
  <c r="P25" i="4" s="1"/>
  <c r="D26" i="1" s="1"/>
  <c r="E26" i="1" s="1"/>
  <c r="N150" i="31"/>
  <c r="N151" i="31" s="1"/>
  <c r="N152" i="31" s="1"/>
  <c r="L28" i="181"/>
  <c r="H30" i="181"/>
  <c r="I26" i="4" l="1"/>
  <c r="P26" i="4" s="1"/>
  <c r="D27" i="1"/>
  <c r="D29" i="1" s="1"/>
  <c r="E20" i="1"/>
  <c r="L30" i="181"/>
  <c r="L40" i="181" s="1"/>
  <c r="H40" i="181"/>
  <c r="I28" i="4" l="1"/>
  <c r="N162" i="31" s="1"/>
  <c r="E27" i="1"/>
  <c r="E29" i="1" s="1"/>
  <c r="G20" i="1"/>
  <c r="I38" i="4" l="1"/>
  <c r="P28" i="4"/>
  <c r="I20" i="1"/>
  <c r="C19" i="165" s="1"/>
  <c r="E19" i="165" s="1"/>
  <c r="G19" i="165" s="1"/>
  <c r="I19" i="165" s="1"/>
  <c r="K19" i="165" s="1"/>
  <c r="M19" i="165" s="1"/>
  <c r="O19" i="165" s="1"/>
  <c r="Q19" i="165" s="1"/>
  <c r="S19" i="165" s="1"/>
  <c r="AF101" i="31"/>
  <c r="G10" i="31" l="1"/>
  <c r="AB8" i="62" s="1"/>
  <c r="U16" i="60"/>
  <c r="W22" i="4" l="1"/>
  <c r="W31" i="4"/>
  <c r="Z31" i="4" s="1"/>
  <c r="F32" i="1" s="1"/>
  <c r="W36" i="4"/>
  <c r="Z36" i="4" s="1"/>
  <c r="U11" i="60"/>
  <c r="U14" i="60" s="1"/>
  <c r="E11" i="60"/>
  <c r="E14" i="60" s="1"/>
  <c r="AB31" i="4" l="1"/>
  <c r="F37" i="1"/>
  <c r="AB36" i="4" s="1"/>
  <c r="W26" i="4"/>
  <c r="W28" i="4" s="1"/>
  <c r="Z22" i="4"/>
  <c r="C14" i="60"/>
  <c r="W38" i="4" l="1"/>
  <c r="Z162" i="31"/>
  <c r="F23" i="1"/>
  <c r="G23" i="1" s="1"/>
  <c r="G13" i="49"/>
  <c r="H13" i="49" s="1"/>
  <c r="G19" i="49"/>
  <c r="H19" i="49" s="1"/>
  <c r="G168" i="49"/>
  <c r="H168" i="49" s="1"/>
  <c r="G17" i="49"/>
  <c r="H17" i="49" s="1"/>
  <c r="G170" i="49"/>
  <c r="H170" i="49" s="1"/>
  <c r="E11" i="18"/>
  <c r="G165" i="49"/>
  <c r="H165" i="49" s="1"/>
  <c r="G171" i="49"/>
  <c r="H171" i="49" s="1"/>
  <c r="G15" i="49"/>
  <c r="H15" i="49" s="1"/>
  <c r="E10" i="31"/>
  <c r="G18" i="49"/>
  <c r="H18" i="49" s="1"/>
  <c r="S14" i="60"/>
  <c r="F173" i="58"/>
  <c r="G14" i="49"/>
  <c r="H14" i="49" s="1"/>
  <c r="G166" i="49"/>
  <c r="H166" i="49" s="1"/>
  <c r="G169" i="49"/>
  <c r="H169" i="49" s="1"/>
  <c r="G20" i="49"/>
  <c r="H20" i="49" s="1"/>
  <c r="AB22" i="4" l="1"/>
  <c r="I23" i="1"/>
  <c r="C22" i="165" s="1"/>
  <c r="E22" i="165" s="1"/>
  <c r="G22" i="165" s="1"/>
  <c r="I22" i="165" s="1"/>
  <c r="K22" i="165" s="1"/>
  <c r="M22" i="165" s="1"/>
  <c r="O22" i="165" s="1"/>
  <c r="Q22" i="165" s="1"/>
  <c r="S22" i="165" s="1"/>
  <c r="AF136" i="31"/>
  <c r="H188" i="49"/>
  <c r="G173" i="58"/>
  <c r="G176" i="58" s="1"/>
  <c r="G179" i="58"/>
  <c r="G182" i="58" s="1"/>
  <c r="G185" i="58" s="1"/>
  <c r="H173" i="58"/>
  <c r="H21" i="49"/>
  <c r="H190" i="49" l="1"/>
  <c r="I173" i="58"/>
  <c r="I176" i="58" s="1"/>
  <c r="I179" i="58"/>
  <c r="I182" i="58" s="1"/>
  <c r="I185" i="58" s="1"/>
  <c r="J173" i="58"/>
  <c r="K173" i="58" l="1"/>
  <c r="K176" i="58" s="1"/>
  <c r="K179" i="58"/>
  <c r="K182" i="58" s="1"/>
  <c r="K185" i="58" s="1"/>
  <c r="L173" i="58"/>
  <c r="M173" i="58" l="1"/>
  <c r="M176" i="58" s="1"/>
  <c r="N173" i="58"/>
  <c r="M179" i="58"/>
  <c r="M182" i="58" s="1"/>
  <c r="M185" i="58" s="1"/>
  <c r="O179" i="58" l="1"/>
  <c r="O182" i="58" s="1"/>
  <c r="O185" i="58" s="1"/>
  <c r="P173" i="58"/>
  <c r="O173" i="58"/>
  <c r="O176" i="58" s="1"/>
  <c r="Q173" i="58" l="1"/>
  <c r="Q176" i="58" s="1"/>
  <c r="R173" i="58"/>
  <c r="Q179" i="58"/>
  <c r="Q182" i="58" s="1"/>
  <c r="Q185" i="58" s="1"/>
  <c r="S179" i="58" l="1"/>
  <c r="S182" i="58" s="1"/>
  <c r="S185" i="58" s="1"/>
  <c r="S173" i="58"/>
  <c r="S176" i="58" s="1"/>
  <c r="T173" i="58"/>
  <c r="U179" i="58" l="1"/>
  <c r="U182" i="58" s="1"/>
  <c r="U185" i="58" s="1"/>
  <c r="V173" i="58"/>
  <c r="U173" i="58"/>
  <c r="U176" i="58" s="1"/>
  <c r="W179" i="58" l="1"/>
  <c r="W182" i="58" s="1"/>
  <c r="W185" i="58" s="1"/>
  <c r="X173" i="58"/>
  <c r="W173" i="58"/>
  <c r="W176" i="58" s="1"/>
  <c r="Y179" i="58" l="1"/>
  <c r="Y182" i="58" s="1"/>
  <c r="Y185" i="58" s="1"/>
  <c r="Y173" i="58"/>
  <c r="Y176" i="58" s="1"/>
  <c r="Z173" i="58"/>
  <c r="AA179" i="58" l="1"/>
  <c r="AA182" i="58" s="1"/>
  <c r="AA185" i="58" s="1"/>
  <c r="AA173" i="58"/>
  <c r="AA176" i="58" s="1"/>
  <c r="AB173" i="58"/>
  <c r="AC173" i="58" s="1"/>
  <c r="AC176" i="58" s="1"/>
  <c r="AC179" i="58" l="1"/>
  <c r="AC182" i="58" s="1"/>
  <c r="D10" i="32" l="1"/>
  <c r="AE176" i="58"/>
  <c r="C10" i="32" s="1"/>
  <c r="AE182" i="58"/>
  <c r="D11" i="32"/>
  <c r="L32" i="4" s="1"/>
  <c r="AC185" i="58"/>
  <c r="AE185" i="58" s="1"/>
  <c r="H12" i="32" l="1"/>
  <c r="C19" i="32"/>
  <c r="AE186" i="58"/>
  <c r="E32" i="4"/>
  <c r="C32" i="1"/>
  <c r="C12" i="32"/>
  <c r="C16" i="32" s="1"/>
  <c r="E31" i="4"/>
  <c r="D12" i="32"/>
  <c r="D16" i="32" s="1"/>
  <c r="L31" i="4" l="1"/>
  <c r="L36" i="4" s="1"/>
  <c r="L38" i="4" s="1"/>
  <c r="P32" i="4"/>
  <c r="D33" i="1" s="1"/>
  <c r="E33" i="1" s="1"/>
  <c r="E36" i="4"/>
  <c r="C37" i="1"/>
  <c r="G33" i="1" l="1"/>
  <c r="I33" i="1" s="1"/>
  <c r="C32" i="165" s="1"/>
  <c r="E32" i="165" s="1"/>
  <c r="G32" i="165" s="1"/>
  <c r="I32" i="165" s="1"/>
  <c r="K32" i="165" s="1"/>
  <c r="M32" i="165" s="1"/>
  <c r="O32" i="165" s="1"/>
  <c r="Q32" i="165" s="1"/>
  <c r="S32" i="165" s="1"/>
  <c r="P31" i="4"/>
  <c r="D32" i="1" s="1"/>
  <c r="E32" i="1" s="1"/>
  <c r="B23" i="82"/>
  <c r="C39" i="1"/>
  <c r="B24" i="82" s="1"/>
  <c r="P36" i="4"/>
  <c r="P38" i="4" s="1"/>
  <c r="E38" i="4"/>
  <c r="E44" i="4" s="1"/>
  <c r="D37" i="1" l="1"/>
  <c r="E37" i="1"/>
  <c r="G32" i="1"/>
  <c r="G37" i="1" s="1"/>
  <c r="C8" i="26" s="1"/>
  <c r="C10" i="26" s="1"/>
  <c r="E39" i="1" l="1"/>
  <c r="I32" i="1"/>
  <c r="I37" i="1" s="1"/>
  <c r="C31" i="165" l="1"/>
  <c r="C36" i="165"/>
  <c r="E31" i="165"/>
  <c r="B10" i="24"/>
  <c r="D10" i="24" s="1"/>
  <c r="F10" i="24" s="1"/>
  <c r="H10" i="24" s="1"/>
  <c r="U144" i="31" s="1"/>
  <c r="B19" i="82"/>
  <c r="B29" i="82" s="1"/>
  <c r="U150" i="31" l="1"/>
  <c r="U151" i="31" s="1"/>
  <c r="U152" i="31" s="1"/>
  <c r="AC144" i="31"/>
  <c r="R25" i="4"/>
  <c r="E36" i="165"/>
  <c r="G31" i="165"/>
  <c r="G36" i="165" l="1"/>
  <c r="I31" i="165"/>
  <c r="R26" i="4"/>
  <c r="Z25" i="4"/>
  <c r="AD144" i="31"/>
  <c r="AD150" i="31" s="1"/>
  <c r="AC150" i="31"/>
  <c r="AC151" i="31" s="1"/>
  <c r="AC152" i="31" l="1"/>
  <c r="F26" i="1"/>
  <c r="AD151" i="31"/>
  <c r="Z26" i="4"/>
  <c r="R28" i="4"/>
  <c r="K31" i="165"/>
  <c r="I36" i="165"/>
  <c r="AD152" i="31" l="1"/>
  <c r="R38" i="4"/>
  <c r="R44" i="4" s="1"/>
  <c r="Z28" i="4"/>
  <c r="U162" i="31"/>
  <c r="G26" i="1"/>
  <c r="F27" i="1"/>
  <c r="AB25" i="4"/>
  <c r="K36" i="165"/>
  <c r="M31" i="165"/>
  <c r="G27" i="1" l="1"/>
  <c r="AF150" i="31"/>
  <c r="Z38" i="4"/>
  <c r="F29" i="1"/>
  <c r="AF152" i="31" s="1"/>
  <c r="AF151" i="31"/>
  <c r="AC162" i="31"/>
  <c r="M36" i="165"/>
  <c r="O31" i="165"/>
  <c r="AB26" i="4"/>
  <c r="O36" i="165" l="1"/>
  <c r="Q31" i="165"/>
  <c r="AB28" i="4"/>
  <c r="G29" i="1"/>
  <c r="AG151" i="31"/>
  <c r="C11" i="26" l="1"/>
  <c r="G39" i="1"/>
  <c r="AG152" i="31"/>
  <c r="Q36" i="165"/>
  <c r="S31" i="165"/>
  <c r="S36" i="165" s="1"/>
  <c r="C12" i="26" l="1"/>
  <c r="C14" i="26" l="1"/>
  <c r="C18" i="26" s="1"/>
  <c r="C20" i="26" l="1"/>
  <c r="B11" i="82" s="1"/>
  <c r="B8" i="82"/>
  <c r="B10" i="82"/>
  <c r="H9" i="1"/>
  <c r="I9" i="1" l="1"/>
  <c r="H12" i="1"/>
  <c r="M13" i="1" l="1"/>
  <c r="H16" i="1"/>
  <c r="H19" i="1"/>
  <c r="I19" i="1" s="1"/>
  <c r="C18" i="165" s="1"/>
  <c r="E18" i="165" s="1"/>
  <c r="K46" i="97"/>
  <c r="C8" i="165"/>
  <c r="I12" i="1"/>
  <c r="B7" i="82" s="1"/>
  <c r="B9" i="82" s="1"/>
  <c r="L46" i="97" l="1"/>
  <c r="K11" i="97"/>
  <c r="L11" i="97" s="1"/>
  <c r="F10" i="97" s="1"/>
  <c r="C11" i="165"/>
  <c r="E8" i="165"/>
  <c r="E11" i="165" s="1"/>
  <c r="K39" i="97"/>
  <c r="L39" i="97" s="1"/>
  <c r="F39" i="97" s="1"/>
  <c r="K25" i="97"/>
  <c r="L25" i="97" s="1"/>
  <c r="F25" i="97" s="1"/>
  <c r="K19" i="97"/>
  <c r="L19" i="97" s="1"/>
  <c r="F19" i="97" s="1"/>
  <c r="K15" i="97"/>
  <c r="L15" i="97" s="1"/>
  <c r="F14" i="97" s="1"/>
  <c r="K41" i="97"/>
  <c r="L41" i="97" s="1"/>
  <c r="F41" i="97" s="1"/>
  <c r="K38" i="97"/>
  <c r="L38" i="97" s="1"/>
  <c r="F38" i="97" s="1"/>
  <c r="K30" i="97"/>
  <c r="L30" i="97" s="1"/>
  <c r="F30" i="97" s="1"/>
  <c r="K27" i="97"/>
  <c r="L27" i="97" s="1"/>
  <c r="K26" i="97"/>
  <c r="L26" i="97" s="1"/>
  <c r="F26" i="97" s="1"/>
  <c r="K31" i="97"/>
  <c r="L31" i="97" s="1"/>
  <c r="F31" i="97" s="1"/>
  <c r="K21" i="97"/>
  <c r="L21" i="97" s="1"/>
  <c r="K24" i="97"/>
  <c r="L24" i="97" s="1"/>
  <c r="F24" i="97" s="1"/>
  <c r="K40" i="97"/>
  <c r="L40" i="97" s="1"/>
  <c r="F40" i="97" s="1"/>
  <c r="K32" i="97"/>
  <c r="K18" i="97"/>
  <c r="L18" i="97" s="1"/>
  <c r="F18" i="97" s="1"/>
  <c r="K42" i="97"/>
  <c r="K20" i="97"/>
  <c r="L20" i="97" s="1"/>
  <c r="F20" i="97" s="1"/>
  <c r="I16" i="1"/>
  <c r="H26" i="1"/>
  <c r="I10" i="97" l="1"/>
  <c r="I11" i="97" s="1"/>
  <c r="F10" i="76"/>
  <c r="I26" i="1"/>
  <c r="C25" i="165" s="1"/>
  <c r="E25" i="165" s="1"/>
  <c r="H27" i="1"/>
  <c r="H29" i="1" s="1"/>
  <c r="C15" i="165"/>
  <c r="F35" i="76"/>
  <c r="I31" i="97"/>
  <c r="F15" i="76"/>
  <c r="I14" i="97"/>
  <c r="I15" i="97" s="1"/>
  <c r="F22" i="76"/>
  <c r="I20" i="97"/>
  <c r="F29" i="76"/>
  <c r="I26" i="97"/>
  <c r="F21" i="76"/>
  <c r="I19" i="97"/>
  <c r="K44" i="97"/>
  <c r="L44" i="97" s="1"/>
  <c r="L42" i="97"/>
  <c r="I25" i="97"/>
  <c r="F28" i="76"/>
  <c r="F20" i="76"/>
  <c r="I18" i="97"/>
  <c r="I30" i="97"/>
  <c r="F34" i="76"/>
  <c r="I39" i="97"/>
  <c r="F43" i="76"/>
  <c r="F27" i="76"/>
  <c r="I24" i="97"/>
  <c r="L32" i="97"/>
  <c r="K34" i="97"/>
  <c r="I38" i="97"/>
  <c r="F42" i="76"/>
  <c r="F44" i="76"/>
  <c r="I40" i="97"/>
  <c r="F45" i="76"/>
  <c r="I41" i="97"/>
  <c r="I27" i="1" l="1"/>
  <c r="I29" i="1" s="1"/>
  <c r="I39" i="1" s="1"/>
  <c r="I32" i="97"/>
  <c r="AD32" i="97" s="1"/>
  <c r="AE32" i="97" s="1"/>
  <c r="I21" i="97"/>
  <c r="AD21" i="97" s="1"/>
  <c r="AE21" i="97" s="1"/>
  <c r="J166" i="78"/>
  <c r="G35" i="76"/>
  <c r="H35" i="76" s="1"/>
  <c r="I35" i="76" s="1"/>
  <c r="R35" i="76"/>
  <c r="AA232" i="169"/>
  <c r="AB232" i="169" s="1"/>
  <c r="AC232" i="169" s="1"/>
  <c r="AA270" i="169"/>
  <c r="AB270" i="169" s="1"/>
  <c r="AC270" i="169" s="1"/>
  <c r="J212" i="78"/>
  <c r="G44" i="76"/>
  <c r="H44" i="76" s="1"/>
  <c r="I44" i="76" s="1"/>
  <c r="J82" i="78"/>
  <c r="R20" i="76"/>
  <c r="G20" i="76"/>
  <c r="AA74" i="169"/>
  <c r="AB74" i="169" s="1"/>
  <c r="AA108" i="169"/>
  <c r="AB108" i="169" s="1"/>
  <c r="AC108" i="169" s="1"/>
  <c r="J125" i="78"/>
  <c r="R29" i="76"/>
  <c r="G29" i="76"/>
  <c r="H29" i="76" s="1"/>
  <c r="I29" i="76" s="1"/>
  <c r="E15" i="165"/>
  <c r="E26" i="165" s="1"/>
  <c r="E28" i="165" s="1"/>
  <c r="E38" i="165" s="1"/>
  <c r="C26" i="165"/>
  <c r="C28" i="165" s="1"/>
  <c r="C38" i="165" s="1"/>
  <c r="AA266" i="169"/>
  <c r="AB266" i="169" s="1"/>
  <c r="G42" i="76"/>
  <c r="J210" i="78"/>
  <c r="AA268" i="169"/>
  <c r="AB268" i="169" s="1"/>
  <c r="AC268" i="169" s="1"/>
  <c r="J211" i="78"/>
  <c r="G43" i="76"/>
  <c r="H43" i="76" s="1"/>
  <c r="I43" i="76" s="1"/>
  <c r="G28" i="76"/>
  <c r="H28" i="76" s="1"/>
  <c r="I28" i="76" s="1"/>
  <c r="J124" i="78"/>
  <c r="R28" i="76"/>
  <c r="AA106" i="169"/>
  <c r="AB106" i="169" s="1"/>
  <c r="AC106" i="169" s="1"/>
  <c r="J123" i="78"/>
  <c r="AA104" i="169"/>
  <c r="AB104" i="169" s="1"/>
  <c r="R27" i="76"/>
  <c r="G27" i="76"/>
  <c r="AA78" i="169"/>
  <c r="AB78" i="169" s="1"/>
  <c r="AC78" i="169" s="1"/>
  <c r="J84" i="78"/>
  <c r="R22" i="76"/>
  <c r="G22" i="76"/>
  <c r="H22" i="76" s="1"/>
  <c r="I22" i="76" s="1"/>
  <c r="I42" i="97"/>
  <c r="AA230" i="169"/>
  <c r="AB230" i="169" s="1"/>
  <c r="J165" i="78"/>
  <c r="R34" i="76"/>
  <c r="G34" i="76"/>
  <c r="AD15" i="97"/>
  <c r="AE15" i="97" s="1"/>
  <c r="D9" i="99"/>
  <c r="D11" i="99" s="1"/>
  <c r="L34" i="97"/>
  <c r="AD46" i="97"/>
  <c r="J41" i="78"/>
  <c r="G15" i="76"/>
  <c r="R15" i="76"/>
  <c r="AA46" i="169"/>
  <c r="AB46" i="169" s="1"/>
  <c r="E9" i="77"/>
  <c r="J9" i="78"/>
  <c r="G10" i="76"/>
  <c r="AA14" i="169"/>
  <c r="AB14" i="169" s="1"/>
  <c r="R10" i="76"/>
  <c r="J213" i="78"/>
  <c r="G45" i="76"/>
  <c r="H45" i="76" s="1"/>
  <c r="I45" i="76" s="1"/>
  <c r="AA272" i="169"/>
  <c r="AB272" i="169" s="1"/>
  <c r="AC272" i="169" s="1"/>
  <c r="I27" i="97"/>
  <c r="AA76" i="169"/>
  <c r="AB76" i="169" s="1"/>
  <c r="AC76" i="169" s="1"/>
  <c r="G21" i="76"/>
  <c r="H21" i="76" s="1"/>
  <c r="I21" i="76" s="1"/>
  <c r="J83" i="78"/>
  <c r="R21" i="76"/>
  <c r="AD11" i="97"/>
  <c r="AE11" i="97" s="1"/>
  <c r="C9" i="99"/>
  <c r="C11" i="99" s="1"/>
  <c r="C37" i="99" s="1"/>
  <c r="B28" i="82" l="1"/>
  <c r="G9" i="99"/>
  <c r="G11" i="99" s="1"/>
  <c r="G33" i="99" s="1"/>
  <c r="E9" i="99"/>
  <c r="E11" i="99" s="1"/>
  <c r="E39" i="99" s="1"/>
  <c r="F8" i="165"/>
  <c r="F11" i="165" s="1"/>
  <c r="C32" i="99"/>
  <c r="C35" i="99"/>
  <c r="C39" i="99"/>
  <c r="C34" i="99"/>
  <c r="C31" i="99"/>
  <c r="C33" i="99"/>
  <c r="C40" i="99"/>
  <c r="C36" i="99"/>
  <c r="C30" i="99"/>
  <c r="C38" i="99"/>
  <c r="D164" i="78"/>
  <c r="E164" i="78" s="1"/>
  <c r="F164" i="78" s="1"/>
  <c r="D166" i="78"/>
  <c r="E166" i="78" s="1"/>
  <c r="F166" i="78" s="1"/>
  <c r="D191" i="78"/>
  <c r="E191" i="78" s="1"/>
  <c r="F191" i="78" s="1"/>
  <c r="D176" i="78"/>
  <c r="E176" i="78" s="1"/>
  <c r="F176" i="78" s="1"/>
  <c r="D180" i="78"/>
  <c r="E180" i="78" s="1"/>
  <c r="F180" i="78" s="1"/>
  <c r="D173" i="78"/>
  <c r="E173" i="78" s="1"/>
  <c r="F173" i="78" s="1"/>
  <c r="D199" i="78"/>
  <c r="E199" i="78" s="1"/>
  <c r="F199" i="78" s="1"/>
  <c r="D184" i="78"/>
  <c r="E184" i="78" s="1"/>
  <c r="F184" i="78" s="1"/>
  <c r="D194" i="78"/>
  <c r="E194" i="78" s="1"/>
  <c r="F194" i="78" s="1"/>
  <c r="D177" i="78"/>
  <c r="E177" i="78" s="1"/>
  <c r="F177" i="78" s="1"/>
  <c r="D179" i="78"/>
  <c r="E179" i="78" s="1"/>
  <c r="F179" i="78" s="1"/>
  <c r="D186" i="78"/>
  <c r="E186" i="78" s="1"/>
  <c r="F186" i="78" s="1"/>
  <c r="D189" i="78"/>
  <c r="E189" i="78" s="1"/>
  <c r="F189" i="78" s="1"/>
  <c r="D197" i="78"/>
  <c r="E197" i="78" s="1"/>
  <c r="F197" i="78" s="1"/>
  <c r="D172" i="78"/>
  <c r="E172" i="78" s="1"/>
  <c r="F172" i="78" s="1"/>
  <c r="D202" i="78"/>
  <c r="D170" i="78"/>
  <c r="E170" i="78" s="1"/>
  <c r="F170" i="78" s="1"/>
  <c r="D187" i="78"/>
  <c r="E187" i="78" s="1"/>
  <c r="F187" i="78" s="1"/>
  <c r="D196" i="78"/>
  <c r="E196" i="78" s="1"/>
  <c r="F196" i="78" s="1"/>
  <c r="D185" i="78"/>
  <c r="E185" i="78" s="1"/>
  <c r="F185" i="78" s="1"/>
  <c r="D178" i="78"/>
  <c r="E178" i="78" s="1"/>
  <c r="F178" i="78" s="1"/>
  <c r="D168" i="78"/>
  <c r="E168" i="78" s="1"/>
  <c r="F168" i="78" s="1"/>
  <c r="D169" i="78"/>
  <c r="E169" i="78" s="1"/>
  <c r="F169" i="78" s="1"/>
  <c r="D183" i="78"/>
  <c r="E183" i="78" s="1"/>
  <c r="F183" i="78" s="1"/>
  <c r="D188" i="78"/>
  <c r="E188" i="78" s="1"/>
  <c r="F188" i="78" s="1"/>
  <c r="D182" i="78"/>
  <c r="E182" i="78" s="1"/>
  <c r="F182" i="78" s="1"/>
  <c r="D165" i="78"/>
  <c r="E165" i="78" s="1"/>
  <c r="F165" i="78" s="1"/>
  <c r="D193" i="78"/>
  <c r="E193" i="78" s="1"/>
  <c r="F193" i="78" s="1"/>
  <c r="D190" i="78"/>
  <c r="E190" i="78" s="1"/>
  <c r="F190" i="78" s="1"/>
  <c r="D171" i="78"/>
  <c r="E171" i="78" s="1"/>
  <c r="F171" i="78" s="1"/>
  <c r="D181" i="78"/>
  <c r="E181" i="78" s="1"/>
  <c r="F181" i="78" s="1"/>
  <c r="D175" i="78"/>
  <c r="E175" i="78" s="1"/>
  <c r="F175" i="78" s="1"/>
  <c r="D192" i="78"/>
  <c r="E192" i="78" s="1"/>
  <c r="F192" i="78" s="1"/>
  <c r="D198" i="78"/>
  <c r="E198" i="78" s="1"/>
  <c r="F198" i="78" s="1"/>
  <c r="D200" i="78"/>
  <c r="E200" i="78" s="1"/>
  <c r="F200" i="78" s="1"/>
  <c r="D174" i="78"/>
  <c r="E174" i="78" s="1"/>
  <c r="F174" i="78" s="1"/>
  <c r="D167" i="78"/>
  <c r="E167" i="78" s="1"/>
  <c r="F167" i="78" s="1"/>
  <c r="D195" i="78"/>
  <c r="E195" i="78" s="1"/>
  <c r="F195" i="78" s="1"/>
  <c r="D211" i="78"/>
  <c r="E211" i="78" s="1"/>
  <c r="F211" i="78" s="1"/>
  <c r="D226" i="78"/>
  <c r="E226" i="78" s="1"/>
  <c r="F226" i="78" s="1"/>
  <c r="D213" i="78"/>
  <c r="E213" i="78" s="1"/>
  <c r="F213" i="78" s="1"/>
  <c r="D232" i="78"/>
  <c r="E232" i="78" s="1"/>
  <c r="F232" i="78" s="1"/>
  <c r="D238" i="78"/>
  <c r="E238" i="78" s="1"/>
  <c r="F238" i="78" s="1"/>
  <c r="D224" i="78"/>
  <c r="E224" i="78" s="1"/>
  <c r="F224" i="78" s="1"/>
  <c r="D210" i="78"/>
  <c r="E210" i="78" s="1"/>
  <c r="F210" i="78" s="1"/>
  <c r="D223" i="78"/>
  <c r="E223" i="78" s="1"/>
  <c r="F223" i="78" s="1"/>
  <c r="D228" i="78"/>
  <c r="E228" i="78" s="1"/>
  <c r="F228" i="78" s="1"/>
  <c r="D221" i="78"/>
  <c r="E221" i="78" s="1"/>
  <c r="F221" i="78" s="1"/>
  <c r="D235" i="78"/>
  <c r="E235" i="78" s="1"/>
  <c r="F235" i="78" s="1"/>
  <c r="D208" i="78"/>
  <c r="E208" i="78" s="1"/>
  <c r="F208" i="78" s="1"/>
  <c r="D231" i="78"/>
  <c r="E231" i="78" s="1"/>
  <c r="F231" i="78" s="1"/>
  <c r="D207" i="78"/>
  <c r="E207" i="78" s="1"/>
  <c r="F207" i="78" s="1"/>
  <c r="D237" i="78"/>
  <c r="E237" i="78" s="1"/>
  <c r="F237" i="78" s="1"/>
  <c r="D218" i="78"/>
  <c r="E218" i="78" s="1"/>
  <c r="F218" i="78" s="1"/>
  <c r="D212" i="78"/>
  <c r="E212" i="78" s="1"/>
  <c r="F212" i="78" s="1"/>
  <c r="D220" i="78"/>
  <c r="E220" i="78" s="1"/>
  <c r="F220" i="78" s="1"/>
  <c r="D217" i="78"/>
  <c r="E217" i="78" s="1"/>
  <c r="F217" i="78" s="1"/>
  <c r="D233" i="78"/>
  <c r="E233" i="78" s="1"/>
  <c r="F233" i="78" s="1"/>
  <c r="D225" i="78"/>
  <c r="E225" i="78" s="1"/>
  <c r="F225" i="78" s="1"/>
  <c r="D230" i="78"/>
  <c r="E230" i="78" s="1"/>
  <c r="F230" i="78" s="1"/>
  <c r="D216" i="78"/>
  <c r="E216" i="78" s="1"/>
  <c r="F216" i="78" s="1"/>
  <c r="D206" i="78"/>
  <c r="E206" i="78" s="1"/>
  <c r="F206" i="78" s="1"/>
  <c r="D242" i="78"/>
  <c r="D219" i="78"/>
  <c r="E219" i="78" s="1"/>
  <c r="F219" i="78" s="1"/>
  <c r="D240" i="78"/>
  <c r="E240" i="78" s="1"/>
  <c r="F240" i="78" s="1"/>
  <c r="D209" i="78"/>
  <c r="E209" i="78" s="1"/>
  <c r="F209" i="78" s="1"/>
  <c r="D215" i="78"/>
  <c r="E215" i="78" s="1"/>
  <c r="F215" i="78" s="1"/>
  <c r="D234" i="78"/>
  <c r="E234" i="78" s="1"/>
  <c r="F234" i="78" s="1"/>
  <c r="D227" i="78"/>
  <c r="E227" i="78" s="1"/>
  <c r="F227" i="78" s="1"/>
  <c r="D239" i="78"/>
  <c r="E239" i="78" s="1"/>
  <c r="F239" i="78" s="1"/>
  <c r="D222" i="78"/>
  <c r="E222" i="78" s="1"/>
  <c r="F222" i="78" s="1"/>
  <c r="D236" i="78"/>
  <c r="E236" i="78" s="1"/>
  <c r="F236" i="78" s="1"/>
  <c r="D214" i="78"/>
  <c r="E214" i="78" s="1"/>
  <c r="F214" i="78" s="1"/>
  <c r="D229" i="78"/>
  <c r="E229" i="78" s="1"/>
  <c r="F229" i="78" s="1"/>
  <c r="AB15" i="169"/>
  <c r="AC14" i="169"/>
  <c r="AC15" i="169" s="1"/>
  <c r="AB233" i="169"/>
  <c r="AC230" i="169"/>
  <c r="AC233" i="169" s="1"/>
  <c r="H42" i="76"/>
  <c r="I42" i="76" s="1"/>
  <c r="G46" i="76"/>
  <c r="H46" i="76" s="1"/>
  <c r="I46" i="76" s="1"/>
  <c r="D37" i="75"/>
  <c r="AC74" i="169"/>
  <c r="AC79" i="169" s="1"/>
  <c r="AB79" i="169"/>
  <c r="G11" i="76"/>
  <c r="H10" i="76"/>
  <c r="D10" i="75"/>
  <c r="AD42" i="97"/>
  <c r="AE42" i="97" s="1"/>
  <c r="I44" i="97"/>
  <c r="AD44" i="97" s="1"/>
  <c r="AE44" i="97" s="1"/>
  <c r="AC266" i="169"/>
  <c r="AC274" i="169" s="1"/>
  <c r="AB274" i="169"/>
  <c r="H20" i="76"/>
  <c r="D20" i="75"/>
  <c r="G23" i="76"/>
  <c r="D24" i="78"/>
  <c r="E24" i="78" s="1"/>
  <c r="F24" i="78" s="1"/>
  <c r="D16" i="78"/>
  <c r="E16" i="78" s="1"/>
  <c r="F16" i="78" s="1"/>
  <c r="D18" i="78"/>
  <c r="E18" i="78" s="1"/>
  <c r="F18" i="78" s="1"/>
  <c r="D13" i="78"/>
  <c r="E13" i="78" s="1"/>
  <c r="F13" i="78" s="1"/>
  <c r="D30" i="78"/>
  <c r="E30" i="78" s="1"/>
  <c r="F30" i="78" s="1"/>
  <c r="D14" i="78"/>
  <c r="E14" i="78" s="1"/>
  <c r="F14" i="78" s="1"/>
  <c r="D29" i="78"/>
  <c r="E29" i="78" s="1"/>
  <c r="F29" i="78" s="1"/>
  <c r="D34" i="78"/>
  <c r="E34" i="78" s="1"/>
  <c r="F34" i="78" s="1"/>
  <c r="D25" i="78"/>
  <c r="E25" i="78" s="1"/>
  <c r="F25" i="78" s="1"/>
  <c r="D8" i="78"/>
  <c r="E8" i="78" s="1"/>
  <c r="F8" i="78" s="1"/>
  <c r="D22" i="78"/>
  <c r="E22" i="78" s="1"/>
  <c r="F22" i="78" s="1"/>
  <c r="D15" i="78"/>
  <c r="E15" i="78" s="1"/>
  <c r="F15" i="78" s="1"/>
  <c r="D36" i="78"/>
  <c r="E36" i="78" s="1"/>
  <c r="F36" i="78" s="1"/>
  <c r="D28" i="78"/>
  <c r="E28" i="78" s="1"/>
  <c r="F28" i="78" s="1"/>
  <c r="D27" i="78"/>
  <c r="E27" i="78" s="1"/>
  <c r="F27" i="78" s="1"/>
  <c r="D9" i="78"/>
  <c r="E9" i="78" s="1"/>
  <c r="F9" i="78" s="1"/>
  <c r="D33" i="78"/>
  <c r="E33" i="78" s="1"/>
  <c r="F33" i="78" s="1"/>
  <c r="D19" i="78"/>
  <c r="E19" i="78" s="1"/>
  <c r="F19" i="78" s="1"/>
  <c r="D23" i="78"/>
  <c r="E23" i="78" s="1"/>
  <c r="F23" i="78" s="1"/>
  <c r="D17" i="78"/>
  <c r="E17" i="78" s="1"/>
  <c r="F17" i="78" s="1"/>
  <c r="D32" i="78"/>
  <c r="E32" i="78" s="1"/>
  <c r="F32" i="78" s="1"/>
  <c r="D26" i="78"/>
  <c r="E26" i="78" s="1"/>
  <c r="F26" i="78" s="1"/>
  <c r="D31" i="78"/>
  <c r="E31" i="78" s="1"/>
  <c r="F31" i="78" s="1"/>
  <c r="D21" i="78"/>
  <c r="E21" i="78" s="1"/>
  <c r="F21" i="78" s="1"/>
  <c r="D20" i="78"/>
  <c r="E20" i="78" s="1"/>
  <c r="F20" i="78" s="1"/>
  <c r="D10" i="78"/>
  <c r="E10" i="78" s="1"/>
  <c r="F10" i="78" s="1"/>
  <c r="D12" i="78"/>
  <c r="E12" i="78" s="1"/>
  <c r="F12" i="78" s="1"/>
  <c r="D11" i="78"/>
  <c r="E11" i="78" s="1"/>
  <c r="F11" i="78" s="1"/>
  <c r="AB47" i="169"/>
  <c r="AC46" i="169"/>
  <c r="AC47" i="169" s="1"/>
  <c r="H27" i="76"/>
  <c r="D25" i="75"/>
  <c r="G30" i="76"/>
  <c r="AD27" i="97"/>
  <c r="AE27" i="97" s="1"/>
  <c r="F9" i="99"/>
  <c r="I34" i="97"/>
  <c r="E15" i="77"/>
  <c r="F15" i="77" s="1"/>
  <c r="G15" i="77" s="1"/>
  <c r="E20" i="77"/>
  <c r="F20" i="77" s="1"/>
  <c r="G20" i="77" s="1"/>
  <c r="E19" i="77"/>
  <c r="F19" i="77" s="1"/>
  <c r="G19" i="77" s="1"/>
  <c r="E17" i="77"/>
  <c r="F17" i="77" s="1"/>
  <c r="G17" i="77" s="1"/>
  <c r="E18" i="77"/>
  <c r="F18" i="77" s="1"/>
  <c r="G18" i="77" s="1"/>
  <c r="E21" i="77"/>
  <c r="F21" i="77" s="1"/>
  <c r="G21" i="77" s="1"/>
  <c r="E16" i="77"/>
  <c r="F16" i="77" s="1"/>
  <c r="G16" i="77" s="1"/>
  <c r="E13" i="77"/>
  <c r="E24" i="77"/>
  <c r="F24" i="77" s="1"/>
  <c r="G24" i="77" s="1"/>
  <c r="E22" i="77"/>
  <c r="F22" i="77" s="1"/>
  <c r="G22" i="77" s="1"/>
  <c r="E14" i="77"/>
  <c r="F14" i="77" s="1"/>
  <c r="G14" i="77" s="1"/>
  <c r="E23" i="77"/>
  <c r="F23" i="77" s="1"/>
  <c r="G23" i="77" s="1"/>
  <c r="D37" i="99"/>
  <c r="D41" i="99"/>
  <c r="D39" i="99"/>
  <c r="D38" i="99"/>
  <c r="D32" i="99"/>
  <c r="D40" i="99"/>
  <c r="D31" i="99"/>
  <c r="D34" i="99"/>
  <c r="D33" i="99"/>
  <c r="D35" i="99"/>
  <c r="D30" i="99"/>
  <c r="D36" i="99"/>
  <c r="D93" i="78"/>
  <c r="E93" i="78" s="1"/>
  <c r="F93" i="78" s="1"/>
  <c r="D103" i="78"/>
  <c r="E103" i="78" s="1"/>
  <c r="F103" i="78" s="1"/>
  <c r="D98" i="78"/>
  <c r="E98" i="78" s="1"/>
  <c r="F98" i="78" s="1"/>
  <c r="D101" i="78"/>
  <c r="E101" i="78" s="1"/>
  <c r="F101" i="78" s="1"/>
  <c r="D97" i="78"/>
  <c r="E97" i="78" s="1"/>
  <c r="F97" i="78" s="1"/>
  <c r="D86" i="78"/>
  <c r="E86" i="78" s="1"/>
  <c r="F86" i="78" s="1"/>
  <c r="D83" i="78"/>
  <c r="E83" i="78" s="1"/>
  <c r="F83" i="78" s="1"/>
  <c r="D115" i="78"/>
  <c r="E115" i="78" s="1"/>
  <c r="F115" i="78" s="1"/>
  <c r="D90" i="78"/>
  <c r="E90" i="78" s="1"/>
  <c r="F90" i="78" s="1"/>
  <c r="D87" i="78"/>
  <c r="E87" i="78" s="1"/>
  <c r="F87" i="78" s="1"/>
  <c r="D94" i="78"/>
  <c r="E94" i="78" s="1"/>
  <c r="F94" i="78" s="1"/>
  <c r="D99" i="78"/>
  <c r="E99" i="78" s="1"/>
  <c r="F99" i="78" s="1"/>
  <c r="D118" i="78"/>
  <c r="D114" i="78"/>
  <c r="E114" i="78" s="1"/>
  <c r="F114" i="78" s="1"/>
  <c r="D112" i="78"/>
  <c r="E112" i="78" s="1"/>
  <c r="F112" i="78" s="1"/>
  <c r="D84" i="78"/>
  <c r="E84" i="78" s="1"/>
  <c r="F84" i="78" s="1"/>
  <c r="D91" i="78"/>
  <c r="E91" i="78" s="1"/>
  <c r="F91" i="78" s="1"/>
  <c r="D113" i="78"/>
  <c r="E113" i="78" s="1"/>
  <c r="F113" i="78" s="1"/>
  <c r="D95" i="78"/>
  <c r="E95" i="78" s="1"/>
  <c r="F95" i="78" s="1"/>
  <c r="D100" i="78"/>
  <c r="E100" i="78" s="1"/>
  <c r="F100" i="78" s="1"/>
  <c r="D88" i="78"/>
  <c r="E88" i="78" s="1"/>
  <c r="F88" i="78" s="1"/>
  <c r="D108" i="78"/>
  <c r="E108" i="78" s="1"/>
  <c r="F108" i="78" s="1"/>
  <c r="D111" i="78"/>
  <c r="E111" i="78" s="1"/>
  <c r="F111" i="78" s="1"/>
  <c r="D89" i="78"/>
  <c r="E89" i="78" s="1"/>
  <c r="F89" i="78" s="1"/>
  <c r="D92" i="78"/>
  <c r="E92" i="78" s="1"/>
  <c r="F92" i="78" s="1"/>
  <c r="D81" i="78"/>
  <c r="E81" i="78" s="1"/>
  <c r="F81" i="78" s="1"/>
  <c r="D96" i="78"/>
  <c r="E96" i="78" s="1"/>
  <c r="F96" i="78" s="1"/>
  <c r="D109" i="78"/>
  <c r="E109" i="78" s="1"/>
  <c r="F109" i="78" s="1"/>
  <c r="D104" i="78"/>
  <c r="E104" i="78" s="1"/>
  <c r="F104" i="78" s="1"/>
  <c r="D107" i="78"/>
  <c r="E107" i="78" s="1"/>
  <c r="F107" i="78" s="1"/>
  <c r="D106" i="78"/>
  <c r="E106" i="78" s="1"/>
  <c r="F106" i="78" s="1"/>
  <c r="D80" i="78"/>
  <c r="E80" i="78" s="1"/>
  <c r="F80" i="78" s="1"/>
  <c r="D102" i="78"/>
  <c r="E102" i="78" s="1"/>
  <c r="F102" i="78" s="1"/>
  <c r="D105" i="78"/>
  <c r="E105" i="78" s="1"/>
  <c r="F105" i="78" s="1"/>
  <c r="D116" i="78"/>
  <c r="E116" i="78" s="1"/>
  <c r="F116" i="78" s="1"/>
  <c r="D85" i="78"/>
  <c r="E85" i="78" s="1"/>
  <c r="F85" i="78" s="1"/>
  <c r="D110" i="78"/>
  <c r="E110" i="78" s="1"/>
  <c r="F110" i="78" s="1"/>
  <c r="D82" i="78"/>
  <c r="E82" i="78" s="1"/>
  <c r="F82" i="78" s="1"/>
  <c r="C41" i="99"/>
  <c r="H15" i="76"/>
  <c r="D15" i="75"/>
  <c r="G16" i="76"/>
  <c r="AC104" i="169"/>
  <c r="AC110" i="169" s="1"/>
  <c r="AB110" i="169"/>
  <c r="D62" i="78"/>
  <c r="E62" i="78" s="1"/>
  <c r="F62" i="78" s="1"/>
  <c r="D40" i="78"/>
  <c r="E40" i="78" s="1"/>
  <c r="F40" i="78" s="1"/>
  <c r="D44" i="78"/>
  <c r="E44" i="78" s="1"/>
  <c r="F44" i="78" s="1"/>
  <c r="D47" i="78"/>
  <c r="E47" i="78" s="1"/>
  <c r="F47" i="78" s="1"/>
  <c r="D58" i="78"/>
  <c r="E58" i="78" s="1"/>
  <c r="F58" i="78" s="1"/>
  <c r="D41" i="78"/>
  <c r="E41" i="78" s="1"/>
  <c r="F41" i="78" s="1"/>
  <c r="D66" i="78"/>
  <c r="E66" i="78" s="1"/>
  <c r="F66" i="78" s="1"/>
  <c r="D53" i="78"/>
  <c r="E53" i="78" s="1"/>
  <c r="F53" i="78" s="1"/>
  <c r="D72" i="78"/>
  <c r="E72" i="78" s="1"/>
  <c r="F72" i="78" s="1"/>
  <c r="D69" i="78"/>
  <c r="E69" i="78" s="1"/>
  <c r="F69" i="78" s="1"/>
  <c r="D76" i="78"/>
  <c r="D70" i="78"/>
  <c r="E70" i="78" s="1"/>
  <c r="F70" i="78" s="1"/>
  <c r="D43" i="78"/>
  <c r="E43" i="78" s="1"/>
  <c r="F43" i="78" s="1"/>
  <c r="D71" i="78"/>
  <c r="E71" i="78" s="1"/>
  <c r="F71" i="78" s="1"/>
  <c r="D68" i="78"/>
  <c r="E68" i="78" s="1"/>
  <c r="F68" i="78" s="1"/>
  <c r="D74" i="78"/>
  <c r="E74" i="78" s="1"/>
  <c r="F74" i="78" s="1"/>
  <c r="D51" i="78"/>
  <c r="E51" i="78" s="1"/>
  <c r="F51" i="78" s="1"/>
  <c r="D52" i="78"/>
  <c r="E52" i="78" s="1"/>
  <c r="F52" i="78" s="1"/>
  <c r="D49" i="78"/>
  <c r="E49" i="78" s="1"/>
  <c r="F49" i="78" s="1"/>
  <c r="D73" i="78"/>
  <c r="E73" i="78" s="1"/>
  <c r="F73" i="78" s="1"/>
  <c r="D63" i="78"/>
  <c r="E63" i="78" s="1"/>
  <c r="F63" i="78" s="1"/>
  <c r="D46" i="78"/>
  <c r="E46" i="78" s="1"/>
  <c r="F46" i="78" s="1"/>
  <c r="D60" i="78"/>
  <c r="E60" i="78" s="1"/>
  <c r="F60" i="78" s="1"/>
  <c r="D57" i="78"/>
  <c r="E57" i="78" s="1"/>
  <c r="F57" i="78" s="1"/>
  <c r="D50" i="78"/>
  <c r="E50" i="78" s="1"/>
  <c r="F50" i="78" s="1"/>
  <c r="D61" i="78"/>
  <c r="E61" i="78" s="1"/>
  <c r="F61" i="78" s="1"/>
  <c r="D55" i="78"/>
  <c r="E55" i="78" s="1"/>
  <c r="F55" i="78" s="1"/>
  <c r="D48" i="78"/>
  <c r="E48" i="78" s="1"/>
  <c r="F48" i="78" s="1"/>
  <c r="D42" i="78"/>
  <c r="E42" i="78" s="1"/>
  <c r="F42" i="78" s="1"/>
  <c r="D65" i="78"/>
  <c r="E65" i="78" s="1"/>
  <c r="F65" i="78" s="1"/>
  <c r="D45" i="78"/>
  <c r="E45" i="78" s="1"/>
  <c r="F45" i="78" s="1"/>
  <c r="D67" i="78"/>
  <c r="E67" i="78" s="1"/>
  <c r="F67" i="78" s="1"/>
  <c r="D59" i="78"/>
  <c r="E59" i="78" s="1"/>
  <c r="F59" i="78" s="1"/>
  <c r="D54" i="78"/>
  <c r="E54" i="78" s="1"/>
  <c r="F54" i="78" s="1"/>
  <c r="D64" i="78"/>
  <c r="E64" i="78" s="1"/>
  <c r="F64" i="78" s="1"/>
  <c r="D56" i="78"/>
  <c r="E56" i="78" s="1"/>
  <c r="F56" i="78" s="1"/>
  <c r="D30" i="75"/>
  <c r="H34" i="76"/>
  <c r="I34" i="76" s="1"/>
  <c r="G36" i="76"/>
  <c r="D156" i="78"/>
  <c r="E156" i="78" s="1"/>
  <c r="F156" i="78" s="1"/>
  <c r="D127" i="78"/>
  <c r="E127" i="78" s="1"/>
  <c r="F127" i="78" s="1"/>
  <c r="D143" i="78"/>
  <c r="E143" i="78" s="1"/>
  <c r="F143" i="78" s="1"/>
  <c r="D136" i="78"/>
  <c r="E136" i="78" s="1"/>
  <c r="F136" i="78" s="1"/>
  <c r="D138" i="78"/>
  <c r="E138" i="78" s="1"/>
  <c r="F138" i="78" s="1"/>
  <c r="D142" i="78"/>
  <c r="E142" i="78" s="1"/>
  <c r="F142" i="78" s="1"/>
  <c r="D139" i="78"/>
  <c r="E139" i="78" s="1"/>
  <c r="F139" i="78" s="1"/>
  <c r="D148" i="78"/>
  <c r="E148" i="78" s="1"/>
  <c r="F148" i="78" s="1"/>
  <c r="D158" i="78"/>
  <c r="E158" i="78" s="1"/>
  <c r="F158" i="78" s="1"/>
  <c r="D152" i="78"/>
  <c r="E152" i="78" s="1"/>
  <c r="F152" i="78" s="1"/>
  <c r="D147" i="78"/>
  <c r="E147" i="78" s="1"/>
  <c r="F147" i="78" s="1"/>
  <c r="D122" i="78"/>
  <c r="E122" i="78" s="1"/>
  <c r="F122" i="78" s="1"/>
  <c r="D133" i="78"/>
  <c r="E133" i="78" s="1"/>
  <c r="F133" i="78" s="1"/>
  <c r="D153" i="78"/>
  <c r="E153" i="78" s="1"/>
  <c r="F153" i="78" s="1"/>
  <c r="D129" i="78"/>
  <c r="E129" i="78" s="1"/>
  <c r="F129" i="78" s="1"/>
  <c r="D155" i="78"/>
  <c r="E155" i="78" s="1"/>
  <c r="F155" i="78" s="1"/>
  <c r="D149" i="78"/>
  <c r="E149" i="78" s="1"/>
  <c r="F149" i="78" s="1"/>
  <c r="D130" i="78"/>
  <c r="E130" i="78" s="1"/>
  <c r="F130" i="78" s="1"/>
  <c r="D144" i="78"/>
  <c r="E144" i="78" s="1"/>
  <c r="F144" i="78" s="1"/>
  <c r="D151" i="78"/>
  <c r="E151" i="78" s="1"/>
  <c r="F151" i="78" s="1"/>
  <c r="D154" i="78"/>
  <c r="E154" i="78" s="1"/>
  <c r="F154" i="78" s="1"/>
  <c r="D141" i="78"/>
  <c r="E141" i="78" s="1"/>
  <c r="F141" i="78" s="1"/>
  <c r="D137" i="78"/>
  <c r="E137" i="78" s="1"/>
  <c r="F137" i="78" s="1"/>
  <c r="D157" i="78"/>
  <c r="E157" i="78" s="1"/>
  <c r="F157" i="78" s="1"/>
  <c r="D125" i="78"/>
  <c r="E125" i="78" s="1"/>
  <c r="F125" i="78" s="1"/>
  <c r="D160" i="78"/>
  <c r="D145" i="78"/>
  <c r="E145" i="78" s="1"/>
  <c r="F145" i="78" s="1"/>
  <c r="D140" i="78"/>
  <c r="E140" i="78" s="1"/>
  <c r="F140" i="78" s="1"/>
  <c r="D126" i="78"/>
  <c r="E126" i="78" s="1"/>
  <c r="F126" i="78" s="1"/>
  <c r="D146" i="78"/>
  <c r="E146" i="78" s="1"/>
  <c r="F146" i="78" s="1"/>
  <c r="D132" i="78"/>
  <c r="E132" i="78" s="1"/>
  <c r="F132" i="78" s="1"/>
  <c r="D134" i="78"/>
  <c r="E134" i="78" s="1"/>
  <c r="F134" i="78" s="1"/>
  <c r="D124" i="78"/>
  <c r="E124" i="78" s="1"/>
  <c r="F124" i="78" s="1"/>
  <c r="D150" i="78"/>
  <c r="E150" i="78" s="1"/>
  <c r="F150" i="78" s="1"/>
  <c r="D128" i="78"/>
  <c r="E128" i="78" s="1"/>
  <c r="F128" i="78" s="1"/>
  <c r="D123" i="78"/>
  <c r="E123" i="78" s="1"/>
  <c r="F123" i="78" s="1"/>
  <c r="D135" i="78"/>
  <c r="E135" i="78" s="1"/>
  <c r="F135" i="78" s="1"/>
  <c r="D131" i="78"/>
  <c r="E131" i="78" s="1"/>
  <c r="F131" i="78" s="1"/>
  <c r="G35" i="99" l="1"/>
  <c r="G39" i="99"/>
  <c r="E33" i="99"/>
  <c r="G37" i="99"/>
  <c r="G8" i="165"/>
  <c r="G11" i="165" s="1"/>
  <c r="G36" i="99"/>
  <c r="G30" i="99"/>
  <c r="E35" i="99"/>
  <c r="G31" i="99"/>
  <c r="G40" i="99"/>
  <c r="G32" i="99"/>
  <c r="G34" i="99"/>
  <c r="G41" i="99"/>
  <c r="G38" i="99"/>
  <c r="E36" i="99"/>
  <c r="E34" i="99"/>
  <c r="E38" i="99"/>
  <c r="E41" i="99"/>
  <c r="E37" i="99"/>
  <c r="E30" i="99"/>
  <c r="E32" i="99"/>
  <c r="E31" i="99"/>
  <c r="E40" i="99"/>
  <c r="C42" i="99"/>
  <c r="C46" i="99"/>
  <c r="E25" i="75"/>
  <c r="F25" i="75" s="1"/>
  <c r="D26" i="75"/>
  <c r="E26" i="75" s="1"/>
  <c r="F26" i="75" s="1"/>
  <c r="B37" i="82" s="1"/>
  <c r="D10" i="83"/>
  <c r="E10" i="83" s="1"/>
  <c r="E160" i="78"/>
  <c r="F160" i="78" s="1"/>
  <c r="D12" i="83"/>
  <c r="E12" i="83" s="1"/>
  <c r="E242" i="78"/>
  <c r="F242" i="78" s="1"/>
  <c r="D9" i="83"/>
  <c r="E9" i="83" s="1"/>
  <c r="E118" i="78"/>
  <c r="F118" i="78" s="1"/>
  <c r="D11" i="75"/>
  <c r="E10" i="75"/>
  <c r="F10" i="75" s="1"/>
  <c r="H11" i="76"/>
  <c r="I11" i="76" s="1"/>
  <c r="I10" i="76"/>
  <c r="H30" i="76"/>
  <c r="I30" i="76" s="1"/>
  <c r="I27" i="76"/>
  <c r="E20" i="75"/>
  <c r="F20" i="75" s="1"/>
  <c r="D21" i="75"/>
  <c r="E21" i="75" s="1"/>
  <c r="F21" i="75" s="1"/>
  <c r="B36" i="82" s="1"/>
  <c r="E30" i="75"/>
  <c r="F30" i="75" s="1"/>
  <c r="D31" i="75"/>
  <c r="E31" i="75" s="1"/>
  <c r="F31" i="75" s="1"/>
  <c r="B38" i="82" s="1"/>
  <c r="I20" i="76"/>
  <c r="H23" i="76"/>
  <c r="I23" i="76" s="1"/>
  <c r="E15" i="75"/>
  <c r="F15" i="75" s="1"/>
  <c r="D16" i="75"/>
  <c r="E16" i="75" s="1"/>
  <c r="F16" i="75" s="1"/>
  <c r="B35" i="82" s="1"/>
  <c r="E76" i="78"/>
  <c r="F76" i="78" s="1"/>
  <c r="D8" i="83"/>
  <c r="E8" i="83" s="1"/>
  <c r="I15" i="76"/>
  <c r="H16" i="76"/>
  <c r="I16" i="76" s="1"/>
  <c r="E25" i="77"/>
  <c r="E27" i="77" s="1"/>
  <c r="F13" i="77"/>
  <c r="AD34" i="97"/>
  <c r="AE34" i="97" s="1"/>
  <c r="I46" i="97"/>
  <c r="AC509" i="169"/>
  <c r="D38" i="75"/>
  <c r="E38" i="75" s="1"/>
  <c r="F38" i="75" s="1"/>
  <c r="B39" i="82" s="1"/>
  <c r="E37" i="75"/>
  <c r="F37" i="75" s="1"/>
  <c r="G48" i="76"/>
  <c r="H36" i="76"/>
  <c r="D42" i="99"/>
  <c r="D46" i="99"/>
  <c r="F11" i="99"/>
  <c r="I9" i="99"/>
  <c r="D11" i="83"/>
  <c r="E11" i="83" s="1"/>
  <c r="E202" i="78"/>
  <c r="F202" i="78" s="1"/>
  <c r="F15" i="165"/>
  <c r="P46" i="97"/>
  <c r="F18" i="165"/>
  <c r="G18" i="165" s="1"/>
  <c r="I18" i="165" s="1"/>
  <c r="K18" i="165" s="1"/>
  <c r="F40" i="165"/>
  <c r="I8" i="165" l="1"/>
  <c r="I11" i="165" s="1"/>
  <c r="G42" i="99"/>
  <c r="E42" i="99"/>
  <c r="G11" i="83"/>
  <c r="F11" i="83"/>
  <c r="F9" i="83"/>
  <c r="G9" i="83"/>
  <c r="F12" i="83"/>
  <c r="G12" i="83"/>
  <c r="F39" i="99"/>
  <c r="F36" i="99"/>
  <c r="F34" i="99"/>
  <c r="F30" i="99"/>
  <c r="F35" i="99"/>
  <c r="F38" i="99"/>
  <c r="F32" i="99"/>
  <c r="F37" i="99"/>
  <c r="F33" i="99"/>
  <c r="F41" i="99"/>
  <c r="F40" i="99"/>
  <c r="F31" i="99"/>
  <c r="F25" i="77"/>
  <c r="F27" i="77" s="1"/>
  <c r="G13" i="77"/>
  <c r="G8" i="83"/>
  <c r="F8" i="83"/>
  <c r="H48" i="76"/>
  <c r="I48" i="76" s="1"/>
  <c r="I36" i="76"/>
  <c r="E29" i="77"/>
  <c r="D7" i="83"/>
  <c r="E7" i="83" s="1"/>
  <c r="F10" i="83"/>
  <c r="G10" i="83"/>
  <c r="E11" i="75"/>
  <c r="D40" i="75"/>
  <c r="F25" i="165"/>
  <c r="G25" i="165" s="1"/>
  <c r="I25" i="165" s="1"/>
  <c r="K25" i="165" s="1"/>
  <c r="N38" i="97"/>
  <c r="O38" i="97" s="1"/>
  <c r="N40" i="97"/>
  <c r="O40" i="97" s="1"/>
  <c r="P19" i="97"/>
  <c r="Q19" i="97" s="1"/>
  <c r="N30" i="97"/>
  <c r="O30" i="97" s="1"/>
  <c r="N18" i="97"/>
  <c r="O18" i="97" s="1"/>
  <c r="N24" i="97"/>
  <c r="O24" i="97" s="1"/>
  <c r="P27" i="97"/>
  <c r="Q27" i="97" s="1"/>
  <c r="P20" i="97"/>
  <c r="Q20" i="97" s="1"/>
  <c r="P31" i="97"/>
  <c r="Q31" i="97" s="1"/>
  <c r="P42" i="97"/>
  <c r="P41" i="97"/>
  <c r="Q41" i="97" s="1"/>
  <c r="P21" i="97"/>
  <c r="Q21" i="97" s="1"/>
  <c r="P30" i="97"/>
  <c r="Q30" i="97" s="1"/>
  <c r="N41" i="97"/>
  <c r="O41" i="97" s="1"/>
  <c r="N14" i="97"/>
  <c r="O14" i="97" s="1"/>
  <c r="O15" i="97" s="1"/>
  <c r="D49" i="99" s="1"/>
  <c r="D50" i="99" s="1"/>
  <c r="P11" i="97"/>
  <c r="N20" i="97"/>
  <c r="O20" i="97" s="1"/>
  <c r="P25" i="97"/>
  <c r="Q25" i="97" s="1"/>
  <c r="N26" i="97"/>
  <c r="O26" i="97" s="1"/>
  <c r="N19" i="97"/>
  <c r="O19" i="97" s="1"/>
  <c r="N31" i="97"/>
  <c r="O31" i="97" s="1"/>
  <c r="P24" i="97"/>
  <c r="Q24" i="97" s="1"/>
  <c r="N10" i="97"/>
  <c r="O10" i="97" s="1"/>
  <c r="O11" i="97" s="1"/>
  <c r="Q46" i="97"/>
  <c r="N25" i="97"/>
  <c r="O25" i="97" s="1"/>
  <c r="P18" i="97"/>
  <c r="Q18" i="97" s="1"/>
  <c r="P32" i="97"/>
  <c r="Q32" i="97" s="1"/>
  <c r="P15" i="97"/>
  <c r="Q15" i="97" s="1"/>
  <c r="N39" i="97"/>
  <c r="O39" i="97" s="1"/>
  <c r="P40" i="97"/>
  <c r="Q40" i="97" s="1"/>
  <c r="P26" i="97"/>
  <c r="Q26" i="97" s="1"/>
  <c r="P39" i="97"/>
  <c r="Q39" i="97" s="1"/>
  <c r="P38" i="97"/>
  <c r="Q38" i="97" s="1"/>
  <c r="G15" i="165"/>
  <c r="K8" i="165" l="1"/>
  <c r="K11" i="165" s="1"/>
  <c r="F11" i="75"/>
  <c r="B34" i="82" s="1"/>
  <c r="E40" i="75"/>
  <c r="F40" i="75" s="1"/>
  <c r="G27" i="77"/>
  <c r="G29" i="77" s="1"/>
  <c r="F29" i="77"/>
  <c r="G7" i="83"/>
  <c r="F7" i="83"/>
  <c r="F42" i="99"/>
  <c r="F26" i="165"/>
  <c r="F28" i="165" s="1"/>
  <c r="I15" i="165"/>
  <c r="G26" i="165"/>
  <c r="G28" i="165" s="1"/>
  <c r="G38" i="165" s="1"/>
  <c r="O42" i="97"/>
  <c r="O44" i="97" s="1"/>
  <c r="Q11" i="97"/>
  <c r="P34" i="97"/>
  <c r="Q34" i="97" s="1"/>
  <c r="P44" i="97"/>
  <c r="Q44" i="97" s="1"/>
  <c r="Q42" i="97"/>
  <c r="D56" i="99"/>
  <c r="D64" i="99"/>
  <c r="D60" i="99"/>
  <c r="D63" i="99"/>
  <c r="D57" i="99"/>
  <c r="D58" i="99"/>
  <c r="D53" i="99"/>
  <c r="D54" i="99"/>
  <c r="D61" i="99"/>
  <c r="D59" i="99"/>
  <c r="D62" i="99"/>
  <c r="D55" i="99"/>
  <c r="O32" i="97"/>
  <c r="G49" i="99" s="1"/>
  <c r="G50" i="99" s="1"/>
  <c r="C49" i="99"/>
  <c r="C50" i="99" s="1"/>
  <c r="O27" i="97"/>
  <c r="F49" i="99" s="1"/>
  <c r="F50" i="99" s="1"/>
  <c r="O21" i="97"/>
  <c r="E49" i="99" s="1"/>
  <c r="E50" i="99" s="1"/>
  <c r="C54" i="99" l="1"/>
  <c r="C56" i="99"/>
  <c r="C61" i="99"/>
  <c r="C60" i="99"/>
  <c r="C59" i="99"/>
  <c r="C63" i="99"/>
  <c r="C64" i="99"/>
  <c r="C55" i="99"/>
  <c r="C57" i="99"/>
  <c r="C58" i="99"/>
  <c r="C53" i="99"/>
  <c r="C62" i="99"/>
  <c r="D65" i="99"/>
  <c r="F61" i="99"/>
  <c r="F55" i="99"/>
  <c r="F53" i="99"/>
  <c r="F64" i="99"/>
  <c r="F62" i="99"/>
  <c r="F58" i="99"/>
  <c r="F54" i="99"/>
  <c r="F63" i="99"/>
  <c r="F57" i="99"/>
  <c r="F60" i="99"/>
  <c r="F59" i="99"/>
  <c r="F56" i="99"/>
  <c r="O34" i="97"/>
  <c r="O46" i="97" s="1"/>
  <c r="E56" i="99"/>
  <c r="E62" i="99"/>
  <c r="E61" i="99"/>
  <c r="E55" i="99"/>
  <c r="E54" i="99"/>
  <c r="E57" i="99"/>
  <c r="E53" i="99"/>
  <c r="E59" i="99"/>
  <c r="E58" i="99"/>
  <c r="E63" i="99"/>
  <c r="E60" i="99"/>
  <c r="E64" i="99"/>
  <c r="G56" i="99"/>
  <c r="G54" i="99"/>
  <c r="G53" i="99"/>
  <c r="G60" i="99"/>
  <c r="G59" i="99"/>
  <c r="G55" i="99"/>
  <c r="G64" i="99"/>
  <c r="G57" i="99"/>
  <c r="G63" i="99"/>
  <c r="G58" i="99"/>
  <c r="G62" i="99"/>
  <c r="G61" i="99"/>
  <c r="I26" i="165"/>
  <c r="I28" i="165" s="1"/>
  <c r="I38" i="165" s="1"/>
  <c r="K15" i="165"/>
  <c r="K26" i="165" l="1"/>
  <c r="K28" i="165" s="1"/>
  <c r="C65" i="99"/>
  <c r="E65" i="99"/>
  <c r="G65" i="99"/>
  <c r="F65" i="99"/>
  <c r="K38" i="165" l="1"/>
  <c r="L8" i="165"/>
  <c r="L11" i="165" l="1"/>
  <c r="M8" i="165"/>
  <c r="O8" i="165" l="1"/>
  <c r="M11" i="165"/>
  <c r="L18" i="165"/>
  <c r="M18" i="165" s="1"/>
  <c r="O18" i="165" s="1"/>
  <c r="Q18" i="165" s="1"/>
  <c r="L15" i="165"/>
  <c r="U46" i="97"/>
  <c r="L40" i="165"/>
  <c r="L25" i="165" l="1"/>
  <c r="M25" i="165" s="1"/>
  <c r="O25" i="165" s="1"/>
  <c r="Q25" i="165" s="1"/>
  <c r="S18" i="97"/>
  <c r="T18" i="97" s="1"/>
  <c r="X38" i="97"/>
  <c r="Y38" i="97" s="1"/>
  <c r="S38" i="97"/>
  <c r="T38" i="97" s="1"/>
  <c r="X14" i="97"/>
  <c r="Y14" i="97" s="1"/>
  <c r="Y15" i="97" s="1"/>
  <c r="D87" i="99" s="1"/>
  <c r="D88" i="99" s="1"/>
  <c r="S14" i="97"/>
  <c r="T14" i="97" s="1"/>
  <c r="T15" i="97" s="1"/>
  <c r="D68" i="99" s="1"/>
  <c r="D69" i="99" s="1"/>
  <c r="V46" i="97"/>
  <c r="U19" i="97"/>
  <c r="V19" i="97" s="1"/>
  <c r="S41" i="97"/>
  <c r="T41" i="97" s="1"/>
  <c r="X19" i="97"/>
  <c r="Y19" i="97" s="1"/>
  <c r="U38" i="97"/>
  <c r="V38" i="97" s="1"/>
  <c r="X20" i="97"/>
  <c r="Y20" i="97" s="1"/>
  <c r="S19" i="97"/>
  <c r="T19" i="97" s="1"/>
  <c r="X26" i="97"/>
  <c r="Y26" i="97" s="1"/>
  <c r="S10" i="97"/>
  <c r="T10" i="97" s="1"/>
  <c r="T11" i="97" s="1"/>
  <c r="S40" i="97"/>
  <c r="T40" i="97" s="1"/>
  <c r="S20" i="97"/>
  <c r="T20" i="97" s="1"/>
  <c r="U32" i="97"/>
  <c r="V32" i="97" s="1"/>
  <c r="S39" i="97"/>
  <c r="T39" i="97" s="1"/>
  <c r="X40" i="97"/>
  <c r="Y40" i="97" s="1"/>
  <c r="U27" i="97"/>
  <c r="V27" i="97" s="1"/>
  <c r="U26" i="97"/>
  <c r="V26" i="97" s="1"/>
  <c r="S25" i="97"/>
  <c r="T25" i="97" s="1"/>
  <c r="X24" i="97"/>
  <c r="Y24" i="97" s="1"/>
  <c r="S24" i="97"/>
  <c r="T24" i="97" s="1"/>
  <c r="S30" i="97"/>
  <c r="T30" i="97" s="1"/>
  <c r="X30" i="97"/>
  <c r="Y30" i="97" s="1"/>
  <c r="U11" i="97"/>
  <c r="U42" i="97"/>
  <c r="X41" i="97"/>
  <c r="Y41" i="97" s="1"/>
  <c r="S31" i="97"/>
  <c r="T31" i="97" s="1"/>
  <c r="U24" i="97"/>
  <c r="V24" i="97" s="1"/>
  <c r="U30" i="97"/>
  <c r="V30" i="97" s="1"/>
  <c r="X31" i="97"/>
  <c r="Y31" i="97" s="1"/>
  <c r="X25" i="97"/>
  <c r="Y25" i="97" s="1"/>
  <c r="U15" i="97"/>
  <c r="V15" i="97" s="1"/>
  <c r="U39" i="97"/>
  <c r="V39" i="97" s="1"/>
  <c r="U25" i="97"/>
  <c r="V25" i="97" s="1"/>
  <c r="X18" i="97"/>
  <c r="Y18" i="97" s="1"/>
  <c r="X10" i="97"/>
  <c r="Y10" i="97" s="1"/>
  <c r="Y11" i="97" s="1"/>
  <c r="S26" i="97"/>
  <c r="T26" i="97" s="1"/>
  <c r="U31" i="97"/>
  <c r="V31" i="97" s="1"/>
  <c r="X39" i="97"/>
  <c r="Y39" i="97" s="1"/>
  <c r="U18" i="97"/>
  <c r="V18" i="97" s="1"/>
  <c r="U41" i="97"/>
  <c r="V41" i="97" s="1"/>
  <c r="U20" i="97"/>
  <c r="V20" i="97" s="1"/>
  <c r="U40" i="97"/>
  <c r="V40" i="97" s="1"/>
  <c r="U21" i="97"/>
  <c r="V21" i="97" s="1"/>
  <c r="M15" i="165"/>
  <c r="Q8" i="165"/>
  <c r="O11" i="165"/>
  <c r="L26" i="165" l="1"/>
  <c r="L28" i="165" s="1"/>
  <c r="Y32" i="97"/>
  <c r="G87" i="99" s="1"/>
  <c r="G88" i="99" s="1"/>
  <c r="G102" i="99" s="1"/>
  <c r="Y21" i="97"/>
  <c r="E87" i="99" s="1"/>
  <c r="E88" i="99" s="1"/>
  <c r="E93" i="99" s="1"/>
  <c r="T42" i="97"/>
  <c r="T44" i="97" s="1"/>
  <c r="D80" i="99"/>
  <c r="D81" i="99"/>
  <c r="D83" i="99"/>
  <c r="D74" i="99"/>
  <c r="D79" i="99"/>
  <c r="D73" i="99"/>
  <c r="D77" i="99"/>
  <c r="D72" i="99"/>
  <c r="D82" i="99"/>
  <c r="D75" i="99"/>
  <c r="D76" i="99"/>
  <c r="D78" i="99"/>
  <c r="D91" i="99"/>
  <c r="D100" i="99"/>
  <c r="D96" i="99"/>
  <c r="D92" i="99"/>
  <c r="D101" i="99"/>
  <c r="D102" i="99"/>
  <c r="D93" i="99"/>
  <c r="D95" i="99"/>
  <c r="D94" i="99"/>
  <c r="D98" i="99"/>
  <c r="D97" i="99"/>
  <c r="D99" i="99"/>
  <c r="Y42" i="97"/>
  <c r="Y44" i="97" s="1"/>
  <c r="O15" i="165"/>
  <c r="M26" i="165"/>
  <c r="M28" i="165" s="1"/>
  <c r="M38" i="165" s="1"/>
  <c r="T32" i="97"/>
  <c r="G68" i="99" s="1"/>
  <c r="G69" i="99" s="1"/>
  <c r="T21" i="97"/>
  <c r="E68" i="99" s="1"/>
  <c r="E69" i="99" s="1"/>
  <c r="V42" i="97"/>
  <c r="U44" i="97"/>
  <c r="V44" i="97" s="1"/>
  <c r="Q11" i="165"/>
  <c r="V11" i="97"/>
  <c r="U34" i="97"/>
  <c r="V34" i="97" s="1"/>
  <c r="T27" i="97"/>
  <c r="F68" i="99" s="1"/>
  <c r="F69" i="99" s="1"/>
  <c r="C68" i="99"/>
  <c r="C69" i="99" s="1"/>
  <c r="C87" i="99"/>
  <c r="C88" i="99" s="1"/>
  <c r="Y27" i="97"/>
  <c r="F87" i="99" s="1"/>
  <c r="F88" i="99" s="1"/>
  <c r="G101" i="99" l="1"/>
  <c r="G94" i="99"/>
  <c r="G95" i="99"/>
  <c r="E96" i="99"/>
  <c r="G100" i="99"/>
  <c r="G92" i="99"/>
  <c r="E101" i="99"/>
  <c r="G97" i="99"/>
  <c r="G99" i="99"/>
  <c r="G91" i="99"/>
  <c r="G98" i="99"/>
  <c r="G93" i="99"/>
  <c r="G96" i="99"/>
  <c r="E95" i="99"/>
  <c r="E102" i="99"/>
  <c r="E94" i="99"/>
  <c r="E91" i="99"/>
  <c r="E99" i="99"/>
  <c r="E98" i="99"/>
  <c r="E100" i="99"/>
  <c r="E92" i="99"/>
  <c r="E97" i="99"/>
  <c r="Y34" i="97"/>
  <c r="Y46" i="97" s="1"/>
  <c r="D84" i="99"/>
  <c r="C81" i="99"/>
  <c r="C79" i="99"/>
  <c r="C75" i="99"/>
  <c r="C73" i="99"/>
  <c r="C83" i="99"/>
  <c r="C72" i="99"/>
  <c r="C82" i="99"/>
  <c r="C76" i="99"/>
  <c r="C80" i="99"/>
  <c r="C77" i="99"/>
  <c r="C78" i="99"/>
  <c r="C74" i="99"/>
  <c r="E78" i="99"/>
  <c r="E75" i="99"/>
  <c r="E72" i="99"/>
  <c r="E81" i="99"/>
  <c r="E76" i="99"/>
  <c r="E73" i="99"/>
  <c r="E82" i="99"/>
  <c r="E74" i="99"/>
  <c r="E83" i="99"/>
  <c r="E79" i="99"/>
  <c r="E80" i="99"/>
  <c r="E77" i="99"/>
  <c r="T34" i="97"/>
  <c r="T46" i="97" s="1"/>
  <c r="G75" i="99"/>
  <c r="G82" i="99"/>
  <c r="G77" i="99"/>
  <c r="G78" i="99"/>
  <c r="G73" i="99"/>
  <c r="G80" i="99"/>
  <c r="G79" i="99"/>
  <c r="G72" i="99"/>
  <c r="G74" i="99"/>
  <c r="G76" i="99"/>
  <c r="G81" i="99"/>
  <c r="G83" i="99"/>
  <c r="D103" i="99"/>
  <c r="O26" i="165"/>
  <c r="O28" i="165" s="1"/>
  <c r="O38" i="165" s="1"/>
  <c r="Q15" i="165"/>
  <c r="F74" i="99"/>
  <c r="F75" i="99"/>
  <c r="F73" i="99"/>
  <c r="F78" i="99"/>
  <c r="F82" i="99"/>
  <c r="F76" i="99"/>
  <c r="F81" i="99"/>
  <c r="F72" i="99"/>
  <c r="F79" i="99"/>
  <c r="F83" i="99"/>
  <c r="F77" i="99"/>
  <c r="F80" i="99"/>
  <c r="F95" i="99"/>
  <c r="F99" i="99"/>
  <c r="F102" i="99"/>
  <c r="F94" i="99"/>
  <c r="F96" i="99"/>
  <c r="F92" i="99"/>
  <c r="F101" i="99"/>
  <c r="F97" i="99"/>
  <c r="F98" i="99"/>
  <c r="F91" i="99"/>
  <c r="F100" i="99"/>
  <c r="F93" i="99"/>
  <c r="C91" i="99"/>
  <c r="C100" i="99"/>
  <c r="C93" i="99"/>
  <c r="C92" i="99"/>
  <c r="C97" i="99"/>
  <c r="C94" i="99"/>
  <c r="C95" i="99"/>
  <c r="C102" i="99"/>
  <c r="C99" i="99"/>
  <c r="C101" i="99"/>
  <c r="C98" i="99"/>
  <c r="C96" i="99"/>
  <c r="G103" i="99" l="1"/>
  <c r="E103" i="99"/>
  <c r="C84" i="99"/>
  <c r="Q26" i="165"/>
  <c r="Q28" i="165" s="1"/>
  <c r="E84" i="99"/>
  <c r="C103" i="99"/>
  <c r="F84" i="99"/>
  <c r="F103" i="99"/>
  <c r="G84" i="99"/>
  <c r="Q38" i="165" l="1"/>
  <c r="R8" i="165"/>
  <c r="R11" i="165" l="1"/>
  <c r="S8" i="165"/>
  <c r="S11" i="165" s="1"/>
  <c r="R15" i="165" l="1"/>
  <c r="Z46" i="97"/>
  <c r="R18" i="165"/>
  <c r="S18" i="165" s="1"/>
  <c r="R40" i="165"/>
  <c r="R25" i="165" l="1"/>
  <c r="S25" i="165" s="1"/>
  <c r="Z25" i="97"/>
  <c r="AA25" i="97" s="1"/>
  <c r="Z32" i="97"/>
  <c r="AA32" i="97" s="1"/>
  <c r="Z18" i="97"/>
  <c r="AA18" i="97" s="1"/>
  <c r="Z31" i="97"/>
  <c r="AA31" i="97" s="1"/>
  <c r="Z30" i="97"/>
  <c r="AA30" i="97" s="1"/>
  <c r="Z26" i="97"/>
  <c r="AA26" i="97" s="1"/>
  <c r="Z11" i="97"/>
  <c r="Z38" i="97"/>
  <c r="AA38" i="97" s="1"/>
  <c r="Z39" i="97"/>
  <c r="AA39" i="97" s="1"/>
  <c r="Z20" i="97"/>
  <c r="AA20" i="97" s="1"/>
  <c r="Z40" i="97"/>
  <c r="AA40" i="97" s="1"/>
  <c r="Z21" i="97"/>
  <c r="AA21" i="97" s="1"/>
  <c r="Z24" i="97"/>
  <c r="AA24" i="97" s="1"/>
  <c r="Z19" i="97"/>
  <c r="AA19" i="97" s="1"/>
  <c r="AA46" i="97"/>
  <c r="Z27" i="97"/>
  <c r="AA27" i="97" s="1"/>
  <c r="Z41" i="97"/>
  <c r="AA41" i="97" s="1"/>
  <c r="Z42" i="97"/>
  <c r="Z15" i="97"/>
  <c r="AA15" i="97" s="1"/>
  <c r="S15" i="165"/>
  <c r="S26" i="165" l="1"/>
  <c r="S28" i="165" s="1"/>
  <c r="S38" i="165" s="1"/>
  <c r="R26" i="165"/>
  <c r="R28" i="165" s="1"/>
  <c r="Z34" i="97"/>
  <c r="AA34" i="97" s="1"/>
  <c r="AA11" i="97"/>
  <c r="AA42" i="97"/>
  <c r="Z44" i="97"/>
  <c r="AA44" i="9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tc={6536311D-6BD7-44D8-8FA9-038EF2ED888D}</author>
  </authors>
  <commentList>
    <comment ref="C162" authorId="0" shapeId="0" xr:uid="{6536311D-6BD7-44D8-8FA9-038EF2ED888D}">
      <text>
        <t>[Threaded comment]
Your version of Excel allows you to read this threaded comment; however, any edits to it will get removed if the file is opened in a newer version of Excel. Learn more: https://go.microsoft.com/fwlink/?linkid=870924
Comment:
    Deficiencies and adjustments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tc={0CF587C3-6B5A-4447-86D5-558C032073AB}</author>
  </authors>
  <commentList>
    <comment ref="F11" authorId="0" shapeId="0" xr:uid="{0CF587C3-6B5A-4447-86D5-558C032073AB}">
      <text>
        <t>[Threaded comment]
Your version of Excel allows you to read this threaded comment; however, any edits to it will get removed if the file is opened in a newer version of Excel. Learn more: https://go.microsoft.com/fwlink/?linkid=870924
Comment:
    Need to check the page lengths in acual Excel format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tc={4FC3DF78-F477-41D7-AC9D-069AF3500093}</author>
  </authors>
  <commentList>
    <comment ref="K76" authorId="0" shapeId="0" xr:uid="{4FC3DF78-F477-41D7-AC9D-069AF3500093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allocated estimates.  The 1501 report has consolidated the 200 blocks from Aug-Dec.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Ryan, Christopher</author>
  </authors>
  <commentList>
    <comment ref="H15" authorId="0" shapeId="0" xr:uid="{AA325F00-9A7A-4804-A986-6C3F8513480A}">
      <text>
        <r>
          <rPr>
            <b/>
            <sz val="9"/>
            <color indexed="81"/>
            <rFont val="Tahoma"/>
            <family val="2"/>
          </rPr>
          <t>Ryan, Christopher:</t>
        </r>
        <r>
          <rPr>
            <sz val="9"/>
            <color indexed="81"/>
            <rFont val="Tahoma"/>
            <family val="2"/>
          </rPr>
          <t xml:space="preserve">
added 37,500</t>
        </r>
      </text>
    </comment>
    <comment ref="M15" authorId="0" shapeId="0" xr:uid="{555841BE-EA45-44D7-AADB-85D3E6DAD0CD}">
      <text>
        <r>
          <rPr>
            <b/>
            <sz val="9"/>
            <color indexed="81"/>
            <rFont val="Tahoma"/>
            <family val="2"/>
          </rPr>
          <t>Ryan, Christopher:</t>
        </r>
        <r>
          <rPr>
            <sz val="9"/>
            <color indexed="81"/>
            <rFont val="Tahoma"/>
            <family val="2"/>
          </rPr>
          <t xml:space="preserve">
added 37,500</t>
        </r>
      </text>
    </comment>
    <comment ref="E129" authorId="0" shapeId="0" xr:uid="{79772225-C0A2-4945-8026-29F88E19FFE1}">
      <text>
        <r>
          <rPr>
            <b/>
            <sz val="9"/>
            <color indexed="81"/>
            <rFont val="Tahoma"/>
            <family val="2"/>
          </rPr>
          <t>Ryan, Christopher:</t>
        </r>
        <r>
          <rPr>
            <sz val="9"/>
            <color indexed="81"/>
            <rFont val="Tahoma"/>
            <family val="2"/>
          </rPr>
          <t xml:space="preserve">
MOVED TO 570 ABOVE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tc={80938E0D-8ECE-4067-80F0-22C08A1B8469}</author>
    <author>tc={63815DF1-3A19-4D08-8AF6-C1C955721C4A}</author>
    <author>tc={01A36211-8DBC-433D-B1F3-4625069F5296}</author>
  </authors>
  <commentList>
    <comment ref="K7" authorId="0" shapeId="0" xr:uid="{80938E0D-8ECE-4067-80F0-22C08A1B8469}">
      <text>
        <t>[Threaded comment]
Your version of Excel allows you to read this threaded comment; however, any edits to it will get removed if the file is opened in a newer version of Excel. Learn more: https://go.microsoft.com/fwlink/?linkid=870924
Comment:
    2020 CRM Revenues, Expenses, and RB were incorporated within UG-200568, effective July 1, 2021.</t>
      </text>
    </comment>
    <comment ref="F10" authorId="1" shapeId="0" xr:uid="{63815DF1-3A19-4D08-8AF6-C1C955721C4A}">
      <text>
        <t>[Threaded comment]
Your version of Excel allows you to read this threaded comment; however, any edits to it will get removed if the file is opened in a newer version of Excel. Learn more: https://go.microsoft.com/fwlink/?linkid=870924
Comment:
    Unbilled adjustment (RES 628,357 therms * 0.43466 + COM 1,936,947 therms * 0.43204) = $1,109,959.11</t>
      </text>
    </comment>
    <comment ref="G10" authorId="2" shapeId="0" xr:uid="{01A36211-8DBC-433D-B1F3-4625069F5296}">
      <text>
        <t>[Threaded comment]
Your version of Excel allows you to read this threaded comment; however, any edits to it will get removed if the file is opened in a newer version of Excel. Learn more: https://go.microsoft.com/fwlink/?linkid=870924
Comment:
    Unbilled adjustment (RES 628,357 therms + COM 1,936,947 therms * 0.14931) = $383,025.54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tc={7A876A57-9B73-4303-B655-42C0D6C569D3}</author>
  </authors>
  <commentList>
    <comment ref="S16" authorId="0" shapeId="0" xr:uid="{7A876A57-9B73-4303-B655-42C0D6C569D3}">
      <text>
        <t>[Threaded comment]
Your version of Excel allows you to read this threaded comment; however, any edits to it will get removed if the file is opened in a newer version of Excel. Learn more: https://go.microsoft.com/fwlink/?linkid=870924
Comment:
    Payroll Tax Percentage</t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tc={85451A24-6738-4321-A7D1-584D394164D6}</author>
  </authors>
  <commentList>
    <comment ref="D25" authorId="0" shapeId="0" xr:uid="{85451A24-6738-4321-A7D1-584D394164D6}">
      <text>
        <t>[Threaded comment]
Your version of Excel allows you to read this threaded comment; however, any edits to it will get removed if the file is opened in a newer version of Excel. Learn more: https://go.microsoft.com/fwlink/?linkid=870924
Comment:
    @Mickelson, Christopher updated</t>
      </text>
    </comment>
  </commentList>
</comments>
</file>

<file path=xl/sharedStrings.xml><?xml version="1.0" encoding="utf-8"?>
<sst xmlns="http://schemas.openxmlformats.org/spreadsheetml/2006/main" count="8016" uniqueCount="3300">
  <si>
    <t>Line No.</t>
  </si>
  <si>
    <t>Notes</t>
  </si>
  <si>
    <t>A</t>
  </si>
  <si>
    <t>B</t>
  </si>
  <si>
    <t>C</t>
  </si>
  <si>
    <t>D</t>
  </si>
  <si>
    <t>E</t>
  </si>
  <si>
    <t>Washington Jurisdiction</t>
  </si>
  <si>
    <t>Line No</t>
  </si>
  <si>
    <t>Description</t>
  </si>
  <si>
    <t>Proof of Revenue</t>
  </si>
  <si>
    <t>Test Year Revenue Recon Report</t>
  </si>
  <si>
    <t>Test Year State Allocation Report</t>
  </si>
  <si>
    <t>Model Titles</t>
  </si>
  <si>
    <t>Cascade Natural Gas Corp.</t>
  </si>
  <si>
    <t>Company</t>
  </si>
  <si>
    <t>Title1</t>
  </si>
  <si>
    <t>Twelve-Months ended December 31, 2020</t>
  </si>
  <si>
    <t>Title2</t>
  </si>
  <si>
    <t>Limited Issues Rate Case</t>
  </si>
  <si>
    <t>Title3</t>
  </si>
  <si>
    <t>Title4</t>
  </si>
  <si>
    <t>Revenue Requirement</t>
  </si>
  <si>
    <t>Title5</t>
  </si>
  <si>
    <t>Embedded Cost of Service (ECOS) Study</t>
  </si>
  <si>
    <t>Title6</t>
  </si>
  <si>
    <t>Rate Design</t>
  </si>
  <si>
    <t>Title7</t>
  </si>
  <si>
    <t>UG-21____</t>
  </si>
  <si>
    <t>Title8</t>
  </si>
  <si>
    <t>Rate Classes</t>
  </si>
  <si>
    <t>902-2</t>
  </si>
  <si>
    <t>9xx</t>
  </si>
  <si>
    <t>Residential Service</t>
  </si>
  <si>
    <t>Commercial Service</t>
  </si>
  <si>
    <t>Industrial Service</t>
  </si>
  <si>
    <t>Large Volume Service</t>
  </si>
  <si>
    <t>Transportation Service</t>
  </si>
  <si>
    <t>Special Contract</t>
  </si>
  <si>
    <t>Interruptible Service</t>
  </si>
  <si>
    <t>Special Contracts</t>
  </si>
  <si>
    <t>core</t>
  </si>
  <si>
    <t>non-core</t>
  </si>
  <si>
    <t>2" Main Average 2013 Cost</t>
  </si>
  <si>
    <t>Exhibit A to Executive Summary</t>
  </si>
  <si>
    <t>Filed:</t>
  </si>
  <si>
    <t>Total Revenues Collected Under Proposed Rates:</t>
  </si>
  <si>
    <t>Revenue Change Requested:</t>
  </si>
  <si>
    <t>Revenues Net of any Credits from Federal Agencies:</t>
  </si>
  <si>
    <t>Percentage Change in Base Revenues Requested:</t>
  </si>
  <si>
    <t>Percentage Change in Total Revenues Requested:</t>
  </si>
  <si>
    <t xml:space="preserve">Test Period: </t>
  </si>
  <si>
    <t>Requested Overall Rate of Return</t>
  </si>
  <si>
    <t>Requested Rate of Return on Equity:</t>
  </si>
  <si>
    <t>Proposed Rate Base:</t>
  </si>
  <si>
    <t>Results of Operation Before Proposed Rate Change [1]</t>
  </si>
  <si>
    <t>Utility Operating Income:</t>
  </si>
  <si>
    <t>Average Rate Base:</t>
  </si>
  <si>
    <t>Rate of Return on Capital:</t>
  </si>
  <si>
    <t>Rate of Return on Equity:</t>
  </si>
  <si>
    <t>Results of Operation After Proposed Rate Change [2]</t>
  </si>
  <si>
    <t>Effect of Percentage Rate Change on Each Customer Class’ Margin</t>
  </si>
  <si>
    <t>Bill Impact Table in Cover Letter</t>
  </si>
  <si>
    <t>Rate Schedule</t>
  </si>
  <si>
    <t>Average Therms per Month</t>
  </si>
  <si>
    <t>Current Average Monthly Bill</t>
  </si>
  <si>
    <t>Proposed Average Monthly Bill</t>
  </si>
  <si>
    <t>Change in Average Monthly Bill</t>
  </si>
  <si>
    <t>Change in Average Annual Bills</t>
  </si>
  <si>
    <t>Percentage Change in Average Bills</t>
  </si>
  <si>
    <t xml:space="preserve"> </t>
  </si>
  <si>
    <t>Date</t>
  </si>
  <si>
    <t>Proof of Revenue Section</t>
  </si>
  <si>
    <t>SUMMARY OF REVENUES BY RATE SCHEDULE</t>
  </si>
  <si>
    <t>Current</t>
  </si>
  <si>
    <t>Schedule Merge</t>
  </si>
  <si>
    <t>Adjusted 2020 Billing Determinants</t>
  </si>
  <si>
    <t>Adjusted Current Rates UG-200568</t>
  </si>
  <si>
    <t>2020 EOP Determinants at Current Rates</t>
  </si>
  <si>
    <t>Cost Recovery Mechanism CRM</t>
  </si>
  <si>
    <t>Proposed</t>
  </si>
  <si>
    <t>Lin No</t>
  </si>
  <si>
    <t>Rate Description</t>
  </si>
  <si>
    <t>Billing Determinants
(Therms/Bills)</t>
  </si>
  <si>
    <t>Current Rate</t>
  </si>
  <si>
    <t>Per Books Revenue 2020</t>
  </si>
  <si>
    <t>Billing Determinants (Therms/Bills)</t>
  </si>
  <si>
    <t>Rate</t>
  </si>
  <si>
    <t>Remove/Add</t>
  </si>
  <si>
    <t>Adjusted Billing Determinants</t>
  </si>
  <si>
    <t>Rates as of 3/1/2020</t>
  </si>
  <si>
    <t>Adjusted Per Books Margin Revenue</t>
  </si>
  <si>
    <t>UG-200568 Rates as of July 1, 2021</t>
  </si>
  <si>
    <t>Margin Revenue at Current Rates</t>
  </si>
  <si>
    <t>Adjusted EOP Margin Revenue</t>
  </si>
  <si>
    <t>EOP Revenue Adjustment</t>
  </si>
  <si>
    <t>Billing Determinants (Therms/Bill)</t>
  </si>
  <si>
    <t>CRM Revenue</t>
  </si>
  <si>
    <t>Proposed Rates</t>
  </si>
  <si>
    <t>Revenue At Proposed Rates</t>
  </si>
  <si>
    <t>2021 Revenue Adjustment</t>
  </si>
  <si>
    <t>(A)</t>
  </si>
  <si>
    <t>(B) = (D)/(C)</t>
  </si>
  <si>
    <t>(C)</t>
  </si>
  <si>
    <t>(D)</t>
  </si>
  <si>
    <t>(E)</t>
  </si>
  <si>
    <t>(F)</t>
  </si>
  <si>
    <t>(G)</t>
  </si>
  <si>
    <t>(H) = (B)+(E)</t>
  </si>
  <si>
    <t>(I)</t>
  </si>
  <si>
    <t>(J) = (H)*(I)</t>
  </si>
  <si>
    <t>(K)</t>
  </si>
  <si>
    <t>(L)</t>
  </si>
  <si>
    <t>(M) = (K)*(L)</t>
  </si>
  <si>
    <t>(N)</t>
  </si>
  <si>
    <t>(O) = (L)*(N)</t>
  </si>
  <si>
    <t>(P) = (O)-(M)</t>
  </si>
  <si>
    <t>(Q) = (N)</t>
  </si>
  <si>
    <t>(R)</t>
  </si>
  <si>
    <t>(S) = (Q)*(R)</t>
  </si>
  <si>
    <t>(T)</t>
  </si>
  <si>
    <t>(U) = (N)*(T)</t>
  </si>
  <si>
    <t>(V) = (U)-(O)</t>
  </si>
  <si>
    <t>CNGWA503</t>
  </si>
  <si>
    <t>Basic Service Charge</t>
  </si>
  <si>
    <t>CNG WA MARGIN (JAN-FEB)</t>
  </si>
  <si>
    <t>CNG WA MARGIN (MAR-DEC)</t>
  </si>
  <si>
    <t>Total Margin</t>
  </si>
  <si>
    <t>Weather Normalized Volume Adjustment</t>
  </si>
  <si>
    <t>Average Cost of Gas</t>
  </si>
  <si>
    <t>Non-Gas Revenue</t>
  </si>
  <si>
    <t>Delta</t>
  </si>
  <si>
    <t>Temporary Gas Cost Amortization</t>
  </si>
  <si>
    <t>WA Energy Assistance Fund Program</t>
  </si>
  <si>
    <t>WA Replacement Pipe Cost Recovery</t>
  </si>
  <si>
    <t>WA Decoupling Mechanism</t>
  </si>
  <si>
    <t>WA Conservation Cost Recovery</t>
  </si>
  <si>
    <t>WA Protected-Plus Excess Deferred Income Tax</t>
  </si>
  <si>
    <t>WA Unprotected Excess Deferred Income Tax</t>
  </si>
  <si>
    <t>WA Temp Federal Income Tax Rate Credit</t>
  </si>
  <si>
    <t>City Tax</t>
  </si>
  <si>
    <t>State Utility Tax Credit</t>
  </si>
  <si>
    <t>Indian Nation Tribal Charge</t>
  </si>
  <si>
    <t>Current Month Unbilled +</t>
  </si>
  <si>
    <t>Previous Month Unbilled -</t>
  </si>
  <si>
    <t>CAP Adjustment</t>
  </si>
  <si>
    <t>Deferrals</t>
  </si>
  <si>
    <t>Misc Revenue Adjustment</t>
  </si>
  <si>
    <t xml:space="preserve">Total Non-Gas Revenue </t>
  </si>
  <si>
    <t>check</t>
  </si>
  <si>
    <t>CNGWA504</t>
  </si>
  <si>
    <t>Merge from 04LV</t>
  </si>
  <si>
    <t>Total Non-Gas Revenue</t>
  </si>
  <si>
    <t>CNGWA505</t>
  </si>
  <si>
    <t>Merge from 05LV</t>
  </si>
  <si>
    <t>Margin First 500 Therms (JAN-FEB)</t>
  </si>
  <si>
    <t>Margin First 500 Therms (MAR-DEC)</t>
  </si>
  <si>
    <t>Margin Next 3,500 Therms (JAN-FEB)</t>
  </si>
  <si>
    <t>Margin Next 3,500 Therms (MAR-DEC)</t>
  </si>
  <si>
    <t>Margin &gt; 4,000 Therms (JAN-FEB)</t>
  </si>
  <si>
    <t>Margin &gt; 4,000 Therms (MAR-DEC)</t>
  </si>
  <si>
    <t>CNGWA511</t>
  </si>
  <si>
    <t>Merge from WA011LV</t>
  </si>
  <si>
    <t>Margin First 20,000 Therms (JAN-FEB)</t>
  </si>
  <si>
    <t>Margin First 20,000 Therms (MAR-DEC)</t>
  </si>
  <si>
    <t>Margin Next 80,000 Therms (JAN-FEB)</t>
  </si>
  <si>
    <t>Margin Next 80,000 Therms (MAR-DEC)</t>
  </si>
  <si>
    <t>Margin&gt; 100,000 Therms (JAN-FEB)</t>
  </si>
  <si>
    <t>Margin&gt; 100,000 Therms (MAR-DEC)</t>
  </si>
  <si>
    <t>CNG WA MARGIN REV ADJ</t>
  </si>
  <si>
    <t>Deficiency</t>
  </si>
  <si>
    <t>Total Rate Schedule 511 Revenue</t>
  </si>
  <si>
    <t>CNGW04LV</t>
  </si>
  <si>
    <t>Merge w/ 504</t>
  </si>
  <si>
    <t xml:space="preserve">Adjustment </t>
  </si>
  <si>
    <t xml:space="preserve"> -PM CA1501A</t>
  </si>
  <si>
    <t xml:space="preserve"> +CM CA1501A</t>
  </si>
  <si>
    <t>Total Rate Schedule: CNGW04LV</t>
  </si>
  <si>
    <t>CNGW05LV</t>
  </si>
  <si>
    <t>Merge w/ 505</t>
  </si>
  <si>
    <t>WA Deferred Gas Costs</t>
  </si>
  <si>
    <t>Total Rate Schedule: CNGW05LV</t>
  </si>
  <si>
    <t>CNGW11LV</t>
  </si>
  <si>
    <t>Merge w/ 511</t>
  </si>
  <si>
    <t>Merge w/ 663</t>
  </si>
  <si>
    <t>Total Rate Schedule: CNGW11LV</t>
  </si>
  <si>
    <t>CNGWA570</t>
  </si>
  <si>
    <t>Margin First 30,000 Therms (JAN-FEB)</t>
  </si>
  <si>
    <t>Margin First 30,000 Therms (MAR-DEC)</t>
  </si>
  <si>
    <t>Margin &gt; 30,000 Therms (JAN-FEB)</t>
  </si>
  <si>
    <t>Margin &gt; 30,000 Therms (MAR-DEC)</t>
  </si>
  <si>
    <t>`</t>
  </si>
  <si>
    <t>Adjustments</t>
  </si>
  <si>
    <t>CNGWA6631-COMBINED</t>
  </si>
  <si>
    <t>CNGWA6631</t>
  </si>
  <si>
    <t>From other 663 &amp; 906 &amp; WA11LV</t>
  </si>
  <si>
    <t>Dispatch Service Charge</t>
  </si>
  <si>
    <t>Contract Demand Charge</t>
  </si>
  <si>
    <t>Dispatch Delivery Charge</t>
  </si>
  <si>
    <t>Delivery Charge First 100,000 Therms (JAN-FEB)</t>
  </si>
  <si>
    <t>Delivery Charge First 100,000 Therms (MAR-DEC)</t>
  </si>
  <si>
    <t>Delivery Charge Next 200,000 Therms (JAN-FEB)</t>
  </si>
  <si>
    <t>Delivery Charge Next 200,000 Therms (MAR-DEC)</t>
  </si>
  <si>
    <t>Delivery Charge_Next 200,000 Therms (JAN-FEB)</t>
  </si>
  <si>
    <t>Delivery Charge_Next 200,000 Therms (MAR-DEC)</t>
  </si>
  <si>
    <t>Delivery Charge &gt; 500,000 Therms (JAN-FEB)</t>
  </si>
  <si>
    <t>Delivery Charge &gt; 500,000 Therms (MAR-DEC)</t>
  </si>
  <si>
    <t>CNG WA DELIVERY CHARGE+ REV ADJ</t>
  </si>
  <si>
    <t>WA Protected-Plus Excess Def Income Tax</t>
  </si>
  <si>
    <t>WA Unprotected Excess Def Income Tax</t>
  </si>
  <si>
    <t>Contract Charge</t>
  </si>
  <si>
    <t>Gross Revenue Fee</t>
  </si>
  <si>
    <t>Total Rate Schedule 6631 Revenue</t>
  </si>
  <si>
    <t>CNGWA906</t>
  </si>
  <si>
    <t>Merge w 6631 and convert to 6631 revenue blocks</t>
  </si>
  <si>
    <t>Commodity Charge</t>
  </si>
  <si>
    <t>CNGWA909</t>
  </si>
  <si>
    <t>CNGWA910</t>
  </si>
  <si>
    <t>Total Rate Schedule 910 Revenue</t>
  </si>
  <si>
    <t>CNGWA911</t>
  </si>
  <si>
    <t>Total Rate Schedule 911 Revenue</t>
  </si>
  <si>
    <t>CNGWA914</t>
  </si>
  <si>
    <t>Total Rate Schedule 914 Revenue</t>
  </si>
  <si>
    <t>CNGWA6633</t>
  </si>
  <si>
    <t>Merge w 6631</t>
  </si>
  <si>
    <t>Total Rate Schedule 6633</t>
  </si>
  <si>
    <t>CNGWA6632</t>
  </si>
  <si>
    <t>Total Rate Schedule 6632</t>
  </si>
  <si>
    <t>CNGWA6635</t>
  </si>
  <si>
    <t>WA Utilization Discount</t>
  </si>
  <si>
    <t>Facilities Charge</t>
  </si>
  <si>
    <t>Compressor Operation</t>
  </si>
  <si>
    <t>Total Rate Schedule 6635</t>
  </si>
  <si>
    <t>CNGWA901</t>
  </si>
  <si>
    <t>Total Rate Schedule 901 Revenue</t>
  </si>
  <si>
    <t>CNGWA903</t>
  </si>
  <si>
    <t>Total Rate Schedule 903 Revenue</t>
  </si>
  <si>
    <t>CNGWA908</t>
  </si>
  <si>
    <t>Total Rate Schedule 908 Revenue</t>
  </si>
  <si>
    <t>Total CRM Proposed Rev</t>
  </si>
  <si>
    <t>Less booked CRM</t>
  </si>
  <si>
    <t>Total Cascade Margin</t>
  </si>
  <si>
    <t>Total 2020 EOP Adj.</t>
  </si>
  <si>
    <t>Total CRM Adjustment</t>
  </si>
  <si>
    <t>Total Cascade Revenue</t>
  </si>
  <si>
    <t>Less Total Booked Margin</t>
  </si>
  <si>
    <t>Miscellaneous Service Revenues</t>
  </si>
  <si>
    <t>Total Cap Adjustments</t>
  </si>
  <si>
    <t>Rent From Gas Property</t>
  </si>
  <si>
    <t>Net Unbilled Margins Booked</t>
  </si>
  <si>
    <t>Interdepartmental Rents</t>
  </si>
  <si>
    <t>Other Gas Revenue</t>
  </si>
  <si>
    <t>Total Revenue Adjustment</t>
  </si>
  <si>
    <t>Provision for Rate Refund</t>
  </si>
  <si>
    <t>TOTAL OPERATING REVENUE</t>
  </si>
  <si>
    <t>Check</t>
  </si>
  <si>
    <t>PASS-THRU TOTALS</t>
  </si>
  <si>
    <t>Wa Protected-Plus Excess</t>
  </si>
  <si>
    <t>Wa Unprotected Excess</t>
  </si>
  <si>
    <t>Wa Temp Federal Income Tax Rate Credit</t>
  </si>
  <si>
    <t>Average Cost Of Gas</t>
  </si>
  <si>
    <t>Wa Conservation Cost Recovery</t>
  </si>
  <si>
    <t>Revenue Distribution</t>
  </si>
  <si>
    <t>Block Descriptions (therms per month)</t>
  </si>
  <si>
    <t>Proposed Rate</t>
  </si>
  <si>
    <t>Test Year Adjusted Sales</t>
  </si>
  <si>
    <t>Margin Revenue at Proposed Rates</t>
  </si>
  <si>
    <t>Revenue Percentage by Class</t>
  </si>
  <si>
    <t>Proposed Revenue Change</t>
  </si>
  <si>
    <t>Total Revenue Percentage Change</t>
  </si>
  <si>
    <t>MYRP (YR1) Proposed Rate</t>
  </si>
  <si>
    <t>MYRP (YR2) Proposed Rate</t>
  </si>
  <si>
    <t>MYRP (YR3) Proposed Rate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</si>
  <si>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</si>
  <si>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</si>
  <si>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</si>
  <si>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</si>
  <si>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</si>
  <si>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</si>
  <si>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</si>
  <si>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</si>
  <si>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</si>
  <si>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</si>
  <si>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</si>
  <si>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</si>
  <si>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</si>
  <si>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</si>
  <si>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</si>
  <si>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</si>
  <si>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</si>
  <si>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</si>
  <si>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Core</t>
  </si>
  <si>
    <t>Residential</t>
  </si>
  <si>
    <t>General Service</t>
  </si>
  <si>
    <t>Total</t>
  </si>
  <si>
    <t>Commercial</t>
  </si>
  <si>
    <t>Industrial Firm</t>
  </si>
  <si>
    <t>First 500</t>
  </si>
  <si>
    <t>Next 3,500</t>
  </si>
  <si>
    <t>Over 4,000</t>
  </si>
  <si>
    <t>C&amp;I Dual Service</t>
  </si>
  <si>
    <t>Large Volume</t>
  </si>
  <si>
    <t>First 20,000</t>
  </si>
  <si>
    <t>Next 80,000</t>
  </si>
  <si>
    <t>Over 100,000</t>
  </si>
  <si>
    <t>Interruptible</t>
  </si>
  <si>
    <t>First 30,000</t>
  </si>
  <si>
    <t>Over 30,000</t>
  </si>
  <si>
    <t>Total Core</t>
  </si>
  <si>
    <t>Non-Core</t>
  </si>
  <si>
    <t>Transport</t>
  </si>
  <si>
    <t>Distribution Service</t>
  </si>
  <si>
    <t>First 100,000</t>
  </si>
  <si>
    <t>Next 200,000</t>
  </si>
  <si>
    <t>Over 500,000</t>
  </si>
  <si>
    <t>Total Non-Core</t>
  </si>
  <si>
    <t>Decoupling Mechanism Baseline / Authorized Revenue Per Customer (RPC)</t>
  </si>
  <si>
    <t>Sch. 503</t>
  </si>
  <si>
    <t>Sch. 504</t>
  </si>
  <si>
    <t>Sch. 505</t>
  </si>
  <si>
    <t>Sch. 511</t>
  </si>
  <si>
    <t>Sch. 570</t>
  </si>
  <si>
    <t>ck</t>
  </si>
  <si>
    <t>Decoupling Baseline Data</t>
  </si>
  <si>
    <t>Margin Revenue</t>
  </si>
  <si>
    <t>Annual Therms</t>
  </si>
  <si>
    <t>Customer Count</t>
  </si>
  <si>
    <t>Monthly Therms</t>
  </si>
  <si>
    <t>January</t>
  </si>
  <si>
    <t>February</t>
  </si>
  <si>
    <t>March</t>
  </si>
  <si>
    <t xml:space="preserve">April </t>
  </si>
  <si>
    <t xml:space="preserve">May </t>
  </si>
  <si>
    <t xml:space="preserve">June </t>
  </si>
  <si>
    <t xml:space="preserve">July </t>
  </si>
  <si>
    <t xml:space="preserve">August </t>
  </si>
  <si>
    <t xml:space="preserve">September </t>
  </si>
  <si>
    <t>October</t>
  </si>
  <si>
    <t xml:space="preserve">November </t>
  </si>
  <si>
    <t>December</t>
  </si>
  <si>
    <t>Authorized Revenue Per Customer</t>
  </si>
  <si>
    <t>AVG</t>
  </si>
  <si>
    <t>Rule 8 Allowance</t>
  </si>
  <si>
    <t>MYRP (YR1) Margin Revenue</t>
  </si>
  <si>
    <t>MYRP (YR1) Revenue Per Customer</t>
  </si>
  <si>
    <t>MYRP (YR2) Margin Revenue</t>
  </si>
  <si>
    <t>MYRP (YR3) Margin Revenue</t>
  </si>
  <si>
    <t>Proof of Revenue Workpapers Section</t>
  </si>
  <si>
    <t>Cascade Natural Gas Corporation</t>
  </si>
  <si>
    <t>UG 21_____</t>
  </si>
  <si>
    <t>IDM WP-1.0</t>
  </si>
  <si>
    <t>Index</t>
  </si>
  <si>
    <t>Twelve Months Ended December 31, 2020</t>
  </si>
  <si>
    <t xml:space="preserve">A </t>
  </si>
  <si>
    <t>Line No:</t>
  </si>
  <si>
    <t>Description of Workpaper</t>
  </si>
  <si>
    <t>WP #</t>
  </si>
  <si>
    <t>Page(s)</t>
  </si>
  <si>
    <t>Workpaper - Support Documents</t>
  </si>
  <si>
    <t>1501 Summary</t>
  </si>
  <si>
    <t>IDM WP-1.1</t>
  </si>
  <si>
    <t>Rev Recon Summary</t>
  </si>
  <si>
    <t>IDM WP-1.2</t>
  </si>
  <si>
    <t>EOP Calculations</t>
  </si>
  <si>
    <t>IDM WP-1.3</t>
  </si>
  <si>
    <t>663 - 511 Transfer</t>
  </si>
  <si>
    <t>IDM WP-1.4</t>
  </si>
  <si>
    <t>Allocation Report 2020</t>
  </si>
  <si>
    <t>IDM WP-1.5</t>
  </si>
  <si>
    <t>Weather Normalization</t>
  </si>
  <si>
    <t>IDM WP-1.6</t>
  </si>
  <si>
    <t>WACAP 2020</t>
  </si>
  <si>
    <t>IDM WP-1.7</t>
  </si>
  <si>
    <t>Sum of Total Amount</t>
  </si>
  <si>
    <t>Column Labels</t>
  </si>
  <si>
    <t>Row Labels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</si>
  <si>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</si>
  <si>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</si>
  <si>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</si>
  <si>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</si>
  <si>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</si>
  <si>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</si>
  <si>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</si>
  <si>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</si>
  <si>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</si>
  <si>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</si>
  <si>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</si>
  <si>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</si>
  <si>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Grand Total</t>
  </si>
  <si>
    <t>CNG WA AVERAGE COST OF GAS</t>
  </si>
  <si>
    <t>BASIC SERVICE CHARGE</t>
  </si>
  <si>
    <t>Calculated</t>
  </si>
  <si>
    <t>CNG WA CITY TAX</t>
  </si>
  <si>
    <t>CNG WA CONSERVATION COST RECOVERY- 4810 GAS-FIRM COMMERCIAL</t>
  </si>
  <si>
    <t>CNG WA DECOUPLING MECHANISM</t>
  </si>
  <si>
    <t>CNG WA ENERGY ASSISTANCE FUND PROGRAM</t>
  </si>
  <si>
    <t>CNG WA PROTECTED-PLUS EXCESS DEFERRED INCOME TAX</t>
  </si>
  <si>
    <t>CNG WA REPLACEMENT PIPE COST RECOVERY</t>
  </si>
  <si>
    <t>CNG WA TEMPORARY GAS COST AMORTIZATION</t>
  </si>
  <si>
    <t>CNG WA UNPROTECTED EXCESS DEFERRED INCOME TAX</t>
  </si>
  <si>
    <t>Total Dollars</t>
  </si>
  <si>
    <t>Therms</t>
  </si>
  <si>
    <t>2020 BSC Legend</t>
  </si>
  <si>
    <t>CNG WA BASIC SERVICE CHARGE</t>
  </si>
  <si>
    <t>CNG WA CONSERVATION COST RECOVERY- 4811 GAS-SMALL INTER</t>
  </si>
  <si>
    <t>CNGWA663</t>
  </si>
  <si>
    <t>Margin First 500 Therms</t>
  </si>
  <si>
    <t>Margin Next 3,500 Therms</t>
  </si>
  <si>
    <t>Margin First 20,000 Therms</t>
  </si>
  <si>
    <t>Margin Next 80,000 Therms</t>
  </si>
  <si>
    <t>Margin &gt; 100,000 Therms</t>
  </si>
  <si>
    <t>ACCOUNTS RECEIVABLE-CNG MISCELLANEOUS REVENUE REV ADJ</t>
  </si>
  <si>
    <t>CNG WA CITY TAX-TRANSPORTATION</t>
  </si>
  <si>
    <t>CNG WA CITY TAX-TRANSPORTATION REV ADJ</t>
  </si>
  <si>
    <t>CNG WA CONTRACT CHARGE</t>
  </si>
  <si>
    <t>CNG WA CONTRACT DEMAND CHARGE</t>
  </si>
  <si>
    <t>CNG WA CONTRACT DEMAND CHARGE REV ADJ</t>
  </si>
  <si>
    <t>CNG WA DISPATCH DELIVERY CHARGE</t>
  </si>
  <si>
    <t>CNG WA DISPATCH DELIVERY CHARGE REV ADJ</t>
  </si>
  <si>
    <t>CNG WA DISPATCH SERVICE CHARGE</t>
  </si>
  <si>
    <t>CNG WA ENERGY ASSISTANCE FUND PROGRAM-TRANSPORTATION</t>
  </si>
  <si>
    <t>CNG WA ENERGY ASSISTANCE FUND PROGRAM-TRANSPORTATION REV ADJ</t>
  </si>
  <si>
    <t>CNG WA GROSS REVENUE FEE</t>
  </si>
  <si>
    <t>CNG WA GROSS REVENUE FEE REV ADJ</t>
  </si>
  <si>
    <t>CNG WA PROTECTED-PLUS EXCESS DEF INCOME TAX-TRANSPORTATION</t>
  </si>
  <si>
    <t>CNG WA PROTECTED-PLUS EXCESS DEF INCOME TAX-TRANSPORTATION REV ADJ</t>
  </si>
  <si>
    <t>CNG WA REPLACEMENT PIPE COST RECOVERY-TRANSPORTATION</t>
  </si>
  <si>
    <t>CNG WA REPLACEMENT PIPE COST RECOVERY-TRANSPORTATION REV ADJ</t>
  </si>
  <si>
    <t>CNG WA STATE UTILITY TAX CREDIT-TRANSPORTATION</t>
  </si>
  <si>
    <t>CNG WA TEMP FEDERAL INCOME TAX RATE CREDIT-TRANSPORTATION</t>
  </si>
  <si>
    <t>CNG WA UNPROTECTED EXCESS DEF INCOME TAX-TRANSPORTATION</t>
  </si>
  <si>
    <t>CNG WA UNPROTECTED EXCESS DEF INCOME TAX-TRANSPORTATION REV ADJ</t>
  </si>
  <si>
    <t>INDIAN NATION TRIBAL CHARGE-CNGWA TRANSPORTATION</t>
  </si>
  <si>
    <t>Delivery Charge First 100,000 Therms</t>
  </si>
  <si>
    <t>Delivery Charge Next 200,000 Therms</t>
  </si>
  <si>
    <t>Delivery Charge &gt; 500,000 Therms</t>
  </si>
  <si>
    <t>CNG WA COMPRESSOR OPERATION</t>
  </si>
  <si>
    <t>CNG WA FACILITIES CHARGE</t>
  </si>
  <si>
    <t>CNG WA UTILIZATION DISCOUNT</t>
  </si>
  <si>
    <t>CNG WA AVERAGE COST OF GAS REV ADJ</t>
  </si>
  <si>
    <t>CNG WA BASIC SERVICE CHARGE REV ADJ</t>
  </si>
  <si>
    <t>CNG WA CITY TAX REV ADJ</t>
  </si>
  <si>
    <t>CNG WA CONSERVATION COST RECOVERY</t>
  </si>
  <si>
    <t>CNG WA CONSERVATION COST RECOVERY- 4800 GAS RESIDENTIAL</t>
  </si>
  <si>
    <t>CNG WA CONSERVATION COST RECOVERY- 4800 GAS RESIDENTIAL REV ADJ</t>
  </si>
  <si>
    <t>CNG WA CONSERVATION COST RECOVERY- 4810 GAS-FIRM COMMERCIAL REV ADJ</t>
  </si>
  <si>
    <t>CNG WA DECOUPLING MECHANISM REV ADJ</t>
  </si>
  <si>
    <t>CNG WA ENERGY ASSISTANCE FUND PROGRAM REV ADJ</t>
  </si>
  <si>
    <t>CNG WA MARGIN (JAN-FEB) REV ADJ</t>
  </si>
  <si>
    <t>CNG WA MARGIN (MAR-DEC) REV ADJ</t>
  </si>
  <si>
    <t>CNG WA PROTECTED-PLUS EXCESS DEFERRED INCOME TAX REV ADJ</t>
  </si>
  <si>
    <t>CNG WA REPLACEMENT PIPE COST RECOVERY REV ADJ</t>
  </si>
  <si>
    <t>CNG WA STATE UTILITY TAX CREDIT</t>
  </si>
  <si>
    <t>CNG WA TEMP FEDERAL INCOME TAX RATE CREDIT</t>
  </si>
  <si>
    <t>CNG WA TEMP FEDERAL INCOME TAX RATE CREDIT REV ADJ</t>
  </si>
  <si>
    <t>CNG WA TEMPORARY GAS COST AMORTIZATION REV ADJ</t>
  </si>
  <si>
    <t>CNG WA UNPROTECTED EXCESS DEFERRED INCOME TAX REV ADJ</t>
  </si>
  <si>
    <t>INDIAN NATION TRIBAL CHARGE-CNGWA</t>
  </si>
  <si>
    <t>INDIAN NATION TRIBAL CHARGE-CNGWA REV ADJ</t>
  </si>
  <si>
    <t>CNG WA CONSERVATION COST RECOVERY- 4809 GAS-FIRM INDUSTRIAL</t>
  </si>
  <si>
    <t>Margin &gt; 4,000 Therms</t>
  </si>
  <si>
    <t>CNG WA CONSERVATION COST RECOVERY- 4809 GAS-FIRM INDUSTRIAL REV ADJ</t>
  </si>
  <si>
    <t>CNG WA CONSERVATION COST RECOVERY- 4813 GAS-SMALL INDUSTRIAL</t>
  </si>
  <si>
    <t>Margin First 30,000 Therms</t>
  </si>
  <si>
    <t>Margin &gt; 30,000 Therms</t>
  </si>
  <si>
    <t>CNG WA COMMODITY CHARGE</t>
  </si>
  <si>
    <t>1501 Revenue Grand Total</t>
  </si>
  <si>
    <t>Therms Grand Total</t>
  </si>
  <si>
    <t>Jan20</t>
  </si>
  <si>
    <t>Feb20</t>
  </si>
  <si>
    <t>Mar20</t>
  </si>
  <si>
    <t>Apr20</t>
  </si>
  <si>
    <t>May20</t>
  </si>
  <si>
    <t>Jun20</t>
  </si>
  <si>
    <t>Jul20</t>
  </si>
  <si>
    <t>Aug20</t>
  </si>
  <si>
    <t>Sep20</t>
  </si>
  <si>
    <t>Oct20</t>
  </si>
  <si>
    <t>Nov20</t>
  </si>
  <si>
    <t>Dec20</t>
  </si>
  <si>
    <t>RESIDENTIAL</t>
  </si>
  <si>
    <t>CM Unbilled therms</t>
  </si>
  <si>
    <t>PM Unbilled therms</t>
  </si>
  <si>
    <t xml:space="preserve"> -PM-CA1501A therms</t>
  </si>
  <si>
    <t xml:space="preserve"> +CM-CA1501A therms</t>
  </si>
  <si>
    <t>Total Therms</t>
  </si>
  <si>
    <t>Revenue (CA1501)</t>
  </si>
  <si>
    <t>Deferrals Revenues</t>
  </si>
  <si>
    <t>Deficiency Billings</t>
  </si>
  <si>
    <t>COMMERCIAL</t>
  </si>
  <si>
    <t>INDUSTRIAL</t>
  </si>
  <si>
    <t>CNGWA6631-NC</t>
  </si>
  <si>
    <t>Industrials</t>
  </si>
  <si>
    <t>Generating</t>
  </si>
  <si>
    <t>Current Month Unbilled ++</t>
  </si>
  <si>
    <t>Allocation Report</t>
  </si>
  <si>
    <t>End of Period Useage Calculations</t>
  </si>
  <si>
    <t>2020 Monthly Therms - Actual(Normalized) Therms / Ave Use Per Month</t>
  </si>
  <si>
    <t>Rate Schedules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</si>
  <si>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</si>
  <si>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</si>
  <si>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</si>
  <si>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</si>
  <si>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</si>
  <si>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</si>
  <si>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</si>
  <si>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</si>
  <si>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</si>
  <si>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</si>
  <si>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</si>
  <si>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</si>
  <si>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503 (data from Weather Norm. wksheet)</t>
  </si>
  <si>
    <t>503 Combined Ave Useage</t>
  </si>
  <si>
    <t>504 +04LV(data from Weather Norm. wksheet)</t>
  </si>
  <si>
    <t>504 Combined Ave Useage</t>
  </si>
  <si>
    <t>505 merge</t>
  </si>
  <si>
    <t>05LV total</t>
  </si>
  <si>
    <r>
      <t xml:space="preserve">505 Combined </t>
    </r>
    <r>
      <rPr>
        <i/>
        <sz val="11"/>
        <rFont val="Calibri"/>
        <family val="2"/>
        <scheme val="minor"/>
      </rPr>
      <t>(05LV + 505)</t>
    </r>
  </si>
  <si>
    <t>505 First 500 Ave Useage</t>
  </si>
  <si>
    <t>505 Next 3500 Ave Useage</t>
  </si>
  <si>
    <t>505 &gt;4000 Ave Useage</t>
  </si>
  <si>
    <t>505 Combined Ave Useage</t>
  </si>
  <si>
    <t>511 merge</t>
  </si>
  <si>
    <t>011LV</t>
  </si>
  <si>
    <t>511 Margin First 20,000 Ave</t>
  </si>
  <si>
    <t>511 Margin Next 80,000 Ave</t>
  </si>
  <si>
    <t>511 Margin &gt; 100,000 Ave</t>
  </si>
  <si>
    <t>511 Useage w/o 011LV Customers</t>
  </si>
  <si>
    <t>511 Useage with 011LV Customers</t>
  </si>
  <si>
    <t>570 Margin First 30,000 Ave</t>
  </si>
  <si>
    <t>570 Margin &gt; 30,000 Ave</t>
  </si>
  <si>
    <t>570 Combined Ave Useage</t>
  </si>
  <si>
    <t>6631 - Non Core Industrials &amp; Generating</t>
  </si>
  <si>
    <t>Delivery Charge First 100,000 Therms Ave</t>
  </si>
  <si>
    <t>Delivery Charge Next 200,000 Therms Ave</t>
  </si>
  <si>
    <t>Delivery Charge &gt; 500,000 Therms Ave</t>
  </si>
  <si>
    <t>6631 NC Combined Average Useage</t>
  </si>
  <si>
    <t>6632 Combined Average Useage</t>
  </si>
  <si>
    <t>6633 Gen Combined Average Useage</t>
  </si>
  <si>
    <t>6635 Combined Average Useage</t>
  </si>
  <si>
    <t>906 Combined Average Useage</t>
  </si>
  <si>
    <t>All 663 Ave DC First 100,000 Therms</t>
  </si>
  <si>
    <t>All 663 Ave DC Next 200,000 Therms</t>
  </si>
  <si>
    <t>All 663 Ave DC&gt; 500,000 Therms</t>
  </si>
  <si>
    <t>2020 Annualized Usage Using End of Period Customer Counts</t>
  </si>
  <si>
    <t>End of Period Annualized Customer Counts</t>
  </si>
  <si>
    <t>Monthly EOP Average Customer Counts</t>
  </si>
  <si>
    <t>503 Normalized</t>
  </si>
  <si>
    <r>
      <t xml:space="preserve">504 Combined </t>
    </r>
    <r>
      <rPr>
        <i/>
        <sz val="11"/>
        <color theme="1"/>
        <rFont val="Calibri"/>
        <family val="2"/>
        <scheme val="minor"/>
      </rPr>
      <t>(04LV+504)</t>
    </r>
  </si>
  <si>
    <r>
      <t xml:space="preserve">505 Combined </t>
    </r>
    <r>
      <rPr>
        <i/>
        <sz val="11"/>
        <color theme="1"/>
        <rFont val="Calibri"/>
        <family val="2"/>
        <scheme val="minor"/>
      </rPr>
      <t>(05LV + 505)</t>
    </r>
  </si>
  <si>
    <r>
      <t>511 Combined</t>
    </r>
    <r>
      <rPr>
        <i/>
        <sz val="11"/>
        <color theme="1"/>
        <rFont val="Calibri"/>
        <family val="2"/>
        <scheme val="minor"/>
      </rPr>
      <t xml:space="preserve"> (011LV+511)</t>
    </r>
  </si>
  <si>
    <t>570 Combined</t>
  </si>
  <si>
    <t>663 Combined</t>
  </si>
  <si>
    <t>All 663 Combined</t>
  </si>
  <si>
    <t>CNGWA6632-511</t>
  </si>
  <si>
    <t>total</t>
  </si>
  <si>
    <t>GAS SALES</t>
  </si>
  <si>
    <t>480</t>
  </si>
  <si>
    <t>Residential Sales</t>
  </si>
  <si>
    <t>481</t>
  </si>
  <si>
    <t>Commercial - Interruptible Sales</t>
  </si>
  <si>
    <t xml:space="preserve">    TOTAL GAS SALES</t>
  </si>
  <si>
    <t>OTHER OPERATING REVENUE</t>
  </si>
  <si>
    <t xml:space="preserve"> 4880</t>
  </si>
  <si>
    <t>4890</t>
  </si>
  <si>
    <t>Rev. From Transp. of Gas of Others</t>
  </si>
  <si>
    <t>4930</t>
  </si>
  <si>
    <t>4940</t>
  </si>
  <si>
    <t>4950</t>
  </si>
  <si>
    <t xml:space="preserve"> 495.1</t>
  </si>
  <si>
    <t>Overrun Penalty Income</t>
  </si>
  <si>
    <t xml:space="preserve">    TOTAL OTHER OPERATING REVENUE</t>
  </si>
  <si>
    <t xml:space="preserve">      * TOTAL OPERATING REVENUE *</t>
  </si>
  <si>
    <t>TOTAL GAS SALES</t>
  </si>
  <si>
    <t>TOTAL OTHER OPERATING REVENUE</t>
  </si>
  <si>
    <t>503 - Residential Actuals</t>
  </si>
  <si>
    <t>504 - Commercial Actuals</t>
  </si>
  <si>
    <t>Actuals</t>
  </si>
  <si>
    <t>Adjusted</t>
  </si>
  <si>
    <t>CASCADE NAUTURAL GAS CORPORATION</t>
  </si>
  <si>
    <t>RULE 21 DECOUPLING MECHANISM</t>
  </si>
  <si>
    <t>DEFERRED ACCOUNTING DETAILS - TWELVE MONTHS ENDED NOVEMBER 30, 2020</t>
  </si>
  <si>
    <t>Ammortize JE</t>
  </si>
  <si>
    <t>YTD</t>
  </si>
  <si>
    <t>Interest Rate</t>
  </si>
  <si>
    <t>https://www.ferc.gov/enforcement-legal/enforcement/interest-rates</t>
  </si>
  <si>
    <t>Days</t>
  </si>
  <si>
    <t>https://www.ferc.gov/enforcement/acct-matts/interest-rates.asp</t>
  </si>
  <si>
    <t>4800 Residential</t>
  </si>
  <si>
    <t>4800 Residential - 503</t>
  </si>
  <si>
    <t>Margin</t>
  </si>
  <si>
    <t>Customers</t>
  </si>
  <si>
    <t>Customer Count by Rate Class</t>
  </si>
  <si>
    <t>Actual Margin Revenues</t>
  </si>
  <si>
    <t xml:space="preserve">CA1501 Revenue by District </t>
  </si>
  <si>
    <t>Unbilled Margin Revenues</t>
  </si>
  <si>
    <t>Unbilled Therms &amp; Revenue - Current Month</t>
  </si>
  <si>
    <t>Unbilled Therms &amp; Revenue - Prior Month</t>
  </si>
  <si>
    <t>Unbilled Margins Booked</t>
  </si>
  <si>
    <t>Total Actual Margin Revenues</t>
  </si>
  <si>
    <t>Authorized Revenue</t>
  </si>
  <si>
    <t>Deferral Amount</t>
  </si>
  <si>
    <t>Interest</t>
  </si>
  <si>
    <t>Monthly Deferral Total</t>
  </si>
  <si>
    <t>Cumulative Deferral Total</t>
  </si>
  <si>
    <t>4809 Industrial</t>
  </si>
  <si>
    <t>4809 Industrial - 505</t>
  </si>
  <si>
    <t>CA1501 Revenue by District - First 500</t>
  </si>
  <si>
    <t>CA1501 Revenue by District - Next 3,500</t>
  </si>
  <si>
    <t>CA1501 Revenue by District - Over 4,000</t>
  </si>
  <si>
    <t>4809 Industrial - 511</t>
  </si>
  <si>
    <t>CA1501 Revenue by District - First 20,000</t>
  </si>
  <si>
    <t>CA1501 Revenue by District - Next 80,000</t>
  </si>
  <si>
    <t>CA1501 Revenue by District - Over 100,000</t>
  </si>
  <si>
    <t>4810 Commercial</t>
  </si>
  <si>
    <t>4810 Commercial - 04LV</t>
  </si>
  <si>
    <t>04LV</t>
  </si>
  <si>
    <t>CA1501 - Revenue by District</t>
  </si>
  <si>
    <t>CA1501A - Current Month Revenue by District</t>
  </si>
  <si>
    <t>Prior Month CA1501A Revenue by District</t>
  </si>
  <si>
    <t>4810 Commercial - 504</t>
  </si>
  <si>
    <t>CA1501 Revenue by District</t>
  </si>
  <si>
    <t>4810 Commercial - 11LV</t>
  </si>
  <si>
    <t>11LV</t>
  </si>
  <si>
    <t>CA1501A Revenue by District - First 20,000</t>
  </si>
  <si>
    <t>CA1501A Revenue by District - Next 80,000</t>
  </si>
  <si>
    <t>CA1501A Revenue by District - Over 100,000</t>
  </si>
  <si>
    <t>4810 Commercial - 511</t>
  </si>
  <si>
    <t>Total Unbilled Margins Booked</t>
  </si>
  <si>
    <t>4811 Commercial</t>
  </si>
  <si>
    <t>4811 Commercial - 05LV</t>
  </si>
  <si>
    <t>CA1501A Revenue by District - First 500 - Current Month</t>
  </si>
  <si>
    <t>CA1501A Revenue by District - Next 3,500 - Current Month</t>
  </si>
  <si>
    <t>Prior Month CA1501A Revenue by District - First 500</t>
  </si>
  <si>
    <t>Prior Month CA1501A Revenue by District - Next 3,500</t>
  </si>
  <si>
    <t>4813 Industrial</t>
  </si>
  <si>
    <t>4813 Industrial - 570</t>
  </si>
  <si>
    <t>CA1501 Revenue by District - First 30,000</t>
  </si>
  <si>
    <t>CA1501 Revenue by District - Over 30,000</t>
  </si>
  <si>
    <t>CA1501A Curr Month Revenue by District - First 30,000</t>
  </si>
  <si>
    <t>CA1501A Curr Month Revenue by District - Over 30,000</t>
  </si>
  <si>
    <t>Prior Month CA1501A Revenue by District - First 30,000</t>
  </si>
  <si>
    <t>Prior Month CA1501A Revenue by District - Over 30,000</t>
  </si>
  <si>
    <t>DEFERRAL AMOUNT</t>
  </si>
  <si>
    <t>NO LONGER</t>
  </si>
  <si>
    <t>CC&amp;B Report: CA1501 Revenue by District - First 4,000</t>
  </si>
  <si>
    <t>CC&amp;B Report: CA1501 Revenue by District - Over 4,000</t>
  </si>
  <si>
    <t>CC&amp;B Report: Current Month CA1501A Revenue by District - First 4,000</t>
  </si>
  <si>
    <t>CC&amp;B Report: Current Month CA1501A Revenue by District - Over 4,000</t>
  </si>
  <si>
    <t>CC&amp;B Report: Prior Month CA1501A Revenue by District - First 4,000</t>
  </si>
  <si>
    <t>CC&amp;B Report: Prior Month CA1501A Revenue by District - Over 4,000</t>
  </si>
  <si>
    <t>TOTAL DEFERRAL AMOUNT</t>
  </si>
  <si>
    <t>Interest (rounding)</t>
  </si>
  <si>
    <t>Journal Entry</t>
  </si>
  <si>
    <t xml:space="preserve">Aug </t>
  </si>
  <si>
    <t>47WA.1862.20477</t>
  </si>
  <si>
    <t>47WA.4002.4800CP</t>
  </si>
  <si>
    <t>47WA.4002.4809CP</t>
  </si>
  <si>
    <t>47WA.4002.4810CP</t>
  </si>
  <si>
    <t>47WA.4002.4811CP</t>
  </si>
  <si>
    <t>47WA.4002.4813CP</t>
  </si>
  <si>
    <t>Revenue Requirement Section</t>
  </si>
  <si>
    <t>Results of Operations Summary Sheet</t>
  </si>
  <si>
    <t>Actual Results of Operations</t>
  </si>
  <si>
    <t>Restating Adjustments</t>
  </si>
  <si>
    <t>Restated Results of Operations</t>
  </si>
  <si>
    <t>Proforma Adjustments</t>
  </si>
  <si>
    <t>Adjusted Results of Operations</t>
  </si>
  <si>
    <t>Revenue Change to Base Rates</t>
  </si>
  <si>
    <t>After Base Rate Change</t>
  </si>
  <si>
    <t>D = B + C</t>
  </si>
  <si>
    <t>F = D + E</t>
  </si>
  <si>
    <t>H = F + G</t>
  </si>
  <si>
    <t>Operating Revenues</t>
  </si>
  <si>
    <t>Natural Gas Sales</t>
  </si>
  <si>
    <t>Gas Transportation Revenue</t>
  </si>
  <si>
    <t>Other Operating Revenues</t>
  </si>
  <si>
    <t>Total Operating Revenues</t>
  </si>
  <si>
    <t>Operating Expenses</t>
  </si>
  <si>
    <t>Nat. Gas/Production Costs</t>
  </si>
  <si>
    <t>Revenue Taxes</t>
  </si>
  <si>
    <t>Production</t>
  </si>
  <si>
    <t>Distribution</t>
  </si>
  <si>
    <t>Customer Accounts</t>
  </si>
  <si>
    <t>Customer Service</t>
  </si>
  <si>
    <t>Sales</t>
  </si>
  <si>
    <t>Administrative and General</t>
  </si>
  <si>
    <t>Depreciation &amp; Amortization</t>
  </si>
  <si>
    <t>Regulatory Debits</t>
  </si>
  <si>
    <t>Taxes Other Than Income</t>
  </si>
  <si>
    <t>State &amp; Federal Income Taxes</t>
  </si>
  <si>
    <t xml:space="preserve">Total Operating Expenses </t>
  </si>
  <si>
    <t>Net Operating Revenues</t>
  </si>
  <si>
    <t>Rate Base</t>
  </si>
  <si>
    <t>Total Plant in Service</t>
  </si>
  <si>
    <t>Total Accumulated Depreciation</t>
  </si>
  <si>
    <t>Customer Adv. For Construction</t>
  </si>
  <si>
    <t>Deferred Accumulated Income Taxes</t>
  </si>
  <si>
    <t>Working Capital Allowance</t>
  </si>
  <si>
    <t>Total Rate Base</t>
  </si>
  <si>
    <t>Rate of Return</t>
  </si>
  <si>
    <t>Revenue Requirement Calculation</t>
  </si>
  <si>
    <t>Calculations</t>
  </si>
  <si>
    <t>Adjusted Rate Base</t>
  </si>
  <si>
    <t>Required Return (ln 1 x ln 2)</t>
  </si>
  <si>
    <t>Adjusted Net Income</t>
  </si>
  <si>
    <t>Required Net Income Increase (ln 3 - ln 4)</t>
  </si>
  <si>
    <t>Conversion Factor</t>
  </si>
  <si>
    <t>Revenue Increase Required (ln 5 / ln 6)</t>
  </si>
  <si>
    <t>Test Year Adjusted Base Revenue</t>
  </si>
  <si>
    <t>Overall Revenue Change</t>
  </si>
  <si>
    <t>UG-190210</t>
  </si>
  <si>
    <t>Revenues</t>
  </si>
  <si>
    <t>Operating Revenue Deductions</t>
  </si>
  <si>
    <t>Uncollectible Accounts</t>
  </si>
  <si>
    <t>State B&amp;O Tax</t>
  </si>
  <si>
    <t>Commission Fees</t>
  </si>
  <si>
    <t>Interest expense</t>
  </si>
  <si>
    <t>State Taxable Income</t>
  </si>
  <si>
    <t>State Income Tax</t>
  </si>
  <si>
    <t>Federal Taxable Income</t>
  </si>
  <si>
    <t>Total Income Taxes</t>
  </si>
  <si>
    <t>Total Revenue Sensitive Costs</t>
  </si>
  <si>
    <t>Combo-State &amp; Federal Income Tax</t>
  </si>
  <si>
    <t xml:space="preserve">  State</t>
  </si>
  <si>
    <t xml:space="preserve">  Federal </t>
  </si>
  <si>
    <t>State and Federal Effective Tax Rate</t>
  </si>
  <si>
    <t>Summary of Adjustments</t>
  </si>
  <si>
    <t xml:space="preserve">Restating Adjustments </t>
  </si>
  <si>
    <t xml:space="preserve">Proforma Adjustments </t>
  </si>
  <si>
    <t>MYRP (YR1)</t>
  </si>
  <si>
    <t>MYRP (YR2)</t>
  </si>
  <si>
    <t>MYRP (YR3)</t>
  </si>
  <si>
    <t xml:space="preserve">  Revenue Requirement Effect</t>
  </si>
  <si>
    <t xml:space="preserve"> Proposed Plant Additions</t>
  </si>
  <si>
    <t xml:space="preserve">Function            </t>
  </si>
  <si>
    <t>Funding Project</t>
  </si>
  <si>
    <t xml:space="preserve"> Description      </t>
  </si>
  <si>
    <t xml:space="preserve">FERC Account No. </t>
  </si>
  <si>
    <t>Total Cascade Plant</t>
  </si>
  <si>
    <t>WA Alloc</t>
  </si>
  <si>
    <t xml:space="preserve">WA Plant              </t>
  </si>
  <si>
    <t>Proposed Pro Forma Plant</t>
  </si>
  <si>
    <t>Estimated In-Service Date</t>
  </si>
  <si>
    <t>2021 Plant / 2022 Wage</t>
  </si>
  <si>
    <t>G = E * F</t>
  </si>
  <si>
    <t>No</t>
  </si>
  <si>
    <t>Gas Intangible</t>
  </si>
  <si>
    <t>FP-318799</t>
  </si>
  <si>
    <t>Lonview South Gate Upgrade</t>
  </si>
  <si>
    <t>FP-318846</t>
  </si>
  <si>
    <t>UG - 2Ring Dashboard for CSC</t>
  </si>
  <si>
    <t>FP-318992</t>
  </si>
  <si>
    <t>RP-Yakima-GT-NWP costs</t>
  </si>
  <si>
    <t>FP-319861</t>
  </si>
  <si>
    <t>UG-SCADA Tier 2 Historian Lic</t>
  </si>
  <si>
    <t>FP-319972</t>
  </si>
  <si>
    <t>UG-SCADA Access Anywhere Lic</t>
  </si>
  <si>
    <t>FP-200064</t>
  </si>
  <si>
    <t>UG IVR Web CNGC Direct 2021</t>
  </si>
  <si>
    <t>FP-200663</t>
  </si>
  <si>
    <t>UG GIS ENHANCEMENTS CNG DIRECT</t>
  </si>
  <si>
    <t>FP-317012</t>
  </si>
  <si>
    <t>UG-PCAD Upgrade to v6.8</t>
  </si>
  <si>
    <t>FP-320681</t>
  </si>
  <si>
    <t>UG-CC&amp;B Licens&amp;TaskOptimize CN</t>
  </si>
  <si>
    <t>FP-316451</t>
  </si>
  <si>
    <t>UG Purch RabMQ Software CNG Di</t>
  </si>
  <si>
    <t>FP-319155</t>
  </si>
  <si>
    <t>UG-Impl Calabrio CSC Sftwr-CNG</t>
  </si>
  <si>
    <t>UG PCAD Upgrade to v7 CNG Dir</t>
  </si>
  <si>
    <t>FP-319560</t>
  </si>
  <si>
    <t>UG-Impl LocusView for QC CNGC</t>
  </si>
  <si>
    <t>Total Intangible Plant</t>
  </si>
  <si>
    <t>Gas Distribution</t>
  </si>
  <si>
    <t>FP-306994</t>
  </si>
  <si>
    <t>MANCHESTER 4" PE REINFORCEMENT</t>
  </si>
  <si>
    <t>FP-316035</t>
  </si>
  <si>
    <t>MAOP; 4" HP; ARLINGTON; 10,177'</t>
  </si>
  <si>
    <t>FP-316042</t>
  </si>
  <si>
    <t>MAOP; 4" HP; N TEXAS RD; 997'</t>
  </si>
  <si>
    <t>FP-316049</t>
  </si>
  <si>
    <t>MAOP; 8" HP; ATTALIA; 412'</t>
  </si>
  <si>
    <t>FP-316406</t>
  </si>
  <si>
    <t>RP; 8" ST; BREMERTON, 500' EXPOSED</t>
  </si>
  <si>
    <t>FP-316429</t>
  </si>
  <si>
    <t>RF; 6" HP; ABER; 12,500' BASICH BLV</t>
  </si>
  <si>
    <t>FP-316571</t>
  </si>
  <si>
    <t>C/M RPL; 12" STL HP, LONG/KELSO PH5</t>
  </si>
  <si>
    <t>FP-316872</t>
  </si>
  <si>
    <t>RF; 8" HP; YAKIMA; 18,500'</t>
  </si>
  <si>
    <t>FP-316980</t>
  </si>
  <si>
    <t>YAKIMA GATE STATION</t>
  </si>
  <si>
    <t>FP-317609</t>
  </si>
  <si>
    <t>GR; R-80 ABER; BASICH BLV</t>
  </si>
  <si>
    <t>FP-318567</t>
  </si>
  <si>
    <t>RP-Silv-R-kitsap Mall R-65</t>
  </si>
  <si>
    <t>FP-318763</t>
  </si>
  <si>
    <t>R-18 Reg Sta Replacement - Shelton</t>
  </si>
  <si>
    <t>FP-318764</t>
  </si>
  <si>
    <t>Woodland Odorizer 05 Replacement</t>
  </si>
  <si>
    <t>FP-318800</t>
  </si>
  <si>
    <t>Longview S. Gate NWP</t>
  </si>
  <si>
    <t>FP-319023</t>
  </si>
  <si>
    <t>RP-Blaine-R-Portal Wy R-79</t>
  </si>
  <si>
    <t>FP-319054</t>
  </si>
  <si>
    <t>RF; 4" HP; W.RICH; Dallas Rd 2,200'</t>
  </si>
  <si>
    <t>FP-319441</t>
  </si>
  <si>
    <t>RP; 4" ST; WALL;880'</t>
  </si>
  <si>
    <t>FP-319765</t>
  </si>
  <si>
    <t>RP-Walla Walla-9th &amp; Emma 8"S</t>
  </si>
  <si>
    <t>FP-319810</t>
  </si>
  <si>
    <t>RP-BURBANK HEIGHTS O-5-KENN</t>
  </si>
  <si>
    <t>FP-319814</t>
  </si>
  <si>
    <t>2" Reinforcement - China Garden Rd</t>
  </si>
  <si>
    <t>FP-319825</t>
  </si>
  <si>
    <t>RF; R-132 W. RICH-DALLAS RD</t>
  </si>
  <si>
    <t>FP-319838</t>
  </si>
  <si>
    <t>Compressor Valves</t>
  </si>
  <si>
    <t>FP-319839</t>
  </si>
  <si>
    <t>Discharge Coalescent Filter</t>
  </si>
  <si>
    <t>FP-319871</t>
  </si>
  <si>
    <t>RP- FINLEY R-16</t>
  </si>
  <si>
    <t>FP-320005</t>
  </si>
  <si>
    <t>RP; O-7, GRANDVIEW</t>
  </si>
  <si>
    <t>FP-320007</t>
  </si>
  <si>
    <t>MAOP; 16" TM; MARCH POINT; 3'</t>
  </si>
  <si>
    <t>FP-320131</t>
  </si>
  <si>
    <t>RP; 8" HP; BELL; 150'; Lindbergh Av</t>
  </si>
  <si>
    <t>FP-320136</t>
  </si>
  <si>
    <t>RP; R-TBD (R-93) Ferndale</t>
  </si>
  <si>
    <t>FP-320141</t>
  </si>
  <si>
    <t>RP; R-TBD (R-99) Lynden</t>
  </si>
  <si>
    <t>FP-320147</t>
  </si>
  <si>
    <t>Replace main</t>
  </si>
  <si>
    <t>FP-320152</t>
  </si>
  <si>
    <t>Replace main and services</t>
  </si>
  <si>
    <t>FP-320205</t>
  </si>
  <si>
    <t>Reinf Main Beacon Hill Dr Longview</t>
  </si>
  <si>
    <t>FP-320211</t>
  </si>
  <si>
    <t>GR; 6"PE; KENN;4954' RIDGELINE</t>
  </si>
  <si>
    <t>FP-101201</t>
  </si>
  <si>
    <t>M&amp;R#14P BELLINGHAM CLS#719</t>
  </si>
  <si>
    <t>FP-101200</t>
  </si>
  <si>
    <t>M&amp;R #14P Pasco CLS 365</t>
  </si>
  <si>
    <t>FP-316043</t>
  </si>
  <si>
    <t>MAOP; 8" HP; BELL; V-301 (V-14</t>
  </si>
  <si>
    <t>FP-307221</t>
  </si>
  <si>
    <t>RF; 8" HP; YAKI; 15,000'</t>
  </si>
  <si>
    <t>FP-101190</t>
  </si>
  <si>
    <t>GR; 2" PE MN - BELLINGHAM; 145</t>
  </si>
  <si>
    <t>FP-101194</t>
  </si>
  <si>
    <t>GR-OTH-R-RED MARBLE SLR</t>
  </si>
  <si>
    <t>FP-317535</t>
  </si>
  <si>
    <t>GR; R-128 BURB;TIE-IN TO ATTAL</t>
  </si>
  <si>
    <t>FP-316046</t>
  </si>
  <si>
    <t>MAOP; 8" HP; YAKI; 4,500' YAKI</t>
  </si>
  <si>
    <t>FP-319086</t>
  </si>
  <si>
    <t>GR; 4"; PE; WRIC; 2946; PARA</t>
  </si>
  <si>
    <t>FP-319193</t>
  </si>
  <si>
    <t>MN,ILLAHEE PRESERVE,BREMERTON,</t>
  </si>
  <si>
    <t>FP-101275</t>
  </si>
  <si>
    <t>RP; 3/4" SL; ANAC; 3312 3RD ST</t>
  </si>
  <si>
    <t>GR; 4" PE; MARY; 800' 17921 25</t>
  </si>
  <si>
    <t>FP-319236</t>
  </si>
  <si>
    <t>RP; 2" ST; OAKH; 5,000' 700 CR</t>
  </si>
  <si>
    <t>FP-319237</t>
  </si>
  <si>
    <t>RP; 3/4" SL; OAKH; 700 CROSBY</t>
  </si>
  <si>
    <t>FP-319238</t>
  </si>
  <si>
    <t>MN,13559' SOUND VIEW,BREMERTON</t>
  </si>
  <si>
    <t>FP-101192</t>
  </si>
  <si>
    <t>FRL; 4" ST; BELL; 900'</t>
  </si>
  <si>
    <t>FP-317637</t>
  </si>
  <si>
    <t>RE/RPL 2" STL MN 1021 N 2ND ST</t>
  </si>
  <si>
    <t>FP-317644</t>
  </si>
  <si>
    <t>GR; 4" PE MN; 1147'; BELLINGHA</t>
  </si>
  <si>
    <t>FP-318742</t>
  </si>
  <si>
    <t>RP-ANAC-R47-TESORO</t>
  </si>
  <si>
    <t>FP-319029</t>
  </si>
  <si>
    <t>RP-ANAC-METER-TESORO</t>
  </si>
  <si>
    <t>FP-101196</t>
  </si>
  <si>
    <t>REMOVE TANK, PLYMOUTH</t>
  </si>
  <si>
    <t>FP-317649</t>
  </si>
  <si>
    <t>REPL,NEW V-286 BANGOR,BREMERTO</t>
  </si>
  <si>
    <t>FP-317629</t>
  </si>
  <si>
    <t>RP; 6" PE; WALL; 240'</t>
  </si>
  <si>
    <t>FP-317647</t>
  </si>
  <si>
    <t>RP; 3/4" SL; BELL; 615 11TH ST</t>
  </si>
  <si>
    <t>FP-317645</t>
  </si>
  <si>
    <t>RL; 2" PE; BELL; 60'</t>
  </si>
  <si>
    <t>RP; R-82; SHELTON; R-18 RPL</t>
  </si>
  <si>
    <t>FP-319502</t>
  </si>
  <si>
    <t>MAOP; 8" TM; FERNDALE; 150'</t>
  </si>
  <si>
    <t>FP-319503</t>
  </si>
  <si>
    <t>MAOP; R-183 (R-75) FERNDALE</t>
  </si>
  <si>
    <t>FP-302369</t>
  </si>
  <si>
    <t>47968-RE-03 - RPL GB - YAKIMA</t>
  </si>
  <si>
    <t>FP-317631</t>
  </si>
  <si>
    <t>RPL Walla Walla</t>
  </si>
  <si>
    <t>FP-319540</t>
  </si>
  <si>
    <t>MAOP; R-190 (R-24) BURLINGTON</t>
  </si>
  <si>
    <t>FP-319552</t>
  </si>
  <si>
    <t>MAOP; R-184; BELLINGHAM</t>
  </si>
  <si>
    <t>FP-319570</t>
  </si>
  <si>
    <t>GR; 6" PE; RICH; 4290' KG WAY</t>
  </si>
  <si>
    <t>FP-316923</t>
  </si>
  <si>
    <t>MAOP; 8" TM; ANACORTES; 3,100'</t>
  </si>
  <si>
    <t>FP-319574</t>
  </si>
  <si>
    <t>FRL; 2" ST; KELS; 1,132' WEST</t>
  </si>
  <si>
    <t>FP-317659</t>
  </si>
  <si>
    <t>RP; 1/2" SL; ANAC; 5213 KINGSW</t>
  </si>
  <si>
    <t>FP-317639</t>
  </si>
  <si>
    <t>RE/RPL 3/4" STL SL-YAKI-1318 P</t>
  </si>
  <si>
    <t>FP-317652</t>
  </si>
  <si>
    <t>GR; 2" ST; WOOD; 202' LEWIS RI</t>
  </si>
  <si>
    <t>FP-320040</t>
  </si>
  <si>
    <t>GR; 4" PE MAIN; YAKIMA; 6700'</t>
  </si>
  <si>
    <t>FP-320235</t>
  </si>
  <si>
    <t>MAOP; 8" HP; MOSE; 55' GATE &amp;</t>
  </si>
  <si>
    <t>FP-318092</t>
  </si>
  <si>
    <t>MN,55' 1250 BLUEBERRY,PORT ORC</t>
  </si>
  <si>
    <t>FP-316033</t>
  </si>
  <si>
    <t>MAOP; 4" HP;720' CHEYNE RD/CAR</t>
  </si>
  <si>
    <t>FP-317750</t>
  </si>
  <si>
    <t>GR; 2" PE; Kennewick</t>
  </si>
  <si>
    <t>FP-320261</t>
  </si>
  <si>
    <t>GR- R-131 W.RICH-TLAC</t>
  </si>
  <si>
    <t>FP-320308</t>
  </si>
  <si>
    <t>MAOP; R-1 (R-11); OTHELLO</t>
  </si>
  <si>
    <t>FP-320309</t>
  </si>
  <si>
    <t>MAOP; R-2 (R-012); OTHELLO</t>
  </si>
  <si>
    <t>FP-320452</t>
  </si>
  <si>
    <t>Reg Sta. 094 Yakima</t>
  </si>
  <si>
    <t>FP-320327</t>
  </si>
  <si>
    <t>GR; 2"PE; RICH; 2200' KEENE RD</t>
  </si>
  <si>
    <t>FP-320384</t>
  </si>
  <si>
    <t>3811-CNG ERT Units</t>
  </si>
  <si>
    <t>FP-320458</t>
  </si>
  <si>
    <t>MAOP; R-192 ANACORTES</t>
  </si>
  <si>
    <t>FP-317752</t>
  </si>
  <si>
    <t>GR; 4" PE SL; KENN; 250'</t>
  </si>
  <si>
    <t>FP-320465</t>
  </si>
  <si>
    <t>GR; 4" 2925' 2" 4840' Rich; Se</t>
  </si>
  <si>
    <t>FP-320486</t>
  </si>
  <si>
    <t>MAOP; 12" HP; LONG; 1,220' WES</t>
  </si>
  <si>
    <t>FP-320511</t>
  </si>
  <si>
    <t>GR-S. LONGVIEW-R-INLET PIPING</t>
  </si>
  <si>
    <t>FP-316580</t>
  </si>
  <si>
    <t>MAOP; 6" HP; Anacortes</t>
  </si>
  <si>
    <t>FP-317648</t>
  </si>
  <si>
    <t>MN,515' GARDNER LN,CHICO,WA</t>
  </si>
  <si>
    <t>FP-320518</t>
  </si>
  <si>
    <t>GR; 6" PE; RICH;4060' KING</t>
  </si>
  <si>
    <t>FP-320519</t>
  </si>
  <si>
    <t>GR; 4' PE; LONG; 2600 MT. SOLO</t>
  </si>
  <si>
    <t>GR; 4" SL; PATT; 184301 S PLYM</t>
  </si>
  <si>
    <t>FP-320380</t>
  </si>
  <si>
    <t>GR; 2" PE; MOSE; 1,100' YOENEZ</t>
  </si>
  <si>
    <t>FP-320224</t>
  </si>
  <si>
    <t>M&amp;R 23M, SUNNYSIDE, ENGCLS-210</t>
  </si>
  <si>
    <t>FP-320584</t>
  </si>
  <si>
    <t>GR; 6" PE MN; 2871; E MAPLE RI</t>
  </si>
  <si>
    <t>FP-317636</t>
  </si>
  <si>
    <t>GR;2"PE;MOXE;3,820'</t>
  </si>
  <si>
    <t>FP-317651</t>
  </si>
  <si>
    <t>RPL 3/4"STL TO 1"PE-SVC-BREM-C</t>
  </si>
  <si>
    <t>FP-317628</t>
  </si>
  <si>
    <t>GR: 80' PE 2" Main - Walla Wal</t>
  </si>
  <si>
    <t>FP-317640</t>
  </si>
  <si>
    <t>2" MN; EUCLID AVE SHELTON; APX</t>
  </si>
  <si>
    <t>FP-317653</t>
  </si>
  <si>
    <t>RF; 2" ST; LONG; 40' ALABAMA S</t>
  </si>
  <si>
    <t>GR; 2" PE MN; Edaleen @ Prairi</t>
  </si>
  <si>
    <t>FP-317656</t>
  </si>
  <si>
    <t>GR; 2" PE; SEDR; 2,390' BRICKY</t>
  </si>
  <si>
    <t>FP-320444</t>
  </si>
  <si>
    <t>GR; 4" PE MN; 150 W AXTON RD B</t>
  </si>
  <si>
    <t>FP-320460</t>
  </si>
  <si>
    <t>RF-12"HP STL- WALLULA (DUMMY W</t>
  </si>
  <si>
    <t>Total Distribution Plant</t>
  </si>
  <si>
    <t>Gas General</t>
  </si>
  <si>
    <t>FP-307044</t>
  </si>
  <si>
    <t>Aberdeen New Operations Building 20</t>
  </si>
  <si>
    <t>FP-318192</t>
  </si>
  <si>
    <t>3972-CNG Comm Equip Telemeterin</t>
  </si>
  <si>
    <t>FP-317744</t>
  </si>
  <si>
    <t>Mueller Gear</t>
  </si>
  <si>
    <t>FP-317078</t>
  </si>
  <si>
    <t>Purch Itron Mobile Radios CNGC</t>
  </si>
  <si>
    <t>FP-316445</t>
  </si>
  <si>
    <t>Toughbook Replacements-CNG 202</t>
  </si>
  <si>
    <t>FP-317290</t>
  </si>
  <si>
    <t>Building remodel for Bellingham Dis</t>
  </si>
  <si>
    <t>FP-317291</t>
  </si>
  <si>
    <t>Roof replacement/Parking lot - Bell</t>
  </si>
  <si>
    <t>FP-318797</t>
  </si>
  <si>
    <t>District Office Storage Facility</t>
  </si>
  <si>
    <t>FP-318801</t>
  </si>
  <si>
    <t>Asphalt gravel Storage Area</t>
  </si>
  <si>
    <t>FP-318914</t>
  </si>
  <si>
    <t>Transfer Prover upgrade Longview</t>
  </si>
  <si>
    <t>FP-318918</t>
  </si>
  <si>
    <t>Transfer Prover Upgrade</t>
  </si>
  <si>
    <t>FP-319638</t>
  </si>
  <si>
    <t>Mueller Equipement</t>
  </si>
  <si>
    <t>FP-319640</t>
  </si>
  <si>
    <t>1 1/4" BALL VALVES</t>
  </si>
  <si>
    <t>FP-319643</t>
  </si>
  <si>
    <t>DIGITAL GUAGES</t>
  </si>
  <si>
    <t>FP-319645</t>
  </si>
  <si>
    <t>RMLD</t>
  </si>
  <si>
    <t>FP-319646</t>
  </si>
  <si>
    <t>POSITIONER</t>
  </si>
  <si>
    <t>FP-319784</t>
  </si>
  <si>
    <t>RD8000PDLM Locator</t>
  </si>
  <si>
    <t>FP-319876</t>
  </si>
  <si>
    <t>PUR RD 8100 Locator, MOUNT VERNON</t>
  </si>
  <si>
    <t>FP-319879</t>
  </si>
  <si>
    <t>PUR Meter Stop Changers</t>
  </si>
  <si>
    <t>FP-319904</t>
  </si>
  <si>
    <t>Purch UT Gauges New Welding Program</t>
  </si>
  <si>
    <t>FP-319981</t>
  </si>
  <si>
    <t>Office furn. for EE dept B'ham</t>
  </si>
  <si>
    <t>FP-320015</t>
  </si>
  <si>
    <t>Purchase 2 RMLD's</t>
  </si>
  <si>
    <t>FP-320089</t>
  </si>
  <si>
    <t>New and Replacement Locators</t>
  </si>
  <si>
    <t>FP-320105</t>
  </si>
  <si>
    <t>New District office Furn. and appl.</t>
  </si>
  <si>
    <t>FP-320137</t>
  </si>
  <si>
    <t>CGI</t>
  </si>
  <si>
    <t>FP-320138</t>
  </si>
  <si>
    <t>PUR CGI DETECTOR - YAKIMA</t>
  </si>
  <si>
    <t>FP-320140</t>
  </si>
  <si>
    <t>320</t>
  </si>
  <si>
    <t>FP-320142</t>
  </si>
  <si>
    <t>PUR CGI DETECTOR - LONGVIEW</t>
  </si>
  <si>
    <t>FP-320143</t>
  </si>
  <si>
    <t>FP-306967</t>
  </si>
  <si>
    <t>District Office Access Control Sys</t>
  </si>
  <si>
    <t>FP-319783</t>
  </si>
  <si>
    <t>Trailer Tarps</t>
  </si>
  <si>
    <t>FP-319818</t>
  </si>
  <si>
    <t>Quanta-Fit</t>
  </si>
  <si>
    <t>FP-319848</t>
  </si>
  <si>
    <t>Lincoln Fume Extractors &amp; Install</t>
  </si>
  <si>
    <t>FP-319860</t>
  </si>
  <si>
    <t>Mueller 12" 4SW Shell Cutters</t>
  </si>
  <si>
    <t>FP-319862</t>
  </si>
  <si>
    <t>Coffing Hoist Replacement</t>
  </si>
  <si>
    <t>FP-319864</t>
  </si>
  <si>
    <t>Olympus 27MG Ultra Sonic Thicknes</t>
  </si>
  <si>
    <t>FP-319868</t>
  </si>
  <si>
    <t>Industrial Ice Maker</t>
  </si>
  <si>
    <t>FP-319918</t>
  </si>
  <si>
    <t>Buy new SCBA's for CNGC</t>
  </si>
  <si>
    <t>FP-319920</t>
  </si>
  <si>
    <t>Buy portable air filter for GO</t>
  </si>
  <si>
    <t>FP-319932</t>
  </si>
  <si>
    <t>Portable Odorizer</t>
  </si>
  <si>
    <t>FP-319933</t>
  </si>
  <si>
    <t>Central Vac System</t>
  </si>
  <si>
    <t>FP-319983</t>
  </si>
  <si>
    <t>Welding Positioner</t>
  </si>
  <si>
    <t>FP-319987</t>
  </si>
  <si>
    <t>Air Compressor</t>
  </si>
  <si>
    <t>FP-320066</t>
  </si>
  <si>
    <t>Mueller Tooling</t>
  </si>
  <si>
    <t>FP-320079</t>
  </si>
  <si>
    <t>ThoughtSpot &amp; Data Warehouse CNGC</t>
  </si>
  <si>
    <t>FP-320364</t>
  </si>
  <si>
    <t>3913-CNG Servers and Workstation</t>
  </si>
  <si>
    <t>3901-CNG Structures &amp; Improvement</t>
  </si>
  <si>
    <t>FP-101163</t>
  </si>
  <si>
    <t>3962-Power Operated Equipmen</t>
  </si>
  <si>
    <t>FP-101215</t>
  </si>
  <si>
    <t>3922-Transportation Equipmen</t>
  </si>
  <si>
    <t>Total General Plant</t>
  </si>
  <si>
    <t>Notes:</t>
  </si>
  <si>
    <t>FERC Account No</t>
  </si>
  <si>
    <t>Investment</t>
  </si>
  <si>
    <t>Depr. Rate (UG-200278)</t>
  </si>
  <si>
    <t>Depn Expense</t>
  </si>
  <si>
    <t>CRM</t>
  </si>
  <si>
    <t>Totals</t>
  </si>
  <si>
    <t>Results of Multi-Year Rate Plan Summary Sheet</t>
  </si>
  <si>
    <t>After Base Rate Change Results of Operations</t>
  </si>
  <si>
    <t>MYRP (YR1) Adjustment</t>
  </si>
  <si>
    <t>MYRP (YR1) Adjusted Results of Operations</t>
  </si>
  <si>
    <t>Revenue Change to MYRP (YR1)</t>
  </si>
  <si>
    <t>After MYRP (YR1) Change</t>
  </si>
  <si>
    <t>After MYRP (YR1) Rate Change Results of Operations</t>
  </si>
  <si>
    <t>MYRP (YR2) Adjustment</t>
  </si>
  <si>
    <t>MYRP (YR2) Adjusted Results of Operations</t>
  </si>
  <si>
    <t>Revenue Change to MYRP (YR2)</t>
  </si>
  <si>
    <t>After MYRP (YR2) Change</t>
  </si>
  <si>
    <t>After MYRP (YR2) Rate Change Results of Operations</t>
  </si>
  <si>
    <t>MYRP (YR3) Adjustment</t>
  </si>
  <si>
    <t>MYRP (YR3) Adjusted Results of Operations</t>
  </si>
  <si>
    <t>Revenue Change to MYRP (YR3)</t>
  </si>
  <si>
    <t>After MYRP (YR3) Change</t>
  </si>
  <si>
    <t>F = D +E</t>
  </si>
  <si>
    <t>I = G + H</t>
  </si>
  <si>
    <t>K = I + J</t>
  </si>
  <si>
    <t>N = L + M</t>
  </si>
  <si>
    <t>P = N + O</t>
  </si>
  <si>
    <t>MYRP Overall Revnue Change</t>
  </si>
  <si>
    <t>Revenue Requirement Workpapers Section</t>
  </si>
  <si>
    <t>MCG WP-1.0</t>
  </si>
  <si>
    <t>Operating Report</t>
  </si>
  <si>
    <t>MCG WP-1.1</t>
  </si>
  <si>
    <t>pgs. 2-7</t>
  </si>
  <si>
    <t>MCG WP-1.2</t>
  </si>
  <si>
    <t>Summary of Supplemental Schedule Removal Adjustments</t>
  </si>
  <si>
    <t>MCG WP-1.3</t>
  </si>
  <si>
    <t>Customer Advance for Construction &amp; Deferred Taxes</t>
  </si>
  <si>
    <t>MCG WP-1.4</t>
  </si>
  <si>
    <t>pgs. 10-19</t>
  </si>
  <si>
    <t>Directors &amp; Officers Adjustment</t>
  </si>
  <si>
    <t>MCG WP-1.5</t>
  </si>
  <si>
    <t>Waived Late Payment Charges</t>
  </si>
  <si>
    <t>MCG WP-1.6</t>
  </si>
  <si>
    <t>State Allocation Formulas</t>
  </si>
  <si>
    <t>MCG WP-1.7</t>
  </si>
  <si>
    <t>pgs. 22-23</t>
  </si>
  <si>
    <t>Annualize CRM Adjustment</t>
  </si>
  <si>
    <t>MCG WP-1.8</t>
  </si>
  <si>
    <t>Promotional Advertising Expense Adjustment</t>
  </si>
  <si>
    <t>MCG WP-1.9</t>
  </si>
  <si>
    <t>pgs. 25-26</t>
  </si>
  <si>
    <t>MCG WP-1.10</t>
  </si>
  <si>
    <t>End of Period Revenue Adjustment</t>
  </si>
  <si>
    <t>MCG WP-1.11</t>
  </si>
  <si>
    <t>Restate &amp; Pro Forma Wage Adjustment</t>
  </si>
  <si>
    <t>MCG WP-1.12</t>
  </si>
  <si>
    <t>pgs. 29-30</t>
  </si>
  <si>
    <t>Incentives</t>
  </si>
  <si>
    <t>MCG WP-1.13</t>
  </si>
  <si>
    <t>Interest Coordination Adjustment</t>
  </si>
  <si>
    <t>MCG WP-1.14</t>
  </si>
  <si>
    <t>MAOP Deferral Amortization</t>
  </si>
  <si>
    <t>MCG WP-1.15</t>
  </si>
  <si>
    <t>Working Capital (AMA)</t>
  </si>
  <si>
    <t>MCG WP-1.16</t>
  </si>
  <si>
    <t>pgs. 34-53</t>
  </si>
  <si>
    <t>Operating Report (Report is exported from Company's JDE accounting software)</t>
  </si>
  <si>
    <t xml:space="preserve">Line No. </t>
  </si>
  <si>
    <t>X</t>
  </si>
  <si>
    <t>Y</t>
  </si>
  <si>
    <t>Z</t>
  </si>
  <si>
    <t>AA</t>
  </si>
  <si>
    <t>3-Factor Formula</t>
  </si>
  <si>
    <t>Customer Formula</t>
  </si>
  <si>
    <t>Rate Base Ratio</t>
  </si>
  <si>
    <t>12 Months Ended December 31, 2019</t>
  </si>
  <si>
    <t>WA:</t>
  </si>
  <si>
    <t>OR:</t>
  </si>
  <si>
    <t>Pro Forma</t>
  </si>
  <si>
    <t>CASCADE NATURAL GAS CORPORATION</t>
  </si>
  <si>
    <t>ROLLING 12 MONTHS:</t>
  </si>
  <si>
    <t>Results of</t>
  </si>
  <si>
    <t>WASHINGTON:</t>
  </si>
  <si>
    <t>Promotional Advertising Adjustment</t>
  </si>
  <si>
    <t>Restate End of Period Adjustment</t>
  </si>
  <si>
    <t>Restate Wages Adjustment</t>
  </si>
  <si>
    <t>Restate Incentives</t>
  </si>
  <si>
    <t>Remove 50% Director Fees</t>
  </si>
  <si>
    <t>Remove Supplemental Schedules</t>
  </si>
  <si>
    <t>Restate Late Payment Charges Adjustment</t>
  </si>
  <si>
    <t>Interest  Coordination Adjustment</t>
  </si>
  <si>
    <t>Annualize Revenue Adjustment</t>
  </si>
  <si>
    <t>Pro Forma Wage Adjustment</t>
  </si>
  <si>
    <t>Pro Forma Plant Additions</t>
  </si>
  <si>
    <t>Removal &amp; Retirements (Indirect Plant Benefit)</t>
  </si>
  <si>
    <t>OPEN</t>
  </si>
  <si>
    <t>Operation</t>
  </si>
  <si>
    <t>STATE ALLOCATION OF INCOME &amp; EXPENSES</t>
  </si>
  <si>
    <t>DIRECT</t>
  </si>
  <si>
    <t>ALLOCATED</t>
  </si>
  <si>
    <t>TOTAL</t>
  </si>
  <si>
    <t>R-1</t>
  </si>
  <si>
    <t>R-2</t>
  </si>
  <si>
    <t>R-3</t>
  </si>
  <si>
    <t>R-4</t>
  </si>
  <si>
    <t>R-5</t>
  </si>
  <si>
    <t>R-6</t>
  </si>
  <si>
    <t>R-7</t>
  </si>
  <si>
    <t>R-8</t>
  </si>
  <si>
    <t>R-9</t>
  </si>
  <si>
    <t>R-10</t>
  </si>
  <si>
    <t>R-11</t>
  </si>
  <si>
    <t>P-1</t>
  </si>
  <si>
    <t>P-2</t>
  </si>
  <si>
    <t>P-3</t>
  </si>
  <si>
    <t>P-4</t>
  </si>
  <si>
    <t>P-5</t>
  </si>
  <si>
    <t>P-6</t>
  </si>
  <si>
    <t>P-7</t>
  </si>
  <si>
    <t>P-8</t>
  </si>
  <si>
    <t>NATURAL GAS PURCHASED</t>
  </si>
  <si>
    <t>804</t>
  </si>
  <si>
    <t>Natural Gas City Gate Purchases</t>
  </si>
  <si>
    <t>805</t>
  </si>
  <si>
    <t>Other Gas Purchases</t>
  </si>
  <si>
    <t xml:space="preserve"> 805.1</t>
  </si>
  <si>
    <t>Purchased Gas Cost Adjustments</t>
  </si>
  <si>
    <t xml:space="preserve"> 808.1</t>
  </si>
  <si>
    <t>Gas Withdrawn From Storage</t>
  </si>
  <si>
    <t xml:space="preserve"> 808.2</t>
  </si>
  <si>
    <t>Gas Delivered To Storage</t>
  </si>
  <si>
    <t>812</t>
  </si>
  <si>
    <t>Gas Used For Other Utility Oper.</t>
  </si>
  <si>
    <t xml:space="preserve">    TOTAL NATURAL GAS PURCHASED</t>
  </si>
  <si>
    <t>MANUFACTURED GAS PRODUCTION</t>
  </si>
  <si>
    <t>712</t>
  </si>
  <si>
    <t>Other Power Expenses</t>
  </si>
  <si>
    <t>717</t>
  </si>
  <si>
    <t>Liquefied Petroleum Gas Expenses</t>
  </si>
  <si>
    <t>718</t>
  </si>
  <si>
    <t>Other Process Production Expenses</t>
  </si>
  <si>
    <t>723</t>
  </si>
  <si>
    <t>Fuel for Liq. Petrol. Gas Process</t>
  </si>
  <si>
    <t>724</t>
  </si>
  <si>
    <t>Other Gas Fuels</t>
  </si>
  <si>
    <t>728</t>
  </si>
  <si>
    <t>Liquefied Petroleum Gas</t>
  </si>
  <si>
    <t>733</t>
  </si>
  <si>
    <t>Gas Mixing Expenses</t>
  </si>
  <si>
    <t>735</t>
  </si>
  <si>
    <t>Miscellaneous Production Expenses</t>
  </si>
  <si>
    <t>740</t>
  </si>
  <si>
    <t>Maint. Supervision &amp; Engineering</t>
  </si>
  <si>
    <t>741</t>
  </si>
  <si>
    <t>Maint. of Structures &amp; Improvement</t>
  </si>
  <si>
    <t>742</t>
  </si>
  <si>
    <t>Maint. of Production Equipment</t>
  </si>
  <si>
    <t xml:space="preserve">    TOTAL MANUFACTURED GAS PRODUCTION EXPENSE</t>
  </si>
  <si>
    <t xml:space="preserve"> 408.5</t>
  </si>
  <si>
    <t xml:space="preserve">          * OPERATING MARGIN *</t>
  </si>
  <si>
    <t>PRODUCTION EXPENSES</t>
  </si>
  <si>
    <t>Other Gas Supply Expenses</t>
  </si>
  <si>
    <t>DISTRIBUTION EXPENSES</t>
  </si>
  <si>
    <t xml:space="preserve">   Operation</t>
  </si>
  <si>
    <t>870</t>
  </si>
  <si>
    <t>Oper.,Supervision &amp; Engineering</t>
  </si>
  <si>
    <t>871</t>
  </si>
  <si>
    <t>Distribution Load Dispatching</t>
  </si>
  <si>
    <t>872</t>
  </si>
  <si>
    <t>Compressor Station</t>
  </si>
  <si>
    <t xml:space="preserve"> 874</t>
  </si>
  <si>
    <t>Mains &amp; Services Exp.</t>
  </si>
  <si>
    <t>875</t>
  </si>
  <si>
    <t>Meas. &amp; Reg. Stat. Exp.-Gen.</t>
  </si>
  <si>
    <t>876</t>
  </si>
  <si>
    <t>Meas. &amp; Reg. Stat. Exp.-Ind.</t>
  </si>
  <si>
    <t>878</t>
  </si>
  <si>
    <t>Meter &amp; House Regulator Exp.</t>
  </si>
  <si>
    <t>879</t>
  </si>
  <si>
    <t>Customer Installations Exp.</t>
  </si>
  <si>
    <t>880</t>
  </si>
  <si>
    <t>Other Exp.</t>
  </si>
  <si>
    <t>881</t>
  </si>
  <si>
    <t>Rents</t>
  </si>
  <si>
    <t>882</t>
  </si>
  <si>
    <t>Transportation Exp.</t>
  </si>
  <si>
    <t>Subtotal Operations</t>
  </si>
  <si>
    <t xml:space="preserve">   Maintenance</t>
  </si>
  <si>
    <t>885</t>
  </si>
  <si>
    <t>Supervision &amp; Engineering</t>
  </si>
  <si>
    <t>886</t>
  </si>
  <si>
    <t>Structures &amp; Improvements</t>
  </si>
  <si>
    <t>887</t>
  </si>
  <si>
    <t>Mains</t>
  </si>
  <si>
    <t>888</t>
  </si>
  <si>
    <t>889</t>
  </si>
  <si>
    <t>Meas. &amp; Reg. Equip.-Gen.</t>
  </si>
  <si>
    <t>890</t>
  </si>
  <si>
    <t>Meas. &amp; Reg. Equip.-Ind.</t>
  </si>
  <si>
    <t>892</t>
  </si>
  <si>
    <t>Services</t>
  </si>
  <si>
    <t>893</t>
  </si>
  <si>
    <t>Meters &amp; House Regulators</t>
  </si>
  <si>
    <t>894</t>
  </si>
  <si>
    <t>Other Equipment</t>
  </si>
  <si>
    <t>Subtotal Maintenance</t>
  </si>
  <si>
    <t xml:space="preserve">    TOTAL DISTRIBUTION EXPENSES</t>
  </si>
  <si>
    <t>CUSTOMER ACCOUNTS EXPENSES</t>
  </si>
  <si>
    <t>901</t>
  </si>
  <si>
    <t>Supervision</t>
  </si>
  <si>
    <t>902</t>
  </si>
  <si>
    <t>Meter Reading Exp.</t>
  </si>
  <si>
    <t>903</t>
  </si>
  <si>
    <t>Cust. Records &amp; Collection Exp.</t>
  </si>
  <si>
    <t>904</t>
  </si>
  <si>
    <t>905</t>
  </si>
  <si>
    <t>Misc. Exp.</t>
  </si>
  <si>
    <t xml:space="preserve">    TOTAL CUSTOMER ACCOUNTS EXP.</t>
  </si>
  <si>
    <t>CUSTOMER SERVICE AND INFORMATIONAL EXPENSES</t>
  </si>
  <si>
    <t>907</t>
  </si>
  <si>
    <t>908</t>
  </si>
  <si>
    <t>Cust. Assistance Exp.</t>
  </si>
  <si>
    <t>909</t>
  </si>
  <si>
    <t>Info. &amp; Instr. Advertising Exp.</t>
  </si>
  <si>
    <t>910</t>
  </si>
  <si>
    <t>Misc. Cust. Serv. &amp; Info. Exp.</t>
  </si>
  <si>
    <t xml:space="preserve">    TOTAL CUST. SRVC. &amp; INFO. EXPENSES</t>
  </si>
  <si>
    <t>SALES EXPENSES</t>
  </si>
  <si>
    <t>911</t>
  </si>
  <si>
    <t>912</t>
  </si>
  <si>
    <t>Demonstrating &amp; Selling</t>
  </si>
  <si>
    <t>913</t>
  </si>
  <si>
    <t>Advertising</t>
  </si>
  <si>
    <t>916</t>
  </si>
  <si>
    <t>Misc. Sales Exp.</t>
  </si>
  <si>
    <t xml:space="preserve">    TOTAL SALES EXPENSES</t>
  </si>
  <si>
    <t>ADMINISTRATIVE AND GENERAL EXPENSES</t>
  </si>
  <si>
    <t>920</t>
  </si>
  <si>
    <t>Admin. &amp; General Salaries</t>
  </si>
  <si>
    <t>921</t>
  </si>
  <si>
    <t>Office Supplies &amp; Exp.</t>
  </si>
  <si>
    <t>923</t>
  </si>
  <si>
    <t>Outside Services Employed</t>
  </si>
  <si>
    <t>924</t>
  </si>
  <si>
    <t>Property Insurance</t>
  </si>
  <si>
    <t>925</t>
  </si>
  <si>
    <t>Injuries &amp; Damages</t>
  </si>
  <si>
    <t>926</t>
  </si>
  <si>
    <t>Employee Pensions &amp; Benefits</t>
  </si>
  <si>
    <t>928</t>
  </si>
  <si>
    <t>Regulatory Commission Exp.</t>
  </si>
  <si>
    <t xml:space="preserve"> 930.1</t>
  </si>
  <si>
    <t>General Advertising Exp.</t>
  </si>
  <si>
    <t xml:space="preserve"> 930.2</t>
  </si>
  <si>
    <t>Misc. General Exp.</t>
  </si>
  <si>
    <t>931</t>
  </si>
  <si>
    <t>932</t>
  </si>
  <si>
    <t>Maintenance of General Plant</t>
  </si>
  <si>
    <t>922</t>
  </si>
  <si>
    <t>Capitalized Exp.</t>
  </si>
  <si>
    <t xml:space="preserve">    TOTAL ADM. &amp; GEN. EXPENSES</t>
  </si>
  <si>
    <t xml:space="preserve">       TOTAL O&amp;M EXPENSES (Excluding Gas Cost and Revenue Taxes)</t>
  </si>
  <si>
    <t>DEPRECIATION AND AMORTIZATION</t>
  </si>
  <si>
    <t>403</t>
  </si>
  <si>
    <t>Depreciation Expense</t>
  </si>
  <si>
    <t xml:space="preserve">  Propane Air Plant</t>
  </si>
  <si>
    <t xml:space="preserve">  Telemetry</t>
  </si>
  <si>
    <t xml:space="preserve">  Meters &amp; Regulators</t>
  </si>
  <si>
    <t xml:space="preserve">  Central Stores Warehouse</t>
  </si>
  <si>
    <t xml:space="preserve">  General Office</t>
  </si>
  <si>
    <t>407.1</t>
  </si>
  <si>
    <t>Amortization of Property Losses</t>
  </si>
  <si>
    <t xml:space="preserve">    TOTAL DEPRECIATION AND AMORTIZATION</t>
  </si>
  <si>
    <t>407.3</t>
  </si>
  <si>
    <t>TAXES OTHER THAN INCOME TAXES</t>
  </si>
  <si>
    <t xml:space="preserve"> 408.1</t>
  </si>
  <si>
    <t>Property, Payroll and Misc. Taxes</t>
  </si>
  <si>
    <t>INCOME TAXES - OPERATING</t>
  </si>
  <si>
    <t xml:space="preserve"> 409.1</t>
  </si>
  <si>
    <t>Federal Inc Taxes, Util Oper Inc</t>
  </si>
  <si>
    <t>State Income Taxes, Util Oper Inc</t>
  </si>
  <si>
    <t xml:space="preserve"> 410.1</t>
  </si>
  <si>
    <t>Provision For Defer'd Fed Inc Tax</t>
  </si>
  <si>
    <t>Provis'n For Defer'd State Inc Tax</t>
  </si>
  <si>
    <t xml:space="preserve"> 411.1</t>
  </si>
  <si>
    <t>Prov For Deferred Inc Tax - Credit</t>
  </si>
  <si>
    <t xml:space="preserve"> 411.4</t>
  </si>
  <si>
    <t>Investment Tax Credit Adjustments</t>
  </si>
  <si>
    <t xml:space="preserve">    TOTAL INCOME TAXES - OPERATING</t>
  </si>
  <si>
    <t xml:space="preserve">      * TOTAL OPERATING EXPENSES *</t>
  </si>
  <si>
    <t xml:space="preserve">          * TOTAL OPERATING INCOME *</t>
  </si>
  <si>
    <t>INTEREST CHARGES</t>
  </si>
  <si>
    <t>427.0</t>
  </si>
  <si>
    <t>Interest on Long Term Debt</t>
  </si>
  <si>
    <t>428.0</t>
  </si>
  <si>
    <t>Amort. of Debt Discount and Exp.</t>
  </si>
  <si>
    <t>428.1</t>
  </si>
  <si>
    <t>Amort. of Loss on Reacquired Debt</t>
  </si>
  <si>
    <t>431.0</t>
  </si>
  <si>
    <t>Other Interest Expense</t>
  </si>
  <si>
    <t>431.1</t>
  </si>
  <si>
    <t>Interest on Short Term Debt</t>
  </si>
  <si>
    <t>432.0</t>
  </si>
  <si>
    <t>AFUDC - Borrowed Funds</t>
  </si>
  <si>
    <t xml:space="preserve">    TOTAL INTEREST CHARGES</t>
  </si>
  <si>
    <t>MISCELLANEOUS NON-OPERATING INCOME</t>
  </si>
  <si>
    <t>415</t>
  </si>
  <si>
    <t>Rev. from Jobbing &amp; Contract Work</t>
  </si>
  <si>
    <t>416</t>
  </si>
  <si>
    <t>Exp. of Jobbing &amp; Contract Work</t>
  </si>
  <si>
    <t>417</t>
  </si>
  <si>
    <t>Revenues of Non-Utility Operations</t>
  </si>
  <si>
    <t xml:space="preserve"> 417.1</t>
  </si>
  <si>
    <t>Expenses of Non-Utility Operations</t>
  </si>
  <si>
    <t xml:space="preserve"> 418.1</t>
  </si>
  <si>
    <t>Equity in Earnings of Sub. Co.'s</t>
  </si>
  <si>
    <t>419</t>
  </si>
  <si>
    <t>Interest and Dividend Income</t>
  </si>
  <si>
    <t xml:space="preserve"> 419.1</t>
  </si>
  <si>
    <t>AFUDC - Equity Funds</t>
  </si>
  <si>
    <t>Taxes other Than Income Taxes</t>
  </si>
  <si>
    <t>421</t>
  </si>
  <si>
    <t>Misc. Non-Operating Income</t>
  </si>
  <si>
    <t xml:space="preserve"> 421.1</t>
  </si>
  <si>
    <t>Gain on Disposition of Property</t>
  </si>
  <si>
    <t xml:space="preserve">    TOTAL MISCELLANEOUS NON-OPERATING INCOME</t>
  </si>
  <si>
    <t>INCOME TAXES AND OTHER INCOME DEDUCTIONS</t>
  </si>
  <si>
    <t xml:space="preserve"> 409.2</t>
  </si>
  <si>
    <t>Fed Income Taxes, Other Inc. &amp; Ded</t>
  </si>
  <si>
    <t>State Inc Taxes, Other Inc. &amp; Ded.</t>
  </si>
  <si>
    <t xml:space="preserve"> 410.2</t>
  </si>
  <si>
    <t>Prov For Def'd Inc Tax - Non Op</t>
  </si>
  <si>
    <t xml:space="preserve"> 411.2</t>
  </si>
  <si>
    <t>Prov For Def'd Inc Tax  CR  Non Op</t>
  </si>
  <si>
    <t xml:space="preserve"> 421.2</t>
  </si>
  <si>
    <t>Loss on Disposition of Property</t>
  </si>
  <si>
    <t xml:space="preserve"> 426.1</t>
  </si>
  <si>
    <t>Donations</t>
  </si>
  <si>
    <t xml:space="preserve"> 426.2</t>
  </si>
  <si>
    <t>Life Insurance</t>
  </si>
  <si>
    <t xml:space="preserve"> 426.3</t>
  </si>
  <si>
    <t>Penalties</t>
  </si>
  <si>
    <t xml:space="preserve"> 426.4</t>
  </si>
  <si>
    <t>Civic, Political &amp; Related Activ.</t>
  </si>
  <si>
    <t xml:space="preserve"> 426.5</t>
  </si>
  <si>
    <t>Other Deductions</t>
  </si>
  <si>
    <t xml:space="preserve">    TOTAL INCOME TAXES &amp; OTHER INCOME DEDUCTIONS</t>
  </si>
  <si>
    <t xml:space="preserve">              * NET INCOME *</t>
  </si>
  <si>
    <t>AMA - LTM (12/31/20)</t>
  </si>
  <si>
    <t>EOP - LTM (12/31/20)</t>
  </si>
  <si>
    <t>Total WA Plant in Service</t>
  </si>
  <si>
    <t>Total WA Accumulated Depreciation</t>
  </si>
  <si>
    <t>Net Plant in Service</t>
  </si>
  <si>
    <t>WA Customer Advances for Construction</t>
  </si>
  <si>
    <t>WA Deferred Taxes</t>
  </si>
  <si>
    <t>WA Working Capital</t>
  </si>
  <si>
    <t>Total WA Rate Base</t>
  </si>
  <si>
    <t>EDIT/FIT</t>
  </si>
  <si>
    <t>PGA</t>
  </si>
  <si>
    <t>Conservation</t>
  </si>
  <si>
    <t>Other</t>
  </si>
  <si>
    <t>WA Protected-Plus Excess</t>
  </si>
  <si>
    <t>WA Unprotected Excess</t>
  </si>
  <si>
    <t xml:space="preserve">Total Supplemental Adjustments </t>
  </si>
  <si>
    <t>Sch 581</t>
  </si>
  <si>
    <t>Sch 582</t>
  </si>
  <si>
    <t>Sch 583</t>
  </si>
  <si>
    <t>Sch 596</t>
  </si>
  <si>
    <t>Sch 593</t>
  </si>
  <si>
    <t>Sch 594</t>
  </si>
  <si>
    <t>Sch 597</t>
  </si>
  <si>
    <t>Protected Plus Excess</t>
  </si>
  <si>
    <t xml:space="preserve">Protected Sch 582 Advice W20-09-04							</t>
  </si>
  <si>
    <t>Unprotected Excess</t>
  </si>
  <si>
    <t>Protected Sch 581 Advice W20-09-04</t>
  </si>
  <si>
    <t>2020 Natural Gas Purchases</t>
  </si>
  <si>
    <t>PGA Deferrals</t>
  </si>
  <si>
    <t>PGA amortizations</t>
  </si>
  <si>
    <t>Gas Withdrawn from storage</t>
  </si>
  <si>
    <t>Gas Injected to storage</t>
  </si>
  <si>
    <t>Company used gas</t>
  </si>
  <si>
    <t>PGA correction Feb 2020</t>
  </si>
  <si>
    <t>subtotal</t>
  </si>
  <si>
    <t>Commercial Conservation Program</t>
  </si>
  <si>
    <t>Low Income Weatherization Program</t>
  </si>
  <si>
    <t>WA Conservation Administration &amp; Program Delivery Fees</t>
  </si>
  <si>
    <t>Washington Residential Conservation Program</t>
  </si>
  <si>
    <t>Consolidated Technical Adjustments - Conservation</t>
  </si>
  <si>
    <t>LTD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</si>
  <si>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</si>
  <si>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</si>
  <si>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</si>
  <si>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</si>
  <si>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</si>
  <si>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</si>
  <si>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</si>
  <si>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</si>
  <si>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</si>
  <si>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</si>
  <si>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</si>
  <si>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</si>
  <si>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</si>
  <si>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</si>
  <si>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t>AP</t>
  </si>
  <si>
    <t>AQ</t>
  </si>
  <si>
    <t>AR</t>
  </si>
  <si>
    <t>AS</t>
  </si>
  <si>
    <t>AT</t>
  </si>
  <si>
    <t>AU</t>
  </si>
  <si>
    <t>AV</t>
  </si>
  <si>
    <t>AW</t>
  </si>
  <si>
    <t>Figures are exported from JDE the company's accounting software.</t>
  </si>
  <si>
    <t>Ledger Type</t>
  </si>
  <si>
    <t>UW</t>
  </si>
  <si>
    <t>UO</t>
  </si>
  <si>
    <t>SYSTEM</t>
  </si>
  <si>
    <t>WA</t>
  </si>
  <si>
    <t>OR</t>
  </si>
  <si>
    <t>Year</t>
  </si>
  <si>
    <t>2019</t>
  </si>
  <si>
    <t>2020</t>
  </si>
  <si>
    <t>Format</t>
  </si>
  <si>
    <t>AMA</t>
  </si>
  <si>
    <t>Period</t>
  </si>
  <si>
    <t>1</t>
  </si>
  <si>
    <t>2</t>
  </si>
  <si>
    <t>3</t>
  </si>
  <si>
    <t>4</t>
  </si>
  <si>
    <t>5</t>
  </si>
  <si>
    <t>6</t>
  </si>
  <si>
    <t>7</t>
  </si>
  <si>
    <t>8</t>
  </si>
  <si>
    <t>9</t>
  </si>
  <si>
    <t>Currency</t>
  </si>
  <si>
    <t>***</t>
  </si>
  <si>
    <t>CO</t>
  </si>
  <si>
    <t>BUS UNIT</t>
  </si>
  <si>
    <t>OBJ</t>
  </si>
  <si>
    <t>SUB ACCT</t>
  </si>
  <si>
    <t>S/L TYPE</t>
  </si>
  <si>
    <t>S/L NAME</t>
  </si>
  <si>
    <t>CUSTOMER ADVANCES FOR CONSTRUCTION:</t>
  </si>
  <si>
    <t>WA OLD ACCOUNTS</t>
  </si>
  <si>
    <t>00047</t>
  </si>
  <si>
    <t>47WA</t>
  </si>
  <si>
    <t>2520</t>
  </si>
  <si>
    <t>[2000.2900]</t>
  </si>
  <si>
    <t>*</t>
  </si>
  <si>
    <t>NEW ACCOUNTS</t>
  </si>
  <si>
    <t>[000.2000]</t>
  </si>
  <si>
    <t>FORFEITURES</t>
  </si>
  <si>
    <t>47</t>
  </si>
  <si>
    <t>300</t>
  </si>
  <si>
    <t>MRC</t>
  </si>
  <si>
    <t>2991</t>
  </si>
  <si>
    <t>REFUND. CUST COM.</t>
  </si>
  <si>
    <t>2992</t>
  </si>
  <si>
    <t>REFUND. COMM CONTR.</t>
  </si>
  <si>
    <t>2993</t>
  </si>
  <si>
    <t>Ties to account 2520 as shown in the tab titled "Working Capital Work Paper" cell S591-S595</t>
  </si>
  <si>
    <t>DEFERRED TAXES:</t>
  </si>
  <si>
    <t>FED UTIL ACRS DEP.</t>
  </si>
  <si>
    <t>2820</t>
  </si>
  <si>
    <t>96301</t>
  </si>
  <si>
    <t>47OR</t>
  </si>
  <si>
    <t>FED DEBT REFINANCING COSTS</t>
  </si>
  <si>
    <t>2830</t>
  </si>
  <si>
    <t>96302</t>
  </si>
  <si>
    <t>FED CUSTOMER ADVANCES</t>
  </si>
  <si>
    <t>1900</t>
  </si>
  <si>
    <t>96303</t>
  </si>
  <si>
    <t>FED TAX REFORM-PLANT</t>
  </si>
  <si>
    <t>96304</t>
  </si>
  <si>
    <t>FED TAX REFORM-RATE BASE</t>
  </si>
  <si>
    <t>96305</t>
  </si>
  <si>
    <t>STATE UTIL ACRS DEP.</t>
  </si>
  <si>
    <t>86301</t>
  </si>
  <si>
    <t>STATE DEBT REFINANCING COSTS</t>
  </si>
  <si>
    <t>86302</t>
  </si>
  <si>
    <t>STATE CUSTOMER ADVANCES</t>
  </si>
  <si>
    <t>86303</t>
  </si>
  <si>
    <t>STATE TAX REFROM-RATE BASE</t>
  </si>
  <si>
    <t>86305</t>
  </si>
  <si>
    <t>OTHER DEFERRED TAXES:</t>
  </si>
  <si>
    <t>jan</t>
  </si>
  <si>
    <t>feb</t>
  </si>
  <si>
    <t>mar</t>
  </si>
  <si>
    <t>apr</t>
  </si>
  <si>
    <t>may</t>
  </si>
  <si>
    <t>june</t>
  </si>
  <si>
    <t>july</t>
  </si>
  <si>
    <t>aug</t>
  </si>
  <si>
    <t>sept</t>
  </si>
  <si>
    <t>oct</t>
  </si>
  <si>
    <t>nov</t>
  </si>
  <si>
    <t>dec</t>
  </si>
  <si>
    <t>Federal Grossup</t>
  </si>
  <si>
    <t>961</t>
  </si>
  <si>
    <t>Federal FAS 109 adj</t>
  </si>
  <si>
    <t>962</t>
  </si>
  <si>
    <t xml:space="preserve">Federal NonReg </t>
  </si>
  <si>
    <t>Federal Non-current deferred Tax</t>
  </si>
  <si>
    <t>965</t>
  </si>
  <si>
    <t>Federal Current Deferred Tax</t>
  </si>
  <si>
    <t>975</t>
  </si>
  <si>
    <t xml:space="preserve">Federal Customer Advances </t>
  </si>
  <si>
    <t xml:space="preserve">Federal Tax Reform Plant RB </t>
  </si>
  <si>
    <t>Federal Utility Plant Deferred, APB11. RB</t>
  </si>
  <si>
    <t>Federal Def Tax Liability, NonReg</t>
  </si>
  <si>
    <t>Federal Def Tax Liability, NC, Reg</t>
  </si>
  <si>
    <t>Federal Unamortized Loss on Reaquired Debt, RB</t>
  </si>
  <si>
    <t>T/B Total-1900</t>
  </si>
  <si>
    <t>T/B Total-2820</t>
  </si>
  <si>
    <t>T/B Total-2830</t>
  </si>
  <si>
    <t>Amounts</t>
  </si>
  <si>
    <t>D&amp;O Expense</t>
  </si>
  <si>
    <t>Disallowed Percentage</t>
  </si>
  <si>
    <t>Adjustment</t>
  </si>
  <si>
    <t>Amount</t>
  </si>
  <si>
    <t>WA: Waived Late Payment Charges (May-Dec 2020)</t>
  </si>
  <si>
    <t>Note: Not counted within COVID deferral due to outside auditors not allowing until an Order for recovery.</t>
  </si>
  <si>
    <t>MCGWP-1.7</t>
  </si>
  <si>
    <t>State Allocations</t>
  </si>
  <si>
    <t>State Allocationers</t>
  </si>
  <si>
    <t>Employees</t>
  </si>
  <si>
    <t>Gross Plant</t>
  </si>
  <si>
    <t>Employess</t>
  </si>
  <si>
    <t>Mo-Yr</t>
  </si>
  <si>
    <r>
      <t>WA District Employees</t>
    </r>
    <r>
      <rPr>
        <vertAlign val="superscript"/>
        <sz val="11"/>
        <rFont val="Calibri"/>
        <family val="2"/>
        <scheme val="minor"/>
      </rPr>
      <t>1</t>
    </r>
  </si>
  <si>
    <r>
      <t>OR District Employees</t>
    </r>
    <r>
      <rPr>
        <vertAlign val="superscript"/>
        <sz val="11"/>
        <rFont val="Calibri"/>
        <family val="2"/>
        <scheme val="minor"/>
      </rPr>
      <t>1</t>
    </r>
  </si>
  <si>
    <t xml:space="preserve">  Percentage</t>
  </si>
  <si>
    <t>Source: Customers Per Employee report</t>
  </si>
  <si>
    <r>
      <rPr>
        <vertAlign val="superscript"/>
        <sz val="11"/>
        <rFont val="Calibri"/>
        <family val="2"/>
        <scheme val="minor"/>
      </rPr>
      <t xml:space="preserve">1 </t>
    </r>
    <r>
      <rPr>
        <sz val="11"/>
        <rFont val="Calibri"/>
        <family val="2"/>
        <scheme val="minor"/>
      </rPr>
      <t>Human Resources Department Monthly Employee Count Spreadsheet; excluding Interstate employees</t>
    </r>
  </si>
  <si>
    <t>WA Incl. CCNC</t>
  </si>
  <si>
    <t>OR Incl. CCNC</t>
  </si>
  <si>
    <t>Percentage</t>
  </si>
  <si>
    <r>
      <t>WA</t>
    </r>
    <r>
      <rPr>
        <vertAlign val="superscript"/>
        <sz val="11"/>
        <rFont val="Calibri"/>
        <family val="2"/>
        <scheme val="minor"/>
      </rPr>
      <t>2</t>
    </r>
  </si>
  <si>
    <r>
      <t>OR</t>
    </r>
    <r>
      <rPr>
        <vertAlign val="superscript"/>
        <sz val="11"/>
        <rFont val="Calibri"/>
        <family val="2"/>
        <scheme val="minor"/>
      </rPr>
      <t>2</t>
    </r>
  </si>
  <si>
    <t>Average</t>
  </si>
  <si>
    <r>
      <rPr>
        <vertAlign val="super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 xml:space="preserve"> CC&amp;B Revs, Bills, and Therms File</t>
    </r>
  </si>
  <si>
    <r>
      <t>AVG Rate Base</t>
    </r>
    <r>
      <rPr>
        <vertAlign val="superscript"/>
        <sz val="11"/>
        <rFont val="Calibri"/>
        <family val="2"/>
        <scheme val="minor"/>
      </rPr>
      <t>3</t>
    </r>
  </si>
  <si>
    <r>
      <rPr>
        <vertAlign val="superscript"/>
        <sz val="11"/>
        <rFont val="Calibri"/>
        <family val="2"/>
        <scheme val="minor"/>
      </rPr>
      <t>3</t>
    </r>
    <r>
      <rPr>
        <sz val="11"/>
        <rFont val="Calibri"/>
        <family val="2"/>
        <scheme val="minor"/>
      </rPr>
      <t xml:space="preserve"> JD Edwards Rate Base File; used for allocating interest on debt</t>
    </r>
  </si>
  <si>
    <t>Note</t>
  </si>
  <si>
    <t>Exh 301, Proof of Revenue - AC587</t>
  </si>
  <si>
    <t>Exh 301, Proof of Revenue - AC588</t>
  </si>
  <si>
    <t>Exh 301, Proof of Revenue - AC589</t>
  </si>
  <si>
    <t>Allocated</t>
  </si>
  <si>
    <t>Direct</t>
  </si>
  <si>
    <t>3-Factor Allocator</t>
  </si>
  <si>
    <t>FERC Account 913</t>
  </si>
  <si>
    <t xml:space="preserve">WOODLAND CITY CLERK           </t>
  </si>
  <si>
    <t xml:space="preserve">CNG - 2020 Sponsor Movies     </t>
  </si>
  <si>
    <t>Total Account 913</t>
  </si>
  <si>
    <t>FERC Account 930.1</t>
  </si>
  <si>
    <t xml:space="preserve">GRAYS HARBOR MOUNTED POSSE    </t>
  </si>
  <si>
    <t xml:space="preserve">ARENA SIGN RENEWAL 2020       </t>
  </si>
  <si>
    <t xml:space="preserve">MCCLEARY BEAR FESTIVAL        </t>
  </si>
  <si>
    <t xml:space="preserve">Baby Bear Sponsor 2020        </t>
  </si>
  <si>
    <t>NORTHWEST EVENT ORGANIZERS INC</t>
  </si>
  <si>
    <t xml:space="preserve">SUMMER FJORD AD               </t>
  </si>
  <si>
    <t xml:space="preserve">AD DEPARTMENT, INC            </t>
  </si>
  <si>
    <t xml:space="preserve">4H TRIBUTE                    </t>
  </si>
  <si>
    <t xml:space="preserve">ADDEPT MEDIA, LLC             </t>
  </si>
  <si>
    <t xml:space="preserve">PROMO PAGE VETERANS DAY       </t>
  </si>
  <si>
    <t>PARTNERS FOR RESPONSIBLE ENERG</t>
  </si>
  <si>
    <t xml:space="preserve">Contribution to NG Coalition  </t>
  </si>
  <si>
    <t>SPONSORSHIP</t>
  </si>
  <si>
    <t>MISSOURI RIVER CLAY TARGET LEA</t>
  </si>
  <si>
    <t>RELENTLESS 5K</t>
  </si>
  <si>
    <t>GIRL SCOUTS DAKOTA HORIZONS</t>
  </si>
  <si>
    <t>C FONG 1-20</t>
  </si>
  <si>
    <t>C FONG 2-20</t>
  </si>
  <si>
    <t>C FONG 4-20</t>
  </si>
  <si>
    <t>Acct 104-60043089</t>
  </si>
  <si>
    <t>BISMARCK TRIBUNE - advertising</t>
  </si>
  <si>
    <t>ADVERTISING</t>
  </si>
  <si>
    <t>ALERT MAGAZINE</t>
  </si>
  <si>
    <t>THE MHS COURIER</t>
  </si>
  <si>
    <t>BHS Hi-Herald</t>
  </si>
  <si>
    <t>PROGRAM AD</t>
  </si>
  <si>
    <t>MANDAN BOYS HOCKEY</t>
  </si>
  <si>
    <t>Acct 1593</t>
  </si>
  <si>
    <t>COACHES CHOICE INC</t>
  </si>
  <si>
    <t>CUST 1593</t>
  </si>
  <si>
    <t>2020 Econ Outlook Seminar</t>
  </si>
  <si>
    <t>BUREAU OF BUSINESS &amp; ECONOMIC</t>
  </si>
  <si>
    <t>DOC #4397</t>
  </si>
  <si>
    <t>Dec 2019 MDUR ND sales tax ref</t>
  </si>
  <si>
    <t>DOC #4422</t>
  </si>
  <si>
    <t>DOC #4520</t>
  </si>
  <si>
    <t>CONTRACT 6813</t>
  </si>
  <si>
    <t>SPOTLIGHT MEDIA</t>
  </si>
  <si>
    <t>DONATION JR GOLF CLASSIC</t>
  </si>
  <si>
    <t>OPTIMIST CLUB OF BISMARCK</t>
  </si>
  <si>
    <t>CITY SCAN ADVERTISING</t>
  </si>
  <si>
    <t>NORTH DAKOTA LEAGUE OF CITIES</t>
  </si>
  <si>
    <t>team sponsor</t>
  </si>
  <si>
    <t>BISMARCK PARKS &amp; RECREATION DI</t>
  </si>
  <si>
    <t>2020 convention welcome bag</t>
  </si>
  <si>
    <t>NORTH DAKOTA NEWSPAPER ASSOC</t>
  </si>
  <si>
    <t>2020 CONVENTION</t>
  </si>
  <si>
    <t>SOUTH DAKOTA NEWSPAPER ASSOCIA</t>
  </si>
  <si>
    <t>MARCH SPONSORSHIP</t>
  </si>
  <si>
    <t>BISMARCK LARKS BASEBALL TEAM</t>
  </si>
  <si>
    <t xml:space="preserve"> Presidents Cup golf classic</t>
  </si>
  <si>
    <t>BISMARCK STATE COLLEGE FOUNDAT</t>
  </si>
  <si>
    <t>Sponsorship refund</t>
  </si>
  <si>
    <t>C FONG 5-20</t>
  </si>
  <si>
    <t>OTHER SERVICES/BEVERAGES</t>
  </si>
  <si>
    <t>BSC STUDENT FINANCE</t>
  </si>
  <si>
    <t>Economic Outlook Forum</t>
  </si>
  <si>
    <t>C FONG 7-20</t>
  </si>
  <si>
    <t>GNDC Policy Summit Sponsor</t>
  </si>
  <si>
    <t>MSA United Way Campaign</t>
  </si>
  <si>
    <t>N FERDERER 7-20</t>
  </si>
  <si>
    <t>2020 SPONSOR</t>
  </si>
  <si>
    <t>BISMARCK MARATHON</t>
  </si>
  <si>
    <t>CUST ACCOUNT  1051</t>
  </si>
  <si>
    <t>Online Directory ad</t>
  </si>
  <si>
    <t>MONTANA ASSOCIATION OF COUNTIE</t>
  </si>
  <si>
    <t>PBR bull riding silver sponsor</t>
  </si>
  <si>
    <t>Chad Berger Bucking Bulls</t>
  </si>
  <si>
    <t>STEM Expo</t>
  </si>
  <si>
    <t>C FONG 8-20</t>
  </si>
  <si>
    <t>Logoed Apparel</t>
  </si>
  <si>
    <t>2020-21</t>
  </si>
  <si>
    <t>BOBCAT HOCKEY</t>
  </si>
  <si>
    <t>sponsor-on ice ad</t>
  </si>
  <si>
    <t>CAPITAL CURLING CLUB</t>
  </si>
  <si>
    <t>TLC SPONSORSHIP</t>
  </si>
  <si>
    <t>DAKOTA WEST ARTS COUNCIL INVOI</t>
  </si>
  <si>
    <t>Job Posting - VP General Coun</t>
  </si>
  <si>
    <t>A JONES 9-20</t>
  </si>
  <si>
    <t>corporate sponsor</t>
  </si>
  <si>
    <t>BISMARCK FIGURE SKATING CLUB</t>
  </si>
  <si>
    <t>TEEN OF THE WEEK SEPT</t>
  </si>
  <si>
    <t>Fall Program Ad</t>
  </si>
  <si>
    <t>BISMARCK ART &amp; GALLERIES ASSOC</t>
  </si>
  <si>
    <t>COMMUNITY BOWL PROJECT</t>
  </si>
  <si>
    <t>BISMARCK MANDAN CHAMBER FOUNDA</t>
  </si>
  <si>
    <t>2020-21 platinum sponsor</t>
  </si>
  <si>
    <t>WOMEN'S BUSINESS SUMMIT</t>
  </si>
  <si>
    <t>CTB</t>
  </si>
  <si>
    <t>DOC 7365</t>
  </si>
  <si>
    <t xml:space="preserve"> Oct 2020 ND sales tax refund</t>
  </si>
  <si>
    <t>PNWER sponsorship</t>
  </si>
  <si>
    <t>C FONG 11-20</t>
  </si>
  <si>
    <t>sign ad - 3 yrs</t>
  </si>
  <si>
    <t>DICKINSON HOCKEY CLUB</t>
  </si>
  <si>
    <t>2021 Sponsorship</t>
  </si>
  <si>
    <t>Customer # 1593</t>
  </si>
  <si>
    <t>Total Account 930.1</t>
  </si>
  <si>
    <t>Adjusted current margin revenues using weather normalized volumes at current margin rates</t>
  </si>
  <si>
    <t>Difference</t>
  </si>
  <si>
    <t>Less Total Cap Adjustments</t>
  </si>
  <si>
    <t>Subtotal</t>
  </si>
  <si>
    <t>Less Unbilled Margins Booked</t>
  </si>
  <si>
    <t>Add Current Rates UG-200568</t>
  </si>
  <si>
    <t>Revenue Migration</t>
  </si>
  <si>
    <t>EOP Adjustment</t>
  </si>
  <si>
    <t>Total EOP Revenue Adjustment</t>
  </si>
  <si>
    <t>Account No</t>
  </si>
  <si>
    <t>2020 [1] Non-Capital Wages</t>
  </si>
  <si>
    <t>Wage Increase Date</t>
  </si>
  <si>
    <t>Year-to-date [1] Annual Wage Prior to Increase</t>
  </si>
  <si>
    <t>[2]</t>
  </si>
  <si>
    <t>2020 Annualized Wage Increase</t>
  </si>
  <si>
    <t>Total Wages</t>
  </si>
  <si>
    <t>2021 Wage Increase [3]</t>
  </si>
  <si>
    <t>2021 Wage Increase</t>
  </si>
  <si>
    <t>2021 Total Wages</t>
  </si>
  <si>
    <t>2022 Wage Increase</t>
  </si>
  <si>
    <t>2022 Wages</t>
  </si>
  <si>
    <t>Total Restate Wage Adjustment</t>
  </si>
  <si>
    <t>Total Pro Forma Wage Adjustment</t>
  </si>
  <si>
    <t>Non-Union</t>
  </si>
  <si>
    <t>Jan 1 2020</t>
  </si>
  <si>
    <t>Union</t>
  </si>
  <si>
    <t>Apr 1 2020</t>
  </si>
  <si>
    <t>Employer FICA</t>
  </si>
  <si>
    <t>Other Gas Supply</t>
  </si>
  <si>
    <t>28130</t>
  </si>
  <si>
    <t>Operations</t>
  </si>
  <si>
    <t>Operation Supervision &amp; Engineering</t>
  </si>
  <si>
    <t>28700</t>
  </si>
  <si>
    <t>28710</t>
  </si>
  <si>
    <t>Routine Main/Service Operation</t>
  </si>
  <si>
    <t>28740</t>
  </si>
  <si>
    <t>Routine Meter and House Regulator</t>
  </si>
  <si>
    <t>Distribution Maps/Records &amp; Misc.</t>
  </si>
  <si>
    <t>28800</t>
  </si>
  <si>
    <t>Maintenance Supervision &amp; Engineering</t>
  </si>
  <si>
    <t>Mains-Maintenance</t>
  </si>
  <si>
    <t>28870</t>
  </si>
  <si>
    <t>Pipeline</t>
  </si>
  <si>
    <t>28871</t>
  </si>
  <si>
    <t>Maintenance of Measuring &amp; Regulating</t>
  </si>
  <si>
    <t>Maintenance of Services</t>
  </si>
  <si>
    <t>28920</t>
  </si>
  <si>
    <t>Meter/Regulator Maintenance</t>
  </si>
  <si>
    <t>28930</t>
  </si>
  <si>
    <t>Maintenance of Other</t>
  </si>
  <si>
    <t>Customer Accounting Supervision</t>
  </si>
  <si>
    <t>Routine Meter Reading</t>
  </si>
  <si>
    <t>Customer Collection</t>
  </si>
  <si>
    <t>29030</t>
  </si>
  <si>
    <t>Routine Customer Assistance</t>
  </si>
  <si>
    <t>Misc. Customer Service &amp; Information</t>
  </si>
  <si>
    <t>Demonstration</t>
  </si>
  <si>
    <t>Administration &amp; General</t>
  </si>
  <si>
    <t>29200</t>
  </si>
  <si>
    <t>Office Suplies &amp; Expenses</t>
  </si>
  <si>
    <t xml:space="preserve">Compressor Station Operating </t>
  </si>
  <si>
    <t>Measuring and Regulating-General</t>
  </si>
  <si>
    <t>Measuring and Regulating-Industrial</t>
  </si>
  <si>
    <t>Customer Installation</t>
  </si>
  <si>
    <t>Compressor Station Maintenance</t>
  </si>
  <si>
    <t>5110: O&amp;M Straight time allocated to CNG by Business Unit for 2020</t>
  </si>
  <si>
    <t>4760100 EVP Business Dev./Gas Supply</t>
  </si>
  <si>
    <t>4760300 Dir. Process Imprvmt &amp; Oper. Tech</t>
  </si>
  <si>
    <t>4760500 MDUR Cross Charges to CNGC</t>
  </si>
  <si>
    <t>4760600 Human Resources</t>
  </si>
  <si>
    <t>4760800 Customer Service</t>
  </si>
  <si>
    <t>4760900 Business Development</t>
  </si>
  <si>
    <t>4761700 Human Resource Director</t>
  </si>
  <si>
    <t>4761800 VP Safety, Proc. Improv. Tech.</t>
  </si>
  <si>
    <t>4762000 Technical Training</t>
  </si>
  <si>
    <t>4762300 Dir. Operations Policies &amp; Proc.</t>
  </si>
  <si>
    <t>4762500 VP Field Operations</t>
  </si>
  <si>
    <t>4762900 Mgr. Gas Measurement</t>
  </si>
  <si>
    <t>4763000 Dir. Quality Control</t>
  </si>
  <si>
    <t>4763100 Mgr, Safety</t>
  </si>
  <si>
    <t>4763400 Enterprised GIS</t>
  </si>
  <si>
    <t>4765800 Dir. Operations Services</t>
  </si>
  <si>
    <t>4766000 VP Operations &amp; Eng. Services</t>
  </si>
  <si>
    <t>4766300 Dir. of Construction Services</t>
  </si>
  <si>
    <t>4766400 Mgr. Operations Systems</t>
  </si>
  <si>
    <t>4766500 Dir. Systems Integrity</t>
  </si>
  <si>
    <t>4766600 Safety Mgmt. &amp; Qlty. Assur.</t>
  </si>
  <si>
    <t>4766900 Dir. of Engineering Services</t>
  </si>
  <si>
    <t>4767000 Credit and Collections</t>
  </si>
  <si>
    <t>4767100 Customer Service Director</t>
  </si>
  <si>
    <t>4767200 Meridian Customer Service</t>
  </si>
  <si>
    <t>4767300 Customer Development Service</t>
  </si>
  <si>
    <t>4767400 Scheduling</t>
  </si>
  <si>
    <t>4767500 Compliance Systems &amp; Telecom</t>
  </si>
  <si>
    <t>4767600 Information Tech, Director</t>
  </si>
  <si>
    <t>4767700 Communications</t>
  </si>
  <si>
    <t>4767800 Information Systems</t>
  </si>
  <si>
    <t>4767900 Field Automation</t>
  </si>
  <si>
    <t>4769000 Environmental</t>
  </si>
  <si>
    <t>4769200 EVP Reg Cust Srv</t>
  </si>
  <si>
    <t>4769300 Dir. Gas Supply &amp; Control</t>
  </si>
  <si>
    <t>4769400 Utility Group Controller</t>
  </si>
  <si>
    <t>4769500 Human Resources</t>
  </si>
  <si>
    <t>4769600 President &amp; CEO</t>
  </si>
  <si>
    <t>Total Allocated Accounts</t>
  </si>
  <si>
    <t>[1] Provided by Cascade Human Resources Accounting System</t>
  </si>
  <si>
    <t>[2] Union increase from the 2018 Agreement between CNGC and Local No. 121-C of the International Chemical Workers' Union Council/UFCW</t>
  </si>
  <si>
    <t>[3] Union increase from the 2021 Agreement between CNGC and Local No. 121-C of the International Chemical Workers' Union Council/UFCW</t>
  </si>
  <si>
    <t>Descripton</t>
  </si>
  <si>
    <t>Figures</t>
  </si>
  <si>
    <t>WA-Direct</t>
  </si>
  <si>
    <t>WA-Allocated</t>
  </si>
  <si>
    <t>IGC-WA</t>
  </si>
  <si>
    <t>MDU-WA</t>
  </si>
  <si>
    <t>MDUR- WA</t>
  </si>
  <si>
    <t>MDUR Exec Incentive Plan</t>
  </si>
  <si>
    <t>MDUR Employee Incentive Plan</t>
  </si>
  <si>
    <t>MDU Exec Incentive Plan</t>
  </si>
  <si>
    <t>MDU Employee Incentive Plan</t>
  </si>
  <si>
    <t>IGC Exec Incentive Plan</t>
  </si>
  <si>
    <t>CNG Direct Employee Incentive Plan</t>
  </si>
  <si>
    <t>CNG Allocated Employee Incentive Plan</t>
  </si>
  <si>
    <t>Total WA Executive Incentives</t>
  </si>
  <si>
    <t>Remove Executive Incentives</t>
  </si>
  <si>
    <t>Total Incentives</t>
  </si>
  <si>
    <t>Executive Incentives</t>
  </si>
  <si>
    <t>Employee Incentives</t>
  </si>
  <si>
    <t>5-YR Avg</t>
  </si>
  <si>
    <t>5-YR Avg of Incentives Adj.</t>
  </si>
  <si>
    <t>Total incentive adjustment</t>
  </si>
  <si>
    <t>Avg Cost of Debt</t>
  </si>
  <si>
    <t>TY Interest Expense</t>
  </si>
  <si>
    <t>Taxes</t>
  </si>
  <si>
    <t>Total Adjustment</t>
  </si>
  <si>
    <t>Costs</t>
  </si>
  <si>
    <t>Unamort Balance</t>
  </si>
  <si>
    <t>Amort Period</t>
  </si>
  <si>
    <t>Annual Amortization</t>
  </si>
  <si>
    <t>2017 Deferral</t>
  </si>
  <si>
    <t>Beg. Aug. 2018 (UG-170929)</t>
  </si>
  <si>
    <t>2018 Deferral</t>
  </si>
  <si>
    <t>Beg. Mar 2020 (UG-190210)</t>
  </si>
  <si>
    <t>2019 Deferral</t>
  </si>
  <si>
    <t>Beg. July 2021 (UG-200568)</t>
  </si>
  <si>
    <t>Total Costs</t>
  </si>
  <si>
    <t>New Annual Amortization</t>
  </si>
  <si>
    <t>Test Year Amortization Expense</t>
  </si>
  <si>
    <t>Allocator (3-Factor Formula)</t>
  </si>
  <si>
    <t>Bus'n</t>
  </si>
  <si>
    <t>Sub</t>
  </si>
  <si>
    <t xml:space="preserve">           Operating Investment</t>
  </si>
  <si>
    <t>Ln</t>
  </si>
  <si>
    <t>Acct</t>
  </si>
  <si>
    <t>Invested</t>
  </si>
  <si>
    <t>#</t>
  </si>
  <si>
    <t>Unit</t>
  </si>
  <si>
    <t>December 2019</t>
  </si>
  <si>
    <t>Jauary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</si>
  <si>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</si>
  <si>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</si>
  <si>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</si>
  <si>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</si>
  <si>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</si>
  <si>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</si>
  <si>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</si>
  <si>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</si>
  <si>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</si>
  <si>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</si>
  <si>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</si>
  <si>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AMA Total</t>
  </si>
  <si>
    <t>Assets</t>
  </si>
  <si>
    <t>Liabilities</t>
  </si>
  <si>
    <t>Capital</t>
  </si>
  <si>
    <t>Washington</t>
  </si>
  <si>
    <t>Oregon</t>
  </si>
  <si>
    <t>Non-Utility</t>
  </si>
  <si>
    <t>Invested Capital</t>
  </si>
  <si>
    <t>Working Capital</t>
  </si>
  <si>
    <t>(a)</t>
  </si>
  <si>
    <t>(b)</t>
  </si>
  <si>
    <t>( c)</t>
  </si>
  <si>
    <t>(d)</t>
  </si>
  <si>
    <t>( e)</t>
  </si>
  <si>
    <t>(f)</t>
  </si>
  <si>
    <t>(g)</t>
  </si>
  <si>
    <t>(h)</t>
  </si>
  <si>
    <t>1012</t>
  </si>
  <si>
    <t>Gas Plant In Service</t>
  </si>
  <si>
    <t>See tab "Plant in Serv &amp; Accum Depr", cell AF159, for WA amount in CNG Exh MCP 2-6 and WP-1 3-29-19</t>
  </si>
  <si>
    <t>Gas Plant In Service-Excluding ARO</t>
  </si>
  <si>
    <t>Gas Plant In Service-ARO Only</t>
  </si>
  <si>
    <t>1062</t>
  </si>
  <si>
    <t>Gas Plant Completed Not Classified</t>
  </si>
  <si>
    <t>@ACCTCatCode02:107</t>
  </si>
  <si>
    <t>CWIP - Gas</t>
  </si>
  <si>
    <t xml:space="preserve">   TOTAL UTILITY PLANT</t>
  </si>
  <si>
    <t>1082</t>
  </si>
  <si>
    <t>RWIP - Gas</t>
  </si>
  <si>
    <t>Accum Prov Deprec - Gas Util</t>
  </si>
  <si>
    <t>Accum Prov Deprec - Gas Util Excluding ARO</t>
  </si>
  <si>
    <t>1084</t>
  </si>
  <si>
    <t>Accum Prov Deprec - Gas Util ARO Only</t>
  </si>
  <si>
    <t>1112</t>
  </si>
  <si>
    <t>Amortization Expense (Intangible Plant)</t>
  </si>
  <si>
    <t>1152</t>
  </si>
  <si>
    <t>Accum Prov for Gas Acq Adj</t>
  </si>
  <si>
    <t xml:space="preserve">    Subtotal - Accum Depreciation</t>
  </si>
  <si>
    <t>1087</t>
  </si>
  <si>
    <t>Accum Prov Gas - Non-ARO</t>
  </si>
  <si>
    <t>1088</t>
  </si>
  <si>
    <t>Gas Accum Prov ARO</t>
  </si>
  <si>
    <t xml:space="preserve">   Subtotal - reclassed Accum Deprec</t>
  </si>
  <si>
    <t xml:space="preserve">   TOTAL ACCUM DEPRECIATION</t>
  </si>
  <si>
    <t>See tab "Plant in Serv &amp; Accum Depr", cell AF165, for WA amount in CNG Exh MCP 2-6 and WP-1 3-29-19</t>
  </si>
  <si>
    <t xml:space="preserve">    NET PLANT</t>
  </si>
  <si>
    <t>1231</t>
  </si>
  <si>
    <t xml:space="preserve">Investment in Subs </t>
  </si>
  <si>
    <t xml:space="preserve">   TOTAL INVESTMENT IN SUBS</t>
  </si>
  <si>
    <t>1244</t>
  </si>
  <si>
    <t>Other Investments - Funds held in trust</t>
  </si>
  <si>
    <t>Other Investments - Misc Insurance Assets</t>
  </si>
  <si>
    <t>Other Investments - SISP Defined Cont Plan</t>
  </si>
  <si>
    <t>1210</t>
  </si>
  <si>
    <t>Nonutility Property</t>
  </si>
  <si>
    <t>1220</t>
  </si>
  <si>
    <t>Nonutility Acc Prov Depr &amp; Amort</t>
  </si>
  <si>
    <t xml:space="preserve">   TOTAL OTHER INVESTMENTS</t>
  </si>
  <si>
    <t>1310</t>
  </si>
  <si>
    <t>Cash - Negative Cash Reclass</t>
  </si>
  <si>
    <t>2104</t>
  </si>
  <si>
    <t>Cash - General Account US Bank</t>
  </si>
  <si>
    <t>2105</t>
  </si>
  <si>
    <t>Cash - Acct Payable Disbursement</t>
  </si>
  <si>
    <t>2106</t>
  </si>
  <si>
    <t>Cash - Payroll Disbursement</t>
  </si>
  <si>
    <t>2107</t>
  </si>
  <si>
    <t>Cash - Concentration AP and Payroll</t>
  </si>
  <si>
    <t>2110</t>
  </si>
  <si>
    <t>Money Center Acctount - US Bank</t>
  </si>
  <si>
    <t>2199</t>
  </si>
  <si>
    <t>Money Sweep (REPO) Account</t>
  </si>
  <si>
    <t>1350</t>
  </si>
  <si>
    <t>47031</t>
  </si>
  <si>
    <t>Working Funds - Aberdeen</t>
  </si>
  <si>
    <t>47088</t>
  </si>
  <si>
    <t>Working Funds - Bellingham</t>
  </si>
  <si>
    <t>47107</t>
  </si>
  <si>
    <t>Working Funds - Bremerton</t>
  </si>
  <si>
    <t>47531</t>
  </si>
  <si>
    <t>Working Funds - Longview</t>
  </si>
  <si>
    <t xml:space="preserve">   TOTAL CASH</t>
  </si>
  <si>
    <t>1360</t>
  </si>
  <si>
    <t>2101</t>
  </si>
  <si>
    <t>Temporary Cash Investments - Money Center Account - US Bank</t>
  </si>
  <si>
    <t>2103</t>
  </si>
  <si>
    <t>Temporary Cash Investments - Money Sweep (REPO) Account</t>
  </si>
  <si>
    <t xml:space="preserve">   TOTAL CASH EQUIVALENTS</t>
  </si>
  <si>
    <t>1420</t>
  </si>
  <si>
    <t>Customer Accounts Receivable - Suspense</t>
  </si>
  <si>
    <t>Customer Accounts Receivable - Gas</t>
  </si>
  <si>
    <t>Customer Accounts Receivable - Large Volume</t>
  </si>
  <si>
    <t>Customer Accounts Receivable - BPP Reclass</t>
  </si>
  <si>
    <t>1432</t>
  </si>
  <si>
    <t>00</t>
  </si>
  <si>
    <t>Other Accounts Receivable - Misc.</t>
  </si>
  <si>
    <t>Other Accounts Receivable - Billing Clearing Control</t>
  </si>
  <si>
    <t>Other Accounts Receivable - Empolyee Receivable</t>
  </si>
  <si>
    <t>Other Accounts Receivable - Old Cascade SISP Payments &amp; Unbilled Oregon PPF accrual</t>
  </si>
  <si>
    <t>Other Accounts Receivable - Federal Income Tax</t>
  </si>
  <si>
    <t>Other Accounts Receivable - State Income Tax</t>
  </si>
  <si>
    <t>20</t>
  </si>
  <si>
    <t>Other Accounts Receivable - Prepaid FIN48 - Current</t>
  </si>
  <si>
    <t>47G</t>
  </si>
  <si>
    <t>100</t>
  </si>
  <si>
    <t>Receivable Federal Income Tax</t>
  </si>
  <si>
    <t xml:space="preserve">   Subtotal - Other A/R</t>
  </si>
  <si>
    <t xml:space="preserve">   </t>
  </si>
  <si>
    <t>1410</t>
  </si>
  <si>
    <t>1*</t>
  </si>
  <si>
    <t xml:space="preserve">Notes Receivable - Imperium Renewable  </t>
  </si>
  <si>
    <t>2*</t>
  </si>
  <si>
    <t>Notes Receivable - Touchstone</t>
  </si>
  <si>
    <t>1460</t>
  </si>
  <si>
    <t>000</t>
  </si>
  <si>
    <t>Accts Receivable - MDU</t>
  </si>
  <si>
    <t>001*</t>
  </si>
  <si>
    <t>Accts Receivable - MDUR Resources</t>
  </si>
  <si>
    <t>041*</t>
  </si>
  <si>
    <t>Accts Receivable - Centenial Holdings</t>
  </si>
  <si>
    <t>067*</t>
  </si>
  <si>
    <t>Accts Receivable - CSG</t>
  </si>
  <si>
    <t>044*</t>
  </si>
  <si>
    <t>Accts Receivable - FutureSource</t>
  </si>
  <si>
    <t>046*</t>
  </si>
  <si>
    <t>Accts Receivable - PCEH</t>
  </si>
  <si>
    <t>048*</t>
  </si>
  <si>
    <t>Accts Receivable - IGC</t>
  </si>
  <si>
    <t>060*</t>
  </si>
  <si>
    <t>Accts Receivable - WBI</t>
  </si>
  <si>
    <t>062*</t>
  </si>
  <si>
    <t>Accts Receivable - Knife River</t>
  </si>
  <si>
    <t xml:space="preserve">   Subtotal - Interco A/R</t>
  </si>
  <si>
    <t>1466</t>
  </si>
  <si>
    <t>Intercompany settlements</t>
  </si>
  <si>
    <t xml:space="preserve">   TOTAL RECEIVABLES</t>
  </si>
  <si>
    <t>1442</t>
  </si>
  <si>
    <t>Accum Prov for Uncollect - Gas Balance Forward</t>
  </si>
  <si>
    <t>Accum Prov for Uncollect - Gas Current Year Write-Offs</t>
  </si>
  <si>
    <t>Accum Prov for Uncollect - Gas Current Year Recoveries</t>
  </si>
  <si>
    <t>400</t>
  </si>
  <si>
    <t>Accum Prov for Uncollect - Gas Current Year Provision</t>
  </si>
  <si>
    <t>1443</t>
  </si>
  <si>
    <t>Accum Prov for Uncollect - Large Volume Balance Forward</t>
  </si>
  <si>
    <t>Accum Prov for Uncollect - Large Volume Current Year Write-Offs</t>
  </si>
  <si>
    <t>Accum Prov for Uncollect - Large Volume Current Year Recoveries</t>
  </si>
  <si>
    <t>Accum Prov for Uncollect - Large Volume Current Year Provision</t>
  </si>
  <si>
    <t>1449</t>
  </si>
  <si>
    <t>Other Receivables - Balance Forward</t>
  </si>
  <si>
    <t>Other Receivables - Current Year Write-Offs</t>
  </si>
  <si>
    <t>Other Receivables - Current Year Recoveries</t>
  </si>
  <si>
    <t>Other Receivables - Current Year Provision</t>
  </si>
  <si>
    <t xml:space="preserve">   TOTAL ACCUM PROV UNCOLLECT</t>
  </si>
  <si>
    <t xml:space="preserve">   NET RECEIVABLES</t>
  </si>
  <si>
    <t>1540</t>
  </si>
  <si>
    <t>2300</t>
  </si>
  <si>
    <t>Plant Materials &amp; Op Supplies - Central Stores</t>
  </si>
  <si>
    <t>47031000</t>
  </si>
  <si>
    <t>Plant Materials &amp; Op Supplies - Aberdeen</t>
  </si>
  <si>
    <t>47088000</t>
  </si>
  <si>
    <t>Plant Materials &amp; Op Supplies - Bellingham</t>
  </si>
  <si>
    <t>47090000</t>
  </si>
  <si>
    <t>Plant Materials &amp; Op Supplies - Bend</t>
  </si>
  <si>
    <t>47107000</t>
  </si>
  <si>
    <t>Plant Materials &amp; Op Supplies - Bremerton</t>
  </si>
  <si>
    <t>47358000</t>
  </si>
  <si>
    <t>Plant Materials &amp; Op Supplies - Hermiston</t>
  </si>
  <si>
    <t>47491000</t>
  </si>
  <si>
    <t>Plant Materials &amp; Op Supplies - Kennewick</t>
  </si>
  <si>
    <t>47531000</t>
  </si>
  <si>
    <t>Plant Materials &amp; Op Supplies - Longview</t>
  </si>
  <si>
    <t>47585000</t>
  </si>
  <si>
    <t>Plant Materials &amp; Op Supplies - Moses Lake</t>
  </si>
  <si>
    <t>47586000</t>
  </si>
  <si>
    <t>Plant Materials &amp; Op Supplies - Mount Vernon</t>
  </si>
  <si>
    <t>47586001</t>
  </si>
  <si>
    <t>Plant Materials &amp; Op Supplies - Mount Vernon Fab Shop</t>
  </si>
  <si>
    <t>47657000</t>
  </si>
  <si>
    <t>Plant Materials &amp; Op Supplies - Ontario</t>
  </si>
  <si>
    <t>47698000</t>
  </si>
  <si>
    <t>Plant Materials &amp; Op Supplies - Pendleton</t>
  </si>
  <si>
    <t>47920000</t>
  </si>
  <si>
    <t>Plant Materials &amp; Op Supplies - Walla Walla</t>
  </si>
  <si>
    <t>47931000</t>
  </si>
  <si>
    <t>Plant Materials &amp; Op Supplies - Wenatchee</t>
  </si>
  <si>
    <t>47968000</t>
  </si>
  <si>
    <t>Plant Materials &amp; Op Supplies - Yakima</t>
  </si>
  <si>
    <t>47968001</t>
  </si>
  <si>
    <t>Plant Materials &amp; Op Supplies - Yakima Fab Shop</t>
  </si>
  <si>
    <t>2308</t>
  </si>
  <si>
    <t>Plant Materials &amp; Op Supplies - Odorant Inventory</t>
  </si>
  <si>
    <t>2400</t>
  </si>
  <si>
    <t>Plant Materials &amp; Op Supplies - Truck Stock WA</t>
  </si>
  <si>
    <t>1630</t>
  </si>
  <si>
    <t>2301</t>
  </si>
  <si>
    <t>Undistributed Stores Exp - Inventory Freight Clearing</t>
  </si>
  <si>
    <t>2401</t>
  </si>
  <si>
    <t>Undistributed Stores Exp - Non-Inventory Purchases Clearing</t>
  </si>
  <si>
    <t>2501</t>
  </si>
  <si>
    <t>Undistributed Stores Exp - Inventory Adjustment/Variance Clearing</t>
  </si>
  <si>
    <t>1641</t>
  </si>
  <si>
    <t>Pipeline Imbalances</t>
  </si>
  <si>
    <t>Storage Boil-Off</t>
  </si>
  <si>
    <t>1642</t>
  </si>
  <si>
    <t>Liquified Natural Gas Stored</t>
  </si>
  <si>
    <t xml:space="preserve">    NET INVENTORIES</t>
  </si>
  <si>
    <t>1655</t>
  </si>
  <si>
    <t xml:space="preserve">Prepayments - Insurance  </t>
  </si>
  <si>
    <t>1659</t>
  </si>
  <si>
    <t>18</t>
  </si>
  <si>
    <t>Prepayments - Federal Income Tax</t>
  </si>
  <si>
    <t>19</t>
  </si>
  <si>
    <t>Prepayments - State Income Tax</t>
  </si>
  <si>
    <t>Prepayments - FIN48 Current</t>
  </si>
  <si>
    <t>22</t>
  </si>
  <si>
    <t>Prepayments - Gas Storage</t>
  </si>
  <si>
    <t>23</t>
  </si>
  <si>
    <t>Prepayments - Other</t>
  </si>
  <si>
    <t>14</t>
  </si>
  <si>
    <t>Prepayments - Software Maintenance Fee</t>
  </si>
  <si>
    <t>15</t>
  </si>
  <si>
    <t>Prepayments - Gas Cost</t>
  </si>
  <si>
    <t>Prepayments - Gross Revenue Fee</t>
  </si>
  <si>
    <t>Prepayments - Dept. of Energy Fee</t>
  </si>
  <si>
    <t>Prepayments - Property Tax</t>
  </si>
  <si>
    <t xml:space="preserve"> Prepayments - Vehicle Licensing </t>
  </si>
  <si>
    <t>1860</t>
  </si>
  <si>
    <t>20425</t>
  </si>
  <si>
    <t>Misc Def Dr - Regulatory assets current Core Gas Supply Hedging</t>
  </si>
  <si>
    <t>20424</t>
  </si>
  <si>
    <t>1747</t>
  </si>
  <si>
    <t>Misc Current and Accrued Assets</t>
  </si>
  <si>
    <t>1750</t>
  </si>
  <si>
    <t>Derivative Instruments - Current</t>
  </si>
  <si>
    <t>Prepaid Federal Income Tax</t>
  </si>
  <si>
    <t xml:space="preserve">   TOTAL CURRENT &amp; ACCR ASSETS</t>
  </si>
  <si>
    <t>1732</t>
  </si>
  <si>
    <t>Accrued Gas Revenues - Unbilled Residential</t>
  </si>
  <si>
    <t>Accrued Gas Revenues - Unbilled Commercial</t>
  </si>
  <si>
    <t>Accrued Gas Revenues - Unbilled Industrial</t>
  </si>
  <si>
    <t>1734</t>
  </si>
  <si>
    <t>Accrued Transportation Revenues - Unbilled Transportation</t>
  </si>
  <si>
    <t>Accrued Transportation Revenues - Unbilled Transportation - Egen</t>
  </si>
  <si>
    <t xml:space="preserve">   TOTAL ACCRUED REVENUES</t>
  </si>
  <si>
    <t>Accumulated Deferred Income Tax - Federal FAS109 Grossup</t>
  </si>
  <si>
    <t>Accumulated Deferred Income Tax - Federal FAS109 Adjustment</t>
  </si>
  <si>
    <t>Accumulated Deferred Income Tax - Federal Customer Advances</t>
  </si>
  <si>
    <t>964</t>
  </si>
  <si>
    <t>Accumulated Deferred Income Tax - Federal NonReg</t>
  </si>
  <si>
    <t>Accumulated Deferred Income Tax - Federal noncurrent Reg</t>
  </si>
  <si>
    <t>Accumulated Deferred Income Tax - Federal current Reg</t>
  </si>
  <si>
    <t>861</t>
  </si>
  <si>
    <t>Accumulated Deferred Income Tax - State FAS109 Grossup</t>
  </si>
  <si>
    <t>862</t>
  </si>
  <si>
    <t>Accumulated Deferred Income Tax - State FAS109 Adjustment</t>
  </si>
  <si>
    <t>Accumulated Deferred Income Tax - State Customer Advances</t>
  </si>
  <si>
    <t>Accumulated Deferred Income Tax - State Tax Reform Plant RB</t>
  </si>
  <si>
    <t>864</t>
  </si>
  <si>
    <t>Accumulated Deferred Income Tax - State NonReg</t>
  </si>
  <si>
    <t>865</t>
  </si>
  <si>
    <t>Accumulated Deferred Income Tax - State noncurrent Reg</t>
  </si>
  <si>
    <t>Accumulated Deferred Income Tax - State current Reg</t>
  </si>
  <si>
    <t>Accumulated Deferred Income Tax - Federal Tax Reform Plant RB</t>
  </si>
  <si>
    <t>1910</t>
  </si>
  <si>
    <t>(Over) Under Recovery of Purchased Gas</t>
  </si>
  <si>
    <t>100OR</t>
  </si>
  <si>
    <t>(Over) Under Recovery of Purchased Gas Costs</t>
  </si>
  <si>
    <t>100WA</t>
  </si>
  <si>
    <t>101WA</t>
  </si>
  <si>
    <t>1810</t>
  </si>
  <si>
    <t>Unamort Debt Exp - 7.48% - 2027</t>
  </si>
  <si>
    <t>13</t>
  </si>
  <si>
    <t>Unamort Debt Exp - 7.10% - 2029</t>
  </si>
  <si>
    <t>17</t>
  </si>
  <si>
    <t xml:space="preserve">Unamort Debt Exp - 5.25% Insured notes </t>
  </si>
  <si>
    <t>Unamort Debt Exp - 5.21% - 2020</t>
  </si>
  <si>
    <t>Unamort Debt Exp - 5.79% - 2037</t>
  </si>
  <si>
    <t>Unamort Debt Exp - 4.11% - 2025</t>
  </si>
  <si>
    <t>21</t>
  </si>
  <si>
    <t>Unamort Debt Exp - 4.36% - 2028</t>
  </si>
  <si>
    <t>Unamort Debt Exp - LOC 7/9/2018</t>
  </si>
  <si>
    <t>Unamort Debt Exp - 4.09% - 2044</t>
  </si>
  <si>
    <t>24</t>
  </si>
  <si>
    <t>Unamort Debt Exp - 4.24% - 2054</t>
  </si>
  <si>
    <t>25</t>
  </si>
  <si>
    <t>Unamort Debt Exp - 4.09% - 2045</t>
  </si>
  <si>
    <t>26</t>
  </si>
  <si>
    <t>Unamort Debt Exp - 4.24% - 2055</t>
  </si>
  <si>
    <t>27</t>
  </si>
  <si>
    <t>Unamort Debt Exp - 3.62% - 2029</t>
  </si>
  <si>
    <t>28</t>
  </si>
  <si>
    <t>Unamort Debt Exp - 3.82% - 2034</t>
  </si>
  <si>
    <t>29</t>
  </si>
  <si>
    <t>Unamort Debt Exp - 4.26% - 2049</t>
  </si>
  <si>
    <t>30</t>
  </si>
  <si>
    <t>Unamort Debt Exp - 3.58% - 2050</t>
  </si>
  <si>
    <t>31</t>
  </si>
  <si>
    <t>Unamort Debt Exp - 3.78% - 2060</t>
  </si>
  <si>
    <t>32</t>
  </si>
  <si>
    <t>Unamort Debt Exp - 3.34% - 2060</t>
  </si>
  <si>
    <t>99</t>
  </si>
  <si>
    <t>Debt Issuance Cost Reclass</t>
  </si>
  <si>
    <t xml:space="preserve">   TOTAL UNAMORT DEBT EXPENSE</t>
  </si>
  <si>
    <t>1890</t>
  </si>
  <si>
    <t>Unam Loss Reaq Debt - 7.50% - 2031</t>
  </si>
  <si>
    <t>Unam Loss Reaq Debt - Retired IQN 5.25% (Issued 3.34%)</t>
  </si>
  <si>
    <t>Derivative Instruments - Noncurrent</t>
  </si>
  <si>
    <t>1832</t>
  </si>
  <si>
    <t>Preliminary Survey &amp; Investigations</t>
  </si>
  <si>
    <t>1823</t>
  </si>
  <si>
    <t>Other Regulatory Asset - Reclass</t>
  </si>
  <si>
    <t>2037</t>
  </si>
  <si>
    <t>Other Regulatory Asset - SFAS 109</t>
  </si>
  <si>
    <t>2042</t>
  </si>
  <si>
    <t>Other Regulatory Asset - FAS 158</t>
  </si>
  <si>
    <t>2044</t>
  </si>
  <si>
    <t>Other Regulatory Asset - FAS 158 - MDUR Pension</t>
  </si>
  <si>
    <t>2048</t>
  </si>
  <si>
    <t>Other Regulatory Asset - FAS 158 - MDUR Post-Retirement</t>
  </si>
  <si>
    <t>2049</t>
  </si>
  <si>
    <t>Other Regulatory Asset - FAS 158 Post-Retirment</t>
  </si>
  <si>
    <t>2047</t>
  </si>
  <si>
    <t>Other Regulatory Asset - MAOP</t>
  </si>
  <si>
    <t>47020430</t>
  </si>
  <si>
    <t>Other Regulatory Asset - Commercial Conservation Program</t>
  </si>
  <si>
    <t>47020431</t>
  </si>
  <si>
    <t>Other Regulatory Asset - Low Income Weatherization</t>
  </si>
  <si>
    <t>47020444</t>
  </si>
  <si>
    <t>Other Regulatory Asset - Conservation Administration &amp; Program Delivery Fees</t>
  </si>
  <si>
    <t>47020449</t>
  </si>
  <si>
    <t>Other Regulatory Asset - Residential Conservation Program</t>
  </si>
  <si>
    <t>47020478</t>
  </si>
  <si>
    <t>Other Regulatory Asset - Conservation Consolidated Adjustment</t>
  </si>
  <si>
    <t>2050</t>
  </si>
  <si>
    <t>Other Regulatory Asset - CAT Regulatory Asset</t>
  </si>
  <si>
    <t>2051</t>
  </si>
  <si>
    <t>Other Regulatory Asset - OR Covid-19 Deferred Costs</t>
  </si>
  <si>
    <t>Other Regulatory Asset - FAS 158 Pension</t>
  </si>
  <si>
    <t>1840</t>
  </si>
  <si>
    <t>1000</t>
  </si>
  <si>
    <t>Payroll clearing - Medical post tax</t>
  </si>
  <si>
    <t>1010</t>
  </si>
  <si>
    <t>Payroll clearing - Medical pre tax</t>
  </si>
  <si>
    <t>1020</t>
  </si>
  <si>
    <t>Payroll clearing - Medical Employer</t>
  </si>
  <si>
    <t>1100</t>
  </si>
  <si>
    <t>Payroll clearing - Dental post tax</t>
  </si>
  <si>
    <t>1110</t>
  </si>
  <si>
    <t>Payroll clearing - Dental pre tax</t>
  </si>
  <si>
    <t>1120</t>
  </si>
  <si>
    <t>Payroll clearing - Dental Employer</t>
  </si>
  <si>
    <t>1200</t>
  </si>
  <si>
    <t>Payroll clearing - Vision post tax</t>
  </si>
  <si>
    <t>Payroll clearing - Vision pre tax</t>
  </si>
  <si>
    <t>Payroll clearing - NCLI employer</t>
  </si>
  <si>
    <t>2100</t>
  </si>
  <si>
    <t>Payroll clearing - Voluntary Life</t>
  </si>
  <si>
    <t>2200</t>
  </si>
  <si>
    <t>Payroll clearing - AD&amp;D</t>
  </si>
  <si>
    <t>2220</t>
  </si>
  <si>
    <t>Payroll clearing - AD&amp;D Employer</t>
  </si>
  <si>
    <t>Payroll clearing - Spouse Life</t>
  </si>
  <si>
    <t>Payroll clearing - Dependent Life</t>
  </si>
  <si>
    <t>4020</t>
  </si>
  <si>
    <t>Payroll clearing - EAP Employer</t>
  </si>
  <si>
    <t>4100</t>
  </si>
  <si>
    <t>Payroll clearing - LTD</t>
  </si>
  <si>
    <t>4120</t>
  </si>
  <si>
    <t>Payroll clearing - LTD Employer</t>
  </si>
  <si>
    <t>4220</t>
  </si>
  <si>
    <t>Payroll clearing - STD Employer</t>
  </si>
  <si>
    <t>Payroll clearing - Oregon Workers Comp.</t>
  </si>
  <si>
    <t>OR1</t>
  </si>
  <si>
    <t>Payroll clearing - Oregon Workers Comp. - Benefit Assess</t>
  </si>
  <si>
    <t>Payroll clearing - Washington Workers Comp.</t>
  </si>
  <si>
    <t>@2:184</t>
  </si>
  <si>
    <t>Other clearing</t>
  </si>
  <si>
    <t>Misc Def Dr - Adjustment Clearing 1840</t>
  </si>
  <si>
    <t>20208</t>
  </si>
  <si>
    <t>Misc Def Dr - Post Retirement FAS158</t>
  </si>
  <si>
    <t>Misc Def Dr - Adjustment Clearing</t>
  </si>
  <si>
    <t>20443</t>
  </si>
  <si>
    <t>Misc Def Dr - Intervener Funding Residual</t>
  </si>
  <si>
    <t>20444</t>
  </si>
  <si>
    <t>Misc Def Dr - Intervener Funding Deferral</t>
  </si>
  <si>
    <t>20448</t>
  </si>
  <si>
    <t>Misc Def Dr - Intervener Funding Preauth. Mat</t>
  </si>
  <si>
    <t>20449</t>
  </si>
  <si>
    <t>20460</t>
  </si>
  <si>
    <t>Misc Def Dr - Bremerton MGP</t>
  </si>
  <si>
    <t>20461</t>
  </si>
  <si>
    <t>Misc Def Dr - Bellingham MGP</t>
  </si>
  <si>
    <t>20472</t>
  </si>
  <si>
    <t>Misc Def Dr - Eugene MGP</t>
  </si>
  <si>
    <t>20479</t>
  </si>
  <si>
    <t>Misc Def Dr - MAOP Deferred Costs</t>
  </si>
  <si>
    <t>20481</t>
  </si>
  <si>
    <t xml:space="preserve"> Misc Def Dr - MAOP Pre-Code Costs </t>
  </si>
  <si>
    <t>20480</t>
  </si>
  <si>
    <t>Misc Def Dr - Enviromental Remediation Cost Adjustment</t>
  </si>
  <si>
    <t>20482</t>
  </si>
  <si>
    <t>20483</t>
  </si>
  <si>
    <t>Misc Def Dr - Over-Refunded Temp FIT</t>
  </si>
  <si>
    <t>20484</t>
  </si>
  <si>
    <t>Misc Def Dr - MAOP Non-Current 8/18 Amort</t>
  </si>
  <si>
    <t>20485</t>
  </si>
  <si>
    <t>Misc Def Dr - MAOP Non-Current 3/20 Amort</t>
  </si>
  <si>
    <t>20486</t>
  </si>
  <si>
    <t>Misc Def Dr - MAOP Non-Current 5/21 Amort</t>
  </si>
  <si>
    <t>20487</t>
  </si>
  <si>
    <t>Misc Def Dr - WA Covid-19 Deferred Costs</t>
  </si>
  <si>
    <t>1862</t>
  </si>
  <si>
    <t>20430</t>
  </si>
  <si>
    <t xml:space="preserve"> Other Regulatory Asset - Commercial Conservation Program </t>
  </si>
  <si>
    <t>20431</t>
  </si>
  <si>
    <t xml:space="preserve"> Other Regulatory Asset - Low Income Weatherization </t>
  </si>
  <si>
    <t xml:space="preserve"> Other Regulatory Asset - Conservation Administration &amp; Program Delivery Fees </t>
  </si>
  <si>
    <t xml:space="preserve"> Other Regulatory Asset - Residential Conservation Program </t>
  </si>
  <si>
    <t>20462</t>
  </si>
  <si>
    <t>Misc Def Dr - Weather Variance Deferral</t>
  </si>
  <si>
    <t>20463</t>
  </si>
  <si>
    <t>Misc Def Dr - Conservation Variance Deferral</t>
  </si>
  <si>
    <t>20466</t>
  </si>
  <si>
    <t>20476</t>
  </si>
  <si>
    <t xml:space="preserve"> Misc Def Dr - Conservation Technical Adjustment </t>
  </si>
  <si>
    <t>[01999,20401999]</t>
  </si>
  <si>
    <t>Misc Def Dr - Unbilled Decoupling Amort</t>
  </si>
  <si>
    <t>20478</t>
  </si>
  <si>
    <t xml:space="preserve"> Other Regulatory Asset - Conservation Consolidated Adjustment </t>
  </si>
  <si>
    <t xml:space="preserve"> Misc Def Dr - Adjustment Clearing </t>
  </si>
  <si>
    <t xml:space="preserve"> Misc Def Dr - Decoupling Mechanism Adjustment </t>
  </si>
  <si>
    <t>1866</t>
  </si>
  <si>
    <t xml:space="preserve"> I/C Asset-Net Benefit Funding </t>
  </si>
  <si>
    <t>20477</t>
  </si>
  <si>
    <t>Misc Def Dr - Decoupling Deferral</t>
  </si>
  <si>
    <t>1868</t>
  </si>
  <si>
    <t>Gas-Operating Right of Use Assets</t>
  </si>
  <si>
    <t xml:space="preserve">   TOTAL DEFERRED CHG &amp; OTH ASSETS</t>
  </si>
  <si>
    <t>^Pgas</t>
  </si>
  <si>
    <t>Purchased Gas Costs</t>
  </si>
  <si>
    <t>^OMGasOp</t>
  </si>
  <si>
    <t>Gas Operating Expense</t>
  </si>
  <si>
    <t>[*,/5191]</t>
  </si>
  <si>
    <t>2488*</t>
  </si>
  <si>
    <t>Gas Operating Expense-4880</t>
  </si>
  <si>
    <t>^OMGasM</t>
  </si>
  <si>
    <t>Gas Maintenance Expense</t>
  </si>
  <si>
    <t xml:space="preserve">   TOTAL O&amp;M EXPENSES</t>
  </si>
  <si>
    <t>4073</t>
  </si>
  <si>
    <t>Regulatory debits</t>
  </si>
  <si>
    <t>4081</t>
  </si>
  <si>
    <t>299</t>
  </si>
  <si>
    <t>Taxes Other Than Income - Delaware - MDUR</t>
  </si>
  <si>
    <t>1441</t>
  </si>
  <si>
    <t>Taxes Other Than Income - Gross Revenue Regulatory Fee</t>
  </si>
  <si>
    <t xml:space="preserve"> Taxes Other Than Income - Gross Revenue Regulatory Fee </t>
  </si>
  <si>
    <t xml:space="preserve"> Taxes Other Than Income - Business &amp; Occupation Tax </t>
  </si>
  <si>
    <t xml:space="preserve"> Taxes Other Than Income - Public Utility Tax </t>
  </si>
  <si>
    <t>1445</t>
  </si>
  <si>
    <t xml:space="preserve"> Taxes Other Than Income - Department of Energy Fee </t>
  </si>
  <si>
    <t>2442</t>
  </si>
  <si>
    <t xml:space="preserve"> Taxes Other Than Income - Franchise Taxes </t>
  </si>
  <si>
    <t>2443</t>
  </si>
  <si>
    <t xml:space="preserve"> Taxes Other Than Income - Franchise Taxes Add on </t>
  </si>
  <si>
    <t>3441</t>
  </si>
  <si>
    <t xml:space="preserve"> Taxes Other Than Income - Property Tax </t>
  </si>
  <si>
    <t>3442</t>
  </si>
  <si>
    <t xml:space="preserve"> Taxes Other Than Income - Other Tax </t>
  </si>
  <si>
    <t>^TOIPR</t>
  </si>
  <si>
    <t xml:space="preserve"> Taxes Other Than Income - Payroll Taxes </t>
  </si>
  <si>
    <t xml:space="preserve">     Subtotal Taxes Other Than Income</t>
  </si>
  <si>
    <t>4032</t>
  </si>
  <si>
    <t xml:space="preserve"> Depreciation Expense - Gas </t>
  </si>
  <si>
    <t>4042</t>
  </si>
  <si>
    <t xml:space="preserve"> Amortization Lim-Term Plant - Software </t>
  </si>
  <si>
    <t>4062</t>
  </si>
  <si>
    <t xml:space="preserve"> Amort Acquis Adj - Gas </t>
  </si>
  <si>
    <t xml:space="preserve">   TOTAL DEPRECIATION</t>
  </si>
  <si>
    <t>4271</t>
  </si>
  <si>
    <t>Interest on LTD - 1st Mortgage Bonds</t>
  </si>
  <si>
    <t>4279</t>
  </si>
  <si>
    <t>Interest on LTD - Other</t>
  </si>
  <si>
    <t>LOC Interest</t>
  </si>
  <si>
    <t>LOC - Commitment Fee</t>
  </si>
  <si>
    <t>4310</t>
  </si>
  <si>
    <t>011</t>
  </si>
  <si>
    <t>Accrued Tax Interest</t>
  </si>
  <si>
    <t xml:space="preserve"> Other Interest Expense - Commitment Fee </t>
  </si>
  <si>
    <t>1111</t>
  </si>
  <si>
    <t>Other Interest Expense - Short-term debt</t>
  </si>
  <si>
    <t>4111</t>
  </si>
  <si>
    <t>Other Interest Expense - Deferred Compensation</t>
  </si>
  <si>
    <t>2111</t>
  </si>
  <si>
    <t xml:space="preserve"> Other Interest Expense - Customer Deposits </t>
  </si>
  <si>
    <t>3111</t>
  </si>
  <si>
    <t xml:space="preserve"> Other Interest Expense - Deferred Gas Costs </t>
  </si>
  <si>
    <t>3112</t>
  </si>
  <si>
    <t xml:space="preserve"> Other Interest Expense - Other Deferral Balances </t>
  </si>
  <si>
    <t>4280</t>
  </si>
  <si>
    <t>Amort of Debt Disc &amp; Expense</t>
  </si>
  <si>
    <t>4281</t>
  </si>
  <si>
    <t xml:space="preserve"> Amort of Loss on Reacquired Debt </t>
  </si>
  <si>
    <t xml:space="preserve">     Subtotal Interest Expense</t>
  </si>
  <si>
    <t>4091</t>
  </si>
  <si>
    <t>1221</t>
  </si>
  <si>
    <t xml:space="preserve"> Income Taxes, Utility Operations - Federal </t>
  </si>
  <si>
    <t>1222</t>
  </si>
  <si>
    <t xml:space="preserve"> Income Taxes, Utility Operations - State </t>
  </si>
  <si>
    <t>4092</t>
  </si>
  <si>
    <t xml:space="preserve"> Income Taxes, Other Inc &amp; Deductions - Federal </t>
  </si>
  <si>
    <t xml:space="preserve"> Income Taxes, Other Inc &amp; Deductions - State </t>
  </si>
  <si>
    <t>4101</t>
  </si>
  <si>
    <t xml:space="preserve"> Prov for DIT- Utility Operations - Federal </t>
  </si>
  <si>
    <t xml:space="preserve"> Prov for DIT- Utility Operations - State </t>
  </si>
  <si>
    <t>4102</t>
  </si>
  <si>
    <t xml:space="preserve"> Prov for DIT- Other Inc &amp; Deductions - Federal Non-Utility </t>
  </si>
  <si>
    <t xml:space="preserve"> Prov for DIT- Other Inc &amp; Deductions - State Non-Utility </t>
  </si>
  <si>
    <t xml:space="preserve"> Prov for DIT (CR) - Utility Op Income - Federal </t>
  </si>
  <si>
    <t xml:space="preserve"> Prov for DIT (CR) - Utility Op Income - State </t>
  </si>
  <si>
    <t>4112</t>
  </si>
  <si>
    <t xml:space="preserve"> Prov for DIT (CR) - Other Inc &amp; Deductions - Federal Non-Utility </t>
  </si>
  <si>
    <t xml:space="preserve"> Prov for DIT (CR) - Other Inc &amp; Deductions - State Non-Utility </t>
  </si>
  <si>
    <t>4114</t>
  </si>
  <si>
    <t>Investment Tax Credit</t>
  </si>
  <si>
    <t xml:space="preserve">     Subtotal Income Taxes</t>
  </si>
  <si>
    <t>4211</t>
  </si>
  <si>
    <t xml:space="preserve"> Gain on Disposition of Property </t>
  </si>
  <si>
    <t>4212</t>
  </si>
  <si>
    <t xml:space="preserve"> Loss on Disposition of Property </t>
  </si>
  <si>
    <t>4261</t>
  </si>
  <si>
    <t xml:space="preserve"> Donations </t>
  </si>
  <si>
    <t>4262*</t>
  </si>
  <si>
    <t xml:space="preserve"> SISP </t>
  </si>
  <si>
    <t>4263</t>
  </si>
  <si>
    <t xml:space="preserve"> Penalties </t>
  </si>
  <si>
    <t>4264</t>
  </si>
  <si>
    <t xml:space="preserve"> Lobbying </t>
  </si>
  <si>
    <t>4265</t>
  </si>
  <si>
    <t xml:space="preserve"> Other Deductions - Corporate Development </t>
  </si>
  <si>
    <t>4171</t>
  </si>
  <si>
    <t xml:space="preserve"> Expense of Nonutility </t>
  </si>
  <si>
    <t>6011</t>
  </si>
  <si>
    <t xml:space="preserve"> Purchased Gas Expense of Nonutility </t>
  </si>
  <si>
    <t>4082</t>
  </si>
  <si>
    <t xml:space="preserve"> Taxes Other Than Income - BTL Property Tax </t>
  </si>
  <si>
    <t xml:space="preserve">     Subtotal BTL Expense</t>
  </si>
  <si>
    <t>4380</t>
  </si>
  <si>
    <t>Dividend Decl - Common Stock</t>
  </si>
  <si>
    <t xml:space="preserve">     Subtotal Dividends</t>
  </si>
  <si>
    <t xml:space="preserve">   TOTAL DEBITS</t>
  </si>
  <si>
    <t>2010</t>
  </si>
  <si>
    <t>0</t>
  </si>
  <si>
    <t>Common Stock Issued</t>
  </si>
  <si>
    <t>2160</t>
  </si>
  <si>
    <t>Unapprop Retained Earnings</t>
  </si>
  <si>
    <t>R/E Performance Share Dividend Equivalents</t>
  </si>
  <si>
    <t>2071</t>
  </si>
  <si>
    <t>Premium on Capital Stock</t>
  </si>
  <si>
    <t>4390</t>
  </si>
  <si>
    <t>Misc Paid in Capital</t>
  </si>
  <si>
    <t>2190</t>
  </si>
  <si>
    <t>Other Comprehensive Income - CNG SERP</t>
  </si>
  <si>
    <t>2141</t>
  </si>
  <si>
    <t>Other Comprehensive Income - MDUR Resources SISP</t>
  </si>
  <si>
    <t xml:space="preserve">     TOTAL EQUITY</t>
  </si>
  <si>
    <t>2240</t>
  </si>
  <si>
    <t>7.48% MTN Due 9/15/2027</t>
  </si>
  <si>
    <t>7.10% MTN Due 3/16/2029</t>
  </si>
  <si>
    <t>Insured Qtrly 5.25% Notes Due 2/1/2035</t>
  </si>
  <si>
    <t>5.21% MTN Due 9/1/2020</t>
  </si>
  <si>
    <t>5.79% MTN Due 3/8/2037</t>
  </si>
  <si>
    <t>4.11% Snr Nt Due 8/23/2025</t>
  </si>
  <si>
    <t>4.36% Snr Nt Due 8/23/2028</t>
  </si>
  <si>
    <t>4.09% Snr Nt Due 11/24/2044</t>
  </si>
  <si>
    <t>4.24% Snr Nt Due 11/24/2054</t>
  </si>
  <si>
    <t>4.09% Snr Nt Due 01/15/2045</t>
  </si>
  <si>
    <t>4.24% Snr Nt Due 01/15/2055</t>
  </si>
  <si>
    <t>3.62% Snr Nt Due 06/13/2029</t>
  </si>
  <si>
    <t>3.82% Snr Nt Due 06/13/2034</t>
  </si>
  <si>
    <t>4.26% Snr Nt Due 06/13/2049</t>
  </si>
  <si>
    <t>3.58% Snr Nt Due 06/15/2050</t>
  </si>
  <si>
    <t>3.78% Snr Nt Due 06/15/2060</t>
  </si>
  <si>
    <t>3.34% Snr Nt Due 10/30/2060</t>
  </si>
  <si>
    <t>2241</t>
  </si>
  <si>
    <t>5.21% MTN Due 9/1/2020 - Due within 1 Year</t>
  </si>
  <si>
    <t>2242</t>
  </si>
  <si>
    <t>Committed Line of Credit</t>
  </si>
  <si>
    <t xml:space="preserve">     TOTAL LONG-TERM DEBT</t>
  </si>
  <si>
    <t>2270</t>
  </si>
  <si>
    <t>40</t>
  </si>
  <si>
    <t>Operating Lease Liability - Noncurrent</t>
  </si>
  <si>
    <t>41</t>
  </si>
  <si>
    <t>Financing Lease Liability - Noncurrent</t>
  </si>
  <si>
    <t>2310</t>
  </si>
  <si>
    <t>Short-term debt</t>
  </si>
  <si>
    <t>2330</t>
  </si>
  <si>
    <t>045</t>
  </si>
  <si>
    <t>Notes payable to Associated Companies</t>
  </si>
  <si>
    <t>2321</t>
  </si>
  <si>
    <t xml:space="preserve">Trade Accounts Payable </t>
  </si>
  <si>
    <t>2322</t>
  </si>
  <si>
    <t>Accts Pay - VISA Credit Card - PNC Bank</t>
  </si>
  <si>
    <t>009</t>
  </si>
  <si>
    <t>Accts Pay - Miscellaneous</t>
  </si>
  <si>
    <t>010</t>
  </si>
  <si>
    <t>Accts Pay - Cap-Ex</t>
  </si>
  <si>
    <t>101</t>
  </si>
  <si>
    <t>Accts Pay - Gas costs</t>
  </si>
  <si>
    <t>Accts Pay - Bank Charges</t>
  </si>
  <si>
    <t>Accts Pay - Misc. Payroll Deductions</t>
  </si>
  <si>
    <t>321</t>
  </si>
  <si>
    <t>Accts Pay - 401K Employee Contribution</t>
  </si>
  <si>
    <t>322</t>
  </si>
  <si>
    <t>Accts Pay - FSA - Medical</t>
  </si>
  <si>
    <t>323</t>
  </si>
  <si>
    <t>Accts Pay - Child Support</t>
  </si>
  <si>
    <t>335</t>
  </si>
  <si>
    <t>Accts Pay - HSA Employee Contribution</t>
  </si>
  <si>
    <t>339</t>
  </si>
  <si>
    <t>Accts Pay - 401K Loan Provision</t>
  </si>
  <si>
    <t>401</t>
  </si>
  <si>
    <t>Accts Pay - CC&amp;B Customer Refund Requests</t>
  </si>
  <si>
    <t>2323</t>
  </si>
  <si>
    <t>Invoice Pending - Goods O</t>
  </si>
  <si>
    <t>2340</t>
  </si>
  <si>
    <t>Accts Pay - MDU</t>
  </si>
  <si>
    <t>004*</t>
  </si>
  <si>
    <t>Accts Pay - MDUR Resources</t>
  </si>
  <si>
    <t>007*</t>
  </si>
  <si>
    <t>Accts Pay - InterSource</t>
  </si>
  <si>
    <t>005*</t>
  </si>
  <si>
    <t>Accts Pay - Centenial Holdings</t>
  </si>
  <si>
    <t>008*</t>
  </si>
  <si>
    <t>Accts Pay - Future Source</t>
  </si>
  <si>
    <t>Accts Pay - PCEH</t>
  </si>
  <si>
    <t>Accts Pay - IGC</t>
  </si>
  <si>
    <t>Accts Pay - WBI</t>
  </si>
  <si>
    <t>Accts Pay - Knife River</t>
  </si>
  <si>
    <t>Accts Pay - CSG</t>
  </si>
  <si>
    <t xml:space="preserve">     Subtotal Accounts Payable Intercompany</t>
  </si>
  <si>
    <t>2411</t>
  </si>
  <si>
    <t>Tax Collection Pay - Employee Federeal Income Tax W/H</t>
  </si>
  <si>
    <t>Tax Collection Pay - Employee FICA W/H</t>
  </si>
  <si>
    <t>Tax Collection Pay - Employee Medicare W/H</t>
  </si>
  <si>
    <t>2412</t>
  </si>
  <si>
    <t>Tax Collection Pay - Employee State Income Tax W/H</t>
  </si>
  <si>
    <t>TRA</t>
  </si>
  <si>
    <t>Tax Collection Pay - Employee State Transit W/H</t>
  </si>
  <si>
    <t xml:space="preserve">     Subtotal Tax Collections Payable</t>
  </si>
  <si>
    <t xml:space="preserve">     TOTAL ACCOUNTS PAYABLE</t>
  </si>
  <si>
    <t>2282</t>
  </si>
  <si>
    <t>Accrued Provision - Injuries &amp; Damages Current</t>
  </si>
  <si>
    <t>2284</t>
  </si>
  <si>
    <t>Curr Yr Due SGL Automotive</t>
  </si>
  <si>
    <t>2361</t>
  </si>
  <si>
    <t>Income Taxes Accrued - Federal</t>
  </si>
  <si>
    <t>FIN 48 - Current</t>
  </si>
  <si>
    <t>2362</t>
  </si>
  <si>
    <t>Other Taxes Accrued - FICA</t>
  </si>
  <si>
    <t>Other Taxes Accrued - FICA - Incentive Comp</t>
  </si>
  <si>
    <t>102</t>
  </si>
  <si>
    <t>Other Taxes Accrued - FICA - Deferred</t>
  </si>
  <si>
    <t>1021</t>
  </si>
  <si>
    <t>Other Taxes Accrued - FICA - Deferred-Noncurrent</t>
  </si>
  <si>
    <t>105</t>
  </si>
  <si>
    <t>Other Taxes Accrued - Medicare</t>
  </si>
  <si>
    <t>Other Taxes Accrued - Federal Unemployment</t>
  </si>
  <si>
    <t>301</t>
  </si>
  <si>
    <t>Other Taxes Accrued - Worker's Compensation-St</t>
  </si>
  <si>
    <t>Other Taxes Accrued - Oregon Unemployment</t>
  </si>
  <si>
    <t>Other Taxes Accrued - Oregon Workers Comp</t>
  </si>
  <si>
    <t>OR2</t>
  </si>
  <si>
    <t>Other Taxes Accrued - Oregon Workers Comp Benefit Assist</t>
  </si>
  <si>
    <t>Other Taxes Accrued - Washington Unemployment</t>
  </si>
  <si>
    <t>WA1</t>
  </si>
  <si>
    <t>Other Taxes Accrued - Washington Workers Comp</t>
  </si>
  <si>
    <t>WA2</t>
  </si>
  <si>
    <t>2363</t>
  </si>
  <si>
    <t>Other Taxes Accrued - Washington Use Tax</t>
  </si>
  <si>
    <t>Other Taxes Accrued - Washington Sales Tax</t>
  </si>
  <si>
    <t>2370</t>
  </si>
  <si>
    <t>Interest Accrued - Short-term debt</t>
  </si>
  <si>
    <t>2372</t>
  </si>
  <si>
    <t>Interest Accrued - Line of Credit Loan Fee</t>
  </si>
  <si>
    <t>Interest Accrued - Line of Credit Accrued Interest</t>
  </si>
  <si>
    <t>Interest Accrued - 7.48% MTN due 9/15/2027</t>
  </si>
  <si>
    <t>Interest Accrued - 7.10% MTN due 3/16/2029</t>
  </si>
  <si>
    <t>Interest Accrued - Insured Qtrly 5.25% Notes</t>
  </si>
  <si>
    <t>Interest Accrued - 5.21% MTN due 9/1/2020</t>
  </si>
  <si>
    <t>Interest Accrued - 5.79% MTN due 3/8/2037</t>
  </si>
  <si>
    <t>Interest Accrued - 4.11% Sr Nt due 8/23/2025</t>
  </si>
  <si>
    <t>Interest Accrued - 4.36% Sr Nt due 8/23/2028</t>
  </si>
  <si>
    <t>Interest Accrued - 4.09% Sr Nt due 11/24/2044</t>
  </si>
  <si>
    <t>Interest Accrued - 4.24% Sr Nt due 11/24/2054</t>
  </si>
  <si>
    <t>Interest Accrued - 4.09% Sr Nt due 1/15/2045</t>
  </si>
  <si>
    <t>Interest Accrued - 4.24% Sr Nt due 1/15/2055</t>
  </si>
  <si>
    <t>Interest Accrued - 3.62% Sr Nt due 6/13/2029</t>
  </si>
  <si>
    <t>Interest Accrued - 3.82% Sr Nt due 6/13/2034</t>
  </si>
  <si>
    <t>Interest Accrued - 4.26% Sr Nt due 6/13/2049</t>
  </si>
  <si>
    <t>Interest Accrued - 3.58% Sr Nt due 6/15/2050</t>
  </si>
  <si>
    <t>Interest Accrued - 3.78% Sr Nt due 6/15/2060</t>
  </si>
  <si>
    <t>Interest Accrued - 3.34% Sr Nt due 10/30/2060</t>
  </si>
  <si>
    <t>2380</t>
  </si>
  <si>
    <t>Dividends Declared</t>
  </si>
  <si>
    <t>2420</t>
  </si>
  <si>
    <t>201</t>
  </si>
  <si>
    <t>Other Current Liabilities - Misc. Accruals</t>
  </si>
  <si>
    <t>[100,1840]</t>
  </si>
  <si>
    <t>202</t>
  </si>
  <si>
    <t>Other Current Liabilities - Accrued Accounting, Audit &amp; Tax</t>
  </si>
  <si>
    <t>224</t>
  </si>
  <si>
    <t>Other Current Liabilities - SERP Current Liability</t>
  </si>
  <si>
    <t>2422</t>
  </si>
  <si>
    <t>Misc Current Liab - Wages Payable</t>
  </si>
  <si>
    <t>Misc Current Liab - Variable Pay Incentive Comp.</t>
  </si>
  <si>
    <t>2423</t>
  </si>
  <si>
    <t>Misc Current Liab - Vacation Wages</t>
  </si>
  <si>
    <t>2428</t>
  </si>
  <si>
    <t>2429</t>
  </si>
  <si>
    <t>304</t>
  </si>
  <si>
    <t>Misc Current Liab - 401K - Employer Match</t>
  </si>
  <si>
    <t>329</t>
  </si>
  <si>
    <t>Misc Current Liab - Accrued 401K Defined Con</t>
  </si>
  <si>
    <t>336</t>
  </si>
  <si>
    <t>Misc Current Liab - Accrued 401K Profit Plan</t>
  </si>
  <si>
    <t>408</t>
  </si>
  <si>
    <t>Misc Current Liab - Winter Help Program</t>
  </si>
  <si>
    <t>2430</t>
  </si>
  <si>
    <t>Operating Lease Liability - Current</t>
  </si>
  <si>
    <t>2440</t>
  </si>
  <si>
    <t>2292</t>
  </si>
  <si>
    <t>Accrued Provision - Tax Reform</t>
  </si>
  <si>
    <t>2351</t>
  </si>
  <si>
    <t>Customer Deposits</t>
  </si>
  <si>
    <t>Income Taxes Accrued</t>
  </si>
  <si>
    <t>2364</t>
  </si>
  <si>
    <t>Other Taxes Accrued - Property Tax</t>
  </si>
  <si>
    <t>Other Taxes Accrued - City Franchise Tax</t>
  </si>
  <si>
    <t>Other Taxes Accrued - Gross Revenue Fee</t>
  </si>
  <si>
    <t>Other Taxes Accrued - Dept. of Energy Fee</t>
  </si>
  <si>
    <t>50</t>
  </si>
  <si>
    <t>Other Taxes Accrued - CAT Fee</t>
  </si>
  <si>
    <t>Misc Current Liab - Energy Trust of Oregon</t>
  </si>
  <si>
    <t>Misc Current Liab - Weatherization</t>
  </si>
  <si>
    <t>Misc Current Liab - Low Income Bill Assist</t>
  </si>
  <si>
    <t>Misc Current Liab - Conservation Achievement Tariff</t>
  </si>
  <si>
    <t>2530</t>
  </si>
  <si>
    <t>Other Deferred Credits - Gas Costs</t>
  </si>
  <si>
    <t>01272</t>
  </si>
  <si>
    <t>Other Deferred Credits - Commodity Deferral</t>
  </si>
  <si>
    <t>01273</t>
  </si>
  <si>
    <t>Other Deferred Credits - Demand Deferral</t>
  </si>
  <si>
    <t>01287</t>
  </si>
  <si>
    <t>Other Deferred Credits - Consolidated Gas Cost Tech Adjustment</t>
  </si>
  <si>
    <t>01291</t>
  </si>
  <si>
    <t>Other Deferred Credits - OR Covid-19 Savings</t>
  </si>
  <si>
    <t>01999</t>
  </si>
  <si>
    <t>Other Deferred Credits - Gas Cost Unbilled Ammortization</t>
  </si>
  <si>
    <t>02009</t>
  </si>
  <si>
    <t>Core Gas Supply Hedging - Reg Liability</t>
  </si>
  <si>
    <t>Adjustment Clearing</t>
  </si>
  <si>
    <t>Other Taxes Accrued - City Tax</t>
  </si>
  <si>
    <t>Other Taxes Accrued - Yakama Indian Nation Tax</t>
  </si>
  <si>
    <t>Other Taxes Accrued - Swinomish Tribal Tax</t>
  </si>
  <si>
    <t>Other Taxes Accrued - Excise Tax</t>
  </si>
  <si>
    <t>01253</t>
  </si>
  <si>
    <t>01254</t>
  </si>
  <si>
    <t>01286</t>
  </si>
  <si>
    <t>01288</t>
  </si>
  <si>
    <t>Other Deferred Credits - Temporary Gas Cst 3-year Ammortization</t>
  </si>
  <si>
    <t>01289</t>
  </si>
  <si>
    <t>01290</t>
  </si>
  <si>
    <t>Other Deferred Credits - WA Covid-19 Savings</t>
  </si>
  <si>
    <t>02008</t>
  </si>
  <si>
    <t xml:space="preserve">     TOTAL MISC CURRENT LIABILITIES</t>
  </si>
  <si>
    <t>Accrued Provision - Injuries &amp; Damages Non Current</t>
  </si>
  <si>
    <t>2283</t>
  </si>
  <si>
    <t>Pension and Benefits - SERP Deferred Compensation</t>
  </si>
  <si>
    <t>Pension and Benefits - Deferred Compensation</t>
  </si>
  <si>
    <t>Pension and Benefits - SISP Defined Contribution Plan</t>
  </si>
  <si>
    <t>Pension and Benefits - MDUR SISP FAS158</t>
  </si>
  <si>
    <t>0200</t>
  </si>
  <si>
    <t>ARO Liability - Noncurrent</t>
  </si>
  <si>
    <t>Customer Advances for Construction - Balance</t>
  </si>
  <si>
    <t>Customer Advances for Construction - Addition</t>
  </si>
  <si>
    <t>200</t>
  </si>
  <si>
    <t>Customer Advances for Construction - Refund</t>
  </si>
  <si>
    <t>See tab "Adv for Const. &amp; Def Tax", line 10 , columns AV &amp; AW in CNG Exh MCP 2-6 and WP-1 3-29-19.xlsx</t>
  </si>
  <si>
    <t xml:space="preserve">Customer Advances for Construction - DCC/CCC Refundable </t>
  </si>
  <si>
    <t>Customer Advances for Construction - Forfeitures</t>
  </si>
  <si>
    <t>2539</t>
  </si>
  <si>
    <t>0101</t>
  </si>
  <si>
    <t>Other Deferred Credits - Customer Unclaimed Credit</t>
  </si>
  <si>
    <t>See tab "Adv for Const. &amp; Def Tax", line 11, columns AV &amp; AW in CNG Exh MCP 2-6 and WP-1 3-29-19.xlsx</t>
  </si>
  <si>
    <t>0104</t>
  </si>
  <si>
    <t>Pension Contribution</t>
  </si>
  <si>
    <t>See tab "Adv for Const. &amp; Def Tax", line 13, columns AV &amp; AW in CNG Exh MCP 2-6 and WP-1 3-29-19.xlsx</t>
  </si>
  <si>
    <t>0106</t>
  </si>
  <si>
    <t>Other Deferred Credits - SGL Automotive</t>
  </si>
  <si>
    <t>0108</t>
  </si>
  <si>
    <t>FAS 158 - MDUR Pension</t>
  </si>
  <si>
    <t>0109</t>
  </si>
  <si>
    <t>FAS 158 - MDUR Post-Retirement</t>
  </si>
  <si>
    <t>2540</t>
  </si>
  <si>
    <t>20217</t>
  </si>
  <si>
    <t>Other Regulatory Liabilities - Federal impOR rate change</t>
  </si>
  <si>
    <t>20222</t>
  </si>
  <si>
    <t>Reg Liab Post Retirement FAS 158</t>
  </si>
  <si>
    <t>Accrued Provision - Injuries &amp; Damages NC (Eugene MGP)</t>
  </si>
  <si>
    <t>02011</t>
  </si>
  <si>
    <t>Core Gas Supply Hedging</t>
  </si>
  <si>
    <t>Other Regulatory Liabilities - Unbilled Ammortization</t>
  </si>
  <si>
    <t>Other Regulatory Liabilities - Adjustment Clearing</t>
  </si>
  <si>
    <t>20488</t>
  </si>
  <si>
    <t>Other Regulatory Liabilities - Unprotected EDIT</t>
  </si>
  <si>
    <t>20489</t>
  </si>
  <si>
    <t>Other Regulatory Liabilities - OR Temp Federal Income Tax Credit</t>
  </si>
  <si>
    <t>Accrued Provision - Injuries &amp; Damages NC (Bremerton MGP)</t>
  </si>
  <si>
    <t>Accrued Provision - Injuries &amp; Damages NC (Bellingham MGP)</t>
  </si>
  <si>
    <t>02010</t>
  </si>
  <si>
    <t>20201</t>
  </si>
  <si>
    <t>Other Regulatory Liabilities - SFAS 109 Regulatory</t>
  </si>
  <si>
    <t>Other Regulatory Liabilities - Protected-Plus EDIT</t>
  </si>
  <si>
    <t>Other Regulatory Liabilities - Protected-Plus EDIT grossup</t>
  </si>
  <si>
    <t>Other Regulatory Liabilities - Unprotected EDIT grossup</t>
  </si>
  <si>
    <t>Other Regulatory Liabilities - Temp Federal Income Tax Credit</t>
  </si>
  <si>
    <t>Other Regulatory Liabilities - Temp Federal Income Tax Credit grossup</t>
  </si>
  <si>
    <t>Other Regulatory Liabilities - Difference Temp Federal Income Tax Credit</t>
  </si>
  <si>
    <t>20209</t>
  </si>
  <si>
    <t>Regulatory Asset - ARO</t>
  </si>
  <si>
    <t xml:space="preserve">     TOTAL DEFERRED CREDITS</t>
  </si>
  <si>
    <t>2550</t>
  </si>
  <si>
    <t>Deferred Investment Tax Credits</t>
  </si>
  <si>
    <t>Accum DIT - Federal FAS109 grossup</t>
  </si>
  <si>
    <t>Accum DIT - Federal FAS109 adjustment</t>
  </si>
  <si>
    <t>Accum DIT - Federal Utility Plant Deferred, APB11. RB</t>
  </si>
  <si>
    <t>See tab "Adv for Const. &amp; Def Tax", line 18, columns AV &amp; AW in CNG Exh MCP 2-6 and WP-1 3-29-19.xlsx</t>
  </si>
  <si>
    <t>Accum DIT - Federal Oregon Rate Change Def</t>
  </si>
  <si>
    <t>See tab "Adv for Const. &amp; Def Tax", line 21, column AV in CNG Exh MCP 2-6 and WP-1 3-29-19.xlsx</t>
  </si>
  <si>
    <t>Accum DIT - Federal Unamortized Loss on Reaquired Debt, RB</t>
  </si>
  <si>
    <t>Accum DIT - Federal Def Tax Liability, NonReg</t>
  </si>
  <si>
    <t>See tab "Adv for Const. &amp; Def Tax", line 25, column AW in CNG Exh MCP 2-6 and WP-1 3-29-19.xlsx</t>
  </si>
  <si>
    <t>Accum DIT - Federal Def Tax Liability, NC, Reg</t>
  </si>
  <si>
    <t>Accum DIT - State FAS109 grossup</t>
  </si>
  <si>
    <t>See tab "Adv for Const. &amp; Def Tax", line 24, column AW in CNG Exh MCP 2-6 and WP-1 3-29-19.xlsx</t>
  </si>
  <si>
    <t>Accum DIT - State FAS109 adjustment</t>
  </si>
  <si>
    <t>Accum DIT - State Utility Plant Deferred, APB11. RB</t>
  </si>
  <si>
    <t>Accum DIT - State Oregon Rate Change Def</t>
  </si>
  <si>
    <t>See tab "Adv for Const. &amp; Def Tax", line 19, columns AV &amp; AW in CNG Exh MCP 2-6 and WP-1 3-29-19.xlsx</t>
  </si>
  <si>
    <t>Accum DIT - Federal DIT-Tax Reform Plant</t>
  </si>
  <si>
    <t>Accum DIT - State Unamortized Loss on Reaquired Debt, RB</t>
  </si>
  <si>
    <t>Accum DIT - State Def Tax Liability, NonReg</t>
  </si>
  <si>
    <t>Accum DIT - State Def Tax Liability, NC, Reg</t>
  </si>
  <si>
    <t xml:space="preserve">    TOTAL INCOME TAXES</t>
  </si>
  <si>
    <t>001</t>
  </si>
  <si>
    <t>Interdepartmental Rents - MDU</t>
  </si>
  <si>
    <t>004</t>
  </si>
  <si>
    <t>Interdepartmental Rents - MDUR</t>
  </si>
  <si>
    <t>048</t>
  </si>
  <si>
    <t>Interdepartmental Rents - IGC</t>
  </si>
  <si>
    <t>MISC</t>
  </si>
  <si>
    <t>Other Gas Revenues - Miscelllaneous</t>
  </si>
  <si>
    <t>4002</t>
  </si>
  <si>
    <t>4800</t>
  </si>
  <si>
    <t>Gas Billed Revenue - Residential</t>
  </si>
  <si>
    <t>4800CP</t>
  </si>
  <si>
    <t>Gas Billed Revenue - Residential CAP</t>
  </si>
  <si>
    <t>4809</t>
  </si>
  <si>
    <t>Gas Billed Revenue - Industrial</t>
  </si>
  <si>
    <t>4809DE</t>
  </si>
  <si>
    <t>Gas Billed Revenue - Industrial Deficiency Billing</t>
  </si>
  <si>
    <t>4810</t>
  </si>
  <si>
    <t>Gas Billed Revenue - Commercial</t>
  </si>
  <si>
    <t>4810CP</t>
  </si>
  <si>
    <t>Gas Billed Revenue - Commercial CAP</t>
  </si>
  <si>
    <t>4810DE</t>
  </si>
  <si>
    <t>Gas Billed Revenue - Commercial Deficiency Billing</t>
  </si>
  <si>
    <t>4813</t>
  </si>
  <si>
    <t>Gas Billed Revenue - Interruptible Industrial</t>
  </si>
  <si>
    <t>4009</t>
  </si>
  <si>
    <t>Unbilled Gas Revenue - Residential</t>
  </si>
  <si>
    <t>Unbilled Gas Revenue - Commercial</t>
  </si>
  <si>
    <t>Unbilled Gas Revenue - Interruptible Industrial</t>
  </si>
  <si>
    <t>4880</t>
  </si>
  <si>
    <t>MSRV</t>
  </si>
  <si>
    <t>Misc Gas Service Revenue - Miscellaneous</t>
  </si>
  <si>
    <t>SLMD</t>
  </si>
  <si>
    <t>Misc Gas Service Revenue - Service Line Modifications</t>
  </si>
  <si>
    <t>4861</t>
  </si>
  <si>
    <t>Gas Transportation Revenues - Large Volume Industrial</t>
  </si>
  <si>
    <t>4863</t>
  </si>
  <si>
    <t>Gas Transportation Revenues - Electric Generation Industrial</t>
  </si>
  <si>
    <t>4891</t>
  </si>
  <si>
    <t>Unbilled Gas Transport Revenues - Large Volume Industrial</t>
  </si>
  <si>
    <t>Unbilled Gas Transport Revenues - Electric Generation Industrial</t>
  </si>
  <si>
    <t>Rent from Gas Properties</t>
  </si>
  <si>
    <t>DAMG</t>
  </si>
  <si>
    <t>Other Gas Revenues - 3rd Party Damage</t>
  </si>
  <si>
    <t>MMAT</t>
  </si>
  <si>
    <t>Other Gas Revenues - Miscelllaneous Material Sales</t>
  </si>
  <si>
    <t>Other Gas Revenues - Service Line Modifications</t>
  </si>
  <si>
    <t>4962</t>
  </si>
  <si>
    <t>Tax Reform</t>
  </si>
  <si>
    <t>Tax Reform - Noncore</t>
  </si>
  <si>
    <t>Gas Billed Revenue - Residential Decoupling</t>
  </si>
  <si>
    <t>4800CV</t>
  </si>
  <si>
    <t>Gas Billed Revenue - Residential Conservation</t>
  </si>
  <si>
    <t>4809CP</t>
  </si>
  <si>
    <t>Gas Billed Revenue - Industrial Decoupling</t>
  </si>
  <si>
    <t>4809CV</t>
  </si>
  <si>
    <t>Gas Billed Revenue - Industrial Conservation</t>
  </si>
  <si>
    <t>Gas Billed Revenue - Commercial Decoupling</t>
  </si>
  <si>
    <t>4810CV</t>
  </si>
  <si>
    <t>Gas Billed Revenue - Commercial Conservation</t>
  </si>
  <si>
    <t>4811</t>
  </si>
  <si>
    <t>Gas Billed Revenue - Interruptible Commercial</t>
  </si>
  <si>
    <t>4811CP</t>
  </si>
  <si>
    <t>Gas Billed Revenue - Interruptible Commercial Decoupling</t>
  </si>
  <si>
    <t>4811CV</t>
  </si>
  <si>
    <t>Gas Billed Revenue - Interruptible Commercial Conservation</t>
  </si>
  <si>
    <t>4811DE</t>
  </si>
  <si>
    <t>Gas Billed Revenue - Interruptible Commercial Deficiency Billing</t>
  </si>
  <si>
    <t>4813CP</t>
  </si>
  <si>
    <t>Gas Billed Revenue - Interruptible Industrial Decoupling</t>
  </si>
  <si>
    <t>4813CV</t>
  </si>
  <si>
    <t>Gas Billed Revenue - Interruptible Industrial Conservation</t>
  </si>
  <si>
    <t>Unbilled Gas Revenue - Residential Conservation</t>
  </si>
  <si>
    <t>Unbilled Gas Revenue - Commercial Conservation</t>
  </si>
  <si>
    <t>Unbilled Gas Revenue - Interruptible Commercial</t>
  </si>
  <si>
    <t>Misc Gas Service Revenue - 3rd Party Damages</t>
  </si>
  <si>
    <t>Misc Gas Service Revenue - Miscellaneous Material Sales</t>
  </si>
  <si>
    <t>Misc Gas Service Revenue - Service Line Modification</t>
  </si>
  <si>
    <t xml:space="preserve">     TOTAL GAS REVENUE</t>
  </si>
  <si>
    <t>4170</t>
  </si>
  <si>
    <t>Nonutility Revenues</t>
  </si>
  <si>
    <t>4190</t>
  </si>
  <si>
    <t>1331</t>
  </si>
  <si>
    <t>Interest and Dividend Income - Short Term Investments</t>
  </si>
  <si>
    <t>4191</t>
  </si>
  <si>
    <t>Allow Other Funds Used During Construction</t>
  </si>
  <si>
    <t>4210</t>
  </si>
  <si>
    <t>Misc Non-Oper Income</t>
  </si>
  <si>
    <t>1511</t>
  </si>
  <si>
    <t>Cash Discounts</t>
  </si>
  <si>
    <t>4320</t>
  </si>
  <si>
    <t>Allow Borrowed Funds Used During Construction</t>
  </si>
  <si>
    <t>Interest and Dividend Income - CIAC Tax grossup</t>
  </si>
  <si>
    <t>1333</t>
  </si>
  <si>
    <t>Interest and Dividend Income - PGA related</t>
  </si>
  <si>
    <t xml:space="preserve">     TOTAL OTHER REVENUE</t>
  </si>
  <si>
    <t xml:space="preserve">     TOTAL CREDITS</t>
  </si>
  <si>
    <t>TOTALS</t>
  </si>
  <si>
    <t>Cash Working Capital</t>
  </si>
  <si>
    <t>CWC</t>
  </si>
  <si>
    <t>ISWC</t>
  </si>
  <si>
    <t>Allocation Percentages based to Total Investment</t>
  </si>
  <si>
    <t>Allocated Investor Supplied Working Capital</t>
  </si>
  <si>
    <t>End of Period Depreciation Expense Adjustment</t>
  </si>
  <si>
    <t>Depn Summary</t>
  </si>
  <si>
    <t>Beg. Plant Balance (1/1/21)</t>
  </si>
  <si>
    <t>Current Rates (UG-200278)</t>
  </si>
  <si>
    <t>EOP Monthly Depn (Actual)</t>
  </si>
  <si>
    <t>301-G-Organization</t>
  </si>
  <si>
    <t>302-G-Franchises</t>
  </si>
  <si>
    <t>303-G-Misc. Intangible Plant</t>
  </si>
  <si>
    <t>365-G-Land and Land Rights</t>
  </si>
  <si>
    <t>365-G-Rights-of-Way</t>
  </si>
  <si>
    <t>367-G-Mains</t>
  </si>
  <si>
    <t>369-G-Measuring/Regulating Equipmen</t>
  </si>
  <si>
    <t>374-G-Land</t>
  </si>
  <si>
    <t>374-G-Land and Land Rights</t>
  </si>
  <si>
    <t>375-G-Structures &amp; Improvements</t>
  </si>
  <si>
    <t>376-G-Mains-High Pressure Steel</t>
  </si>
  <si>
    <t>376-G-Mains-Plastic</t>
  </si>
  <si>
    <t>376-G-Mains-Steel</t>
  </si>
  <si>
    <t>377-G-Compressor Station</t>
  </si>
  <si>
    <t>378-G-Measure/Regulation</t>
  </si>
  <si>
    <t>379-G-Measure/Regulation City</t>
  </si>
  <si>
    <t>380-G-Services-Plastc</t>
  </si>
  <si>
    <t>380-G-Services-Steel</t>
  </si>
  <si>
    <t>381-G-ERT Units</t>
  </si>
  <si>
    <t>381-G-Meters</t>
  </si>
  <si>
    <t>382-G-Meter Set Installation</t>
  </si>
  <si>
    <t>383-G-Service Regulators</t>
  </si>
  <si>
    <t>385-G-Industrial Meas. &amp; Reg Stn Eq</t>
  </si>
  <si>
    <t>389-G-Land &amp; Land Rights</t>
  </si>
  <si>
    <t>390-G-Leasehold Improvement</t>
  </si>
  <si>
    <t>390-G-Structures &amp; Improvements</t>
  </si>
  <si>
    <t>391-G-Comp Equip-Server &amp; Workstati</t>
  </si>
  <si>
    <t>391-G-Office Equipment</t>
  </si>
  <si>
    <t>391-G-Office Furniture &amp; Fixtures</t>
  </si>
  <si>
    <t>391-G-Software</t>
  </si>
  <si>
    <t>392-G-Trailers</t>
  </si>
  <si>
    <t>392-G-Transportation Equipment</t>
  </si>
  <si>
    <t>393-G-Stores Equipment</t>
  </si>
  <si>
    <t>394-G-Tools,Shop,Garage Equip</t>
  </si>
  <si>
    <t>394-G-Vehicle CNG Equipment</t>
  </si>
  <si>
    <t>395-G-Laboratory Equipment</t>
  </si>
  <si>
    <t>396-G-Power Operated Equipment</t>
  </si>
  <si>
    <t>396-G-Trailers-Work Equipment</t>
  </si>
  <si>
    <t>397-G-Radio Comm Equip-Fixed</t>
  </si>
  <si>
    <t>397-G-Radio Comm Equip-Mobile</t>
  </si>
  <si>
    <t>397-G-Supervisory &amp; Telemeter Equip</t>
  </si>
  <si>
    <t>397-G-Telephone &amp; Telex Equip</t>
  </si>
  <si>
    <t>398-G-Miscellaneous Equipment</t>
  </si>
  <si>
    <t>Change</t>
  </si>
  <si>
    <t>Formulas</t>
  </si>
  <si>
    <t>Pro Forma Plant</t>
  </si>
  <si>
    <t>Effective Property Tax Rate [1]</t>
  </si>
  <si>
    <t>Property Tax</t>
  </si>
  <si>
    <t>Pro Forma Plant Depn Expense</t>
  </si>
  <si>
    <t>Accumulated Depn. (Avg)</t>
  </si>
  <si>
    <t>Ln 5 / 2</t>
  </si>
  <si>
    <t>Accum Tax Depreciation</t>
  </si>
  <si>
    <t>Ln 1 * MARCS Depn Rate (20-YR Class)</t>
  </si>
  <si>
    <t>Deferred Tax</t>
  </si>
  <si>
    <t>(Ln 7 - Ln 5) * Tax Rates</t>
  </si>
  <si>
    <t>Accum Def Tax (Avg)</t>
  </si>
  <si>
    <t>Ln 8 / 2</t>
  </si>
  <si>
    <t>FIT</t>
  </si>
  <si>
    <t>Ln 5 * FIT Tax Rate</t>
  </si>
  <si>
    <t>Rate Bate</t>
  </si>
  <si>
    <t>Ln 1 - Ln 6 - Ln 9</t>
  </si>
  <si>
    <t>New Customer Revenue Adj.</t>
  </si>
  <si>
    <t>[1]</t>
  </si>
  <si>
    <t>Final Assessment</t>
  </si>
  <si>
    <t>Actual Taxes Paid in TY</t>
  </si>
  <si>
    <t>Effective Tax Rate</t>
  </si>
  <si>
    <t>Removal and Retirement Adjustment</t>
  </si>
  <si>
    <t>$</t>
  </si>
  <si>
    <t>Removal</t>
  </si>
  <si>
    <t>2020 Amount</t>
  </si>
  <si>
    <t>Average Depreciation Rate (UG-200278)</t>
  </si>
  <si>
    <t>Impact of Removal on Expense</t>
  </si>
  <si>
    <t>Retirement</t>
  </si>
  <si>
    <t>Impact of Retirement on Expense</t>
  </si>
  <si>
    <t>Removal &amp; Retirements Expense Adjustment</t>
  </si>
  <si>
    <r>
      <rPr>
        <i/>
        <u/>
        <sz val="11"/>
        <color theme="1"/>
        <rFont val="Calibri"/>
        <family val="2"/>
        <scheme val="minor"/>
      </rPr>
      <t>Note:</t>
    </r>
    <r>
      <rPr>
        <i/>
        <sz val="11"/>
        <color theme="1"/>
        <rFont val="Calibri"/>
        <family val="2"/>
        <scheme val="minor"/>
      </rPr>
      <t xml:space="preserve"> Indirect benefit to Proforma Plant Adjustment</t>
    </r>
  </si>
  <si>
    <t>MCP WP-1.xx</t>
  </si>
  <si>
    <t>FP-319072</t>
  </si>
  <si>
    <t>Depn Rate</t>
  </si>
  <si>
    <t>Plant Depn Expense</t>
  </si>
  <si>
    <t>Plant section 'gassed up' and in-service, but not used and useful until reg. station was installed (2021).</t>
  </si>
  <si>
    <t>Weighted Average Cost of Capital Calculation</t>
  </si>
  <si>
    <t>Capital Structure</t>
  </si>
  <si>
    <t>Cost</t>
  </si>
  <si>
    <t>WACC</t>
  </si>
  <si>
    <t>Filed</t>
  </si>
  <si>
    <t>Rebuttal</t>
  </si>
  <si>
    <t xml:space="preserve">Long Term Debt     </t>
  </si>
  <si>
    <t xml:space="preserve">Preferred Stock      </t>
  </si>
  <si>
    <t xml:space="preserve">Common Equity     </t>
  </si>
  <si>
    <t xml:space="preserve">Total          </t>
  </si>
  <si>
    <t>Plant in Service &amp; Accumulated Depreciation</t>
  </si>
  <si>
    <t>Description - Depr Group</t>
  </si>
  <si>
    <t>Summary</t>
  </si>
  <si>
    <t>Dec-2019 Plant</t>
  </si>
  <si>
    <t>Dec-2019 Reserve</t>
  </si>
  <si>
    <t>Jan-2020 Plant</t>
  </si>
  <si>
    <t>Jan-2020 Reserve</t>
  </si>
  <si>
    <t>Feb-2020 Plant</t>
  </si>
  <si>
    <t>Feb-2020 Reserve</t>
  </si>
  <si>
    <t>Mar-2020 Plant</t>
  </si>
  <si>
    <t>Mar-2020 Reserve</t>
  </si>
  <si>
    <t>Apr-2020 Plant</t>
  </si>
  <si>
    <t>Apr-2020 Reserve</t>
  </si>
  <si>
    <t>May-2020 Plant</t>
  </si>
  <si>
    <t>May-2020 Reserve</t>
  </si>
  <si>
    <t>Jun-2020 Plant</t>
  </si>
  <si>
    <t>Jun-2020 Reserve</t>
  </si>
  <si>
    <t>Jul-2020 Plant</t>
  </si>
  <si>
    <t>Jul-2020 Reserve</t>
  </si>
  <si>
    <t>Aug-2020 Plant</t>
  </si>
  <si>
    <t>Aug-2020 Reserve</t>
  </si>
  <si>
    <t>Sept-2020 Plant</t>
  </si>
  <si>
    <t>Sept-2020 Reserve</t>
  </si>
  <si>
    <t>Oct-2020 Plant</t>
  </si>
  <si>
    <t>Oct-2020 Reserve</t>
  </si>
  <si>
    <t>Nov-2020 Plant</t>
  </si>
  <si>
    <t>Nov-2020 Reserve</t>
  </si>
  <si>
    <t>Dec-2020 Plant</t>
  </si>
  <si>
    <t>Dec-2020 Reserve</t>
  </si>
  <si>
    <t>Average of Monthly Avg Plant</t>
  </si>
  <si>
    <t>Average of MonthlyAvg Reserve</t>
  </si>
  <si>
    <t>CNG-302-G-Franchises-00038</t>
  </si>
  <si>
    <t>00038</t>
  </si>
  <si>
    <t>CNG-303-G-Intang-00038-40 YR-2014</t>
  </si>
  <si>
    <t>CNG-303-G-Intang-00038-40 YR-2016</t>
  </si>
  <si>
    <t>CNG-303-G-Intang-00038-40 YR-2017</t>
  </si>
  <si>
    <t>CNG-365-G-Land and Land Right-00038</t>
  </si>
  <si>
    <t>CNG-365-G-Rights-of-Way-00038</t>
  </si>
  <si>
    <t>CNG-367-G-Mains-00038</t>
  </si>
  <si>
    <t>CNG-369-G-Measuring/Regulatin-00038</t>
  </si>
  <si>
    <t>CNG-374-G-Land Right-00038</t>
  </si>
  <si>
    <t>CNG-374-G-Land-00038</t>
  </si>
  <si>
    <t>CNG-375-G-Lease Hold Improvem-00038</t>
  </si>
  <si>
    <t>CNG-375-G-Structures &amp; Improv-00038</t>
  </si>
  <si>
    <t>CNG-376-G-Mains-High Pressure-00038</t>
  </si>
  <si>
    <t>CNG-376-G-Mains-Plastic-00038</t>
  </si>
  <si>
    <t>CNG-376-G-Mains-Steel-00038</t>
  </si>
  <si>
    <t>CNG-378-G-Measure/Regulation -00038</t>
  </si>
  <si>
    <t>CNG-380-G-Services-Plastc-00038</t>
  </si>
  <si>
    <t>CNG-380-G-Services-Steel-00038</t>
  </si>
  <si>
    <t>CNG-382-G-Meter Set Installat-00038</t>
  </si>
  <si>
    <t>CNG-385-G-Industrial Meas. &amp; -00038</t>
  </si>
  <si>
    <t>CNG-386-G-Other Property Cust-00038</t>
  </si>
  <si>
    <t>CNG-389-G-Land &amp; Land Rights-00038</t>
  </si>
  <si>
    <t>CNG-390-G-Leasehold Improveme-00038</t>
  </si>
  <si>
    <t>CNG-390-G-Structures &amp; Improv-00038</t>
  </si>
  <si>
    <t>CNG-391-G-Office Equip-00038</t>
  </si>
  <si>
    <t>CNG-391-G-Office Furniture &amp; -00038</t>
  </si>
  <si>
    <t>CNG-392-G-Trailers-00038</t>
  </si>
  <si>
    <t>CNG-392-G-Transportation Equi-00038</t>
  </si>
  <si>
    <t>CNG-393-G-Stores Equip-00038</t>
  </si>
  <si>
    <t>CNG-394-G-Tools,Shop,Garage E-00038</t>
  </si>
  <si>
    <t>CNG-396-G-Power Operated Equi-00038</t>
  </si>
  <si>
    <t>CNG-396-G-Trailers-Work Equip-00038</t>
  </si>
  <si>
    <t>CNG-397-G-Radio Comm Equip-Fi-00038</t>
  </si>
  <si>
    <t>CNG-397-G-Radio Comm Equip-Mo-00038</t>
  </si>
  <si>
    <t>CNG-397-G-Supervisory &amp; Telem-00038</t>
  </si>
  <si>
    <t>CNG-397-G-Telephone &amp; Telex E-00038</t>
  </si>
  <si>
    <t>CNG-398-G-Miscellaneous Equip-00038</t>
  </si>
  <si>
    <t>CNG-302-G-Franchises-00048</t>
  </si>
  <si>
    <t>00048</t>
  </si>
  <si>
    <t>CNG-303-G-Intang-00048-20 YR-2016</t>
  </si>
  <si>
    <t>CNG-303-G-Intang-00048-20 YR-2017</t>
  </si>
  <si>
    <t>CNG-303-G-Intang-00048-40 YR-2014</t>
  </si>
  <si>
    <t>CNG-303-G-Intang-00048-40 YR-2015</t>
  </si>
  <si>
    <t>CNG-303-G-Intang-00048-40 YR-2017</t>
  </si>
  <si>
    <t>CNG-303-G-Intang-00048-40 YR-2018</t>
  </si>
  <si>
    <t>CNG-303-G-Intang-00048-40 YR-2020</t>
  </si>
  <si>
    <t>CNG-365-G-Land and Land Right-00048</t>
  </si>
  <si>
    <t>CNG-365-G-Rights-of-Way-00048</t>
  </si>
  <si>
    <t>CNG-367-G-Mains-00048</t>
  </si>
  <si>
    <t>CNG-369-G-Measuring/Regulatin-00048</t>
  </si>
  <si>
    <t>CNG-374-G-Land Right-00048</t>
  </si>
  <si>
    <t>CNG-374-G-Land-00048</t>
  </si>
  <si>
    <t>CNG-375-G-Structures &amp; Improv-00048</t>
  </si>
  <si>
    <t>CNG-376-G-Mains-High Pressure-00048</t>
  </si>
  <si>
    <t>CNG-376-G-Mains-Plastic-00048</t>
  </si>
  <si>
    <t>CNG-376-G-Mains-Steel-00048</t>
  </si>
  <si>
    <t>CNG-377-G-Compressor Station-00048</t>
  </si>
  <si>
    <t>CNG-378-G-Measure/Regulation -00048</t>
  </si>
  <si>
    <t>CNG-379-G-Meas/Reg City -00048</t>
  </si>
  <si>
    <t>CNG-380-G-Services-Plastc-00048</t>
  </si>
  <si>
    <t>CNG-380-G-Services-Steel-00048</t>
  </si>
  <si>
    <t>CNG-381-G-Meters-00048</t>
  </si>
  <si>
    <t>CNG-382-G-Meter Set Installat-00048</t>
  </si>
  <si>
    <t>CNG-385-G-Industrial Meas. &amp; -00048</t>
  </si>
  <si>
    <t>CNG-386-G-Other Property Cust-00048</t>
  </si>
  <si>
    <t>CNG-389-G-Land &amp; Land Rights-00048</t>
  </si>
  <si>
    <t>CNG-390-G-Leasehold Improveme-00048</t>
  </si>
  <si>
    <t>CNG-390-G-Structures &amp; Improv-00048</t>
  </si>
  <si>
    <t>CNG-391-G-Office Equip-00048</t>
  </si>
  <si>
    <t>CNG-391-G-Office Furniture &amp; -00048</t>
  </si>
  <si>
    <t>CNG-392-G-Trailers-00048</t>
  </si>
  <si>
    <t>CNG-392-G-Transportation Equi-00048</t>
  </si>
  <si>
    <t>CNG-393-G-Stores Equip-00048</t>
  </si>
  <si>
    <t>CNG-394-G-Tools,Shop,Garage E-00048</t>
  </si>
  <si>
    <t>CNG-394-G-Vehicle CNG Equip-00048</t>
  </si>
  <si>
    <t>CNG-395-G-Laboratory Equip-00048</t>
  </si>
  <si>
    <t>CNG-396-G-Power Operated Equi-00048</t>
  </si>
  <si>
    <t>CNG-396-G-Trailers-Work Equip-00048</t>
  </si>
  <si>
    <t>CNG-397-G-Radio Comm Equip-Fi-00048</t>
  </si>
  <si>
    <t>CNG-397-G-Radio Comm Equip-Mo-00048</t>
  </si>
  <si>
    <t>CNG-397-G-Supervisory &amp; Telem-00048</t>
  </si>
  <si>
    <t>CNG-397-G-Telephone &amp; Telex E-00048</t>
  </si>
  <si>
    <t>CNG-398-G-Miscellaneous Equip-00048</t>
  </si>
  <si>
    <t>Allocated States</t>
  </si>
  <si>
    <t>CNG-301-G-Organization-00100</t>
  </si>
  <si>
    <t>00100</t>
  </si>
  <si>
    <t>CNG-303-G-Intang-00100-1 YR-2020</t>
  </si>
  <si>
    <t>CNG-303-G-Intang-00100-10 YR-2013</t>
  </si>
  <si>
    <t>CNG-303-G-Intang-00100-10 YR-2015</t>
  </si>
  <si>
    <t>CNG-303-G-Intang-00100-10 YR-2016</t>
  </si>
  <si>
    <t>CNG-303-G-Intang-00100-10 YR-2017</t>
  </si>
  <si>
    <t>CNG-303-G-Intang-00100-10 YR-2019</t>
  </si>
  <si>
    <t>CNG-303-G-Intang-00100-11 YR-2015</t>
  </si>
  <si>
    <t>CNG-303-G-Intang-00100-12 YR-2019</t>
  </si>
  <si>
    <t>CNG-303-G-Intang-00100-12 YR-2020</t>
  </si>
  <si>
    <t>CNG-303-G-Intang-00100-13 YR-2012</t>
  </si>
  <si>
    <t>CNG-303-G-Intang-00100-14 YR-2010</t>
  </si>
  <si>
    <t>CNG-303-G-Intang-00100-14 YR-2011</t>
  </si>
  <si>
    <t>CNG-303-G-Intang-00100-15 YR-2010</t>
  </si>
  <si>
    <t>CNG-303-G-Intang-00100-15 YR-2012</t>
  </si>
  <si>
    <t>CNG-303-G-Intang-00100-15 YR-2017</t>
  </si>
  <si>
    <t>CNG-303-G-Intang-00100-15 YR-2018</t>
  </si>
  <si>
    <t>CNG-303-G-Intang-00100-3 YR-2010</t>
  </si>
  <si>
    <t>CNG-303-G-Intang-00100-3 YR-2017</t>
  </si>
  <si>
    <t>CNG-303-G-Intang-00100-3 YR-2020</t>
  </si>
  <si>
    <t>CNG-303-G-Intang-00100-5 YR-2011</t>
  </si>
  <si>
    <t>CNG-303-G-Intang-00100-5 YR-2016</t>
  </si>
  <si>
    <t>CNG-303-G-Intang-00100-5 YR-2017</t>
  </si>
  <si>
    <t>CNG-303-G-Intang-00100-5 YR-2018</t>
  </si>
  <si>
    <t>CNG-303-G-Intang-00100-5 YR-2019</t>
  </si>
  <si>
    <t>CNG-303-G-Intang-00100-5 YR-2020</t>
  </si>
  <si>
    <t>CNG-303-G-Intang-00100-7 YR-2012</t>
  </si>
  <si>
    <t>CNG-303-G-Intang-00100-7 YR-2013</t>
  </si>
  <si>
    <t>CNG-303-G-Intang-00100-7 YR-2014</t>
  </si>
  <si>
    <t>CNG-303-G-Intang-00100-7 YR-2015</t>
  </si>
  <si>
    <t>CNG-303-G-Intang-00100-7 YR-2016</t>
  </si>
  <si>
    <t>CNG-303-G-Intang-00100-7 YR-2017</t>
  </si>
  <si>
    <t>CNG-303-G-Intang-00100-7 YR-2018</t>
  </si>
  <si>
    <t>CNG-303-G-Intang-00100-7 YR-2019</t>
  </si>
  <si>
    <t>CNG-303-G-Intang-00100-7 YR-2020</t>
  </si>
  <si>
    <t>CNG-303-G-Intang-00100-8 YR-2019</t>
  </si>
  <si>
    <t>CNG-303-G-Intang-00100-PowerPlan</t>
  </si>
  <si>
    <t>CNG-374-G-Land-00100</t>
  </si>
  <si>
    <t>CNG-375-G-Structures &amp; Improv-00100</t>
  </si>
  <si>
    <t>CNG-389-G-Land &amp; Land Rights-00100</t>
  </si>
  <si>
    <t>CNG-390-G-Structures &amp; Improv-00100</t>
  </si>
  <si>
    <t>CNG-391-G-Comp Equip-Server &amp;-00100</t>
  </si>
  <si>
    <t>CNG-391-G-Office Equip-00100</t>
  </si>
  <si>
    <t>CNG-391-G-Office Furniture &amp; -00100</t>
  </si>
  <si>
    <t>CNG-391-G-Software-00100</t>
  </si>
  <si>
    <t>CNG-392-G-Trailers-00100</t>
  </si>
  <si>
    <t>CNG-392-G-Transportation Equi-00100</t>
  </si>
  <si>
    <t>CNG-393-G-Stores Equip-00100</t>
  </si>
  <si>
    <t>CNG-394-G-Tools,Shop,Garage E-00100</t>
  </si>
  <si>
    <t>CNG-395-G-Laboratory Equip-00100</t>
  </si>
  <si>
    <t>CNG-396-G-Power Operated Equi-00100</t>
  </si>
  <si>
    <t>CNG-396-G-Trailers-Work Equip-00100</t>
  </si>
  <si>
    <t>CNG-397-G-Radio Comm Equip-Mo-00100</t>
  </si>
  <si>
    <t>CNG-397-G-Supervisory &amp; Telem-00100</t>
  </si>
  <si>
    <t>CNG-397-G-Telephone &amp; Telex E-00100</t>
  </si>
  <si>
    <t>CNG-398-G-Miscellaneous Equip-00100</t>
  </si>
  <si>
    <t>CNG-381-G-ERTS-00101</t>
  </si>
  <si>
    <t>CNG-381-G-Meters-00101</t>
  </si>
  <si>
    <t>CNG-382-G-Meter Set Installat-00101</t>
  </si>
  <si>
    <t>CNG-383-G-Service Regulators-00101</t>
  </si>
  <si>
    <t>No Jurisdiction Allocation</t>
  </si>
  <si>
    <t>CNG-372-G-Aro Trans Plant</t>
  </si>
  <si>
    <t>CNG-388-G-Aro Distrib Plant-OR</t>
  </si>
  <si>
    <t>CNG-388-G-Aro Distrib Plant-WA</t>
  </si>
  <si>
    <t>CNG-372-G-ARO-Trans Manual Adj</t>
  </si>
  <si>
    <t>CNG-388-G-ARO-Dist Manual Adj</t>
  </si>
  <si>
    <t>NJA</t>
  </si>
  <si>
    <t>Figures are exported from JDE, the company's accounting software.</t>
  </si>
  <si>
    <t>WA 00048 Total (from above)</t>
  </si>
  <si>
    <t>100 AS accounts (allocation on 3 Factor Allocator)</t>
  </si>
  <si>
    <t>101 AS accounts (allocation on Customer Allocator)</t>
  </si>
  <si>
    <t>Total WA Plant)</t>
  </si>
  <si>
    <t>Total WA Plant in Service (AMA)</t>
  </si>
  <si>
    <t>Total WA Reserve</t>
  </si>
  <si>
    <t>Total WA Accum. Deprec. (AMA)</t>
  </si>
  <si>
    <t>Rate Base File Amount</t>
  </si>
  <si>
    <t>Diff</t>
  </si>
  <si>
    <t>JDE UW</t>
  </si>
  <si>
    <t>PIS Total</t>
  </si>
  <si>
    <t>RWIP</t>
  </si>
  <si>
    <t>47.1082.8</t>
  </si>
  <si>
    <t>Rate Base Filed</t>
  </si>
  <si>
    <t>Rate Design Section</t>
  </si>
  <si>
    <t>Summary of Revenue by Rate Class</t>
  </si>
  <si>
    <t>Customer Class</t>
  </si>
  <si>
    <t>Present</t>
  </si>
  <si>
    <t>$ Difference</t>
  </si>
  <si>
    <t>% Difference</t>
  </si>
  <si>
    <t>Residential - 503</t>
  </si>
  <si>
    <t>Delivery Charge</t>
  </si>
  <si>
    <t>Commercial - 504</t>
  </si>
  <si>
    <t>Industrial - Firm 505</t>
  </si>
  <si>
    <t>Com-Ind Dual Service 511</t>
  </si>
  <si>
    <t>Interruptible General 570</t>
  </si>
  <si>
    <t>Demand Charge</t>
  </si>
  <si>
    <t>General Distribution - 663</t>
  </si>
  <si>
    <t>Analysis of Revenue by Detailed Rate Schedule</t>
  </si>
  <si>
    <t>Present Adjusted Test Year Revenues</t>
  </si>
  <si>
    <t>Proposed Revenues</t>
  </si>
  <si>
    <t>Adjusted Billing Units*</t>
  </si>
  <si>
    <t>Adjusted Current Rate</t>
  </si>
  <si>
    <t>Revenue</t>
  </si>
  <si>
    <t>$ Amount</t>
  </si>
  <si>
    <t>% Amount</t>
  </si>
  <si>
    <t>Average Monthly Therms</t>
  </si>
  <si>
    <t>General Commercial - 504</t>
  </si>
  <si>
    <t>General Industrial - 505</t>
  </si>
  <si>
    <t>Delivery Charge First 500 Therms</t>
  </si>
  <si>
    <t>Delivery Charge Next 3,500 Therms</t>
  </si>
  <si>
    <t>Delivery Charge &gt; 4,000 Therms</t>
  </si>
  <si>
    <t>Large Volume General Service - 511</t>
  </si>
  <si>
    <t>Margin&gt; 100,000 Therms</t>
  </si>
  <si>
    <t>Interruptible Service - 570</t>
  </si>
  <si>
    <t>Non-Core Industrial 663</t>
  </si>
  <si>
    <t>System Balancing Charge</t>
  </si>
  <si>
    <t>Delivery Charge &gt; 500,000 therms</t>
  </si>
  <si>
    <t>* Delivery Charge units are in therms</t>
  </si>
  <si>
    <t xml:space="preserve">Docket No. UG-21_____ </t>
  </si>
  <si>
    <t>Present Rates</t>
  </si>
  <si>
    <t>Pass-Thru Rates</t>
  </si>
  <si>
    <t>Month</t>
  </si>
  <si>
    <t>Average Therms Per Customer</t>
  </si>
  <si>
    <t>Bill at Present Rates</t>
  </si>
  <si>
    <t>Bill at Proposed Rates</t>
  </si>
  <si>
    <t>Monthly Bill Change Amount</t>
  </si>
  <si>
    <t>Monthly Bill Change Percent</t>
  </si>
  <si>
    <t xml:space="preserve">January </t>
  </si>
  <si>
    <t>April</t>
  </si>
  <si>
    <t>June</t>
  </si>
  <si>
    <t>July</t>
  </si>
  <si>
    <t>August</t>
  </si>
  <si>
    <t>September</t>
  </si>
  <si>
    <t>November</t>
  </si>
  <si>
    <t>Monthly Average</t>
  </si>
  <si>
    <t>Monthly Consumption (therms)</t>
  </si>
  <si>
    <t>Revenue Change Amount</t>
  </si>
  <si>
    <t>Revenue Change Percent</t>
  </si>
  <si>
    <t>Pass-Through Charge Table</t>
  </si>
  <si>
    <t>Protected EDIT</t>
  </si>
  <si>
    <t>Unprotected EDIT</t>
  </si>
  <si>
    <t>Temp. FIT</t>
  </si>
  <si>
    <t>Temp. Gas Cost Adj</t>
  </si>
  <si>
    <t>Low-Income Adj</t>
  </si>
  <si>
    <t>Decoupling Adj</t>
  </si>
  <si>
    <t>CRM Adj</t>
  </si>
  <si>
    <t>Cost of Gas</t>
  </si>
  <si>
    <t>Temp. Tech. Adj</t>
  </si>
  <si>
    <t>Conservation Adj</t>
  </si>
  <si>
    <t>Total Pass-Thru</t>
  </si>
  <si>
    <t>Contract Demand</t>
  </si>
  <si>
    <t xml:space="preserve">Annualize Revenues Adjustment </t>
  </si>
  <si>
    <t>MYRP (YR2) Revenue Per Customer</t>
  </si>
  <si>
    <t>MYRP (YR3) Revenue Per Customer</t>
  </si>
  <si>
    <t>NOT USED</t>
  </si>
  <si>
    <t>Removal of FP-319072 &amp; FP-319209</t>
  </si>
  <si>
    <t>Remvoal of FP-319072 and FP-319209</t>
  </si>
  <si>
    <t>FP-319209</t>
  </si>
  <si>
    <t>Ln 7 / 2</t>
  </si>
  <si>
    <t>Ln 3 * MARCS Depn Rate (20-YR Class)</t>
  </si>
  <si>
    <t>(Ln 9 - Ln 7) * Tax Rates</t>
  </si>
  <si>
    <t>Ln 10 / 2</t>
  </si>
  <si>
    <t>Ln 7 * FIT Tax Rate</t>
  </si>
  <si>
    <t>Ln 3 - Ln 8 - Ln 11</t>
  </si>
  <si>
    <t>Exh. PJA-3</t>
  </si>
  <si>
    <t>Conversion Factor for Revenue Sensitive Costs</t>
  </si>
  <si>
    <t>Net Operating Income</t>
  </si>
  <si>
    <t>Gas Costs</t>
  </si>
  <si>
    <t>Margin Revenue Change</t>
  </si>
  <si>
    <t>WACOG</t>
  </si>
  <si>
    <t>Total Rate</t>
  </si>
  <si>
    <t>16 - 18</t>
  </si>
  <si>
    <t>2 - 9</t>
  </si>
  <si>
    <t>10 - 15</t>
  </si>
  <si>
    <t>MCP WP-1.18</t>
  </si>
  <si>
    <t>Annualize Revenues Adjustment</t>
  </si>
  <si>
    <t>Removal of FP-319072 and FP-319209</t>
  </si>
  <si>
    <t>MCG WP-1.17</t>
  </si>
  <si>
    <t>MCG WP-1.18</t>
  </si>
  <si>
    <t>MCP WP-1.17</t>
  </si>
  <si>
    <t>Original Filing</t>
  </si>
  <si>
    <t>3-YR AVG</t>
  </si>
  <si>
    <t>AWEC DR-5</t>
  </si>
  <si>
    <t>Reclass Rate Base (AWEC DR 5)</t>
  </si>
  <si>
    <t>Depn</t>
  </si>
  <si>
    <t>Plt</t>
  </si>
  <si>
    <t>Due to 120% removal</t>
  </si>
  <si>
    <t>Accm. Depn</t>
  </si>
  <si>
    <t>x</t>
  </si>
  <si>
    <t>OR Accum DIT Plant</t>
  </si>
  <si>
    <t>Reg Other Deferrals, Non-plant</t>
  </si>
  <si>
    <t>14% contra acct (35%-21% FIT)</t>
  </si>
  <si>
    <t>System Avg. Rate</t>
  </si>
  <si>
    <t>Early Rates Rev</t>
  </si>
  <si>
    <t>Comp</t>
  </si>
  <si>
    <t>diff</t>
  </si>
  <si>
    <t>On</t>
  </si>
  <si>
    <t>Annual EOP Depn (2021)</t>
  </si>
  <si>
    <t>Base Year Depn (2020)</t>
  </si>
  <si>
    <t>Unbilled Revenues</t>
  </si>
  <si>
    <t>Previous</t>
  </si>
  <si>
    <t>Prior</t>
  </si>
  <si>
    <t>Net</t>
  </si>
  <si>
    <t>2020 IS</t>
  </si>
  <si>
    <t>2020 Rev Recon</t>
  </si>
  <si>
    <t>NonCore</t>
  </si>
  <si>
    <t>PGA + Decoupling</t>
  </si>
  <si>
    <t>cu</t>
  </si>
  <si>
    <t>pr</t>
  </si>
  <si>
    <t>Unbilled Decoupling (should have been)</t>
  </si>
  <si>
    <t>Unbilled Decoupling (filed)</t>
  </si>
  <si>
    <t>Decoupling</t>
  </si>
  <si>
    <t>PGA + Decoupling (should have been)</t>
  </si>
  <si>
    <t>testimony should have said, if acctg records were correct</t>
  </si>
  <si>
    <t>Initially thought total unbilled was</t>
  </si>
  <si>
    <t>PGA unbilled</t>
  </si>
  <si>
    <t>testimony said unbilled left in</t>
  </si>
  <si>
    <t>Total Unbilled</t>
  </si>
  <si>
    <t>Unbilled Only</t>
  </si>
  <si>
    <t>PGA Unbilled</t>
  </si>
  <si>
    <t>total unbilled</t>
  </si>
  <si>
    <t>pga unbilled</t>
  </si>
  <si>
    <t>leftover unbilled</t>
  </si>
  <si>
    <t>decoupled unbilled</t>
  </si>
  <si>
    <t>NOI</t>
  </si>
  <si>
    <t>RB</t>
  </si>
  <si>
    <t>Commission Order Rev. Req.</t>
  </si>
  <si>
    <t>Order 09</t>
  </si>
  <si>
    <t>AWEC Adj</t>
  </si>
  <si>
    <t>Reverse PP EDIT Deferral</t>
  </si>
  <si>
    <t>Restate Revenue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</si>
</sst>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2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"/>
    <numFmt numFmtId="165" formatCode="_(* #,##0_);_(* \(#,##0\);_(* &quot;-&quot;??_);_(@_)"/>
    <numFmt numFmtId="166" formatCode="0.000%"/>
    <numFmt numFmtId="167" formatCode="0.0000%"/>
    <numFmt numFmtId="168" formatCode="_-* #,##0\ &quot;F&quot;_-;\-* #,##0\ &quot;F&quot;_-;_-* &quot;-&quot;\ &quot;F&quot;_-;_-@_-"/>
    <numFmt numFmtId="169" formatCode="&quot;$&quot;###0;[Red]\(&quot;$&quot;###0\)"/>
    <numFmt numFmtId="170" formatCode="&quot;$&quot;#,##0\ ;\(&quot;$&quot;#,##0\)"/>
    <numFmt numFmtId="171" formatCode="########\-###\-###"/>
    <numFmt numFmtId="172" formatCode="0.0"/>
    <numFmt numFmtId="173" formatCode="#,##0.000;[Red]\-#,##0.000"/>
    <numFmt numFmtId="174" formatCode="#,##0.0_);\(#,##0.0\);\-\ ;"/>
    <numFmt numFmtId="175" formatCode="#,##0.0000"/>
    <numFmt numFmtId="176" formatCode="mmm\ dd\,\ yyyy"/>
    <numFmt numFmtId="177" formatCode="General_)"/>
    <numFmt numFmtId="178" formatCode="mmmm\ d\,\ yyyy"/>
    <numFmt numFmtId="179" formatCode="_-* #,##0.000000_-;\-* #,##0.000000_-;_-* &quot;-&quot;??????_-;_-@_-"/>
    <numFmt numFmtId="180" formatCode="#,##0.0_);\(#,##0.0\)"/>
    <numFmt numFmtId="181" formatCode="&quot;$&quot;#,##0.000_);\(&quot;$&quot;#,##0.000\)"/>
    <numFmt numFmtId="182" formatCode="&quot;$&quot;#,##0.00000000_);\(&quot;$&quot;#,##0.00000000\)"/>
    <numFmt numFmtId="183" formatCode="0.00000"/>
    <numFmt numFmtId="184" formatCode="0.0000000%"/>
    <numFmt numFmtId="185" formatCode="_(* #,##0.0000_);_(* \(#,##0.0000\);_(* &quot;-&quot;??_);_(@_)"/>
    <numFmt numFmtId="186" formatCode="#,##0.00000_);\(#,##0.00000\)"/>
    <numFmt numFmtId="187" formatCode="&quot;$&quot;#,##0"/>
    <numFmt numFmtId="188" formatCode="dd\-mmm\-yy_)"/>
    <numFmt numFmtId="189" formatCode="&quot;$&quot;#,##0.00"/>
    <numFmt numFmtId="190" formatCode="#,##0.0000000000_);[Red]\(#,##0.0000000000\)"/>
    <numFmt numFmtId="191" formatCode="0.00000%"/>
    <numFmt numFmtId="192" formatCode="mmm\-yy_)"/>
    <numFmt numFmtId="193" formatCode="0_)"/>
    <numFmt numFmtId="194" formatCode="[$-409]m/d/yy\ h:mm\ AM/PM;@"/>
    <numFmt numFmtId="195" formatCode="0_);\(0\)"/>
    <numFmt numFmtId="196" formatCode="#,##0.0"/>
    <numFmt numFmtId="197" formatCode="#,##0.000"/>
    <numFmt numFmtId="198" formatCode="_(&quot;$&quot;* #,##0_);_(&quot;$&quot;* \(#,##0\);_(&quot;$&quot;* &quot;-&quot;??_);_(@_)"/>
    <numFmt numFmtId="199" formatCode="0.0%"/>
    <numFmt numFmtId="200" formatCode="&quot;$&quot;#,##0.00000"/>
    <numFmt numFmtId="201" formatCode="_(&quot;$&quot;* #,##0.00000_);_(&quot;$&quot;* \(#,##0.00000\);_(&quot;$&quot;* &quot;-&quot;??_);_(@_)"/>
    <numFmt numFmtId="202" formatCode="[$-409]mmmm\ d\,\ yyyy;@"/>
    <numFmt numFmtId="203" formatCode="ddd\,\ m/d/yyyy"/>
    <numFmt numFmtId="204" formatCode="m/d/yy;@"/>
    <numFmt numFmtId="205" formatCode="&quot;$&quot;#,##0.0000"/>
    <numFmt numFmtId="206" formatCode="&quot;$&quot;#,##0.0000000"/>
    <numFmt numFmtId="207" formatCode="_(&quot;$&quot;* #,##0.0000_);_(&quot;$&quot;* \(#,##0.0000\);_(&quot;$&quot;* &quot;-&quot;??_);_(@_)"/>
    <numFmt numFmtId="208" formatCode="_(&quot;$&quot;* #,##0.0000000_);_(&quot;$&quot;* \(#,##0.0000000\);_(&quot;$&quot;* &quot;-&quot;??_);_(@_)"/>
    <numFmt numFmtId="209" formatCode="_(* #,##0.0000000_);_(* \(#,##0.0000000\);_(* &quot;-&quot;??_);_(@_)"/>
    <numFmt numFmtId="210" formatCode="#,##0.00000"/>
    <numFmt numFmtId="211" formatCode="0.0000"/>
    <numFmt numFmtId="212" formatCode="0.00_);\(0.00\)"/>
    <numFmt numFmtId="213" formatCode="[$-409]mmm\-yy;@"/>
    <numFmt numFmtId="214" formatCode="_(* #,##0.00000_);_(* \(#,##0.00000\);_(* &quot;-&quot;??_);_(@_)"/>
    <numFmt numFmtId="215" formatCode="_(&quot;$&quot;* #,##0.0000_);_(&quot;$&quot;* \(#,##0.0000\);_(&quot;$&quot;* &quot;-&quot;????_);_(@_)"/>
    <numFmt numFmtId="216" formatCode="0.000"/>
    <numFmt numFmtId="217" formatCode="_(* #,##0.0_);_(* \(#,##0.0\);_(* &quot;-&quot;??_);_(@_)"/>
    <numFmt numFmtId="218" formatCode="#,##0.000000000_);[Red]\(#,##0.000000000\)"/>
    <numFmt numFmtId="219" formatCode="_(* #,##0_);[Red]_(* \(#,##0\);_(* &quot;-&quot;??_);_(@_)"/>
    <numFmt numFmtId="220" formatCode="&quot;$&quot;#,##0.00000_);[Red]\(&quot;$&quot;#,##0.00000\)"/>
    <numFmt numFmtId="221" formatCode="_(* #,##0.00000_);_(* \(#,##0.00000\);_(* &quot;-&quot;???_);_(@_)"/>
    <numFmt numFmtId="222" formatCode="&quot;$&quot;#,##0.000000_);[Red]\(&quot;$&quot;#,##0.000000\)"/>
    <numFmt numFmtId="223" formatCode="_([$$-409]* #,##0_);_([$$-409]* \(#,##0\);_([$$-409]* &quot;-&quot;??_);_(@_)"/>
    <numFmt numFmtId="224" formatCode="_([$$-409]* #,##0.00_);_([$$-409]* \(#,##0.00\);_([$$-409]* &quot;-&quot;??_);_(@_)"/>
    <numFmt numFmtId="225" formatCode="_([$$-409]* #,##0.0000_);_([$$-409]* \(#,##0.0000\);_([$$-409]* &quot;-&quot;??_);_(@_)"/>
    <numFmt numFmtId="226" formatCode="_([$$-409]* #,##0.0000000_);_([$$-409]* \(#,##0.0000000\);_([$$-409]* &quot;-&quot;??_);_(@_)"/>
    <numFmt numFmtId="227" formatCode="_(&quot;$&quot;* #,##0.000_);_(&quot;$&quot;* \(#,##0.000\);_(&quot;$&quot;* &quot;-&quot;??_);_(@_)"/>
  </numFmts>
  <fonts count="17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10"/>
      <color indexed="12"/>
      <name val="Arial"/>
      <family val="2"/>
    </font>
    <font>
      <b/>
      <sz val="8"/>
      <name val="Arial"/>
      <family val="2"/>
    </font>
    <font>
      <sz val="10"/>
      <color indexed="10"/>
      <name val="Arial"/>
      <family val="2"/>
    </font>
    <font>
      <b/>
      <sz val="12"/>
      <name val="Arial"/>
      <family val="2"/>
    </font>
    <font>
      <b/>
      <sz val="10"/>
      <color indexed="8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sz val="10"/>
      <name val="Courier"/>
      <family val="3"/>
    </font>
    <font>
      <sz val="10"/>
      <color indexed="8"/>
      <name val="Helv"/>
    </font>
    <font>
      <sz val="12"/>
      <name val="Times New Roman"/>
      <family val="1"/>
    </font>
    <font>
      <sz val="12"/>
      <name val="Arial"/>
      <family val="2"/>
    </font>
    <font>
      <sz val="10"/>
      <color indexed="24"/>
      <name val="Courier New"/>
      <family val="3"/>
    </font>
    <font>
      <sz val="10"/>
      <name val="Helv"/>
    </font>
    <font>
      <sz val="8"/>
      <name val="Helv"/>
    </font>
    <font>
      <sz val="7"/>
      <name val="Arial"/>
      <family val="2"/>
    </font>
    <font>
      <b/>
      <sz val="16"/>
      <name val="Times New Roman"/>
      <family val="1"/>
    </font>
    <font>
      <b/>
      <sz val="12"/>
      <color indexed="24"/>
      <name val="Times New Roman"/>
      <family val="1"/>
    </font>
    <font>
      <sz val="10"/>
      <color indexed="24"/>
      <name val="Times New Roman"/>
      <family val="1"/>
    </font>
    <font>
      <b/>
      <i/>
      <sz val="8"/>
      <color indexed="18"/>
      <name val="Helv"/>
    </font>
    <font>
      <sz val="12"/>
      <color indexed="12"/>
      <name val="Times New Roman"/>
      <family val="1"/>
    </font>
    <font>
      <sz val="11"/>
      <name val="Times New Roman"/>
      <family val="1"/>
    </font>
    <font>
      <sz val="10"/>
      <name val="MS Sans Serif"/>
      <family val="2"/>
    </font>
    <font>
      <sz val="10"/>
      <color indexed="11"/>
      <name val="Geneva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8"/>
      <color indexed="18"/>
      <name val="Arial"/>
      <family val="2"/>
    </font>
    <font>
      <b/>
      <sz val="8"/>
      <color indexed="8"/>
      <name val="Arial"/>
      <family val="2"/>
    </font>
    <font>
      <sz val="10"/>
      <color indexed="39"/>
      <name val="Arial"/>
      <family val="2"/>
    </font>
    <font>
      <sz val="12"/>
      <name val="Arial MT"/>
    </font>
    <font>
      <sz val="10"/>
      <name val="LinePrinter"/>
    </font>
    <font>
      <sz val="8"/>
      <color indexed="12"/>
      <name val="Arial"/>
      <family val="2"/>
    </font>
    <font>
      <sz val="11"/>
      <color theme="1"/>
      <name val="Times New Roman"/>
      <family val="2"/>
    </font>
    <font>
      <sz val="10"/>
      <name val="Arial MT"/>
    </font>
    <font>
      <sz val="10"/>
      <color theme="1"/>
      <name val="Arial"/>
      <family val="2"/>
    </font>
    <font>
      <sz val="11"/>
      <color indexed="8"/>
      <name val="TimesNewRomanPS"/>
    </font>
    <font>
      <sz val="8"/>
      <color indexed="62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trike/>
      <sz val="8"/>
      <name val="Arial"/>
      <family val="2"/>
    </font>
    <font>
      <sz val="8"/>
      <color indexed="8"/>
      <name val="Arial"/>
      <family val="2"/>
    </font>
    <font>
      <sz val="8"/>
      <color indexed="12"/>
      <name val="Tms Rmn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Times New Roman"/>
      <family val="1"/>
    </font>
    <font>
      <sz val="8"/>
      <color indexed="18"/>
      <name val="Times New Roman"/>
      <family val="1"/>
    </font>
    <font>
      <sz val="18"/>
      <name val="Times New Roman"/>
      <family val="1"/>
    </font>
    <font>
      <i/>
      <sz val="12"/>
      <name val="Times New Roman"/>
      <family val="1"/>
    </font>
    <font>
      <sz val="18"/>
      <name val="Arial"/>
      <family val="2"/>
    </font>
    <font>
      <i/>
      <sz val="12"/>
      <name val="Arial"/>
      <family val="2"/>
    </font>
    <font>
      <sz val="8"/>
      <name val="Helvetica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i/>
      <sz val="8"/>
      <name val="Times New Roman"/>
      <family val="1"/>
    </font>
    <font>
      <sz val="10"/>
      <name val="Book Antiqua"/>
      <family val="1"/>
    </font>
    <font>
      <sz val="8"/>
      <color indexed="14"/>
      <name val="Helvetica"/>
    </font>
    <font>
      <b/>
      <sz val="10"/>
      <name val="Helv"/>
    </font>
    <font>
      <sz val="7"/>
      <name val="Times New Roman"/>
      <family val="1"/>
    </font>
    <font>
      <b/>
      <u/>
      <sz val="9"/>
      <name val="Arial"/>
      <family val="2"/>
    </font>
    <font>
      <sz val="8"/>
      <color indexed="9"/>
      <name val="Arial"/>
      <family val="2"/>
    </font>
    <font>
      <u/>
      <sz val="11"/>
      <color theme="10"/>
      <name val="Calibri"/>
      <family val="2"/>
    </font>
    <font>
      <sz val="10"/>
      <name val="Geneva"/>
    </font>
    <font>
      <sz val="10"/>
      <name val="Tms Rmn"/>
    </font>
    <font>
      <sz val="12"/>
      <color indexed="10"/>
      <name val="Times New Roman"/>
      <family val="1"/>
    </font>
    <font>
      <b/>
      <sz val="8"/>
      <color indexed="8"/>
      <name val="Courier New"/>
      <family val="3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color indexed="8"/>
      <name val="Wingdings"/>
      <charset val="2"/>
    </font>
    <font>
      <u/>
      <sz val="7.5"/>
      <color theme="0"/>
      <name val="Arial"/>
      <family val="2"/>
    </font>
    <font>
      <u/>
      <sz val="10"/>
      <color theme="0"/>
      <name val="Arial"/>
      <family val="2"/>
    </font>
    <font>
      <sz val="10"/>
      <name val="Geneva"/>
      <family val="2"/>
    </font>
    <font>
      <sz val="10"/>
      <name val="Tahoma"/>
      <family val="2"/>
    </font>
    <font>
      <u/>
      <sz val="10"/>
      <color theme="10"/>
      <name val="Arial"/>
      <family val="2"/>
    </font>
    <font>
      <sz val="6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u/>
      <sz val="9.9499999999999993"/>
      <color indexed="8"/>
      <name val="Times New Roman"/>
      <family val="1"/>
    </font>
    <font>
      <b/>
      <sz val="11"/>
      <color indexed="8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sz val="10"/>
      <color indexed="8"/>
      <name val="MS Sans Serif"/>
      <family val="2"/>
    </font>
    <font>
      <b/>
      <sz val="11"/>
      <color indexed="63"/>
      <name val="Calibri"/>
      <family val="2"/>
    </font>
    <font>
      <sz val="8"/>
      <color indexed="14"/>
      <name val="Helvetica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Courier"/>
    </font>
    <font>
      <sz val="11"/>
      <name val="Calibri"/>
      <family val="2"/>
      <scheme val="minor"/>
    </font>
    <font>
      <sz val="10"/>
      <color theme="1"/>
      <name val="Arial Narrow"/>
      <family val="2"/>
    </font>
    <font>
      <sz val="8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2"/>
      <name val="Helv"/>
    </font>
    <font>
      <b/>
      <u/>
      <sz val="11"/>
      <color theme="1"/>
      <name val="Calibri"/>
      <family val="2"/>
      <scheme val="minor"/>
    </font>
    <font>
      <b/>
      <u/>
      <sz val="11"/>
      <name val="Calibri"/>
      <family val="2"/>
      <scheme val="minor"/>
    </font>
    <font>
      <u val="singleAccounting"/>
      <sz val="11"/>
      <name val="Calibri"/>
      <family val="2"/>
      <scheme val="minor"/>
    </font>
    <font>
      <sz val="11"/>
      <color rgb="FF0066FF"/>
      <name val="Calibri"/>
      <family val="2"/>
      <scheme val="minor"/>
    </font>
    <font>
      <sz val="11"/>
      <color rgb="FF00B050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name val="Calibri"/>
      <family val="2"/>
      <scheme val="minor"/>
    </font>
    <font>
      <u/>
      <sz val="11"/>
      <color rgb="FF00B050"/>
      <name val="Calibri"/>
      <family val="2"/>
      <scheme val="minor"/>
    </font>
    <font>
      <b/>
      <sz val="22"/>
      <color theme="1" tint="0.34998626667073579"/>
      <name val="Cambria"/>
      <family val="2"/>
      <scheme val="major"/>
    </font>
    <font>
      <sz val="14"/>
      <color theme="1"/>
      <name val="Calibri"/>
      <family val="2"/>
      <scheme val="minor"/>
    </font>
    <font>
      <u/>
      <sz val="11"/>
      <color indexed="12"/>
      <name val="Arial"/>
      <family val="2"/>
    </font>
    <font>
      <i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name val="SWISS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sz val="12"/>
      <color theme="1"/>
      <name val="Times New Roman"/>
      <family val="2"/>
    </font>
    <font>
      <i/>
      <u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i/>
      <u/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vertAlign val="superscript"/>
      <sz val="11"/>
      <name val="Calibri"/>
      <family val="2"/>
      <scheme val="minor"/>
    </font>
    <font>
      <sz val="11"/>
      <color indexed="12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indexed="12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u/>
      <sz val="11"/>
      <color rgb="FF0000FF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name val="Calibri"/>
      <family val="2"/>
    </font>
    <font>
      <sz val="8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name val="Calibri"/>
      <family val="2"/>
    </font>
    <font>
      <sz val="12"/>
      <color theme="1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b/>
      <u/>
      <sz val="12"/>
      <color theme="1"/>
      <name val="Times New Roman"/>
      <family val="1"/>
    </font>
    <font>
      <b/>
      <u/>
      <sz val="12"/>
      <name val="Times New Roman"/>
      <family val="1"/>
    </font>
    <font>
      <sz val="12"/>
      <color rgb="FF000000"/>
      <name val="Times New Roman"/>
      <family val="1"/>
    </font>
    <font>
      <b/>
      <sz val="12"/>
      <color rgb="FF000000"/>
      <name val="Times New Roman"/>
      <family val="1"/>
    </font>
    <font>
      <b/>
      <u/>
      <sz val="12"/>
      <color rgb="FF000000"/>
      <name val="Times New Roman"/>
      <family val="1"/>
    </font>
    <font>
      <sz val="11"/>
      <color theme="1"/>
      <name val="Times New Roman"/>
      <family val="1"/>
    </font>
    <font>
      <u/>
      <sz val="11"/>
      <color rgb="FF000000"/>
      <name val="Calibri"/>
      <family val="2"/>
      <scheme val="minor"/>
    </font>
    <font>
      <sz val="26"/>
      <color theme="1"/>
      <name val="Calibri"/>
      <family val="2"/>
      <scheme val="minor"/>
    </font>
  </fonts>
  <fills count="10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9"/>
        <bgColor indexed="41"/>
      </patternFill>
    </fill>
    <fill>
      <patternFill patternType="solid">
        <fgColor indexed="9"/>
        <b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15"/>
      </patternFill>
    </fill>
    <fill>
      <patternFill patternType="lightGray"/>
    </fill>
    <fill>
      <patternFill patternType="solid">
        <fgColor indexed="1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54"/>
      </patternFill>
    </fill>
    <fill>
      <patternFill patternType="solid">
        <fgColor indexed="4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</fills>
  <borders count="17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48"/>
      </left>
      <right style="thin">
        <color indexed="48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22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/>
      <top/>
      <bottom style="double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/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theme="0" tint="-0.249977111117893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</borders>
  <cellStyleXfs count="33394">
    <xf numFmtId="0" fontId="0" fillId="0" borderId="0"/>
    <xf numFmtId="0" fontId="18" fillId="0" borderId="0"/>
    <xf numFmtId="43" fontId="19" fillId="0" borderId="0" applyFont="0" applyFill="0" applyBorder="0" applyAlignment="0" applyProtection="0"/>
    <xf numFmtId="44" fontId="19" fillId="0" borderId="0" applyFont="0" applyFill="0" applyBorder="0" applyProtection="0">
      <alignment horizontal="right"/>
    </xf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" fontId="27" fillId="34" borderId="0" applyNumberFormat="0" applyProtection="0">
      <alignment horizontal="left" vertical="center" indent="1"/>
    </xf>
    <xf numFmtId="4" fontId="28" fillId="0" borderId="0" applyNumberFormat="0" applyProtection="0">
      <alignment horizontal="left" vertical="center"/>
    </xf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30" fillId="0" borderId="0"/>
    <xf numFmtId="168" fontId="19" fillId="0" borderId="0"/>
    <xf numFmtId="168" fontId="19" fillId="0" borderId="0"/>
    <xf numFmtId="168" fontId="19" fillId="0" borderId="0"/>
    <xf numFmtId="168" fontId="19" fillId="0" borderId="0"/>
    <xf numFmtId="168" fontId="19" fillId="0" borderId="0"/>
    <xf numFmtId="168" fontId="19" fillId="0" borderId="0"/>
    <xf numFmtId="168" fontId="19" fillId="0" borderId="0"/>
    <xf numFmtId="168" fontId="19" fillId="0" borderId="0"/>
    <xf numFmtId="1" fontId="31" fillId="0" borderId="0"/>
    <xf numFmtId="43" fontId="3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9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169" fontId="36" fillId="0" borderId="0" applyFont="0" applyFill="0" applyBorder="0" applyProtection="0">
      <alignment horizontal="right"/>
    </xf>
    <xf numFmtId="5" fontId="35" fillId="0" borderId="0"/>
    <xf numFmtId="17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5" fillId="0" borderId="0"/>
    <xf numFmtId="2" fontId="34" fillId="0" borderId="0" applyFont="0" applyFill="0" applyBorder="0" applyAlignment="0" applyProtection="0"/>
    <xf numFmtId="0" fontId="37" fillId="0" borderId="0" applyFont="0" applyFill="0" applyBorder="0" applyAlignment="0" applyProtection="0">
      <alignment horizontal="left"/>
    </xf>
    <xf numFmtId="38" fontId="21" fillId="33" borderId="0" applyNumberFormat="0" applyBorder="0" applyAlignment="0" applyProtection="0"/>
    <xf numFmtId="0" fontId="38" fillId="0" borderId="0"/>
    <xf numFmtId="0" fontId="26" fillId="0" borderId="18" applyNumberFormat="0" applyAlignment="0" applyProtection="0">
      <alignment horizontal="left" vertical="center"/>
    </xf>
    <xf numFmtId="0" fontId="26" fillId="0" borderId="17">
      <alignment horizontal="left" vertical="center"/>
    </xf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0" fontId="21" fillId="35" borderId="13" applyNumberFormat="0" applyBorder="0" applyAlignment="0" applyProtection="0"/>
    <xf numFmtId="0" fontId="41" fillId="0" borderId="0" applyNumberFormat="0" applyFill="0" applyBorder="0" applyAlignment="0">
      <protection locked="0"/>
    </xf>
    <xf numFmtId="171" fontId="19" fillId="0" borderId="0"/>
    <xf numFmtId="172" fontId="24" fillId="0" borderId="0" applyNumberFormat="0" applyFill="0" applyBorder="0" applyAlignment="0" applyProtection="0"/>
    <xf numFmtId="165" fontId="42" fillId="0" borderId="0" applyFont="0" applyAlignment="0" applyProtection="0"/>
    <xf numFmtId="0" fontId="21" fillId="0" borderId="19" applyNumberFormat="0" applyBorder="0" applyAlignment="0"/>
    <xf numFmtId="173" fontId="19" fillId="0" borderId="0"/>
    <xf numFmtId="0" fontId="43" fillId="0" borderId="0"/>
    <xf numFmtId="0" fontId="3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44" fillId="0" borderId="0"/>
    <xf numFmtId="0" fontId="32" fillId="0" borderId="0"/>
    <xf numFmtId="0" fontId="19" fillId="0" borderId="0"/>
    <xf numFmtId="0" fontId="19" fillId="0" borderId="0"/>
    <xf numFmtId="37" fontId="35" fillId="0" borderId="0"/>
    <xf numFmtId="174" fontId="32" fillId="0" borderId="0" applyFont="0" applyFill="0" applyBorder="0" applyProtection="0"/>
    <xf numFmtId="12" fontId="26" fillId="36" borderId="16">
      <alignment horizontal="left"/>
    </xf>
    <xf numFmtId="0" fontId="35" fillId="0" borderId="0"/>
    <xf numFmtId="0" fontId="35" fillId="0" borderId="0"/>
    <xf numFmtId="10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5" fillId="0" borderId="0"/>
    <xf numFmtId="4" fontId="27" fillId="37" borderId="20" applyNumberFormat="0" applyProtection="0">
      <alignment vertical="center"/>
    </xf>
    <xf numFmtId="4" fontId="46" fillId="38" borderId="20" applyNumberFormat="0" applyProtection="0">
      <alignment vertical="center"/>
    </xf>
    <xf numFmtId="4" fontId="27" fillId="38" borderId="20" applyNumberFormat="0" applyProtection="0">
      <alignment horizontal="left" vertical="center" indent="1"/>
    </xf>
    <xf numFmtId="4" fontId="27" fillId="38" borderId="20" applyNumberFormat="0" applyProtection="0">
      <alignment horizontal="left" vertical="center" indent="1"/>
    </xf>
    <xf numFmtId="0" fontId="27" fillId="38" borderId="20" applyNumberFormat="0" applyProtection="0">
      <alignment horizontal="left" vertical="top" indent="1"/>
    </xf>
    <xf numFmtId="4" fontId="27" fillId="34" borderId="20" applyNumberFormat="0" applyProtection="0"/>
    <xf numFmtId="4" fontId="27" fillId="34" borderId="0" applyNumberFormat="0" applyProtection="0">
      <alignment horizontal="left" vertical="center" indent="1"/>
    </xf>
    <xf numFmtId="4" fontId="47" fillId="39" borderId="20" applyNumberFormat="0" applyProtection="0">
      <alignment horizontal="right" vertical="center"/>
    </xf>
    <xf numFmtId="4" fontId="47" fillId="40" borderId="20" applyNumberFormat="0" applyProtection="0">
      <alignment horizontal="right" vertical="center"/>
    </xf>
    <xf numFmtId="4" fontId="47" fillId="41" borderId="20" applyNumberFormat="0" applyProtection="0">
      <alignment horizontal="right" vertical="center"/>
    </xf>
    <xf numFmtId="4" fontId="47" fillId="42" borderId="20" applyNumberFormat="0" applyProtection="0">
      <alignment horizontal="right" vertical="center"/>
    </xf>
    <xf numFmtId="4" fontId="47" fillId="43" borderId="20" applyNumberFormat="0" applyProtection="0">
      <alignment horizontal="right" vertical="center"/>
    </xf>
    <xf numFmtId="4" fontId="47" fillId="44" borderId="20" applyNumberFormat="0" applyProtection="0">
      <alignment horizontal="right" vertical="center"/>
    </xf>
    <xf numFmtId="4" fontId="47" fillId="45" borderId="20" applyNumberFormat="0" applyProtection="0">
      <alignment horizontal="right" vertical="center"/>
    </xf>
    <xf numFmtId="4" fontId="47" fillId="46" borderId="20" applyNumberFormat="0" applyProtection="0">
      <alignment horizontal="right" vertical="center"/>
    </xf>
    <xf numFmtId="4" fontId="47" fillId="47" borderId="20" applyNumberFormat="0" applyProtection="0">
      <alignment horizontal="right" vertical="center"/>
    </xf>
    <xf numFmtId="4" fontId="27" fillId="48" borderId="21" applyNumberFormat="0" applyProtection="0">
      <alignment horizontal="left" vertical="center" indent="1"/>
    </xf>
    <xf numFmtId="4" fontId="47" fillId="49" borderId="0" applyNumberFormat="0" applyProtection="0">
      <alignment horizontal="left" indent="1"/>
    </xf>
    <xf numFmtId="4" fontId="47" fillId="49" borderId="0" applyNumberFormat="0" applyProtection="0">
      <alignment horizontal="left" indent="1"/>
    </xf>
    <xf numFmtId="4" fontId="48" fillId="50" borderId="0" applyNumberFormat="0" applyProtection="0">
      <alignment horizontal="left" vertical="center" indent="1"/>
    </xf>
    <xf numFmtId="4" fontId="48" fillId="50" borderId="0" applyNumberFormat="0" applyProtection="0">
      <alignment horizontal="left" vertical="center" indent="1"/>
    </xf>
    <xf numFmtId="4" fontId="48" fillId="50" borderId="0" applyNumberFormat="0" applyProtection="0">
      <alignment horizontal="left" vertical="center" indent="1"/>
    </xf>
    <xf numFmtId="4" fontId="47" fillId="51" borderId="20" applyNumberFormat="0" applyProtection="0">
      <alignment horizontal="right" vertical="center"/>
    </xf>
    <xf numFmtId="4" fontId="49" fillId="52" borderId="0" applyNumberFormat="0" applyProtection="0">
      <alignment horizontal="left" indent="1"/>
    </xf>
    <xf numFmtId="4" fontId="49" fillId="52" borderId="0" applyNumberFormat="0" applyProtection="0">
      <alignment horizontal="left" indent="1"/>
    </xf>
    <xf numFmtId="4" fontId="49" fillId="52" borderId="0" applyNumberFormat="0" applyProtection="0">
      <alignment horizontal="left" indent="1"/>
    </xf>
    <xf numFmtId="4" fontId="49" fillId="52" borderId="0" applyNumberFormat="0" applyProtection="0">
      <alignment horizontal="left" indent="1"/>
    </xf>
    <xf numFmtId="4" fontId="50" fillId="53" borderId="0" applyNumberFormat="0" applyProtection="0"/>
    <xf numFmtId="4" fontId="50" fillId="53" borderId="0" applyNumberFormat="0" applyProtection="0"/>
    <xf numFmtId="4" fontId="50" fillId="53" borderId="0" applyNumberFormat="0" applyProtection="0"/>
    <xf numFmtId="4" fontId="50" fillId="53" borderId="0" applyNumberFormat="0" applyProtection="0"/>
    <xf numFmtId="0" fontId="19" fillId="50" borderId="20" applyNumberFormat="0" applyProtection="0">
      <alignment horizontal="left" vertical="center" indent="1"/>
    </xf>
    <xf numFmtId="0" fontId="19" fillId="50" borderId="20" applyNumberFormat="0" applyProtection="0">
      <alignment horizontal="left" vertical="center" indent="1"/>
    </xf>
    <xf numFmtId="0" fontId="19" fillId="50" borderId="20" applyNumberFormat="0" applyProtection="0">
      <alignment horizontal="left" vertical="center" indent="1"/>
    </xf>
    <xf numFmtId="0" fontId="19" fillId="50" borderId="20" applyNumberFormat="0" applyProtection="0">
      <alignment horizontal="left" vertical="center" indent="1"/>
    </xf>
    <xf numFmtId="0" fontId="19" fillId="50" borderId="20" applyNumberFormat="0" applyProtection="0">
      <alignment horizontal="left" vertical="top" indent="1"/>
    </xf>
    <xf numFmtId="0" fontId="19" fillId="50" borderId="20" applyNumberFormat="0" applyProtection="0">
      <alignment horizontal="left" vertical="top" indent="1"/>
    </xf>
    <xf numFmtId="0" fontId="19" fillId="50" borderId="20" applyNumberFormat="0" applyProtection="0">
      <alignment horizontal="left" vertical="top" indent="1"/>
    </xf>
    <xf numFmtId="0" fontId="19" fillId="50" borderId="20" applyNumberFormat="0" applyProtection="0">
      <alignment horizontal="left" vertical="top" indent="1"/>
    </xf>
    <xf numFmtId="0" fontId="19" fillId="34" borderId="20" applyNumberFormat="0" applyProtection="0">
      <alignment horizontal="left" vertical="center" indent="1"/>
    </xf>
    <xf numFmtId="0" fontId="19" fillId="34" borderId="20" applyNumberFormat="0" applyProtection="0">
      <alignment horizontal="left" vertical="center" indent="1"/>
    </xf>
    <xf numFmtId="0" fontId="19" fillId="34" borderId="20" applyNumberFormat="0" applyProtection="0">
      <alignment horizontal="left" vertical="center" indent="1"/>
    </xf>
    <xf numFmtId="0" fontId="19" fillId="34" borderId="20" applyNumberFormat="0" applyProtection="0">
      <alignment horizontal="left" vertical="center" indent="1"/>
    </xf>
    <xf numFmtId="0" fontId="19" fillId="34" borderId="20" applyNumberFormat="0" applyProtection="0">
      <alignment horizontal="left" vertical="top" indent="1"/>
    </xf>
    <xf numFmtId="0" fontId="19" fillId="34" borderId="20" applyNumberFormat="0" applyProtection="0">
      <alignment horizontal="left" vertical="top" indent="1"/>
    </xf>
    <xf numFmtId="0" fontId="19" fillId="34" borderId="20" applyNumberFormat="0" applyProtection="0">
      <alignment horizontal="left" vertical="top" indent="1"/>
    </xf>
    <xf numFmtId="0" fontId="19" fillId="34" borderId="20" applyNumberFormat="0" applyProtection="0">
      <alignment horizontal="left" vertical="top" indent="1"/>
    </xf>
    <xf numFmtId="0" fontId="19" fillId="54" borderId="20" applyNumberFormat="0" applyProtection="0">
      <alignment horizontal="left" vertical="center" indent="1"/>
    </xf>
    <xf numFmtId="0" fontId="19" fillId="54" borderId="20" applyNumberFormat="0" applyProtection="0">
      <alignment horizontal="left" vertical="center" indent="1"/>
    </xf>
    <xf numFmtId="0" fontId="19" fillId="54" borderId="20" applyNumberFormat="0" applyProtection="0">
      <alignment horizontal="left" vertical="center" indent="1"/>
    </xf>
    <xf numFmtId="0" fontId="19" fillId="54" borderId="20" applyNumberFormat="0" applyProtection="0">
      <alignment horizontal="left" vertical="center" indent="1"/>
    </xf>
    <xf numFmtId="0" fontId="19" fillId="54" borderId="20" applyNumberFormat="0" applyProtection="0">
      <alignment horizontal="left" vertical="top" indent="1"/>
    </xf>
    <xf numFmtId="0" fontId="19" fillId="54" borderId="20" applyNumberFormat="0" applyProtection="0">
      <alignment horizontal="left" vertical="top" indent="1"/>
    </xf>
    <xf numFmtId="0" fontId="19" fillId="54" borderId="20" applyNumberFormat="0" applyProtection="0">
      <alignment horizontal="left" vertical="top" indent="1"/>
    </xf>
    <xf numFmtId="0" fontId="19" fillId="54" borderId="20" applyNumberFormat="0" applyProtection="0">
      <alignment horizontal="left" vertical="top" indent="1"/>
    </xf>
    <xf numFmtId="0" fontId="19" fillId="55" borderId="20" applyNumberFormat="0" applyProtection="0">
      <alignment horizontal="left" vertical="center" indent="1"/>
    </xf>
    <xf numFmtId="0" fontId="19" fillId="55" borderId="20" applyNumberFormat="0" applyProtection="0">
      <alignment horizontal="left" vertical="center" indent="1"/>
    </xf>
    <xf numFmtId="0" fontId="19" fillId="55" borderId="20" applyNumberFormat="0" applyProtection="0">
      <alignment horizontal="left" vertical="center" indent="1"/>
    </xf>
    <xf numFmtId="0" fontId="19" fillId="55" borderId="20" applyNumberFormat="0" applyProtection="0">
      <alignment horizontal="left" vertical="center" indent="1"/>
    </xf>
    <xf numFmtId="0" fontId="19" fillId="55" borderId="20" applyNumberFormat="0" applyProtection="0">
      <alignment horizontal="left" vertical="top" indent="1"/>
    </xf>
    <xf numFmtId="0" fontId="19" fillId="55" borderId="20" applyNumberFormat="0" applyProtection="0">
      <alignment horizontal="left" vertical="top" indent="1"/>
    </xf>
    <xf numFmtId="0" fontId="19" fillId="55" borderId="20" applyNumberFormat="0" applyProtection="0">
      <alignment horizontal="left" vertical="top" indent="1"/>
    </xf>
    <xf numFmtId="0" fontId="19" fillId="55" borderId="20" applyNumberFormat="0" applyProtection="0">
      <alignment horizontal="left" vertical="top" indent="1"/>
    </xf>
    <xf numFmtId="4" fontId="47" fillId="35" borderId="20" applyNumberFormat="0" applyProtection="0">
      <alignment vertical="center"/>
    </xf>
    <xf numFmtId="4" fontId="51" fillId="35" borderId="20" applyNumberFormat="0" applyProtection="0">
      <alignment vertical="center"/>
    </xf>
    <xf numFmtId="4" fontId="47" fillId="35" borderId="20" applyNumberFormat="0" applyProtection="0">
      <alignment horizontal="left" vertical="center" indent="1"/>
    </xf>
    <xf numFmtId="0" fontId="47" fillId="35" borderId="20" applyNumberFormat="0" applyProtection="0">
      <alignment horizontal="left" vertical="top" indent="1"/>
    </xf>
    <xf numFmtId="4" fontId="47" fillId="0" borderId="20" applyNumberFormat="0" applyProtection="0">
      <alignment horizontal="right" vertical="center"/>
    </xf>
    <xf numFmtId="4" fontId="47" fillId="0" borderId="20" applyNumberFormat="0" applyProtection="0">
      <alignment horizontal="right" vertical="center"/>
    </xf>
    <xf numFmtId="4" fontId="51" fillId="49" borderId="20" applyNumberFormat="0" applyProtection="0">
      <alignment horizontal="right" vertical="center"/>
    </xf>
    <xf numFmtId="4" fontId="47" fillId="0" borderId="20" applyNumberFormat="0" applyProtection="0">
      <alignment horizontal="left" vertical="center" indent="1"/>
    </xf>
    <xf numFmtId="4" fontId="47" fillId="0" borderId="20" applyNumberFormat="0" applyProtection="0">
      <alignment horizontal="left" vertical="center" indent="1"/>
    </xf>
    <xf numFmtId="0" fontId="47" fillId="34" borderId="20" applyNumberFormat="0" applyProtection="0">
      <alignment horizontal="left" vertical="top"/>
    </xf>
    <xf numFmtId="0" fontId="47" fillId="34" borderId="20" applyNumberFormat="0" applyProtection="0">
      <alignment horizontal="left" vertical="top"/>
    </xf>
    <xf numFmtId="4" fontId="29" fillId="56" borderId="0" applyNumberFormat="0" applyProtection="0">
      <alignment horizontal="left"/>
    </xf>
    <xf numFmtId="4" fontId="29" fillId="56" borderId="0" applyNumberFormat="0" applyProtection="0">
      <alignment horizontal="left"/>
    </xf>
    <xf numFmtId="4" fontId="29" fillId="56" borderId="0" applyNumberFormat="0" applyProtection="0">
      <alignment horizontal="left"/>
    </xf>
    <xf numFmtId="4" fontId="25" fillId="49" borderId="20" applyNumberFormat="0" applyProtection="0">
      <alignment horizontal="right" vertical="center"/>
    </xf>
    <xf numFmtId="37" fontId="52" fillId="57" borderId="0" applyNumberFormat="0" applyFont="0" applyBorder="0" applyAlignment="0" applyProtection="0"/>
    <xf numFmtId="175" fontId="19" fillId="0" borderId="15">
      <alignment horizontal="justify" vertical="top" wrapText="1"/>
    </xf>
    <xf numFmtId="0" fontId="19" fillId="0" borderId="0">
      <alignment horizontal="left" wrapText="1"/>
    </xf>
    <xf numFmtId="176" fontId="19" fillId="0" borderId="0" applyFill="0" applyBorder="0" applyAlignment="0" applyProtection="0">
      <alignment wrapText="1"/>
    </xf>
    <xf numFmtId="0" fontId="20" fillId="0" borderId="0" applyNumberFormat="0" applyFill="0" applyBorder="0">
      <alignment horizontal="center" wrapText="1"/>
    </xf>
    <xf numFmtId="0" fontId="20" fillId="0" borderId="0" applyNumberFormat="0" applyFill="0" applyBorder="0">
      <alignment horizontal="center" wrapText="1"/>
    </xf>
    <xf numFmtId="0" fontId="20" fillId="0" borderId="13">
      <alignment horizontal="center" vertical="center" wrapText="1"/>
    </xf>
    <xf numFmtId="0" fontId="34" fillId="0" borderId="22" applyNumberFormat="0" applyFont="0" applyFill="0" applyAlignment="0" applyProtection="0"/>
    <xf numFmtId="0" fontId="35" fillId="0" borderId="23"/>
    <xf numFmtId="177" fontId="53" fillId="0" borderId="0">
      <alignment horizontal="left"/>
    </xf>
    <xf numFmtId="0" fontId="35" fillId="0" borderId="24"/>
    <xf numFmtId="37" fontId="21" fillId="38" borderId="0" applyNumberFormat="0" applyBorder="0" applyAlignment="0" applyProtection="0"/>
    <xf numFmtId="37" fontId="21" fillId="0" borderId="0"/>
    <xf numFmtId="3" fontId="54" fillId="58" borderId="25" applyProtection="0"/>
    <xf numFmtId="0" fontId="19" fillId="0" borderId="0"/>
    <xf numFmtId="0" fontId="55" fillId="0" borderId="0"/>
    <xf numFmtId="0" fontId="56" fillId="0" borderId="0"/>
    <xf numFmtId="0" fontId="19" fillId="0" borderId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37" fontId="58" fillId="0" borderId="0" applyNumberFormat="0" applyFill="0" applyBorder="0"/>
    <xf numFmtId="0" fontId="1" fillId="0" borderId="0"/>
    <xf numFmtId="0" fontId="57" fillId="0" borderId="0"/>
    <xf numFmtId="0" fontId="1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" fontId="27" fillId="38" borderId="20" applyNumberFormat="0" applyProtection="0">
      <alignment horizontal="left" vertical="center" indent="1"/>
    </xf>
    <xf numFmtId="4" fontId="27" fillId="38" borderId="20" applyNumberFormat="0" applyProtection="0">
      <alignment horizontal="left" vertical="center" indent="1"/>
    </xf>
    <xf numFmtId="4" fontId="27" fillId="38" borderId="20" applyNumberFormat="0" applyProtection="0">
      <alignment horizontal="left" vertical="center" indent="1"/>
    </xf>
    <xf numFmtId="4" fontId="27" fillId="38" borderId="20" applyNumberFormat="0" applyProtection="0">
      <alignment horizontal="left" vertical="center" indent="1"/>
    </xf>
    <xf numFmtId="4" fontId="27" fillId="38" borderId="20" applyNumberFormat="0" applyProtection="0">
      <alignment vertical="center"/>
    </xf>
    <xf numFmtId="4" fontId="27" fillId="38" borderId="20" applyNumberFormat="0" applyProtection="0">
      <alignment horizontal="left" vertical="center" indent="1"/>
    </xf>
    <xf numFmtId="4" fontId="27" fillId="34" borderId="20" applyNumberFormat="0" applyProtection="0"/>
    <xf numFmtId="4" fontId="27" fillId="34" borderId="20" applyNumberFormat="0" applyProtection="0"/>
    <xf numFmtId="4" fontId="27" fillId="34" borderId="20" applyNumberFormat="0" applyProtection="0"/>
    <xf numFmtId="4" fontId="27" fillId="34" borderId="20" applyNumberFormat="0" applyProtection="0"/>
    <xf numFmtId="4" fontId="27" fillId="34" borderId="10" applyNumberFormat="0" applyProtection="0">
      <alignment vertical="center"/>
    </xf>
    <xf numFmtId="4" fontId="27" fillId="34" borderId="20" applyNumberFormat="0" applyProtection="0"/>
    <xf numFmtId="4" fontId="47" fillId="49" borderId="0" applyNumberFormat="0" applyProtection="0">
      <alignment horizontal="left" indent="1"/>
    </xf>
    <xf numFmtId="4" fontId="47" fillId="49" borderId="0" applyNumberFormat="0" applyProtection="0">
      <alignment horizontal="left" indent="1"/>
    </xf>
    <xf numFmtId="4" fontId="47" fillId="49" borderId="0" applyNumberFormat="0" applyProtection="0">
      <alignment horizontal="left" indent="1"/>
    </xf>
    <xf numFmtId="4" fontId="47" fillId="49" borderId="0" applyNumberFormat="0" applyProtection="0">
      <alignment horizontal="left" indent="1"/>
    </xf>
    <xf numFmtId="4" fontId="47" fillId="49" borderId="0" applyNumberFormat="0" applyProtection="0">
      <alignment horizontal="left" vertical="center" indent="1"/>
    </xf>
    <xf numFmtId="4" fontId="47" fillId="49" borderId="0" applyNumberFormat="0" applyProtection="0">
      <alignment horizontal="left" indent="1"/>
    </xf>
    <xf numFmtId="4" fontId="48" fillId="50" borderId="0" applyNumberFormat="0" applyProtection="0">
      <alignment horizontal="left" vertical="center" indent="1"/>
    </xf>
    <xf numFmtId="4" fontId="48" fillId="50" borderId="0" applyNumberFormat="0" applyProtection="0">
      <alignment horizontal="left" vertical="center" indent="1"/>
    </xf>
    <xf numFmtId="4" fontId="49" fillId="52" borderId="0" applyNumberFormat="0" applyProtection="0">
      <alignment horizontal="left" indent="1"/>
    </xf>
    <xf numFmtId="4" fontId="49" fillId="52" borderId="0" applyNumberFormat="0" applyProtection="0">
      <alignment horizontal="left" indent="1"/>
    </xf>
    <xf numFmtId="4" fontId="49" fillId="52" borderId="0" applyNumberFormat="0" applyProtection="0">
      <alignment horizontal="left" indent="1"/>
    </xf>
    <xf numFmtId="4" fontId="49" fillId="52" borderId="0" applyNumberFormat="0" applyProtection="0">
      <alignment horizontal="left" indent="1"/>
    </xf>
    <xf numFmtId="4" fontId="59" fillId="0" borderId="0" applyNumberFormat="0" applyProtection="0">
      <alignment horizontal="left" vertical="center" indent="1"/>
    </xf>
    <xf numFmtId="4" fontId="49" fillId="52" borderId="0" applyNumberFormat="0" applyProtection="0">
      <alignment horizontal="left" indent="1"/>
    </xf>
    <xf numFmtId="4" fontId="50" fillId="53" borderId="0" applyNumberFormat="0" applyProtection="0"/>
    <xf numFmtId="4" fontId="50" fillId="53" borderId="0" applyNumberFormat="0" applyProtection="0"/>
    <xf numFmtId="4" fontId="50" fillId="53" borderId="0" applyNumberFormat="0" applyProtection="0"/>
    <xf numFmtId="4" fontId="50" fillId="0" borderId="0" applyNumberFormat="0" applyProtection="0">
      <alignment horizontal="left" vertical="center" indent="1"/>
    </xf>
    <xf numFmtId="4" fontId="50" fillId="53" borderId="0" applyNumberFormat="0" applyProtection="0"/>
    <xf numFmtId="0" fontId="19" fillId="50" borderId="20" applyNumberFormat="0" applyProtection="0">
      <alignment horizontal="left" vertical="center" indent="1"/>
    </xf>
    <xf numFmtId="0" fontId="19" fillId="50" borderId="20" applyNumberFormat="0" applyProtection="0">
      <alignment horizontal="left" vertical="top" indent="1"/>
    </xf>
    <xf numFmtId="0" fontId="19" fillId="34" borderId="20" applyNumberFormat="0" applyProtection="0">
      <alignment horizontal="left" vertical="center" indent="1"/>
    </xf>
    <xf numFmtId="0" fontId="19" fillId="34" borderId="20" applyNumberFormat="0" applyProtection="0">
      <alignment horizontal="left" vertical="top" indent="1"/>
    </xf>
    <xf numFmtId="0" fontId="19" fillId="54" borderId="20" applyNumberFormat="0" applyProtection="0">
      <alignment horizontal="left" vertical="center" indent="1"/>
    </xf>
    <xf numFmtId="0" fontId="19" fillId="54" borderId="20" applyNumberFormat="0" applyProtection="0">
      <alignment horizontal="left" vertical="top" indent="1"/>
    </xf>
    <xf numFmtId="0" fontId="19" fillId="55" borderId="20" applyNumberFormat="0" applyProtection="0">
      <alignment horizontal="left" vertical="center" indent="1"/>
    </xf>
    <xf numFmtId="0" fontId="19" fillId="55" borderId="20" applyNumberFormat="0" applyProtection="0">
      <alignment horizontal="left" vertical="top" indent="1"/>
    </xf>
    <xf numFmtId="4" fontId="47" fillId="0" borderId="20" applyNumberFormat="0" applyProtection="0">
      <alignment horizontal="right" vertical="center"/>
    </xf>
    <xf numFmtId="4" fontId="47" fillId="0" borderId="20" applyNumberFormat="0" applyProtection="0">
      <alignment horizontal="right" vertical="center"/>
    </xf>
    <xf numFmtId="4" fontId="47" fillId="0" borderId="20" applyNumberFormat="0" applyProtection="0">
      <alignment horizontal="right" vertical="center"/>
    </xf>
    <xf numFmtId="4" fontId="47" fillId="0" borderId="20" applyNumberFormat="0" applyProtection="0">
      <alignment horizontal="right" vertical="center"/>
    </xf>
    <xf numFmtId="4" fontId="47" fillId="59" borderId="26" applyNumberFormat="0" applyProtection="0">
      <alignment horizontal="right" vertical="center"/>
    </xf>
    <xf numFmtId="4" fontId="47" fillId="0" borderId="20" applyNumberFormat="0" applyProtection="0">
      <alignment horizontal="right" vertical="center"/>
    </xf>
    <xf numFmtId="4" fontId="47" fillId="0" borderId="20" applyNumberFormat="0" applyProtection="0">
      <alignment horizontal="left" vertical="center" indent="1"/>
    </xf>
    <xf numFmtId="4" fontId="47" fillId="0" borderId="20" applyNumberFormat="0" applyProtection="0">
      <alignment horizontal="left" vertical="center" indent="1"/>
    </xf>
    <xf numFmtId="4" fontId="47" fillId="0" borderId="20" applyNumberFormat="0" applyProtection="0">
      <alignment horizontal="left" vertical="center" indent="1"/>
    </xf>
    <xf numFmtId="4" fontId="47" fillId="0" borderId="20" applyNumberFormat="0" applyProtection="0">
      <alignment horizontal="left" vertical="center" indent="1"/>
    </xf>
    <xf numFmtId="4" fontId="47" fillId="59" borderId="20" applyNumberFormat="0" applyProtection="0">
      <alignment horizontal="left" vertical="center" indent="1"/>
    </xf>
    <xf numFmtId="4" fontId="47" fillId="0" borderId="20" applyNumberFormat="0" applyProtection="0">
      <alignment horizontal="left" vertical="center" indent="1"/>
    </xf>
    <xf numFmtId="0" fontId="47" fillId="34" borderId="20" applyNumberFormat="0" applyProtection="0">
      <alignment horizontal="left" vertical="top"/>
    </xf>
    <xf numFmtId="0" fontId="47" fillId="34" borderId="20" applyNumberFormat="0" applyProtection="0">
      <alignment horizontal="left" vertical="top"/>
    </xf>
    <xf numFmtId="0" fontId="47" fillId="34" borderId="20" applyNumberFormat="0" applyProtection="0">
      <alignment horizontal="left" vertical="top"/>
    </xf>
    <xf numFmtId="0" fontId="47" fillId="34" borderId="20" applyNumberFormat="0" applyProtection="0">
      <alignment horizontal="left" vertical="top"/>
    </xf>
    <xf numFmtId="0" fontId="47" fillId="34" borderId="20" applyNumberFormat="0" applyProtection="0">
      <alignment horizontal="center" vertical="top"/>
    </xf>
    <xf numFmtId="0" fontId="47" fillId="34" borderId="20" applyNumberFormat="0" applyProtection="0">
      <alignment horizontal="left" vertical="top"/>
    </xf>
    <xf numFmtId="4" fontId="29" fillId="56" borderId="0" applyNumberFormat="0" applyProtection="0">
      <alignment horizontal="left"/>
    </xf>
    <xf numFmtId="4" fontId="29" fillId="56" borderId="0" applyNumberFormat="0" applyProtection="0">
      <alignment horizontal="left"/>
    </xf>
    <xf numFmtId="4" fontId="29" fillId="56" borderId="0" applyNumberFormat="0" applyProtection="0">
      <alignment horizontal="left"/>
    </xf>
    <xf numFmtId="4" fontId="28" fillId="0" borderId="0" applyNumberFormat="0" applyProtection="0">
      <alignment horizontal="left" vertical="center"/>
    </xf>
    <xf numFmtId="4" fontId="29" fillId="56" borderId="0" applyNumberFormat="0" applyProtection="0">
      <alignment horizontal="left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3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9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37" fontId="19" fillId="0" borderId="0" applyFill="0" applyBorder="0" applyAlignment="0" applyProtection="0"/>
    <xf numFmtId="44" fontId="55" fillId="0" borderId="0" applyFont="0" applyFill="0" applyBorder="0" applyAlignment="0" applyProtection="0"/>
    <xf numFmtId="44" fontId="19" fillId="0" borderId="0" applyFont="0" applyFill="0" applyBorder="0" applyAlignment="0" applyProtection="0"/>
    <xf numFmtId="5" fontId="19" fillId="0" borderId="0" applyFill="0" applyBorder="0" applyAlignment="0" applyProtection="0"/>
    <xf numFmtId="178" fontId="19" fillId="0" borderId="0" applyFill="0" applyBorder="0" applyAlignment="0" applyProtection="0"/>
    <xf numFmtId="2" fontId="19" fillId="0" borderId="0" applyFill="0" applyBorder="0" applyAlignment="0" applyProtection="0"/>
    <xf numFmtId="0" fontId="26" fillId="0" borderId="27">
      <alignment horizontal="left" vertical="center"/>
    </xf>
    <xf numFmtId="0" fontId="44" fillId="0" borderId="0"/>
    <xf numFmtId="0" fontId="19" fillId="0" borderId="0"/>
    <xf numFmtId="0" fontId="44" fillId="0" borderId="0"/>
    <xf numFmtId="0" fontId="1" fillId="0" borderId="0"/>
    <xf numFmtId="43" fontId="1" fillId="0" borderId="0" applyFont="0" applyFill="0" applyBorder="0" applyAlignment="0" applyProtection="0"/>
    <xf numFmtId="178" fontId="19" fillId="0" borderId="0" applyFill="0" applyBorder="0" applyAlignment="0" applyProtection="0"/>
    <xf numFmtId="4" fontId="47" fillId="51" borderId="20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Protection="0">
      <alignment horizontal="right"/>
    </xf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9" fillId="0" borderId="0" applyFont="0" applyFill="0" applyBorder="0" applyAlignment="0" applyProtection="0"/>
    <xf numFmtId="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17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0" fontId="43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" fontId="27" fillId="38" borderId="20" applyNumberFormat="0" applyProtection="0">
      <alignment horizontal="left" vertical="center" indent="1"/>
    </xf>
    <xf numFmtId="4" fontId="47" fillId="49" borderId="0" applyNumberFormat="0" applyProtection="0">
      <alignment horizontal="left" indent="1"/>
    </xf>
    <xf numFmtId="4" fontId="49" fillId="52" borderId="0" applyNumberFormat="0" applyProtection="0">
      <alignment horizontal="left" indent="1"/>
    </xf>
    <xf numFmtId="4" fontId="50" fillId="53" borderId="0" applyNumberFormat="0" applyProtection="0"/>
    <xf numFmtId="4" fontId="47" fillId="0" borderId="20" applyNumberFormat="0" applyProtection="0">
      <alignment horizontal="right" vertical="center"/>
    </xf>
    <xf numFmtId="4" fontId="47" fillId="0" borderId="20" applyNumberFormat="0" applyProtection="0">
      <alignment horizontal="left" vertical="center" indent="1"/>
    </xf>
    <xf numFmtId="0" fontId="47" fillId="34" borderId="20" applyNumberFormat="0" applyProtection="0">
      <alignment horizontal="left" vertical="top"/>
    </xf>
    <xf numFmtId="9" fontId="1" fillId="0" borderId="0" applyFont="0" applyFill="0" applyBorder="0" applyAlignment="0" applyProtection="0"/>
    <xf numFmtId="0" fontId="1" fillId="0" borderId="0"/>
    <xf numFmtId="0" fontId="19" fillId="0" borderId="0"/>
    <xf numFmtId="0" fontId="55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37" fontId="19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37" fontId="19" fillId="0" borderId="0" applyFill="0" applyBorder="0" applyAlignment="0" applyProtection="0"/>
    <xf numFmtId="178" fontId="19" fillId="0" borderId="0" applyFill="0" applyBorder="0" applyAlignment="0" applyProtection="0"/>
    <xf numFmtId="37" fontId="19" fillId="0" borderId="0" applyFill="0" applyBorder="0" applyAlignment="0" applyProtection="0"/>
    <xf numFmtId="178" fontId="19" fillId="0" borderId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37" fontId="19" fillId="0" borderId="0" applyFill="0" applyBorder="0" applyAlignment="0" applyProtection="0"/>
    <xf numFmtId="37" fontId="19" fillId="0" borderId="0" applyFill="0" applyBorder="0" applyAlignment="0" applyProtection="0"/>
    <xf numFmtId="178" fontId="19" fillId="0" borderId="0" applyFill="0" applyBorder="0" applyAlignment="0" applyProtection="0"/>
    <xf numFmtId="178" fontId="19" fillId="0" borderId="0" applyFill="0" applyBorder="0" applyAlignment="0" applyProtection="0"/>
    <xf numFmtId="4" fontId="27" fillId="34" borderId="10" applyNumberFormat="0" applyProtection="0">
      <alignment vertical="center"/>
    </xf>
    <xf numFmtId="178" fontId="19" fillId="0" borderId="0" applyFill="0" applyBorder="0" applyAlignment="0" applyProtection="0"/>
    <xf numFmtId="37" fontId="19" fillId="0" borderId="0" applyFill="0" applyBorder="0" applyAlignment="0" applyProtection="0"/>
    <xf numFmtId="178" fontId="19" fillId="0" borderId="0" applyFill="0" applyBorder="0" applyAlignment="0" applyProtection="0"/>
    <xf numFmtId="37" fontId="19" fillId="0" borderId="0" applyFill="0" applyBorder="0" applyAlignment="0" applyProtection="0"/>
    <xf numFmtId="0" fontId="19" fillId="0" borderId="0"/>
    <xf numFmtId="0" fontId="19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19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" fontId="27" fillId="34" borderId="29" applyNumberFormat="0" applyProtection="0">
      <alignment vertical="center"/>
    </xf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63" fillId="59" borderId="0" applyNumberFormat="0" applyFill="0" applyBorder="0" applyAlignment="0" applyProtection="0">
      <protection locked="0"/>
    </xf>
    <xf numFmtId="0" fontId="64" fillId="0" borderId="0" applyNumberFormat="0" applyFill="0" applyBorder="0" applyAlignment="0" applyProtection="0"/>
    <xf numFmtId="0" fontId="50" fillId="59" borderId="11" applyNumberFormat="0" applyFill="0" applyBorder="0" applyAlignment="0" applyProtection="0">
      <protection locked="0"/>
    </xf>
    <xf numFmtId="0" fontId="65" fillId="0" borderId="16" applyNumberFormat="0" applyFont="0" applyFill="0" applyAlignment="0" applyProtection="0"/>
    <xf numFmtId="0" fontId="19" fillId="0" borderId="30" applyNumberFormat="0" applyFill="0" applyAlignment="0" applyProtection="0"/>
    <xf numFmtId="0" fontId="21" fillId="0" borderId="0" applyNumberFormat="0" applyFill="0" applyBorder="0" applyAlignment="0" applyProtection="0"/>
    <xf numFmtId="0" fontId="65" fillId="0" borderId="0" applyFont="0" applyFill="0" applyBorder="0" applyAlignment="0" applyProtection="0"/>
    <xf numFmtId="40" fontId="66" fillId="0" borderId="0" applyFont="0" applyFill="0" applyBorder="0" applyAlignment="0" applyProtection="0">
      <alignment horizontal="center"/>
    </xf>
    <xf numFmtId="0" fontId="66" fillId="0" borderId="0" applyFont="0" applyFill="0" applyBorder="0" applyAlignment="0" applyProtection="0">
      <alignment horizontal="center"/>
    </xf>
    <xf numFmtId="0" fontId="67" fillId="0" borderId="0" applyFont="0" applyFill="0" applyBorder="0" applyAlignment="0" applyProtection="0"/>
    <xf numFmtId="8" fontId="65" fillId="0" borderId="0" applyFont="0" applyFill="0" applyBorder="0" applyAlignment="0" applyProtection="0"/>
    <xf numFmtId="0" fontId="65" fillId="0" borderId="0" applyFont="0" applyFill="0" applyBorder="0" applyAlignment="0" applyProtection="0"/>
    <xf numFmtId="7" fontId="36" fillId="0" borderId="0" applyFill="0" applyBorder="0">
      <alignment horizontal="right"/>
    </xf>
    <xf numFmtId="8" fontId="68" fillId="0" borderId="0" applyNumberFormat="0" applyFill="0" applyBorder="0" applyAlignment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0" fontId="19" fillId="0" borderId="0"/>
    <xf numFmtId="0" fontId="19" fillId="0" borderId="0"/>
    <xf numFmtId="0" fontId="33" fillId="0" borderId="0" applyFill="0" applyBorder="0" applyAlignment="0" applyProtection="0"/>
    <xf numFmtId="3" fontId="69" fillId="0" borderId="0" applyFill="0" applyBorder="0" applyAlignment="0" applyProtection="0"/>
    <xf numFmtId="3" fontId="65" fillId="0" borderId="0" applyFill="0" applyBorder="0" applyAlignment="0" applyProtection="0"/>
    <xf numFmtId="3" fontId="70" fillId="0" borderId="0" applyFill="0" applyBorder="0" applyAlignment="0" applyProtection="0"/>
    <xf numFmtId="3" fontId="33" fillId="0" borderId="0" applyFill="0" applyBorder="0" applyAlignment="0" applyProtection="0"/>
    <xf numFmtId="3" fontId="71" fillId="0" borderId="0" applyFill="0" applyBorder="0" applyAlignment="0" applyProtection="0"/>
    <xf numFmtId="3" fontId="21" fillId="0" borderId="0" applyFill="0" applyBorder="0" applyAlignment="0" applyProtection="0"/>
    <xf numFmtId="3" fontId="72" fillId="0" borderId="0" applyFill="0" applyBorder="0" applyAlignment="0" applyProtection="0"/>
    <xf numFmtId="0" fontId="36" fillId="0" borderId="0" applyFill="0" applyBorder="0">
      <alignment horizontal="right"/>
    </xf>
    <xf numFmtId="0" fontId="21" fillId="59" borderId="13" applyFont="0" applyBorder="0" applyAlignment="0" applyProtection="0">
      <alignment vertical="top"/>
    </xf>
    <xf numFmtId="0" fontId="2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1" fillId="35" borderId="0" applyNumberFormat="0" applyFont="0" applyBorder="0" applyAlignment="0" applyProtection="0">
      <alignment horizontal="center"/>
      <protection locked="0"/>
    </xf>
    <xf numFmtId="0" fontId="21" fillId="35" borderId="12" applyNumberFormat="0" applyFont="0" applyAlignment="0" applyProtection="0">
      <alignment horizontal="center"/>
      <protection locked="0"/>
    </xf>
    <xf numFmtId="0" fontId="19" fillId="0" borderId="0" applyFill="0" applyBorder="0" applyProtection="0">
      <alignment horizontal="right"/>
    </xf>
    <xf numFmtId="0" fontId="19" fillId="0" borderId="0" applyFill="0" applyBorder="0" applyProtection="0">
      <alignment horizontal="right"/>
    </xf>
    <xf numFmtId="179" fontId="19" fillId="0" borderId="0" applyFill="0" applyBorder="0" applyProtection="0">
      <alignment horizontal="right"/>
    </xf>
    <xf numFmtId="0" fontId="73" fillId="0" borderId="0" applyFill="0" applyBorder="0" applyAlignment="0" applyProtection="0"/>
    <xf numFmtId="0" fontId="2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40" fontId="47" fillId="59" borderId="0">
      <alignment horizontal="right"/>
    </xf>
    <xf numFmtId="0" fontId="27" fillId="59" borderId="0">
      <alignment horizontal="left"/>
    </xf>
    <xf numFmtId="0" fontId="74" fillId="0" borderId="0" applyFill="0" applyBorder="0" applyProtection="0">
      <alignment horizontal="left"/>
    </xf>
    <xf numFmtId="0" fontId="75" fillId="0" borderId="0" applyFill="0" applyBorder="0" applyProtection="0">
      <alignment horizontal="left"/>
    </xf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76" fillId="0" borderId="0" applyFont="0" applyFill="0" applyBorder="0" applyAlignment="0" applyProtection="0"/>
    <xf numFmtId="0" fontId="65" fillId="0" borderId="0" applyFont="0" applyFill="0" applyBorder="0" applyProtection="0">
      <alignment horizontal="right"/>
    </xf>
    <xf numFmtId="0" fontId="77" fillId="0" borderId="0"/>
    <xf numFmtId="0" fontId="36" fillId="0" borderId="0" applyFill="0" applyBorder="0">
      <alignment horizontal="right"/>
    </xf>
    <xf numFmtId="0" fontId="24" fillId="33" borderId="13" applyNumberFormat="0" applyFont="0" applyAlignment="0" applyProtection="0"/>
    <xf numFmtId="0" fontId="21" fillId="33" borderId="0" applyNumberFormat="0" applyFont="0" applyBorder="0" applyAlignment="0" applyProtection="0">
      <alignment horizontal="center"/>
      <protection locked="0"/>
    </xf>
    <xf numFmtId="0" fontId="67" fillId="0" borderId="0">
      <alignment vertical="top"/>
    </xf>
    <xf numFmtId="180" fontId="67" fillId="0" borderId="0">
      <alignment vertical="top"/>
    </xf>
    <xf numFmtId="18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0" fontId="67" fillId="0" borderId="0">
      <alignment vertical="top"/>
    </xf>
    <xf numFmtId="18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0" fontId="67" fillId="0" borderId="0">
      <alignment vertical="top"/>
    </xf>
    <xf numFmtId="180" fontId="67" fillId="0" borderId="0">
      <alignment vertical="top"/>
    </xf>
    <xf numFmtId="37" fontId="78" fillId="0" borderId="0" applyNumberFormat="0" applyFill="0" applyBorder="0" applyAlignment="0" applyProtection="0"/>
    <xf numFmtId="0" fontId="67" fillId="60" borderId="0" applyNumberFormat="0" applyFont="0" applyBorder="0" applyAlignment="0" applyProtection="0"/>
    <xf numFmtId="0" fontId="24" fillId="33" borderId="0" applyNumberFormat="0" applyFont="0" applyBorder="0" applyAlignment="0" applyProtection="0"/>
    <xf numFmtId="177" fontId="79" fillId="0" borderId="0" applyNumberFormat="0" applyFill="0" applyBorder="0" applyAlignment="0">
      <alignment horizontal="left"/>
    </xf>
    <xf numFmtId="0" fontId="22" fillId="0" borderId="0" applyFill="0" applyBorder="0" applyProtection="0">
      <alignment horizontal="center" vertical="center"/>
    </xf>
    <xf numFmtId="0" fontId="22" fillId="0" borderId="0" applyFill="0" applyBorder="0" applyProtection="0"/>
    <xf numFmtId="0" fontId="20" fillId="0" borderId="0" applyFill="0" applyBorder="0" applyProtection="0">
      <alignment horizontal="left"/>
    </xf>
    <xf numFmtId="0" fontId="80" fillId="0" borderId="0" applyFill="0" applyBorder="0" applyProtection="0">
      <alignment horizontal="left" vertical="top"/>
    </xf>
    <xf numFmtId="0" fontId="63" fillId="59" borderId="28" applyNumberFormat="0" applyFont="0" applyFill="0" applyAlignment="0" applyProtection="0">
      <protection locked="0"/>
    </xf>
    <xf numFmtId="0" fontId="63" fillId="59" borderId="31" applyNumberFormat="0" applyFont="0" applyFill="0" applyAlignment="0" applyProtection="0">
      <protection locked="0"/>
    </xf>
    <xf numFmtId="0" fontId="24" fillId="0" borderId="0" applyNumberFormat="0" applyFill="0" applyBorder="0" applyAlignment="0" applyProtection="0"/>
    <xf numFmtId="18" fontId="63" fillId="59" borderId="0" applyFont="0" applyFill="0" applyBorder="0" applyAlignment="0" applyProtection="0">
      <protection locked="0"/>
    </xf>
    <xf numFmtId="0" fontId="8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38" fontId="47" fillId="0" borderId="14" applyFill="0" applyBorder="0" applyAlignment="0" applyProtection="0">
      <protection locked="0"/>
    </xf>
    <xf numFmtId="0" fontId="24" fillId="59" borderId="0" applyNumberFormat="0" applyFont="0" applyAlignment="0" applyProtection="0"/>
    <xf numFmtId="0" fontId="24" fillId="59" borderId="28" applyNumberFormat="0" applyFont="0" applyAlignment="0" applyProtection="0">
      <protection locked="0"/>
    </xf>
    <xf numFmtId="0" fontId="82" fillId="0" borderId="0" applyNumberFormat="0" applyFill="0" applyBorder="0" applyAlignment="0" applyProtection="0"/>
    <xf numFmtId="0" fontId="65" fillId="0" borderId="0" applyFont="0" applyFill="0" applyBorder="0" applyProtection="0">
      <alignment horizontal="right"/>
    </xf>
    <xf numFmtId="43" fontId="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3" fillId="0" borderId="0" applyNumberFormat="0" applyFill="0" applyBorder="0" applyAlignment="0" applyProtection="0">
      <alignment vertical="top"/>
      <protection locked="0"/>
    </xf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" fillId="0" borderId="0"/>
    <xf numFmtId="0" fontId="19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61" fillId="0" borderId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19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27" fillId="61" borderId="0">
      <alignment horizontal="left"/>
    </xf>
    <xf numFmtId="0" fontId="50" fillId="61" borderId="0">
      <alignment horizontal="right"/>
    </xf>
    <xf numFmtId="0" fontId="50" fillId="61" borderId="0">
      <alignment horizontal="center"/>
    </xf>
    <xf numFmtId="0" fontId="50" fillId="61" borderId="0">
      <alignment horizontal="right"/>
    </xf>
    <xf numFmtId="0" fontId="87" fillId="61" borderId="0">
      <alignment horizontal="left"/>
    </xf>
    <xf numFmtId="40" fontId="84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27" fillId="61" borderId="0">
      <alignment horizontal="left"/>
    </xf>
    <xf numFmtId="0" fontId="27" fillId="61" borderId="0">
      <alignment horizontal="left"/>
    </xf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86" fillId="55" borderId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40" fontId="88" fillId="59" borderId="0">
      <alignment horizontal="right"/>
    </xf>
    <xf numFmtId="0" fontId="89" fillId="59" borderId="0">
      <alignment horizontal="right"/>
    </xf>
    <xf numFmtId="0" fontId="90" fillId="59" borderId="11"/>
    <xf numFmtId="0" fontId="90" fillId="0" borderId="0" applyBorder="0">
      <alignment horizontal="centerContinuous"/>
    </xf>
    <xf numFmtId="0" fontId="91" fillId="0" borderId="0" applyBorder="0">
      <alignment horizontal="centerContinuous"/>
    </xf>
    <xf numFmtId="9" fontId="84" fillId="0" borderId="0" applyFont="0" applyFill="0" applyBorder="0" applyAlignment="0" applyProtection="0"/>
    <xf numFmtId="0" fontId="27" fillId="61" borderId="0">
      <alignment horizontal="center"/>
    </xf>
    <xf numFmtId="49" fontId="48" fillId="61" borderId="0">
      <alignment horizontal="center"/>
    </xf>
    <xf numFmtId="0" fontId="50" fillId="61" borderId="0">
      <alignment horizontal="center"/>
    </xf>
    <xf numFmtId="0" fontId="50" fillId="61" borderId="0">
      <alignment horizontal="centerContinuous"/>
    </xf>
    <xf numFmtId="0" fontId="63" fillId="61" borderId="0">
      <alignment horizontal="left"/>
    </xf>
    <xf numFmtId="49" fontId="63" fillId="61" borderId="0">
      <alignment horizontal="center"/>
    </xf>
    <xf numFmtId="0" fontId="27" fillId="61" borderId="0">
      <alignment horizontal="left"/>
    </xf>
    <xf numFmtId="49" fontId="63" fillId="61" borderId="0">
      <alignment horizontal="left"/>
    </xf>
    <xf numFmtId="0" fontId="27" fillId="61" borderId="0">
      <alignment horizontal="centerContinuous"/>
    </xf>
    <xf numFmtId="0" fontId="27" fillId="61" borderId="0">
      <alignment horizontal="right"/>
    </xf>
    <xf numFmtId="49" fontId="27" fillId="61" borderId="0">
      <alignment horizontal="left"/>
    </xf>
    <xf numFmtId="0" fontId="50" fillId="61" borderId="0">
      <alignment horizontal="right"/>
    </xf>
    <xf numFmtId="0" fontId="63" fillId="62" borderId="0">
      <alignment horizontal="center"/>
    </xf>
    <xf numFmtId="0" fontId="54" fillId="62" borderId="0">
      <alignment horizontal="center"/>
    </xf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92" fillId="61" borderId="0">
      <alignment horizontal="center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4" fontId="95" fillId="0" borderId="0" applyFont="0" applyFill="0" applyBorder="0" applyAlignment="0" applyProtection="0"/>
    <xf numFmtId="8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2" fillId="0" borderId="0"/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39" fontId="35" fillId="0" borderId="0"/>
    <xf numFmtId="9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Protection="0">
      <alignment horizontal="right"/>
    </xf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6" fillId="0" borderId="17">
      <alignment horizontal="left" vertical="center"/>
    </xf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>
      <protection locked="0"/>
    </xf>
    <xf numFmtId="0" fontId="32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32" fillId="0" borderId="0"/>
    <xf numFmtId="0" fontId="19" fillId="0" borderId="0"/>
    <xf numFmtId="0" fontId="19" fillId="0" borderId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4" fontId="27" fillId="37" borderId="32" applyNumberFormat="0" applyProtection="0">
      <alignment vertical="center"/>
    </xf>
    <xf numFmtId="4" fontId="46" fillId="38" borderId="32" applyNumberFormat="0" applyProtection="0">
      <alignment vertical="center"/>
    </xf>
    <xf numFmtId="4" fontId="27" fillId="38" borderId="32" applyNumberFormat="0" applyProtection="0">
      <alignment horizontal="left" vertical="center" indent="1"/>
    </xf>
    <xf numFmtId="4" fontId="27" fillId="38" borderId="32" applyNumberFormat="0" applyProtection="0">
      <alignment horizontal="left" vertical="center" indent="1"/>
    </xf>
    <xf numFmtId="0" fontId="27" fillId="38" borderId="32" applyNumberFormat="0" applyProtection="0">
      <alignment horizontal="left" vertical="top" indent="1"/>
    </xf>
    <xf numFmtId="4" fontId="27" fillId="34" borderId="32" applyNumberFormat="0" applyProtection="0"/>
    <xf numFmtId="4" fontId="47" fillId="39" borderId="32" applyNumberFormat="0" applyProtection="0">
      <alignment horizontal="right" vertical="center"/>
    </xf>
    <xf numFmtId="4" fontId="47" fillId="40" borderId="32" applyNumberFormat="0" applyProtection="0">
      <alignment horizontal="right" vertical="center"/>
    </xf>
    <xf numFmtId="4" fontId="47" fillId="41" borderId="32" applyNumberFormat="0" applyProtection="0">
      <alignment horizontal="right" vertical="center"/>
    </xf>
    <xf numFmtId="4" fontId="47" fillId="42" borderId="32" applyNumberFormat="0" applyProtection="0">
      <alignment horizontal="right" vertical="center"/>
    </xf>
    <xf numFmtId="4" fontId="47" fillId="43" borderId="32" applyNumberFormat="0" applyProtection="0">
      <alignment horizontal="right" vertical="center"/>
    </xf>
    <xf numFmtId="4" fontId="47" fillId="44" borderId="32" applyNumberFormat="0" applyProtection="0">
      <alignment horizontal="right" vertical="center"/>
    </xf>
    <xf numFmtId="4" fontId="47" fillId="45" borderId="32" applyNumberFormat="0" applyProtection="0">
      <alignment horizontal="right" vertical="center"/>
    </xf>
    <xf numFmtId="4" fontId="47" fillId="46" borderId="32" applyNumberFormat="0" applyProtection="0">
      <alignment horizontal="right" vertical="center"/>
    </xf>
    <xf numFmtId="4" fontId="47" fillId="47" borderId="32" applyNumberFormat="0" applyProtection="0">
      <alignment horizontal="right" vertical="center"/>
    </xf>
    <xf numFmtId="4" fontId="47" fillId="51" borderId="32" applyNumberFormat="0" applyProtection="0">
      <alignment horizontal="right" vertical="center"/>
    </xf>
    <xf numFmtId="0" fontId="19" fillId="50" borderId="32" applyNumberFormat="0" applyProtection="0">
      <alignment horizontal="left" vertical="center" indent="1"/>
    </xf>
    <xf numFmtId="0" fontId="19" fillId="50" borderId="32" applyNumberFormat="0" applyProtection="0">
      <alignment horizontal="left" vertical="center" indent="1"/>
    </xf>
    <xf numFmtId="0" fontId="19" fillId="50" borderId="32" applyNumberFormat="0" applyProtection="0">
      <alignment horizontal="left" vertical="center" indent="1"/>
    </xf>
    <xf numFmtId="0" fontId="19" fillId="50" borderId="32" applyNumberFormat="0" applyProtection="0">
      <alignment horizontal="left" vertical="center" indent="1"/>
    </xf>
    <xf numFmtId="0" fontId="19" fillId="50" borderId="32" applyNumberFormat="0" applyProtection="0">
      <alignment horizontal="left" vertical="top" indent="1"/>
    </xf>
    <xf numFmtId="0" fontId="19" fillId="50" borderId="32" applyNumberFormat="0" applyProtection="0">
      <alignment horizontal="left" vertical="top" indent="1"/>
    </xf>
    <xf numFmtId="0" fontId="19" fillId="50" borderId="32" applyNumberFormat="0" applyProtection="0">
      <alignment horizontal="left" vertical="top" indent="1"/>
    </xf>
    <xf numFmtId="0" fontId="19" fillId="50" borderId="32" applyNumberFormat="0" applyProtection="0">
      <alignment horizontal="left" vertical="top" indent="1"/>
    </xf>
    <xf numFmtId="0" fontId="19" fillId="34" borderId="32" applyNumberFormat="0" applyProtection="0">
      <alignment horizontal="left" vertical="center" indent="1"/>
    </xf>
    <xf numFmtId="0" fontId="19" fillId="34" borderId="32" applyNumberFormat="0" applyProtection="0">
      <alignment horizontal="left" vertical="center" indent="1"/>
    </xf>
    <xf numFmtId="0" fontId="19" fillId="34" borderId="32" applyNumberFormat="0" applyProtection="0">
      <alignment horizontal="left" vertical="center" indent="1"/>
    </xf>
    <xf numFmtId="0" fontId="19" fillId="34" borderId="32" applyNumberFormat="0" applyProtection="0">
      <alignment horizontal="left" vertical="center" indent="1"/>
    </xf>
    <xf numFmtId="0" fontId="19" fillId="34" borderId="32" applyNumberFormat="0" applyProtection="0">
      <alignment horizontal="left" vertical="top" indent="1"/>
    </xf>
    <xf numFmtId="0" fontId="19" fillId="34" borderId="32" applyNumberFormat="0" applyProtection="0">
      <alignment horizontal="left" vertical="top" indent="1"/>
    </xf>
    <xf numFmtId="0" fontId="19" fillId="34" borderId="32" applyNumberFormat="0" applyProtection="0">
      <alignment horizontal="left" vertical="top" indent="1"/>
    </xf>
    <xf numFmtId="0" fontId="19" fillId="34" borderId="32" applyNumberFormat="0" applyProtection="0">
      <alignment horizontal="left" vertical="top" indent="1"/>
    </xf>
    <xf numFmtId="0" fontId="19" fillId="54" borderId="32" applyNumberFormat="0" applyProtection="0">
      <alignment horizontal="left" vertical="center" indent="1"/>
    </xf>
    <xf numFmtId="0" fontId="19" fillId="54" borderId="32" applyNumberFormat="0" applyProtection="0">
      <alignment horizontal="left" vertical="center" indent="1"/>
    </xf>
    <xf numFmtId="0" fontId="19" fillId="54" borderId="32" applyNumberFormat="0" applyProtection="0">
      <alignment horizontal="left" vertical="center" indent="1"/>
    </xf>
    <xf numFmtId="0" fontId="19" fillId="54" borderId="32" applyNumberFormat="0" applyProtection="0">
      <alignment horizontal="left" vertical="center" indent="1"/>
    </xf>
    <xf numFmtId="0" fontId="19" fillId="54" borderId="32" applyNumberFormat="0" applyProtection="0">
      <alignment horizontal="left" vertical="top" indent="1"/>
    </xf>
    <xf numFmtId="0" fontId="19" fillId="54" borderId="32" applyNumberFormat="0" applyProtection="0">
      <alignment horizontal="left" vertical="top" indent="1"/>
    </xf>
    <xf numFmtId="0" fontId="19" fillId="54" borderId="32" applyNumberFormat="0" applyProtection="0">
      <alignment horizontal="left" vertical="top" indent="1"/>
    </xf>
    <xf numFmtId="0" fontId="19" fillId="54" borderId="32" applyNumberFormat="0" applyProtection="0">
      <alignment horizontal="left" vertical="top" indent="1"/>
    </xf>
    <xf numFmtId="0" fontId="19" fillId="55" borderId="32" applyNumberFormat="0" applyProtection="0">
      <alignment horizontal="left" vertical="center" indent="1"/>
    </xf>
    <xf numFmtId="0" fontId="19" fillId="55" borderId="32" applyNumberFormat="0" applyProtection="0">
      <alignment horizontal="left" vertical="center" indent="1"/>
    </xf>
    <xf numFmtId="0" fontId="19" fillId="55" borderId="32" applyNumberFormat="0" applyProtection="0">
      <alignment horizontal="left" vertical="center" indent="1"/>
    </xf>
    <xf numFmtId="0" fontId="19" fillId="55" borderId="32" applyNumberFormat="0" applyProtection="0">
      <alignment horizontal="left" vertical="center" indent="1"/>
    </xf>
    <xf numFmtId="0" fontId="19" fillId="55" borderId="32" applyNumberFormat="0" applyProtection="0">
      <alignment horizontal="left" vertical="top" indent="1"/>
    </xf>
    <xf numFmtId="0" fontId="19" fillId="55" borderId="32" applyNumberFormat="0" applyProtection="0">
      <alignment horizontal="left" vertical="top" indent="1"/>
    </xf>
    <xf numFmtId="0" fontId="19" fillId="55" borderId="32" applyNumberFormat="0" applyProtection="0">
      <alignment horizontal="left" vertical="top" indent="1"/>
    </xf>
    <xf numFmtId="0" fontId="19" fillId="55" borderId="32" applyNumberFormat="0" applyProtection="0">
      <alignment horizontal="left" vertical="top" indent="1"/>
    </xf>
    <xf numFmtId="4" fontId="47" fillId="35" borderId="32" applyNumberFormat="0" applyProtection="0">
      <alignment vertical="center"/>
    </xf>
    <xf numFmtId="4" fontId="51" fillId="35" borderId="32" applyNumberFormat="0" applyProtection="0">
      <alignment vertical="center"/>
    </xf>
    <xf numFmtId="4" fontId="47" fillId="35" borderId="32" applyNumberFormat="0" applyProtection="0">
      <alignment horizontal="left" vertical="center" indent="1"/>
    </xf>
    <xf numFmtId="0" fontId="47" fillId="35" borderId="32" applyNumberFormat="0" applyProtection="0">
      <alignment horizontal="left" vertical="top" indent="1"/>
    </xf>
    <xf numFmtId="4" fontId="47" fillId="0" borderId="32" applyNumberFormat="0" applyProtection="0">
      <alignment horizontal="right" vertical="center"/>
    </xf>
    <xf numFmtId="4" fontId="47" fillId="0" borderId="32" applyNumberFormat="0" applyProtection="0">
      <alignment horizontal="right" vertical="center"/>
    </xf>
    <xf numFmtId="4" fontId="51" fillId="49" borderId="32" applyNumberFormat="0" applyProtection="0">
      <alignment horizontal="right" vertical="center"/>
    </xf>
    <xf numFmtId="4" fontId="47" fillId="0" borderId="32" applyNumberFormat="0" applyProtection="0">
      <alignment horizontal="left" vertical="center" indent="1"/>
    </xf>
    <xf numFmtId="4" fontId="47" fillId="0" borderId="32" applyNumberFormat="0" applyProtection="0">
      <alignment horizontal="left" vertical="center" indent="1"/>
    </xf>
    <xf numFmtId="0" fontId="47" fillId="34" borderId="32" applyNumberFormat="0" applyProtection="0">
      <alignment horizontal="left" vertical="top"/>
    </xf>
    <xf numFmtId="0" fontId="47" fillId="34" borderId="32" applyNumberFormat="0" applyProtection="0">
      <alignment horizontal="left" vertical="top"/>
    </xf>
    <xf numFmtId="4" fontId="25" fillId="49" borderId="32" applyNumberFormat="0" applyProtection="0">
      <alignment horizontal="right" vertical="center"/>
    </xf>
    <xf numFmtId="0" fontId="34" fillId="0" borderId="22" applyNumberFormat="0" applyFont="0" applyFill="0" applyAlignment="0" applyProtection="0"/>
    <xf numFmtId="0" fontId="56" fillId="0" borderId="0"/>
    <xf numFmtId="0" fontId="19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4" fontId="27" fillId="38" borderId="32" applyNumberFormat="0" applyProtection="0">
      <alignment horizontal="left" vertical="center" indent="1"/>
    </xf>
    <xf numFmtId="4" fontId="27" fillId="38" borderId="32" applyNumberFormat="0" applyProtection="0">
      <alignment horizontal="left" vertical="center" indent="1"/>
    </xf>
    <xf numFmtId="4" fontId="27" fillId="38" borderId="32" applyNumberFormat="0" applyProtection="0">
      <alignment horizontal="left" vertical="center" indent="1"/>
    </xf>
    <xf numFmtId="4" fontId="27" fillId="38" borderId="32" applyNumberFormat="0" applyProtection="0">
      <alignment horizontal="left" vertical="center" indent="1"/>
    </xf>
    <xf numFmtId="4" fontId="27" fillId="38" borderId="32" applyNumberFormat="0" applyProtection="0">
      <alignment vertical="center"/>
    </xf>
    <xf numFmtId="4" fontId="27" fillId="34" borderId="32" applyNumberFormat="0" applyProtection="0"/>
    <xf numFmtId="4" fontId="27" fillId="34" borderId="32" applyNumberFormat="0" applyProtection="0"/>
    <xf numFmtId="4" fontId="27" fillId="34" borderId="32" applyNumberFormat="0" applyProtection="0"/>
    <xf numFmtId="4" fontId="27" fillId="34" borderId="32" applyNumberFormat="0" applyProtection="0"/>
    <xf numFmtId="4" fontId="27" fillId="34" borderId="29" applyNumberFormat="0" applyProtection="0">
      <alignment vertical="center"/>
    </xf>
    <xf numFmtId="0" fontId="19" fillId="50" borderId="32" applyNumberFormat="0" applyProtection="0">
      <alignment horizontal="left" vertical="center" indent="1"/>
    </xf>
    <xf numFmtId="0" fontId="19" fillId="50" borderId="32" applyNumberFormat="0" applyProtection="0">
      <alignment horizontal="left" vertical="top" indent="1"/>
    </xf>
    <xf numFmtId="0" fontId="19" fillId="34" borderId="32" applyNumberFormat="0" applyProtection="0">
      <alignment horizontal="left" vertical="center" indent="1"/>
    </xf>
    <xf numFmtId="0" fontId="19" fillId="34" borderId="32" applyNumberFormat="0" applyProtection="0">
      <alignment horizontal="left" vertical="top" indent="1"/>
    </xf>
    <xf numFmtId="0" fontId="19" fillId="54" borderId="32" applyNumberFormat="0" applyProtection="0">
      <alignment horizontal="left" vertical="center" indent="1"/>
    </xf>
    <xf numFmtId="0" fontId="19" fillId="54" borderId="32" applyNumberFormat="0" applyProtection="0">
      <alignment horizontal="left" vertical="top" indent="1"/>
    </xf>
    <xf numFmtId="0" fontId="19" fillId="55" borderId="32" applyNumberFormat="0" applyProtection="0">
      <alignment horizontal="left" vertical="center" indent="1"/>
    </xf>
    <xf numFmtId="0" fontId="19" fillId="55" borderId="32" applyNumberFormat="0" applyProtection="0">
      <alignment horizontal="left" vertical="top" indent="1"/>
    </xf>
    <xf numFmtId="4" fontId="47" fillId="0" borderId="32" applyNumberFormat="0" applyProtection="0">
      <alignment horizontal="right" vertical="center"/>
    </xf>
    <xf numFmtId="4" fontId="47" fillId="0" borderId="32" applyNumberFormat="0" applyProtection="0">
      <alignment horizontal="right" vertical="center"/>
    </xf>
    <xf numFmtId="4" fontId="47" fillId="0" borderId="32" applyNumberFormat="0" applyProtection="0">
      <alignment horizontal="right" vertical="center"/>
    </xf>
    <xf numFmtId="4" fontId="47" fillId="0" borderId="32" applyNumberFormat="0" applyProtection="0">
      <alignment horizontal="right" vertical="center"/>
    </xf>
    <xf numFmtId="4" fontId="47" fillId="0" borderId="32" applyNumberFormat="0" applyProtection="0">
      <alignment horizontal="left" vertical="center" indent="1"/>
    </xf>
    <xf numFmtId="4" fontId="47" fillId="0" borderId="32" applyNumberFormat="0" applyProtection="0">
      <alignment horizontal="left" vertical="center" indent="1"/>
    </xf>
    <xf numFmtId="4" fontId="47" fillId="0" borderId="32" applyNumberFormat="0" applyProtection="0">
      <alignment horizontal="left" vertical="center" indent="1"/>
    </xf>
    <xf numFmtId="4" fontId="47" fillId="0" borderId="32" applyNumberFormat="0" applyProtection="0">
      <alignment horizontal="left" vertical="center" indent="1"/>
    </xf>
    <xf numFmtId="4" fontId="47" fillId="59" borderId="32" applyNumberFormat="0" applyProtection="0">
      <alignment horizontal="left" vertical="center" indent="1"/>
    </xf>
    <xf numFmtId="0" fontId="47" fillId="34" borderId="32" applyNumberFormat="0" applyProtection="0">
      <alignment horizontal="left" vertical="top"/>
    </xf>
    <xf numFmtId="0" fontId="47" fillId="34" borderId="32" applyNumberFormat="0" applyProtection="0">
      <alignment horizontal="left" vertical="top"/>
    </xf>
    <xf numFmtId="0" fontId="47" fillId="34" borderId="32" applyNumberFormat="0" applyProtection="0">
      <alignment horizontal="left" vertical="top"/>
    </xf>
    <xf numFmtId="0" fontId="47" fillId="34" borderId="32" applyNumberFormat="0" applyProtection="0">
      <alignment horizontal="left" vertical="top"/>
    </xf>
    <xf numFmtId="0" fontId="47" fillId="34" borderId="32" applyNumberFormat="0" applyProtection="0">
      <alignment horizontal="center" vertical="top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19" fillId="0" borderId="0"/>
    <xf numFmtId="0" fontId="19" fillId="0" borderId="0"/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19" fillId="0" borderId="0"/>
    <xf numFmtId="0" fontId="19" fillId="0" borderId="0"/>
    <xf numFmtId="0" fontId="19" fillId="0" borderId="0"/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19" fillId="0" borderId="0"/>
    <xf numFmtId="0" fontId="19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9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17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4" fontId="47" fillId="51" borderId="32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19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" fontId="27" fillId="38" borderId="32" applyNumberFormat="0" applyProtection="0">
      <alignment horizontal="left" vertical="center" indent="1"/>
    </xf>
    <xf numFmtId="4" fontId="47" fillId="0" borderId="32" applyNumberFormat="0" applyProtection="0">
      <alignment horizontal="right" vertical="center"/>
    </xf>
    <xf numFmtId="4" fontId="47" fillId="0" borderId="32" applyNumberFormat="0" applyProtection="0">
      <alignment horizontal="left" vertical="center" indent="1"/>
    </xf>
    <xf numFmtId="0" fontId="47" fillId="34" borderId="32" applyNumberFormat="0" applyProtection="0">
      <alignment horizontal="left" vertical="top"/>
    </xf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4" fontId="27" fillId="34" borderId="29" applyNumberFormat="0" applyProtection="0">
      <alignment vertical="center"/>
    </xf>
    <xf numFmtId="0" fontId="19" fillId="0" borderId="0"/>
    <xf numFmtId="0" fontId="19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9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" fontId="27" fillId="34" borderId="29" applyNumberFormat="0" applyProtection="0">
      <alignment vertical="center"/>
    </xf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0" fontId="47" fillId="59" borderId="0">
      <alignment horizontal="right"/>
    </xf>
    <xf numFmtId="0" fontId="27" fillId="59" borderId="0">
      <alignment horizontal="left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9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67" fillId="0" borderId="0"/>
    <xf numFmtId="9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4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96" fillId="0" borderId="0" applyFont="0" applyFill="0" applyBorder="0" applyAlignment="0" applyProtection="0"/>
    <xf numFmtId="0" fontId="1" fillId="0" borderId="0"/>
    <xf numFmtId="9" fontId="96" fillId="0" borderId="0" applyFont="0" applyFill="0" applyBorder="0" applyAlignment="0" applyProtection="0"/>
    <xf numFmtId="0" fontId="47" fillId="0" borderId="0">
      <alignment vertical="top"/>
    </xf>
    <xf numFmtId="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3" fontId="69" fillId="0" borderId="0" applyProtection="0"/>
    <xf numFmtId="3" fontId="65" fillId="0" borderId="0" applyProtection="0"/>
    <xf numFmtId="3" fontId="98" fillId="0" borderId="0" applyProtection="0"/>
    <xf numFmtId="3" fontId="67" fillId="0" borderId="0" applyProtection="0"/>
    <xf numFmtId="3" fontId="71" fillId="0" borderId="0" applyProtection="0"/>
    <xf numFmtId="3" fontId="21" fillId="0" borderId="0" applyProtection="0"/>
    <xf numFmtId="3" fontId="72" fillId="0" borderId="0" applyProtection="0"/>
    <xf numFmtId="2" fontId="19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" fontId="24" fillId="0" borderId="0" applyFont="0" applyFill="0" applyBorder="0" applyAlignment="0" applyProtection="0">
      <protection locked="0"/>
    </xf>
    <xf numFmtId="0" fontId="23" fillId="0" borderId="0" applyNumberFormat="0" applyFill="0" applyBorder="0" applyAlignment="0" applyProtection="0"/>
    <xf numFmtId="0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0" fontId="19" fillId="0" borderId="22" applyNumberFormat="0" applyFont="0" applyFill="0" applyAlignment="0" applyProtection="0"/>
    <xf numFmtId="0" fontId="1" fillId="0" borderId="0"/>
    <xf numFmtId="43" fontId="3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99" fillId="63" borderId="0" applyNumberFormat="0" applyBorder="0" applyAlignment="0" applyProtection="0"/>
    <xf numFmtId="0" fontId="99" fillId="64" borderId="0" applyNumberFormat="0" applyBorder="0" applyAlignment="0" applyProtection="0"/>
    <xf numFmtId="0" fontId="100" fillId="65" borderId="0" applyNumberFormat="0" applyBorder="0" applyAlignment="0" applyProtection="0"/>
    <xf numFmtId="0" fontId="19" fillId="0" borderId="0" applyFont="0" applyFill="0" applyBorder="0" applyAlignment="0" applyProtection="0"/>
    <xf numFmtId="0" fontId="100" fillId="66" borderId="0" applyNumberFormat="0" applyBorder="0" applyAlignment="0" applyProtection="0"/>
    <xf numFmtId="0" fontId="100" fillId="66" borderId="0" applyNumberFormat="0" applyBorder="0" applyAlignment="0" applyProtection="0"/>
    <xf numFmtId="0" fontId="100" fillId="66" borderId="0" applyNumberFormat="0" applyBorder="0" applyAlignment="0" applyProtection="0"/>
    <xf numFmtId="0" fontId="100" fillId="66" borderId="0" applyNumberFormat="0" applyBorder="0" applyAlignment="0" applyProtection="0"/>
    <xf numFmtId="3" fontId="19" fillId="0" borderId="0" applyFont="0" applyFill="0" applyBorder="0" applyAlignment="0" applyProtection="0"/>
    <xf numFmtId="0" fontId="99" fillId="67" borderId="0" applyNumberFormat="0" applyBorder="0" applyAlignment="0" applyProtection="0"/>
    <xf numFmtId="0" fontId="99" fillId="68" borderId="0" applyNumberFormat="0" applyBorder="0" applyAlignment="0" applyProtection="0"/>
    <xf numFmtId="0" fontId="100" fillId="69" borderId="0" applyNumberFormat="0" applyBorder="0" applyAlignment="0" applyProtection="0"/>
    <xf numFmtId="0" fontId="100" fillId="70" borderId="0" applyNumberFormat="0" applyBorder="0" applyAlignment="0" applyProtection="0"/>
    <xf numFmtId="0" fontId="100" fillId="70" borderId="0" applyNumberFormat="0" applyBorder="0" applyAlignment="0" applyProtection="0"/>
    <xf numFmtId="0" fontId="100" fillId="70" borderId="0" applyNumberFormat="0" applyBorder="0" applyAlignment="0" applyProtection="0"/>
    <xf numFmtId="0" fontId="100" fillId="70" borderId="0" applyNumberFormat="0" applyBorder="0" applyAlignment="0" applyProtection="0"/>
    <xf numFmtId="0" fontId="23" fillId="0" borderId="0" applyNumberFormat="0" applyFill="0" applyBorder="0" applyAlignment="0" applyProtection="0"/>
    <xf numFmtId="0" fontId="99" fillId="71" borderId="0" applyNumberFormat="0" applyBorder="0" applyAlignment="0" applyProtection="0"/>
    <xf numFmtId="0" fontId="99" fillId="72" borderId="0" applyNumberFormat="0" applyBorder="0" applyAlignment="0" applyProtection="0"/>
    <xf numFmtId="0" fontId="100" fillId="73" borderId="0" applyNumberFormat="0" applyBorder="0" applyAlignment="0" applyProtection="0"/>
    <xf numFmtId="0" fontId="100" fillId="69" borderId="0" applyNumberFormat="0" applyBorder="0" applyAlignment="0" applyProtection="0"/>
    <xf numFmtId="0" fontId="100" fillId="69" borderId="0" applyNumberFormat="0" applyBorder="0" applyAlignment="0" applyProtection="0"/>
    <xf numFmtId="0" fontId="100" fillId="69" borderId="0" applyNumberFormat="0" applyBorder="0" applyAlignment="0" applyProtection="0"/>
    <xf numFmtId="0" fontId="100" fillId="69" borderId="0" applyNumberFormat="0" applyBorder="0" applyAlignment="0" applyProtection="0"/>
    <xf numFmtId="0" fontId="99" fillId="72" borderId="0" applyNumberFormat="0" applyBorder="0" applyAlignment="0" applyProtection="0"/>
    <xf numFmtId="0" fontId="99" fillId="73" borderId="0" applyNumberFormat="0" applyBorder="0" applyAlignment="0" applyProtection="0"/>
    <xf numFmtId="0" fontId="100" fillId="73" borderId="0" applyNumberFormat="0" applyBorder="0" applyAlignment="0" applyProtection="0"/>
    <xf numFmtId="0" fontId="23" fillId="0" borderId="0" applyNumberFormat="0" applyFill="0" applyBorder="0" applyAlignment="0" applyProtection="0"/>
    <xf numFmtId="3" fontId="19" fillId="0" borderId="0" applyFont="0" applyFill="0" applyBorder="0" applyAlignment="0" applyProtection="0"/>
    <xf numFmtId="0" fontId="100" fillId="74" borderId="0" applyNumberFormat="0" applyBorder="0" applyAlignment="0" applyProtection="0"/>
    <xf numFmtId="0" fontId="100" fillId="74" borderId="0" applyNumberFormat="0" applyBorder="0" applyAlignment="0" applyProtection="0"/>
    <xf numFmtId="0" fontId="100" fillId="74" borderId="0" applyNumberFormat="0" applyBorder="0" applyAlignment="0" applyProtection="0"/>
    <xf numFmtId="0" fontId="100" fillId="74" borderId="0" applyNumberFormat="0" applyBorder="0" applyAlignment="0" applyProtection="0"/>
    <xf numFmtId="0" fontId="99" fillId="63" borderId="0" applyNumberFormat="0" applyBorder="0" applyAlignment="0" applyProtection="0"/>
    <xf numFmtId="0" fontId="99" fillId="64" borderId="0" applyNumberFormat="0" applyBorder="0" applyAlignment="0" applyProtection="0"/>
    <xf numFmtId="0" fontId="100" fillId="64" borderId="0" applyNumberFormat="0" applyBorder="0" applyAlignment="0" applyProtection="0"/>
    <xf numFmtId="0" fontId="100" fillId="75" borderId="0" applyNumberFormat="0" applyBorder="0" applyAlignment="0" applyProtection="0"/>
    <xf numFmtId="0" fontId="100" fillId="75" borderId="0" applyNumberFormat="0" applyBorder="0" applyAlignment="0" applyProtection="0"/>
    <xf numFmtId="0" fontId="100" fillId="75" borderId="0" applyNumberFormat="0" applyBorder="0" applyAlignment="0" applyProtection="0"/>
    <xf numFmtId="0" fontId="100" fillId="75" borderId="0" applyNumberFormat="0" applyBorder="0" applyAlignment="0" applyProtection="0"/>
    <xf numFmtId="0" fontId="99" fillId="76" borderId="0" applyNumberFormat="0" applyBorder="0" applyAlignment="0" applyProtection="0"/>
    <xf numFmtId="0" fontId="99" fillId="68" borderId="0" applyNumberFormat="0" applyBorder="0" applyAlignment="0" applyProtection="0"/>
    <xf numFmtId="0" fontId="100" fillId="77" borderId="0" applyNumberFormat="0" applyBorder="0" applyAlignment="0" applyProtection="0"/>
    <xf numFmtId="0" fontId="100" fillId="78" borderId="0" applyNumberFormat="0" applyBorder="0" applyAlignment="0" applyProtection="0"/>
    <xf numFmtId="0" fontId="100" fillId="78" borderId="0" applyNumberFormat="0" applyBorder="0" applyAlignment="0" applyProtection="0"/>
    <xf numFmtId="0" fontId="100" fillId="78" borderId="0" applyNumberFormat="0" applyBorder="0" applyAlignment="0" applyProtection="0"/>
    <xf numFmtId="0" fontId="100" fillId="78" borderId="0" applyNumberFormat="0" applyBorder="0" applyAlignment="0" applyProtection="0"/>
    <xf numFmtId="0" fontId="101" fillId="68" borderId="0" applyNumberFormat="0" applyBorder="0" applyAlignment="0" applyProtection="0"/>
    <xf numFmtId="0" fontId="101" fillId="68" borderId="0" applyNumberFormat="0" applyBorder="0" applyAlignment="0" applyProtection="0"/>
    <xf numFmtId="0" fontId="101" fillId="68" borderId="0" applyNumberFormat="0" applyBorder="0" applyAlignment="0" applyProtection="0"/>
    <xf numFmtId="0" fontId="101" fillId="68" borderId="0" applyNumberFormat="0" applyBorder="0" applyAlignment="0" applyProtection="0"/>
    <xf numFmtId="0" fontId="19" fillId="0" borderId="30" applyNumberFormat="0" applyFill="0" applyAlignment="0" applyProtection="0"/>
    <xf numFmtId="0" fontId="102" fillId="79" borderId="33" applyNumberFormat="0" applyAlignment="0" applyProtection="0"/>
    <xf numFmtId="0" fontId="102" fillId="79" borderId="33" applyNumberFormat="0" applyAlignment="0" applyProtection="0"/>
    <xf numFmtId="0" fontId="102" fillId="79" borderId="33" applyNumberFormat="0" applyAlignment="0" applyProtection="0"/>
    <xf numFmtId="0" fontId="102" fillId="79" borderId="33" applyNumberFormat="0" applyAlignment="0" applyProtection="0"/>
    <xf numFmtId="0" fontId="103" fillId="69" borderId="34" applyNumberFormat="0" applyAlignment="0" applyProtection="0"/>
    <xf numFmtId="0" fontId="103" fillId="69" borderId="34" applyNumberFormat="0" applyAlignment="0" applyProtection="0"/>
    <xf numFmtId="0" fontId="103" fillId="69" borderId="34" applyNumberFormat="0" applyAlignment="0" applyProtection="0"/>
    <xf numFmtId="0" fontId="103" fillId="69" borderId="34" applyNumberFormat="0" applyAlignment="0" applyProtection="0"/>
    <xf numFmtId="0" fontId="21" fillId="0" borderId="0" applyNumberFormat="0" applyFill="0" applyBorder="0" applyAlignment="0" applyProtection="0"/>
    <xf numFmtId="1" fontId="24" fillId="0" borderId="0" applyFont="0" applyFill="0" applyBorder="0" applyAlignment="0" applyProtection="0">
      <protection locked="0"/>
    </xf>
    <xf numFmtId="0" fontId="65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ill="0" applyBorder="0" applyAlignment="0" applyProtection="0"/>
    <xf numFmtId="3" fontId="19" fillId="0" borderId="0" applyFill="0" applyBorder="0" applyAlignment="0" applyProtection="0"/>
    <xf numFmtId="0" fontId="67" fillId="0" borderId="0" applyFont="0" applyFill="0" applyBorder="0" applyAlignment="0" applyProtection="0"/>
    <xf numFmtId="8" fontId="65" fillId="0" borderId="0" applyFont="0" applyFill="0" applyBorder="0" applyAlignment="0" applyProtection="0"/>
    <xf numFmtId="0" fontId="65" fillId="0" borderId="0" applyFont="0" applyFill="0" applyBorder="0" applyAlignment="0" applyProtection="0"/>
    <xf numFmtId="44" fontId="104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1" fillId="0" borderId="0" applyFont="0" applyFill="0" applyBorder="0" applyAlignment="0" applyProtection="0"/>
    <xf numFmtId="5" fontId="19" fillId="0" borderId="0" applyFill="0" applyBorder="0" applyAlignment="0" applyProtection="0"/>
    <xf numFmtId="178" fontId="19" fillId="0" borderId="0" applyFill="0" applyBorder="0" applyAlignment="0" applyProtection="0"/>
    <xf numFmtId="0" fontId="19" fillId="0" borderId="0" applyFont="0" applyFill="0" applyBorder="0" applyAlignment="0" applyProtection="0"/>
    <xf numFmtId="0" fontId="105" fillId="80" borderId="0" applyNumberFormat="0" applyBorder="0" applyAlignment="0" applyProtection="0"/>
    <xf numFmtId="0" fontId="105" fillId="81" borderId="0" applyNumberFormat="0" applyBorder="0" applyAlignment="0" applyProtection="0"/>
    <xf numFmtId="0" fontId="105" fillId="82" borderId="0" applyNumberFormat="0" applyBorder="0" applyAlignment="0" applyProtection="0"/>
    <xf numFmtId="3" fontId="69" fillId="0" borderId="0" applyFill="0" applyBorder="0" applyAlignment="0" applyProtection="0"/>
    <xf numFmtId="3" fontId="65" fillId="0" borderId="0" applyFill="0" applyBorder="0" applyAlignment="0" applyProtection="0"/>
    <xf numFmtId="3" fontId="70" fillId="0" borderId="0" applyFill="0" applyBorder="0" applyAlignment="0" applyProtection="0"/>
    <xf numFmtId="3" fontId="33" fillId="0" borderId="0" applyFill="0" applyBorder="0" applyAlignment="0" applyProtection="0"/>
    <xf numFmtId="3" fontId="71" fillId="0" borderId="0" applyFill="0" applyBorder="0" applyAlignment="0" applyProtection="0"/>
    <xf numFmtId="3" fontId="21" fillId="0" borderId="0" applyFill="0" applyBorder="0" applyAlignment="0" applyProtection="0"/>
    <xf numFmtId="3" fontId="72" fillId="0" borderId="0" applyFill="0" applyBorder="0" applyAlignment="0" applyProtection="0"/>
    <xf numFmtId="2" fontId="19" fillId="0" borderId="0" applyFill="0" applyBorder="0" applyAlignment="0" applyProtection="0"/>
    <xf numFmtId="0" fontId="21" fillId="59" borderId="13" applyFont="0" applyBorder="0" applyAlignment="0" applyProtection="0">
      <alignment vertical="top"/>
    </xf>
    <xf numFmtId="0" fontId="19" fillId="0" borderId="0" applyFont="0" applyFill="0" applyBorder="0" applyAlignment="0" applyProtection="0"/>
    <xf numFmtId="0" fontId="106" fillId="83" borderId="0" applyNumberFormat="0" applyBorder="0" applyAlignment="0" applyProtection="0"/>
    <xf numFmtId="0" fontId="106" fillId="83" borderId="0" applyNumberFormat="0" applyBorder="0" applyAlignment="0" applyProtection="0"/>
    <xf numFmtId="0" fontId="106" fillId="83" borderId="0" applyNumberFormat="0" applyBorder="0" applyAlignment="0" applyProtection="0"/>
    <xf numFmtId="0" fontId="106" fillId="83" borderId="0" applyNumberFormat="0" applyBorder="0" applyAlignment="0" applyProtection="0"/>
    <xf numFmtId="3" fontId="19" fillId="0" borderId="0" applyFont="0" applyFill="0" applyBorder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8" fillId="0" borderId="36" applyNumberFormat="0" applyFill="0" applyAlignment="0" applyProtection="0"/>
    <xf numFmtId="0" fontId="108" fillId="0" borderId="36" applyNumberFormat="0" applyFill="0" applyAlignment="0" applyProtection="0"/>
    <xf numFmtId="0" fontId="108" fillId="0" borderId="36" applyNumberFormat="0" applyFill="0" applyAlignment="0" applyProtection="0"/>
    <xf numFmtId="0" fontId="108" fillId="0" borderId="36" applyNumberFormat="0" applyFill="0" applyAlignment="0" applyProtection="0"/>
    <xf numFmtId="0" fontId="109" fillId="0" borderId="37" applyNumberFormat="0" applyFill="0" applyAlignment="0" applyProtection="0"/>
    <xf numFmtId="0" fontId="109" fillId="0" borderId="37" applyNumberFormat="0" applyFill="0" applyAlignment="0" applyProtection="0"/>
    <xf numFmtId="0" fontId="109" fillId="0" borderId="37" applyNumberFormat="0" applyFill="0" applyAlignment="0" applyProtection="0"/>
    <xf numFmtId="0" fontId="109" fillId="0" borderId="37" applyNumberFormat="0" applyFill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0" fillId="77" borderId="33" applyNumberFormat="0" applyAlignment="0" applyProtection="0"/>
    <xf numFmtId="0" fontId="110" fillId="77" borderId="33" applyNumberFormat="0" applyAlignment="0" applyProtection="0"/>
    <xf numFmtId="0" fontId="110" fillId="77" borderId="33" applyNumberFormat="0" applyAlignment="0" applyProtection="0"/>
    <xf numFmtId="0" fontId="110" fillId="77" borderId="33" applyNumberFormat="0" applyAlignment="0" applyProtection="0"/>
    <xf numFmtId="0" fontId="21" fillId="35" borderId="0" applyNumberFormat="0" applyFont="0" applyBorder="0" applyAlignment="0" applyProtection="0">
      <alignment horizontal="center"/>
      <protection locked="0"/>
    </xf>
    <xf numFmtId="0" fontId="21" fillId="35" borderId="12" applyNumberFormat="0" applyFont="0" applyAlignment="0" applyProtection="0">
      <alignment horizontal="center"/>
      <protection locked="0"/>
    </xf>
    <xf numFmtId="0" fontId="111" fillId="0" borderId="38" applyNumberFormat="0" applyFill="0" applyAlignment="0" applyProtection="0"/>
    <xf numFmtId="0" fontId="111" fillId="0" borderId="38" applyNumberFormat="0" applyFill="0" applyAlignment="0" applyProtection="0"/>
    <xf numFmtId="0" fontId="111" fillId="0" borderId="38" applyNumberFormat="0" applyFill="0" applyAlignment="0" applyProtection="0"/>
    <xf numFmtId="0" fontId="111" fillId="0" borderId="38" applyNumberFormat="0" applyFill="0" applyAlignment="0" applyProtection="0"/>
    <xf numFmtId="0" fontId="19" fillId="0" borderId="0"/>
    <xf numFmtId="0" fontId="112" fillId="77" borderId="0" applyNumberFormat="0" applyBorder="0" applyAlignment="0" applyProtection="0"/>
    <xf numFmtId="0" fontId="112" fillId="77" borderId="0" applyNumberFormat="0" applyBorder="0" applyAlignment="0" applyProtection="0"/>
    <xf numFmtId="0" fontId="112" fillId="77" borderId="0" applyNumberFormat="0" applyBorder="0" applyAlignment="0" applyProtection="0"/>
    <xf numFmtId="0" fontId="112" fillId="77" borderId="0" applyNumberFormat="0" applyBorder="0" applyAlignment="0" applyProtection="0"/>
    <xf numFmtId="0" fontId="19" fillId="0" borderId="0"/>
    <xf numFmtId="0" fontId="67" fillId="0" borderId="0"/>
    <xf numFmtId="0" fontId="67" fillId="0" borderId="0"/>
    <xf numFmtId="0" fontId="1" fillId="0" borderId="0"/>
    <xf numFmtId="0" fontId="113" fillId="0" borderId="0"/>
    <xf numFmtId="0" fontId="19" fillId="0" borderId="0"/>
    <xf numFmtId="0" fontId="19" fillId="0" borderId="0"/>
    <xf numFmtId="0" fontId="19" fillId="0" borderId="0"/>
    <xf numFmtId="0" fontId="55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24" fillId="0" borderId="0" applyFont="0" applyFill="0" applyBorder="0" applyAlignment="0" applyProtection="0">
      <protection locked="0"/>
    </xf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76" borderId="39" applyNumberFormat="0" applyFont="0" applyAlignment="0" applyProtection="0"/>
    <xf numFmtId="0" fontId="19" fillId="76" borderId="39" applyNumberFormat="0" applyFont="0" applyAlignment="0" applyProtection="0"/>
    <xf numFmtId="0" fontId="19" fillId="76" borderId="39" applyNumberFormat="0" applyFont="0" applyAlignment="0" applyProtection="0"/>
    <xf numFmtId="0" fontId="19" fillId="76" borderId="39" applyNumberFormat="0" applyFont="0" applyAlignment="0" applyProtection="0"/>
    <xf numFmtId="0" fontId="19" fillId="76" borderId="39" applyNumberFormat="0" applyFont="0" applyAlignment="0" applyProtection="0"/>
    <xf numFmtId="0" fontId="19" fillId="76" borderId="3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74" fontId="32" fillId="0" borderId="0" applyFont="0" applyFill="0" applyBorder="0" applyProtection="0"/>
    <xf numFmtId="1" fontId="24" fillId="0" borderId="0" applyFont="0" applyFill="0" applyBorder="0" applyAlignment="0" applyProtection="0">
      <protection locked="0"/>
    </xf>
    <xf numFmtId="1" fontId="24" fillId="0" borderId="0" applyFont="0" applyFill="0" applyBorder="0" applyAlignment="0" applyProtection="0">
      <protection locked="0"/>
    </xf>
    <xf numFmtId="0" fontId="24" fillId="0" borderId="0" applyNumberFormat="0" applyFill="0" applyBorder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40" fontId="47" fillId="59" borderId="0">
      <alignment horizontal="right"/>
    </xf>
    <xf numFmtId="0" fontId="23" fillId="0" borderId="0" applyNumberFormat="0" applyFill="0" applyBorder="0" applyAlignment="0" applyProtection="0"/>
    <xf numFmtId="9" fontId="10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65" fillId="0" borderId="0" applyFont="0" applyFill="0" applyBorder="0" applyProtection="0">
      <alignment horizontal="right"/>
    </xf>
    <xf numFmtId="0" fontId="21" fillId="33" borderId="0" applyNumberFormat="0" applyFont="0" applyBorder="0" applyAlignment="0" applyProtection="0">
      <alignment horizontal="center"/>
      <protection locked="0"/>
    </xf>
    <xf numFmtId="0" fontId="67" fillId="0" borderId="0">
      <alignment vertical="top"/>
    </xf>
    <xf numFmtId="180" fontId="67" fillId="0" borderId="0">
      <alignment vertical="top"/>
    </xf>
    <xf numFmtId="18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0" fontId="67" fillId="0" borderId="0">
      <alignment vertical="top"/>
    </xf>
    <xf numFmtId="18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0" fontId="67" fillId="0" borderId="0">
      <alignment vertical="top"/>
    </xf>
    <xf numFmtId="180" fontId="67" fillId="0" borderId="0">
      <alignment vertical="top"/>
    </xf>
    <xf numFmtId="37" fontId="115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4" fontId="48" fillId="84" borderId="0" applyNumberFormat="0" applyProtection="0">
      <alignment horizontal="left" vertical="center" indent="1"/>
    </xf>
    <xf numFmtId="4" fontId="48" fillId="84" borderId="0" applyNumberFormat="0" applyProtection="0">
      <alignment horizontal="left" vertical="center" indent="1"/>
    </xf>
    <xf numFmtId="1" fontId="24" fillId="0" borderId="0" applyFont="0" applyFill="0" applyBorder="0" applyAlignment="0" applyProtection="0">
      <protection locked="0"/>
    </xf>
    <xf numFmtId="4" fontId="47" fillId="49" borderId="0" applyNumberFormat="0" applyProtection="0">
      <alignment horizontal="left" vertical="center" indent="1"/>
    </xf>
    <xf numFmtId="4" fontId="47" fillId="49" borderId="0" applyNumberFormat="0" applyProtection="0">
      <alignment horizontal="left" vertical="center" indent="1"/>
    </xf>
    <xf numFmtId="4" fontId="47" fillId="51" borderId="0" applyNumberFormat="0" applyProtection="0">
      <alignment horizontal="left" vertical="center" indent="1"/>
    </xf>
    <xf numFmtId="4" fontId="47" fillId="51" borderId="0" applyNumberFormat="0" applyProtection="0">
      <alignment horizontal="left" vertical="center" indent="1"/>
    </xf>
    <xf numFmtId="0" fontId="19" fillId="84" borderId="32" applyNumberFormat="0" applyProtection="0">
      <alignment horizontal="left" vertical="center" indent="1"/>
    </xf>
    <xf numFmtId="0" fontId="19" fillId="84" borderId="32" applyNumberFormat="0" applyProtection="0">
      <alignment horizontal="left" vertical="center" indent="1"/>
    </xf>
    <xf numFmtId="0" fontId="19" fillId="84" borderId="32" applyNumberFormat="0" applyProtection="0">
      <alignment horizontal="left" vertical="top" indent="1"/>
    </xf>
    <xf numFmtId="0" fontId="19" fillId="84" borderId="32" applyNumberFormat="0" applyProtection="0">
      <alignment horizontal="left" vertical="top" indent="1"/>
    </xf>
    <xf numFmtId="0" fontId="19" fillId="51" borderId="32" applyNumberFormat="0" applyProtection="0">
      <alignment horizontal="left" vertical="center" indent="1"/>
    </xf>
    <xf numFmtId="0" fontId="19" fillId="51" borderId="32" applyNumberFormat="0" applyProtection="0">
      <alignment horizontal="left" vertical="center" indent="1"/>
    </xf>
    <xf numFmtId="0" fontId="19" fillId="51" borderId="32" applyNumberFormat="0" applyProtection="0">
      <alignment horizontal="left" vertical="top" indent="1"/>
    </xf>
    <xf numFmtId="0" fontId="19" fillId="51" borderId="32" applyNumberFormat="0" applyProtection="0">
      <alignment horizontal="left" vertical="top" indent="1"/>
    </xf>
    <xf numFmtId="0" fontId="23" fillId="0" borderId="0" applyNumberFormat="0" applyFill="0" applyBorder="0" applyAlignment="0" applyProtection="0"/>
    <xf numFmtId="0" fontId="19" fillId="85" borderId="32" applyNumberFormat="0" applyProtection="0">
      <alignment horizontal="left" vertical="center" indent="1"/>
    </xf>
    <xf numFmtId="0" fontId="19" fillId="85" borderId="32" applyNumberFormat="0" applyProtection="0">
      <alignment horizontal="left" vertical="center" indent="1"/>
    </xf>
    <xf numFmtId="0" fontId="19" fillId="85" borderId="32" applyNumberFormat="0" applyProtection="0">
      <alignment horizontal="left" vertical="top" indent="1"/>
    </xf>
    <xf numFmtId="0" fontId="19" fillId="85" borderId="32" applyNumberFormat="0" applyProtection="0">
      <alignment horizontal="left" vertical="top" indent="1"/>
    </xf>
    <xf numFmtId="0" fontId="19" fillId="49" borderId="32" applyNumberFormat="0" applyProtection="0">
      <alignment horizontal="left" vertical="center" indent="1"/>
    </xf>
    <xf numFmtId="0" fontId="19" fillId="49" borderId="32" applyNumberFormat="0" applyProtection="0">
      <alignment horizontal="left" vertical="center" indent="1"/>
    </xf>
    <xf numFmtId="0" fontId="19" fillId="49" borderId="32" applyNumberFormat="0" applyProtection="0">
      <alignment horizontal="left" vertical="top" indent="1"/>
    </xf>
    <xf numFmtId="0" fontId="19" fillId="49" borderId="32" applyNumberFormat="0" applyProtection="0">
      <alignment horizontal="left" vertical="top" indent="1"/>
    </xf>
    <xf numFmtId="0" fontId="19" fillId="61" borderId="13" applyNumberFormat="0">
      <protection locked="0"/>
    </xf>
    <xf numFmtId="0" fontId="19" fillId="61" borderId="13" applyNumberFormat="0">
      <protection locked="0"/>
    </xf>
    <xf numFmtId="0" fontId="19" fillId="61" borderId="13" applyNumberFormat="0">
      <protection locked="0"/>
    </xf>
    <xf numFmtId="0" fontId="116" fillId="0" borderId="0" applyNumberFormat="0" applyFill="0" applyBorder="0" applyAlignment="0" applyProtection="0"/>
    <xf numFmtId="0" fontId="19" fillId="0" borderId="0">
      <alignment horizontal="left" wrapText="1"/>
    </xf>
    <xf numFmtId="18" fontId="63" fillId="59" borderId="0" applyFont="0" applyFill="0" applyBorder="0" applyAlignment="0" applyProtection="0">
      <protection locked="0"/>
    </xf>
    <xf numFmtId="0" fontId="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38" fontId="47" fillId="0" borderId="14" applyFill="0" applyBorder="0" applyAlignment="0" applyProtection="0">
      <protection locked="0"/>
    </xf>
    <xf numFmtId="0" fontId="65" fillId="0" borderId="42" applyNumberFormat="0" applyFont="0" applyFill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9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6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7" fillId="0" borderId="0">
      <alignment vertical="top"/>
    </xf>
    <xf numFmtId="174" fontId="32" fillId="0" borderId="0" applyFont="0" applyFill="0" applyBorder="0" applyProtection="0"/>
    <xf numFmtId="174" fontId="32" fillId="0" borderId="0" applyFont="0" applyFill="0" applyBorder="0" applyProtection="0"/>
    <xf numFmtId="174" fontId="32" fillId="0" borderId="0" applyFont="0" applyFill="0" applyBorder="0" applyProtection="0"/>
    <xf numFmtId="0" fontId="67" fillId="0" borderId="0">
      <alignment vertical="top"/>
    </xf>
    <xf numFmtId="0" fontId="67" fillId="0" borderId="0">
      <alignment vertical="top"/>
    </xf>
    <xf numFmtId="0" fontId="19" fillId="0" borderId="0"/>
    <xf numFmtId="178" fontId="19" fillId="0" borderId="0" applyFill="0" applyBorder="0" applyAlignment="0" applyProtection="0"/>
    <xf numFmtId="0" fontId="1" fillId="0" borderId="0"/>
    <xf numFmtId="178" fontId="19" fillId="0" borderId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9" fillId="0" borderId="0"/>
    <xf numFmtId="0" fontId="67" fillId="0" borderId="0">
      <alignment vertical="top"/>
    </xf>
    <xf numFmtId="174" fontId="32" fillId="0" borderId="0" applyFont="0" applyFill="0" applyBorder="0" applyProtection="0"/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37" fontId="19" fillId="0" borderId="0" applyFill="0" applyBorder="0" applyAlignment="0" applyProtection="0"/>
    <xf numFmtId="37" fontId="19" fillId="0" borderId="0" applyFill="0" applyBorder="0" applyAlignment="0" applyProtection="0"/>
    <xf numFmtId="178" fontId="19" fillId="0" borderId="0" applyFill="0" applyBorder="0" applyAlignment="0" applyProtection="0"/>
    <xf numFmtId="37" fontId="19" fillId="0" borderId="0" applyFill="0" applyBorder="0" applyAlignment="0" applyProtection="0"/>
    <xf numFmtId="178" fontId="19" fillId="0" borderId="0" applyFill="0" applyBorder="0" applyAlignment="0" applyProtection="0"/>
    <xf numFmtId="178" fontId="19" fillId="0" borderId="0" applyFill="0" applyBorder="0" applyAlignment="0" applyProtection="0"/>
    <xf numFmtId="178" fontId="19" fillId="0" borderId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8" fontId="19" fillId="0" borderId="0" applyFill="0" applyBorder="0" applyAlignment="0" applyProtection="0"/>
    <xf numFmtId="178" fontId="19" fillId="0" borderId="0" applyFill="0" applyBorder="0" applyAlignment="0" applyProtection="0"/>
    <xf numFmtId="0" fontId="67" fillId="0" borderId="0">
      <alignment vertical="top"/>
    </xf>
    <xf numFmtId="37" fontId="19" fillId="0" borderId="0" applyFill="0" applyBorder="0" applyAlignment="0" applyProtection="0"/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74" fontId="32" fillId="0" borderId="0" applyFont="0" applyFill="0" applyBorder="0" applyProtection="0"/>
    <xf numFmtId="0" fontId="1" fillId="0" borderId="0"/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74" fontId="32" fillId="0" borderId="0" applyFont="0" applyFill="0" applyBorder="0" applyProtection="0"/>
    <xf numFmtId="0" fontId="67" fillId="0" borderId="0">
      <alignment vertical="top"/>
    </xf>
    <xf numFmtId="44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7" fillId="0" borderId="0">
      <alignment vertical="top"/>
    </xf>
    <xf numFmtId="0" fontId="19" fillId="0" borderId="0"/>
    <xf numFmtId="0" fontId="19" fillId="0" borderId="0"/>
    <xf numFmtId="0" fontId="67" fillId="0" borderId="0">
      <alignment vertical="top"/>
    </xf>
    <xf numFmtId="0" fontId="67" fillId="0" borderId="0">
      <alignment vertical="top"/>
    </xf>
    <xf numFmtId="37" fontId="19" fillId="0" borderId="0" applyFill="0" applyBorder="0" applyAlignment="0" applyProtection="0"/>
    <xf numFmtId="0" fontId="67" fillId="0" borderId="0">
      <alignment vertical="top"/>
    </xf>
    <xf numFmtId="0" fontId="19" fillId="0" borderId="0"/>
    <xf numFmtId="37" fontId="19" fillId="0" borderId="0" applyFill="0" applyBorder="0" applyAlignment="0" applyProtection="0"/>
    <xf numFmtId="0" fontId="19" fillId="0" borderId="0"/>
    <xf numFmtId="0" fontId="19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9" fillId="0" borderId="0" applyFill="0" applyBorder="0" applyAlignment="0" applyProtection="0"/>
    <xf numFmtId="44" fontId="1" fillId="0" borderId="0" applyFont="0" applyFill="0" applyBorder="0" applyAlignment="0" applyProtection="0"/>
    <xf numFmtId="0" fontId="19" fillId="0" borderId="0"/>
    <xf numFmtId="0" fontId="67" fillId="0" borderId="0">
      <alignment vertical="top"/>
    </xf>
    <xf numFmtId="0" fontId="19" fillId="0" borderId="0"/>
    <xf numFmtId="178" fontId="19" fillId="0" borderId="0" applyFill="0" applyBorder="0" applyAlignment="0" applyProtection="0"/>
    <xf numFmtId="178" fontId="19" fillId="0" borderId="0" applyFill="0" applyBorder="0" applyAlignment="0" applyProtection="0"/>
    <xf numFmtId="0" fontId="19" fillId="0" borderId="0"/>
    <xf numFmtId="178" fontId="19" fillId="0" borderId="0" applyFill="0" applyBorder="0" applyAlignment="0" applyProtection="0"/>
    <xf numFmtId="0" fontId="67" fillId="0" borderId="0">
      <alignment vertical="top"/>
    </xf>
    <xf numFmtId="178" fontId="19" fillId="0" borderId="0" applyFill="0" applyBorder="0" applyAlignment="0" applyProtection="0"/>
    <xf numFmtId="0" fontId="19" fillId="0" borderId="0"/>
    <xf numFmtId="178" fontId="19" fillId="0" borderId="0" applyFill="0" applyBorder="0" applyAlignment="0" applyProtection="0"/>
    <xf numFmtId="37" fontId="19" fillId="0" borderId="0" applyFill="0" applyBorder="0" applyAlignment="0" applyProtection="0"/>
    <xf numFmtId="37" fontId="19" fillId="0" borderId="0" applyFill="0" applyBorder="0" applyAlignment="0" applyProtection="0"/>
    <xf numFmtId="0" fontId="19" fillId="0" borderId="0"/>
    <xf numFmtId="0" fontId="67" fillId="0" borderId="0">
      <alignment vertical="top"/>
    </xf>
    <xf numFmtId="0" fontId="19" fillId="0" borderId="0"/>
    <xf numFmtId="0" fontId="19" fillId="0" borderId="0"/>
    <xf numFmtId="178" fontId="19" fillId="0" borderId="0" applyFill="0" applyBorder="0" applyAlignment="0" applyProtection="0"/>
    <xf numFmtId="37" fontId="19" fillId="0" borderId="0" applyFill="0" applyBorder="0" applyAlignment="0" applyProtection="0"/>
    <xf numFmtId="0" fontId="67" fillId="0" borderId="0">
      <alignment vertical="top"/>
    </xf>
    <xf numFmtId="0" fontId="67" fillId="0" borderId="0">
      <alignment vertical="top"/>
    </xf>
    <xf numFmtId="0" fontId="19" fillId="0" borderId="0"/>
    <xf numFmtId="178" fontId="19" fillId="0" borderId="0" applyFill="0" applyBorder="0" applyAlignment="0" applyProtection="0"/>
    <xf numFmtId="37" fontId="19" fillId="0" borderId="0" applyFill="0" applyBorder="0" applyAlignment="0" applyProtection="0"/>
    <xf numFmtId="37" fontId="19" fillId="0" borderId="0" applyFill="0" applyBorder="0" applyAlignment="0" applyProtection="0"/>
    <xf numFmtId="37" fontId="19" fillId="0" borderId="0" applyFill="0" applyBorder="0" applyAlignment="0" applyProtection="0"/>
    <xf numFmtId="0" fontId="19" fillId="0" borderId="0"/>
    <xf numFmtId="37" fontId="19" fillId="0" borderId="0" applyFill="0" applyBorder="0" applyAlignment="0" applyProtection="0"/>
    <xf numFmtId="37" fontId="19" fillId="0" borderId="0" applyFill="0" applyBorder="0" applyAlignment="0" applyProtection="0"/>
    <xf numFmtId="37" fontId="19" fillId="0" borderId="0" applyFill="0" applyBorder="0" applyAlignment="0" applyProtection="0"/>
    <xf numFmtId="37" fontId="19" fillId="0" borderId="0" applyFill="0" applyBorder="0" applyAlignment="0" applyProtection="0"/>
    <xf numFmtId="37" fontId="19" fillId="0" borderId="0" applyFill="0" applyBorder="0" applyAlignment="0" applyProtection="0"/>
    <xf numFmtId="37" fontId="19" fillId="0" borderId="0" applyFill="0" applyBorder="0" applyAlignment="0" applyProtection="0"/>
    <xf numFmtId="1" fontId="24" fillId="0" borderId="0" applyFont="0" applyFill="0" applyBorder="0" applyAlignment="0" applyProtection="0">
      <protection locked="0"/>
    </xf>
    <xf numFmtId="0" fontId="23" fillId="0" borderId="0" applyNumberFormat="0" applyFill="0" applyBorder="0" applyAlignment="0" applyProtection="0"/>
    <xf numFmtId="0" fontId="19" fillId="0" borderId="0" applyFont="0" applyFill="0" applyBorder="0" applyAlignment="0" applyProtection="0"/>
    <xf numFmtId="1" fontId="24" fillId="0" borderId="0" applyFont="0" applyFill="0" applyBorder="0" applyAlignment="0" applyProtection="0">
      <protection locked="0"/>
    </xf>
    <xf numFmtId="1" fontId="24" fillId="0" borderId="0" applyFont="0" applyFill="0" applyBorder="0" applyAlignment="0" applyProtection="0">
      <protection locked="0"/>
    </xf>
    <xf numFmtId="1" fontId="24" fillId="0" borderId="0" applyFont="0" applyFill="0" applyBorder="0" applyAlignment="0" applyProtection="0">
      <protection locked="0"/>
    </xf>
    <xf numFmtId="3" fontId="19" fillId="0" borderId="0" applyFont="0" applyFill="0" applyBorder="0" applyAlignment="0" applyProtection="0"/>
    <xf numFmtId="12" fontId="26" fillId="36" borderId="42">
      <alignment horizontal="left"/>
    </xf>
    <xf numFmtId="0" fontId="24" fillId="59" borderId="43" applyNumberFormat="0" applyFont="0" applyAlignment="0" applyProtection="0">
      <protection locked="0"/>
    </xf>
    <xf numFmtId="0" fontId="19" fillId="0" borderId="0" applyFont="0" applyFill="0" applyBorder="0" applyAlignment="0" applyProtection="0"/>
    <xf numFmtId="0" fontId="63" fillId="59" borderId="43" applyNumberFormat="0" applyFont="0" applyFill="0" applyAlignment="0" applyProtection="0">
      <protection locked="0"/>
    </xf>
    <xf numFmtId="1" fontId="24" fillId="0" borderId="0" applyFont="0" applyFill="0" applyBorder="0" applyAlignment="0" applyProtection="0">
      <protection locked="0"/>
    </xf>
    <xf numFmtId="0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1" fontId="24" fillId="0" borderId="0" applyFont="0" applyFill="0" applyBorder="0" applyAlignment="0" applyProtection="0">
      <protection locked="0"/>
    </xf>
    <xf numFmtId="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0" fontId="23" fillId="0" borderId="0" applyNumberFormat="0" applyFill="0" applyBorder="0" applyAlignment="0" applyProtection="0"/>
    <xf numFmtId="1" fontId="24" fillId="0" borderId="0" applyFont="0" applyFill="0" applyBorder="0" applyAlignment="0" applyProtection="0">
      <protection locked="0"/>
    </xf>
    <xf numFmtId="0" fontId="19" fillId="0" borderId="0"/>
    <xf numFmtId="0" fontId="23" fillId="0" borderId="0" applyNumberFormat="0" applyFill="0" applyBorder="0" applyAlignment="0" applyProtection="0"/>
    <xf numFmtId="0" fontId="19" fillId="0" borderId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" fontId="24" fillId="0" borderId="0" applyFont="0" applyFill="0" applyBorder="0" applyAlignment="0" applyProtection="0">
      <protection locked="0"/>
    </xf>
    <xf numFmtId="0" fontId="23" fillId="0" borderId="0" applyNumberFormat="0" applyFill="0" applyBorder="0" applyAlignment="0" applyProtection="0"/>
    <xf numFmtId="10" fontId="21" fillId="35" borderId="13" applyNumberFormat="0" applyBorder="0" applyAlignment="0" applyProtection="0"/>
    <xf numFmtId="0" fontId="19" fillId="0" borderId="0"/>
    <xf numFmtId="1" fontId="24" fillId="0" borderId="0" applyFont="0" applyFill="0" applyBorder="0" applyAlignment="0" applyProtection="0">
      <protection locked="0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0" fontId="19" fillId="0" borderId="0" applyFont="0" applyFill="0" applyBorder="0" applyAlignment="0" applyProtection="0"/>
    <xf numFmtId="0" fontId="23" fillId="0" borderId="0" applyNumberFormat="0" applyFill="0" applyBorder="0" applyAlignment="0" applyProtection="0"/>
    <xf numFmtId="4" fontId="25" fillId="49" borderId="32" applyNumberFormat="0" applyProtection="0">
      <alignment horizontal="right" vertical="center"/>
    </xf>
    <xf numFmtId="0" fontId="47" fillId="34" borderId="32" applyNumberFormat="0" applyProtection="0">
      <alignment horizontal="left" vertical="top"/>
    </xf>
    <xf numFmtId="4" fontId="47" fillId="0" borderId="32" applyNumberFormat="0" applyProtection="0">
      <alignment horizontal="left" vertical="center" indent="1"/>
    </xf>
    <xf numFmtId="4" fontId="51" fillId="49" borderId="32" applyNumberFormat="0" applyProtection="0">
      <alignment horizontal="right" vertical="center"/>
    </xf>
    <xf numFmtId="4" fontId="47" fillId="0" borderId="32" applyNumberFormat="0" applyProtection="0">
      <alignment horizontal="right" vertical="center"/>
    </xf>
    <xf numFmtId="0" fontId="47" fillId="35" borderId="32" applyNumberFormat="0" applyProtection="0">
      <alignment horizontal="left" vertical="top" indent="1"/>
    </xf>
    <xf numFmtId="4" fontId="47" fillId="35" borderId="32" applyNumberFormat="0" applyProtection="0">
      <alignment horizontal="left" vertical="center" indent="1"/>
    </xf>
    <xf numFmtId="4" fontId="51" fillId="35" borderId="32" applyNumberFormat="0" applyProtection="0">
      <alignment vertical="center"/>
    </xf>
    <xf numFmtId="4" fontId="47" fillId="35" borderId="32" applyNumberFormat="0" applyProtection="0">
      <alignment vertical="center"/>
    </xf>
    <xf numFmtId="0" fontId="19" fillId="49" borderId="32" applyNumberFormat="0" applyProtection="0">
      <alignment horizontal="left" vertical="top" indent="1"/>
    </xf>
    <xf numFmtId="0" fontId="19" fillId="49" borderId="32" applyNumberFormat="0" applyProtection="0">
      <alignment horizontal="left" vertical="top" indent="1"/>
    </xf>
    <xf numFmtId="0" fontId="19" fillId="55" borderId="32" applyNumberFormat="0" applyProtection="0">
      <alignment horizontal="left" vertical="top" indent="1"/>
    </xf>
    <xf numFmtId="0" fontId="19" fillId="49" borderId="32" applyNumberFormat="0" applyProtection="0">
      <alignment horizontal="left" vertical="center" indent="1"/>
    </xf>
    <xf numFmtId="0" fontId="19" fillId="49" borderId="32" applyNumberFormat="0" applyProtection="0">
      <alignment horizontal="left" vertical="center" indent="1"/>
    </xf>
    <xf numFmtId="0" fontId="19" fillId="55" borderId="32" applyNumberFormat="0" applyProtection="0">
      <alignment horizontal="left" vertical="center" indent="1"/>
    </xf>
    <xf numFmtId="0" fontId="19" fillId="85" borderId="32" applyNumberFormat="0" applyProtection="0">
      <alignment horizontal="left" vertical="top" indent="1"/>
    </xf>
    <xf numFmtId="0" fontId="19" fillId="85" borderId="32" applyNumberFormat="0" applyProtection="0">
      <alignment horizontal="left" vertical="top" indent="1"/>
    </xf>
    <xf numFmtId="0" fontId="19" fillId="54" borderId="32" applyNumberFormat="0" applyProtection="0">
      <alignment horizontal="left" vertical="top" indent="1"/>
    </xf>
    <xf numFmtId="0" fontId="19" fillId="85" borderId="32" applyNumberFormat="0" applyProtection="0">
      <alignment horizontal="left" vertical="center" indent="1"/>
    </xf>
    <xf numFmtId="0" fontId="19" fillId="85" borderId="32" applyNumberFormat="0" applyProtection="0">
      <alignment horizontal="left" vertical="center" indent="1"/>
    </xf>
    <xf numFmtId="0" fontId="19" fillId="54" borderId="32" applyNumberFormat="0" applyProtection="0">
      <alignment horizontal="left" vertical="center" indent="1"/>
    </xf>
    <xf numFmtId="0" fontId="19" fillId="51" borderId="32" applyNumberFormat="0" applyProtection="0">
      <alignment horizontal="left" vertical="top" indent="1"/>
    </xf>
    <xf numFmtId="0" fontId="19" fillId="51" borderId="32" applyNumberFormat="0" applyProtection="0">
      <alignment horizontal="left" vertical="top" indent="1"/>
    </xf>
    <xf numFmtId="0" fontId="19" fillId="34" borderId="32" applyNumberFormat="0" applyProtection="0">
      <alignment horizontal="left" vertical="top" indent="1"/>
    </xf>
    <xf numFmtId="0" fontId="19" fillId="51" borderId="32" applyNumberFormat="0" applyProtection="0">
      <alignment horizontal="left" vertical="center" indent="1"/>
    </xf>
    <xf numFmtId="0" fontId="19" fillId="51" borderId="32" applyNumberFormat="0" applyProtection="0">
      <alignment horizontal="left" vertical="center" indent="1"/>
    </xf>
    <xf numFmtId="0" fontId="19" fillId="34" borderId="32" applyNumberFormat="0" applyProtection="0">
      <alignment horizontal="left" vertical="center" indent="1"/>
    </xf>
    <xf numFmtId="0" fontId="19" fillId="84" borderId="32" applyNumberFormat="0" applyProtection="0">
      <alignment horizontal="left" vertical="top" indent="1"/>
    </xf>
    <xf numFmtId="0" fontId="19" fillId="84" borderId="32" applyNumberFormat="0" applyProtection="0">
      <alignment horizontal="left" vertical="top" indent="1"/>
    </xf>
    <xf numFmtId="0" fontId="19" fillId="50" borderId="32" applyNumberFormat="0" applyProtection="0">
      <alignment horizontal="left" vertical="top" indent="1"/>
    </xf>
    <xf numFmtId="0" fontId="19" fillId="84" borderId="32" applyNumberFormat="0" applyProtection="0">
      <alignment horizontal="left" vertical="center" indent="1"/>
    </xf>
    <xf numFmtId="0" fontId="19" fillId="84" borderId="32" applyNumberFormat="0" applyProtection="0">
      <alignment horizontal="left" vertical="center" indent="1"/>
    </xf>
    <xf numFmtId="0" fontId="19" fillId="50" borderId="32" applyNumberFormat="0" applyProtection="0">
      <alignment horizontal="left" vertical="center" indent="1"/>
    </xf>
    <xf numFmtId="1" fontId="24" fillId="0" borderId="0" applyFont="0" applyFill="0" applyBorder="0" applyAlignment="0" applyProtection="0">
      <protection locked="0"/>
    </xf>
    <xf numFmtId="1" fontId="24" fillId="0" borderId="0" applyFont="0" applyFill="0" applyBorder="0" applyAlignment="0" applyProtection="0">
      <protection locked="0"/>
    </xf>
    <xf numFmtId="0" fontId="23" fillId="0" borderId="0" applyNumberFormat="0" applyFill="0" applyBorder="0" applyAlignment="0" applyProtection="0"/>
    <xf numFmtId="4" fontId="47" fillId="51" borderId="32" applyNumberFormat="0" applyProtection="0">
      <alignment horizontal="right" vertical="center"/>
    </xf>
    <xf numFmtId="4" fontId="47" fillId="47" borderId="32" applyNumberFormat="0" applyProtection="0">
      <alignment horizontal="right" vertical="center"/>
    </xf>
    <xf numFmtId="4" fontId="47" fillId="46" borderId="32" applyNumberFormat="0" applyProtection="0">
      <alignment horizontal="right" vertical="center"/>
    </xf>
    <xf numFmtId="4" fontId="47" fillId="45" borderId="32" applyNumberFormat="0" applyProtection="0">
      <alignment horizontal="right" vertical="center"/>
    </xf>
    <xf numFmtId="4" fontId="47" fillId="44" borderId="32" applyNumberFormat="0" applyProtection="0">
      <alignment horizontal="right" vertical="center"/>
    </xf>
    <xf numFmtId="4" fontId="47" fillId="43" borderId="32" applyNumberFormat="0" applyProtection="0">
      <alignment horizontal="right" vertical="center"/>
    </xf>
    <xf numFmtId="4" fontId="47" fillId="42" borderId="32" applyNumberFormat="0" applyProtection="0">
      <alignment horizontal="right" vertical="center"/>
    </xf>
    <xf numFmtId="4" fontId="47" fillId="41" borderId="32" applyNumberFormat="0" applyProtection="0">
      <alignment horizontal="right" vertical="center"/>
    </xf>
    <xf numFmtId="4" fontId="47" fillId="40" borderId="32" applyNumberFormat="0" applyProtection="0">
      <alignment horizontal="right" vertical="center"/>
    </xf>
    <xf numFmtId="4" fontId="47" fillId="39" borderId="32" applyNumberFormat="0" applyProtection="0">
      <alignment horizontal="right" vertical="center"/>
    </xf>
    <xf numFmtId="0" fontId="27" fillId="38" borderId="32" applyNumberFormat="0" applyProtection="0">
      <alignment horizontal="left" vertical="top" indent="1"/>
    </xf>
    <xf numFmtId="4" fontId="27" fillId="38" borderId="32" applyNumberFormat="0" applyProtection="0">
      <alignment horizontal="left" vertical="center" indent="1"/>
    </xf>
    <xf numFmtId="4" fontId="46" fillId="38" borderId="32" applyNumberFormat="0" applyProtection="0">
      <alignment vertical="center"/>
    </xf>
    <xf numFmtId="4" fontId="27" fillId="37" borderId="32" applyNumberFormat="0" applyProtection="0">
      <alignment vertical="center"/>
    </xf>
    <xf numFmtId="3" fontId="19" fillId="0" borderId="0" applyFont="0" applyFill="0" applyBorder="0" applyAlignment="0" applyProtection="0"/>
    <xf numFmtId="0" fontId="63" fillId="59" borderId="43" applyNumberFormat="0" applyFont="0" applyFill="0" applyAlignment="0" applyProtection="0">
      <protection locked="0"/>
    </xf>
    <xf numFmtId="0" fontId="19" fillId="0" borderId="0"/>
    <xf numFmtId="0" fontId="19" fillId="0" borderId="0"/>
    <xf numFmtId="0" fontId="23" fillId="0" borderId="0" applyNumberFormat="0" applyFill="0" applyBorder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02" fillId="79" borderId="33" applyNumberFormat="0" applyAlignment="0" applyProtection="0"/>
    <xf numFmtId="0" fontId="102" fillId="79" borderId="33" applyNumberFormat="0" applyAlignment="0" applyProtection="0"/>
    <xf numFmtId="0" fontId="102" fillId="79" borderId="33" applyNumberFormat="0" applyAlignment="0" applyProtection="0"/>
    <xf numFmtId="0" fontId="102" fillId="79" borderId="33" applyNumberFormat="0" applyAlignment="0" applyProtection="0"/>
    <xf numFmtId="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1" fontId="24" fillId="0" borderId="0" applyFont="0" applyFill="0" applyBorder="0" applyAlignment="0" applyProtection="0">
      <protection locked="0"/>
    </xf>
    <xf numFmtId="0" fontId="19" fillId="0" borderId="0"/>
    <xf numFmtId="3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110" fillId="77" borderId="33" applyNumberFormat="0" applyAlignment="0" applyProtection="0"/>
    <xf numFmtId="0" fontId="110" fillId="77" borderId="33" applyNumberFormat="0" applyAlignment="0" applyProtection="0"/>
    <xf numFmtId="0" fontId="110" fillId="77" borderId="33" applyNumberFormat="0" applyAlignment="0" applyProtection="0"/>
    <xf numFmtId="0" fontId="110" fillId="77" borderId="33" applyNumberFormat="0" applyAlignment="0" applyProtection="0"/>
    <xf numFmtId="0" fontId="23" fillId="0" borderId="0" applyNumberFormat="0" applyFill="0" applyBorder="0" applyAlignment="0" applyProtection="0"/>
    <xf numFmtId="0" fontId="1" fillId="0" borderId="0"/>
    <xf numFmtId="0" fontId="2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" fontId="24" fillId="0" borderId="0" applyFont="0" applyFill="0" applyBorder="0" applyAlignment="0" applyProtection="0">
      <protection locked="0"/>
    </xf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0" fontId="19" fillId="0" borderId="0"/>
    <xf numFmtId="0" fontId="19" fillId="0" borderId="0"/>
    <xf numFmtId="0" fontId="24" fillId="59" borderId="43" applyNumberFormat="0" applyFont="0" applyAlignment="0" applyProtection="0">
      <protection locked="0"/>
    </xf>
    <xf numFmtId="1" fontId="24" fillId="0" borderId="0" applyFont="0" applyFill="0" applyBorder="0" applyAlignment="0" applyProtection="0">
      <protection locked="0"/>
    </xf>
    <xf numFmtId="0" fontId="19" fillId="61" borderId="13" applyNumberFormat="0">
      <protection locked="0"/>
    </xf>
    <xf numFmtId="0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0" fontId="21" fillId="59" borderId="13" applyFont="0" applyBorder="0" applyAlignment="0" applyProtection="0">
      <alignment vertical="top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" fontId="24" fillId="0" borderId="0" applyFont="0" applyFill="0" applyBorder="0" applyAlignment="0" applyProtection="0">
      <protection locked="0"/>
    </xf>
    <xf numFmtId="0" fontId="24" fillId="33" borderId="13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9" fillId="0" borderId="0" applyFont="0" applyFill="0" applyBorder="0" applyAlignment="0" applyProtection="0"/>
    <xf numFmtId="0" fontId="26" fillId="0" borderId="17">
      <alignment horizontal="left" vertical="center"/>
    </xf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" fontId="24" fillId="0" borderId="0" applyFont="0" applyFill="0" applyBorder="0" applyAlignment="0" applyProtection="0">
      <protection locked="0"/>
    </xf>
    <xf numFmtId="0" fontId="21" fillId="59" borderId="13" applyFont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9" fillId="0" borderId="0" applyFont="0" applyFill="0" applyBorder="0" applyAlignment="0" applyProtection="0"/>
    <xf numFmtId="1" fontId="24" fillId="0" borderId="0" applyFont="0" applyFill="0" applyBorder="0" applyAlignment="0" applyProtection="0">
      <protection locked="0"/>
    </xf>
    <xf numFmtId="0" fontId="23" fillId="0" borderId="0" applyNumberFormat="0" applyFill="0" applyBorder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0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0" fontId="19" fillId="61" borderId="13" applyNumberFormat="0">
      <protection locked="0"/>
    </xf>
    <xf numFmtId="0" fontId="19" fillId="0" borderId="0" applyFont="0" applyFill="0" applyBorder="0" applyAlignment="0" applyProtection="0"/>
    <xf numFmtId="0" fontId="19" fillId="0" borderId="0"/>
    <xf numFmtId="0" fontId="19" fillId="61" borderId="13" applyNumberFormat="0">
      <protection locked="0"/>
    </xf>
    <xf numFmtId="0" fontId="19" fillId="0" borderId="0" applyFont="0" applyFill="0" applyBorder="0" applyAlignment="0" applyProtection="0"/>
    <xf numFmtId="0" fontId="20" fillId="0" borderId="13">
      <alignment horizontal="center" vertical="center" wrapText="1"/>
    </xf>
    <xf numFmtId="0" fontId="19" fillId="0" borderId="0" applyFont="0" applyFill="0" applyBorder="0" applyAlignment="0" applyProtection="0"/>
    <xf numFmtId="1" fontId="24" fillId="0" borderId="0" applyFont="0" applyFill="0" applyBorder="0" applyAlignment="0" applyProtection="0">
      <protection locked="0"/>
    </xf>
    <xf numFmtId="0" fontId="19" fillId="0" borderId="0" applyFont="0" applyFill="0" applyBorder="0" applyAlignment="0" applyProtection="0"/>
    <xf numFmtId="0" fontId="19" fillId="0" borderId="0"/>
    <xf numFmtId="3" fontId="19" fillId="0" borderId="0" applyFont="0" applyFill="0" applyBorder="0" applyAlignment="0" applyProtection="0"/>
    <xf numFmtId="0" fontId="19" fillId="0" borderId="0"/>
    <xf numFmtId="1" fontId="24" fillId="0" borderId="0" applyFont="0" applyFill="0" applyBorder="0" applyAlignment="0" applyProtection="0">
      <protection locked="0"/>
    </xf>
    <xf numFmtId="0" fontId="23" fillId="0" borderId="0" applyNumberFormat="0" applyFill="0" applyBorder="0" applyAlignment="0" applyProtection="0"/>
    <xf numFmtId="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" fontId="24" fillId="0" borderId="0" applyFont="0" applyFill="0" applyBorder="0" applyAlignment="0" applyProtection="0">
      <protection locked="0"/>
    </xf>
    <xf numFmtId="0" fontId="19" fillId="0" borderId="0"/>
    <xf numFmtId="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3" fillId="0" borderId="0" applyNumberFormat="0" applyFill="0" applyBorder="0" applyAlignment="0" applyProtection="0"/>
    <xf numFmtId="1" fontId="24" fillId="0" borderId="0" applyFont="0" applyFill="0" applyBorder="0" applyAlignment="0" applyProtection="0">
      <protection locked="0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2" fillId="79" borderId="33" applyNumberFormat="0" applyAlignment="0" applyProtection="0"/>
    <xf numFmtId="0" fontId="102" fillId="79" borderId="33" applyNumberFormat="0" applyAlignment="0" applyProtection="0"/>
    <xf numFmtId="0" fontId="102" fillId="79" borderId="33" applyNumberFormat="0" applyAlignment="0" applyProtection="0"/>
    <xf numFmtId="0" fontId="102" fillId="79" borderId="33" applyNumberForma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10" fillId="77" borderId="33" applyNumberFormat="0" applyAlignment="0" applyProtection="0"/>
    <xf numFmtId="0" fontId="110" fillId="77" borderId="33" applyNumberFormat="0" applyAlignment="0" applyProtection="0"/>
    <xf numFmtId="0" fontId="110" fillId="77" borderId="33" applyNumberFormat="0" applyAlignment="0" applyProtection="0"/>
    <xf numFmtId="0" fontId="110" fillId="77" borderId="3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76" borderId="39" applyNumberFormat="0" applyFont="0" applyAlignment="0" applyProtection="0"/>
    <xf numFmtId="0" fontId="19" fillId="76" borderId="39" applyNumberFormat="0" applyFont="0" applyAlignment="0" applyProtection="0"/>
    <xf numFmtId="0" fontId="19" fillId="76" borderId="39" applyNumberFormat="0" applyFont="0" applyAlignment="0" applyProtection="0"/>
    <xf numFmtId="0" fontId="19" fillId="76" borderId="39" applyNumberFormat="0" applyFont="0" applyAlignment="0" applyProtection="0"/>
    <xf numFmtId="0" fontId="19" fillId="76" borderId="39" applyNumberFormat="0" applyFont="0" applyAlignment="0" applyProtection="0"/>
    <xf numFmtId="0" fontId="19" fillId="76" borderId="3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27" fillId="37" borderId="32" applyNumberFormat="0" applyProtection="0">
      <alignment vertical="center"/>
    </xf>
    <xf numFmtId="4" fontId="46" fillId="38" borderId="32" applyNumberFormat="0" applyProtection="0">
      <alignment vertical="center"/>
    </xf>
    <xf numFmtId="4" fontId="27" fillId="38" borderId="32" applyNumberFormat="0" applyProtection="0">
      <alignment horizontal="left" vertical="center" indent="1"/>
    </xf>
    <xf numFmtId="0" fontId="27" fillId="38" borderId="32" applyNumberFormat="0" applyProtection="0">
      <alignment horizontal="left" vertical="top" indent="1"/>
    </xf>
    <xf numFmtId="4" fontId="47" fillId="39" borderId="32" applyNumberFormat="0" applyProtection="0">
      <alignment horizontal="right" vertical="center"/>
    </xf>
    <xf numFmtId="4" fontId="47" fillId="40" borderId="32" applyNumberFormat="0" applyProtection="0">
      <alignment horizontal="right" vertical="center"/>
    </xf>
    <xf numFmtId="4" fontId="47" fillId="41" borderId="32" applyNumberFormat="0" applyProtection="0">
      <alignment horizontal="right" vertical="center"/>
    </xf>
    <xf numFmtId="4" fontId="47" fillId="42" borderId="32" applyNumberFormat="0" applyProtection="0">
      <alignment horizontal="right" vertical="center"/>
    </xf>
    <xf numFmtId="4" fontId="47" fillId="43" borderId="32" applyNumberFormat="0" applyProtection="0">
      <alignment horizontal="right" vertical="center"/>
    </xf>
    <xf numFmtId="4" fontId="47" fillId="44" borderId="32" applyNumberFormat="0" applyProtection="0">
      <alignment horizontal="right" vertical="center"/>
    </xf>
    <xf numFmtId="4" fontId="47" fillId="45" borderId="32" applyNumberFormat="0" applyProtection="0">
      <alignment horizontal="right" vertical="center"/>
    </xf>
    <xf numFmtId="4" fontId="47" fillId="46" borderId="32" applyNumberFormat="0" applyProtection="0">
      <alignment horizontal="right" vertical="center"/>
    </xf>
    <xf numFmtId="4" fontId="47" fillId="47" borderId="32" applyNumberFormat="0" applyProtection="0">
      <alignment horizontal="right" vertical="center"/>
    </xf>
    <xf numFmtId="4" fontId="47" fillId="51" borderId="32" applyNumberFormat="0" applyProtection="0">
      <alignment horizontal="right" vertical="center"/>
    </xf>
    <xf numFmtId="0" fontId="19" fillId="50" borderId="32" applyNumberFormat="0" applyProtection="0">
      <alignment horizontal="left" vertical="center" indent="1"/>
    </xf>
    <xf numFmtId="0" fontId="19" fillId="84" borderId="32" applyNumberFormat="0" applyProtection="0">
      <alignment horizontal="left" vertical="center" indent="1"/>
    </xf>
    <xf numFmtId="0" fontId="19" fillId="84" borderId="32" applyNumberFormat="0" applyProtection="0">
      <alignment horizontal="left" vertical="center" indent="1"/>
    </xf>
    <xf numFmtId="0" fontId="19" fillId="50" borderId="32" applyNumberFormat="0" applyProtection="0">
      <alignment horizontal="left" vertical="top" indent="1"/>
    </xf>
    <xf numFmtId="0" fontId="19" fillId="84" borderId="32" applyNumberFormat="0" applyProtection="0">
      <alignment horizontal="left" vertical="top" indent="1"/>
    </xf>
    <xf numFmtId="0" fontId="19" fillId="84" borderId="32" applyNumberFormat="0" applyProtection="0">
      <alignment horizontal="left" vertical="top" indent="1"/>
    </xf>
    <xf numFmtId="0" fontId="19" fillId="34" borderId="32" applyNumberFormat="0" applyProtection="0">
      <alignment horizontal="left" vertical="center" indent="1"/>
    </xf>
    <xf numFmtId="0" fontId="19" fillId="51" borderId="32" applyNumberFormat="0" applyProtection="0">
      <alignment horizontal="left" vertical="center" indent="1"/>
    </xf>
    <xf numFmtId="0" fontId="19" fillId="51" borderId="32" applyNumberFormat="0" applyProtection="0">
      <alignment horizontal="left" vertical="center" indent="1"/>
    </xf>
    <xf numFmtId="0" fontId="19" fillId="34" borderId="32" applyNumberFormat="0" applyProtection="0">
      <alignment horizontal="left" vertical="top" indent="1"/>
    </xf>
    <xf numFmtId="0" fontId="19" fillId="51" borderId="32" applyNumberFormat="0" applyProtection="0">
      <alignment horizontal="left" vertical="top" indent="1"/>
    </xf>
    <xf numFmtId="0" fontId="19" fillId="51" borderId="32" applyNumberFormat="0" applyProtection="0">
      <alignment horizontal="left" vertical="top" indent="1"/>
    </xf>
    <xf numFmtId="0" fontId="19" fillId="54" borderId="32" applyNumberFormat="0" applyProtection="0">
      <alignment horizontal="left" vertical="center" indent="1"/>
    </xf>
    <xf numFmtId="0" fontId="19" fillId="85" borderId="32" applyNumberFormat="0" applyProtection="0">
      <alignment horizontal="left" vertical="center" indent="1"/>
    </xf>
    <xf numFmtId="0" fontId="19" fillId="85" borderId="32" applyNumberFormat="0" applyProtection="0">
      <alignment horizontal="left" vertical="center" indent="1"/>
    </xf>
    <xf numFmtId="0" fontId="19" fillId="54" borderId="32" applyNumberFormat="0" applyProtection="0">
      <alignment horizontal="left" vertical="top" indent="1"/>
    </xf>
    <xf numFmtId="0" fontId="19" fillId="85" borderId="32" applyNumberFormat="0" applyProtection="0">
      <alignment horizontal="left" vertical="top" indent="1"/>
    </xf>
    <xf numFmtId="0" fontId="19" fillId="85" borderId="32" applyNumberFormat="0" applyProtection="0">
      <alignment horizontal="left" vertical="top" indent="1"/>
    </xf>
    <xf numFmtId="0" fontId="19" fillId="55" borderId="32" applyNumberFormat="0" applyProtection="0">
      <alignment horizontal="left" vertical="center" indent="1"/>
    </xf>
    <xf numFmtId="0" fontId="19" fillId="49" borderId="32" applyNumberFormat="0" applyProtection="0">
      <alignment horizontal="left" vertical="center" indent="1"/>
    </xf>
    <xf numFmtId="0" fontId="19" fillId="49" borderId="32" applyNumberFormat="0" applyProtection="0">
      <alignment horizontal="left" vertical="center" indent="1"/>
    </xf>
    <xf numFmtId="0" fontId="19" fillId="55" borderId="32" applyNumberFormat="0" applyProtection="0">
      <alignment horizontal="left" vertical="top" indent="1"/>
    </xf>
    <xf numFmtId="0" fontId="19" fillId="49" borderId="32" applyNumberFormat="0" applyProtection="0">
      <alignment horizontal="left" vertical="top" indent="1"/>
    </xf>
    <xf numFmtId="0" fontId="19" fillId="49" borderId="32" applyNumberFormat="0" applyProtection="0">
      <alignment horizontal="left" vertical="top" indent="1"/>
    </xf>
    <xf numFmtId="4" fontId="47" fillId="35" borderId="32" applyNumberFormat="0" applyProtection="0">
      <alignment vertical="center"/>
    </xf>
    <xf numFmtId="4" fontId="51" fillId="35" borderId="32" applyNumberFormat="0" applyProtection="0">
      <alignment vertical="center"/>
    </xf>
    <xf numFmtId="4" fontId="47" fillId="35" borderId="32" applyNumberFormat="0" applyProtection="0">
      <alignment horizontal="left" vertical="center" indent="1"/>
    </xf>
    <xf numFmtId="0" fontId="47" fillId="35" borderId="32" applyNumberFormat="0" applyProtection="0">
      <alignment horizontal="left" vertical="top" indent="1"/>
    </xf>
    <xf numFmtId="4" fontId="47" fillId="0" borderId="32" applyNumberFormat="0" applyProtection="0">
      <alignment horizontal="right" vertical="center"/>
    </xf>
    <xf numFmtId="4" fontId="51" fillId="49" borderId="32" applyNumberFormat="0" applyProtection="0">
      <alignment horizontal="right" vertical="center"/>
    </xf>
    <xf numFmtId="4" fontId="47" fillId="0" borderId="32" applyNumberFormat="0" applyProtection="0">
      <alignment horizontal="left" vertical="center" indent="1"/>
    </xf>
    <xf numFmtId="0" fontId="47" fillId="34" borderId="32" applyNumberFormat="0" applyProtection="0">
      <alignment horizontal="left" vertical="top"/>
    </xf>
    <xf numFmtId="4" fontId="25" fillId="49" borderId="32" applyNumberFormat="0" applyProtection="0">
      <alignment horizontal="right" vertical="center"/>
    </xf>
    <xf numFmtId="0" fontId="20" fillId="0" borderId="13">
      <alignment horizontal="center" vertical="center" wrapText="1"/>
    </xf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44" fontId="19" fillId="0" borderId="0" applyFont="0" applyFill="0" applyBorder="0" applyProtection="0">
      <alignment horizontal="right"/>
    </xf>
    <xf numFmtId="9" fontId="19" fillId="0" borderId="0" applyFont="0" applyFill="0" applyBorder="0" applyAlignment="0" applyProtection="0"/>
    <xf numFmtId="0" fontId="26" fillId="0" borderId="45">
      <alignment horizontal="left" vertical="center"/>
    </xf>
    <xf numFmtId="4" fontId="27" fillId="34" borderId="47" applyNumberFormat="0" applyProtection="0">
      <alignment vertical="center"/>
    </xf>
    <xf numFmtId="4" fontId="47" fillId="0" borderId="53" applyNumberFormat="0" applyProtection="0">
      <alignment horizontal="right" vertical="center"/>
    </xf>
    <xf numFmtId="0" fontId="19" fillId="51" borderId="53" applyNumberFormat="0" applyProtection="0">
      <alignment horizontal="left" vertical="center" indent="1"/>
    </xf>
    <xf numFmtId="4" fontId="27" fillId="37" borderId="53" applyNumberFormat="0" applyProtection="0">
      <alignment vertical="center"/>
    </xf>
    <xf numFmtId="0" fontId="110" fillId="77" borderId="52" applyNumberFormat="0" applyAlignment="0" applyProtection="0"/>
    <xf numFmtId="0" fontId="24" fillId="59" borderId="51" applyNumberFormat="0" applyFont="0" applyAlignment="0" applyProtection="0">
      <protection locked="0"/>
    </xf>
    <xf numFmtId="0" fontId="102" fillId="79" borderId="52" applyNumberFormat="0" applyAlignment="0" applyProtection="0"/>
    <xf numFmtId="4" fontId="47" fillId="42" borderId="53" applyNumberFormat="0" applyProtection="0">
      <alignment horizontal="right" vertical="center"/>
    </xf>
    <xf numFmtId="0" fontId="19" fillId="51" borderId="53" applyNumberFormat="0" applyProtection="0">
      <alignment horizontal="left" vertical="top" indent="1"/>
    </xf>
    <xf numFmtId="4" fontId="25" fillId="49" borderId="53" applyNumberFormat="0" applyProtection="0">
      <alignment horizontal="right" vertical="center"/>
    </xf>
    <xf numFmtId="0" fontId="114" fillId="79" borderId="49" applyNumberFormat="0" applyAlignment="0" applyProtection="0"/>
    <xf numFmtId="9" fontId="19" fillId="0" borderId="0" applyFont="0" applyFill="0" applyBorder="0" applyAlignment="0" applyProtection="0"/>
    <xf numFmtId="44" fontId="19" fillId="0" borderId="0" applyFont="0" applyFill="0" applyBorder="0" applyProtection="0">
      <alignment horizontal="right"/>
    </xf>
    <xf numFmtId="43" fontId="19" fillId="0" borderId="0" applyFont="0" applyFill="0" applyBorder="0" applyAlignment="0" applyProtection="0"/>
    <xf numFmtId="0" fontId="18" fillId="0" borderId="0"/>
    <xf numFmtId="0" fontId="47" fillId="35" borderId="53" applyNumberFormat="0" applyProtection="0">
      <alignment horizontal="left" vertical="top" indent="1"/>
    </xf>
    <xf numFmtId="0" fontId="19" fillId="34" borderId="53" applyNumberFormat="0" applyProtection="0">
      <alignment horizontal="left" vertical="center" indent="1"/>
    </xf>
    <xf numFmtId="0" fontId="102" fillId="79" borderId="52" applyNumberFormat="0" applyAlignment="0" applyProtection="0"/>
    <xf numFmtId="4" fontId="47" fillId="43" borderId="53" applyNumberFormat="0" applyProtection="0">
      <alignment horizontal="right" vertical="center"/>
    </xf>
    <xf numFmtId="0" fontId="19" fillId="54" borderId="53" applyNumberFormat="0" applyProtection="0">
      <alignment horizontal="left" vertical="center" indent="1"/>
    </xf>
    <xf numFmtId="0" fontId="114" fillId="79" borderId="49" applyNumberFormat="0" applyAlignment="0" applyProtection="0"/>
    <xf numFmtId="4" fontId="25" fillId="49" borderId="53" applyNumberFormat="0" applyProtection="0">
      <alignment horizontal="right" vertical="center"/>
    </xf>
    <xf numFmtId="0" fontId="19" fillId="51" borderId="53" applyNumberFormat="0" applyProtection="0">
      <alignment horizontal="left" vertical="top" indent="1"/>
    </xf>
    <xf numFmtId="4" fontId="47" fillId="39" borderId="53" applyNumberFormat="0" applyProtection="0">
      <alignment horizontal="right" vertical="center"/>
    </xf>
    <xf numFmtId="0" fontId="19" fillId="76" borderId="48" applyNumberFormat="0" applyFont="0" applyAlignment="0" applyProtection="0"/>
    <xf numFmtId="0" fontId="105" fillId="0" borderId="50" applyNumberFormat="0" applyFill="0" applyAlignment="0" applyProtection="0"/>
    <xf numFmtId="0" fontId="27" fillId="38" borderId="53" applyNumberFormat="0" applyProtection="0">
      <alignment horizontal="left" vertical="top" indent="1"/>
    </xf>
    <xf numFmtId="0" fontId="19" fillId="51" borderId="53" applyNumberFormat="0" applyProtection="0">
      <alignment horizontal="left" vertical="center" indent="1"/>
    </xf>
    <xf numFmtId="4" fontId="47" fillId="0" borderId="53" applyNumberFormat="0" applyProtection="0">
      <alignment horizontal="right" vertical="center"/>
    </xf>
    <xf numFmtId="0" fontId="105" fillId="0" borderId="50" applyNumberFormat="0" applyFill="0" applyAlignment="0" applyProtection="0"/>
    <xf numFmtId="0" fontId="19" fillId="76" borderId="48" applyNumberFormat="0" applyFont="0" applyAlignment="0" applyProtection="0"/>
    <xf numFmtId="0" fontId="21" fillId="35" borderId="46" applyNumberFormat="0" applyFont="0" applyAlignment="0" applyProtection="0">
      <alignment horizontal="center"/>
      <protection locked="0"/>
    </xf>
    <xf numFmtId="0" fontId="19" fillId="49" borderId="53" applyNumberFormat="0" applyProtection="0">
      <alignment horizontal="left" vertical="center" indent="1"/>
    </xf>
    <xf numFmtId="4" fontId="47" fillId="51" borderId="53" applyNumberFormat="0" applyProtection="0">
      <alignment horizontal="right" vertical="center"/>
    </xf>
    <xf numFmtId="0" fontId="114" fillId="79" borderId="49" applyNumberFormat="0" applyAlignment="0" applyProtection="0"/>
    <xf numFmtId="0" fontId="114" fillId="79" borderId="49" applyNumberFormat="0" applyAlignment="0" applyProtection="0"/>
    <xf numFmtId="0" fontId="19" fillId="49" borderId="53" applyNumberFormat="0" applyProtection="0">
      <alignment horizontal="left" vertical="center" indent="1"/>
    </xf>
    <xf numFmtId="0" fontId="105" fillId="0" borderId="50" applyNumberFormat="0" applyFill="0" applyAlignment="0" applyProtection="0"/>
    <xf numFmtId="0" fontId="19" fillId="85" borderId="53" applyNumberFormat="0" applyProtection="0">
      <alignment horizontal="left" vertical="center" indent="1"/>
    </xf>
    <xf numFmtId="4" fontId="47" fillId="41" borderId="53" applyNumberFormat="0" applyProtection="0">
      <alignment horizontal="right" vertical="center"/>
    </xf>
    <xf numFmtId="0" fontId="19" fillId="76" borderId="48" applyNumberFormat="0" applyFont="0" applyAlignment="0" applyProtection="0"/>
    <xf numFmtId="4" fontId="46" fillId="38" borderId="53" applyNumberFormat="0" applyProtection="0">
      <alignment vertical="center"/>
    </xf>
    <xf numFmtId="0" fontId="19" fillId="84" borderId="53" applyNumberFormat="0" applyProtection="0">
      <alignment horizontal="left" vertical="top" indent="1"/>
    </xf>
    <xf numFmtId="4" fontId="47" fillId="35" borderId="53" applyNumberFormat="0" applyProtection="0">
      <alignment horizontal="left" vertical="center" indent="1"/>
    </xf>
    <xf numFmtId="0" fontId="105" fillId="0" borderId="50" applyNumberFormat="0" applyFill="0" applyAlignment="0" applyProtection="0"/>
    <xf numFmtId="0" fontId="19" fillId="76" borderId="48" applyNumberFormat="0" applyFont="0" applyAlignment="0" applyProtection="0"/>
    <xf numFmtId="0" fontId="19" fillId="49" borderId="53" applyNumberFormat="0" applyProtection="0">
      <alignment horizontal="left" vertical="top" indent="1"/>
    </xf>
    <xf numFmtId="0" fontId="19" fillId="84" borderId="53" applyNumberFormat="0" applyProtection="0">
      <alignment horizontal="left" vertical="center" indent="1"/>
    </xf>
    <xf numFmtId="0" fontId="114" fillId="79" borderId="49" applyNumberFormat="0" applyAlignment="0" applyProtection="0"/>
    <xf numFmtId="0" fontId="102" fillId="79" borderId="52" applyNumberFormat="0" applyAlignment="0" applyProtection="0"/>
    <xf numFmtId="0" fontId="114" fillId="79" borderId="49" applyNumberFormat="0" applyAlignment="0" applyProtection="0"/>
    <xf numFmtId="4" fontId="47" fillId="51" borderId="53" applyNumberFormat="0" applyProtection="0">
      <alignment horizontal="right" vertical="center"/>
    </xf>
    <xf numFmtId="0" fontId="19" fillId="85" borderId="53" applyNumberFormat="0" applyProtection="0">
      <alignment horizontal="left" vertical="top" indent="1"/>
    </xf>
    <xf numFmtId="0" fontId="105" fillId="0" borderId="50" applyNumberFormat="0" applyFill="0" applyAlignment="0" applyProtection="0"/>
    <xf numFmtId="0" fontId="24" fillId="59" borderId="51" applyNumberFormat="0" applyFont="0" applyAlignment="0" applyProtection="0">
      <protection locked="0"/>
    </xf>
    <xf numFmtId="4" fontId="47" fillId="43" borderId="53" applyNumberFormat="0" applyProtection="0">
      <alignment horizontal="right" vertical="center"/>
    </xf>
    <xf numFmtId="0" fontId="19" fillId="54" borderId="53" applyNumberFormat="0" applyProtection="0">
      <alignment horizontal="left" vertical="top" indent="1"/>
    </xf>
    <xf numFmtId="0" fontId="19" fillId="76" borderId="48" applyNumberFormat="0" applyFont="0" applyAlignment="0" applyProtection="0"/>
    <xf numFmtId="0" fontId="105" fillId="0" borderId="50" applyNumberFormat="0" applyFill="0" applyAlignment="0" applyProtection="0"/>
    <xf numFmtId="0" fontId="19" fillId="50" borderId="53" applyNumberFormat="0" applyProtection="0">
      <alignment horizontal="left" vertical="top" indent="1"/>
    </xf>
    <xf numFmtId="4" fontId="47" fillId="35" borderId="53" applyNumberFormat="0" applyProtection="0">
      <alignment vertical="center"/>
    </xf>
    <xf numFmtId="0" fontId="105" fillId="0" borderId="50" applyNumberFormat="0" applyFill="0" applyAlignment="0" applyProtection="0"/>
    <xf numFmtId="0" fontId="19" fillId="76" borderId="48" applyNumberFormat="0" applyFont="0" applyAlignment="0" applyProtection="0"/>
    <xf numFmtId="4" fontId="47" fillId="35" borderId="53" applyNumberFormat="0" applyProtection="0">
      <alignment vertical="center"/>
    </xf>
    <xf numFmtId="0" fontId="19" fillId="50" borderId="53" applyNumberFormat="0" applyProtection="0">
      <alignment horizontal="left" vertical="top" indent="1"/>
    </xf>
    <xf numFmtId="0" fontId="114" fillId="79" borderId="49" applyNumberFormat="0" applyAlignment="0" applyProtection="0"/>
    <xf numFmtId="0" fontId="102" fillId="79" borderId="52" applyNumberFormat="0" applyAlignment="0" applyProtection="0"/>
    <xf numFmtId="0" fontId="114" fillId="79" borderId="49" applyNumberFormat="0" applyAlignment="0" applyProtection="0"/>
    <xf numFmtId="4" fontId="47" fillId="46" borderId="53" applyNumberFormat="0" applyProtection="0">
      <alignment horizontal="right" vertical="center"/>
    </xf>
    <xf numFmtId="0" fontId="19" fillId="54" borderId="53" applyNumberFormat="0" applyProtection="0">
      <alignment horizontal="left" vertical="top" indent="1"/>
    </xf>
    <xf numFmtId="0" fontId="105" fillId="0" borderId="50" applyNumberFormat="0" applyFill="0" applyAlignment="0" applyProtection="0"/>
    <xf numFmtId="0" fontId="63" fillId="59" borderId="51" applyNumberFormat="0" applyFont="0" applyFill="0" applyAlignment="0" applyProtection="0">
      <protection locked="0"/>
    </xf>
    <xf numFmtId="0" fontId="105" fillId="0" borderId="50" applyNumberFormat="0" applyFill="0" applyAlignment="0" applyProtection="0"/>
    <xf numFmtId="0" fontId="19" fillId="85" borderId="53" applyNumberFormat="0" applyProtection="0">
      <alignment horizontal="left" vertical="top" indent="1"/>
    </xf>
    <xf numFmtId="4" fontId="47" fillId="45" borderId="53" applyNumberFormat="0" applyProtection="0">
      <alignment horizontal="right" vertical="center"/>
    </xf>
    <xf numFmtId="0" fontId="110" fillId="77" borderId="52" applyNumberFormat="0" applyAlignment="0" applyProtection="0"/>
    <xf numFmtId="0" fontId="19" fillId="84" borderId="53" applyNumberFormat="0" applyProtection="0">
      <alignment horizontal="left" vertical="center" indent="1"/>
    </xf>
    <xf numFmtId="0" fontId="19" fillId="49" borderId="53" applyNumberFormat="0" applyProtection="0">
      <alignment horizontal="left" vertical="top" indent="1"/>
    </xf>
    <xf numFmtId="4" fontId="47" fillId="35" borderId="53" applyNumberFormat="0" applyProtection="0">
      <alignment horizontal="left" vertical="center" indent="1"/>
    </xf>
    <xf numFmtId="0" fontId="19" fillId="84" borderId="53" applyNumberFormat="0" applyProtection="0">
      <alignment horizontal="left" vertical="top" indent="1"/>
    </xf>
    <xf numFmtId="0" fontId="102" fillId="79" borderId="52" applyNumberFormat="0" applyAlignment="0" applyProtection="0"/>
    <xf numFmtId="4" fontId="47" fillId="44" borderId="53" applyNumberFormat="0" applyProtection="0">
      <alignment horizontal="right" vertical="center"/>
    </xf>
    <xf numFmtId="0" fontId="19" fillId="85" borderId="53" applyNumberFormat="0" applyProtection="0">
      <alignment horizontal="left" vertical="center" indent="1"/>
    </xf>
    <xf numFmtId="0" fontId="114" fillId="79" borderId="49" applyNumberFormat="0" applyAlignment="0" applyProtection="0"/>
    <xf numFmtId="4" fontId="51" fillId="49" borderId="53" applyNumberFormat="0" applyProtection="0">
      <alignment horizontal="right" vertical="center"/>
    </xf>
    <xf numFmtId="0" fontId="19" fillId="51" borderId="53" applyNumberFormat="0" applyProtection="0">
      <alignment horizontal="left" vertical="center" indent="1"/>
    </xf>
    <xf numFmtId="4" fontId="46" fillId="38" borderId="53" applyNumberFormat="0" applyProtection="0">
      <alignment vertical="center"/>
    </xf>
    <xf numFmtId="0" fontId="110" fillId="77" borderId="52" applyNumberFormat="0" applyAlignment="0" applyProtection="0"/>
    <xf numFmtId="0" fontId="102" fillId="79" borderId="52" applyNumberFormat="0" applyAlignment="0" applyProtection="0"/>
    <xf numFmtId="4" fontId="47" fillId="41" borderId="53" applyNumberFormat="0" applyProtection="0">
      <alignment horizontal="right" vertical="center"/>
    </xf>
    <xf numFmtId="0" fontId="19" fillId="51" borderId="53" applyNumberFormat="0" applyProtection="0">
      <alignment horizontal="left" vertical="top" indent="1"/>
    </xf>
    <xf numFmtId="0" fontId="47" fillId="34" borderId="53" applyNumberFormat="0" applyProtection="0">
      <alignment horizontal="left" vertical="top"/>
    </xf>
    <xf numFmtId="0" fontId="114" fillId="79" borderId="49" applyNumberFormat="0" applyAlignment="0" applyProtection="0"/>
    <xf numFmtId="0" fontId="26" fillId="0" borderId="45">
      <alignment horizontal="left" vertical="center"/>
    </xf>
    <xf numFmtId="4" fontId="27" fillId="34" borderId="47" applyNumberFormat="0" applyProtection="0">
      <alignment vertical="center"/>
    </xf>
    <xf numFmtId="0" fontId="26" fillId="0" borderId="45">
      <alignment horizontal="left" vertical="center"/>
    </xf>
    <xf numFmtId="4" fontId="27" fillId="34" borderId="47" applyNumberFormat="0" applyProtection="0">
      <alignment vertical="center"/>
    </xf>
    <xf numFmtId="4" fontId="27" fillId="34" borderId="47" applyNumberFormat="0" applyProtection="0">
      <alignment vertical="center"/>
    </xf>
    <xf numFmtId="4" fontId="47" fillId="0" borderId="53" applyNumberFormat="0" applyProtection="0">
      <alignment horizontal="left" vertical="center" indent="1"/>
    </xf>
    <xf numFmtId="0" fontId="19" fillId="34" borderId="53" applyNumberFormat="0" applyProtection="0">
      <alignment horizontal="left" vertical="top" indent="1"/>
    </xf>
    <xf numFmtId="4" fontId="27" fillId="38" borderId="53" applyNumberFormat="0" applyProtection="0">
      <alignment horizontal="left" vertical="center" indent="1"/>
    </xf>
    <xf numFmtId="0" fontId="110" fillId="77" borderId="52" applyNumberFormat="0" applyAlignment="0" applyProtection="0"/>
    <xf numFmtId="4" fontId="47" fillId="40" borderId="53" applyNumberFormat="0" applyProtection="0">
      <alignment horizontal="right" vertical="center"/>
    </xf>
    <xf numFmtId="0" fontId="19" fillId="34" borderId="53" applyNumberFormat="0" applyProtection="0">
      <alignment horizontal="left" vertical="top" indent="1"/>
    </xf>
    <xf numFmtId="4" fontId="47" fillId="0" borderId="53" applyNumberFormat="0" applyProtection="0">
      <alignment horizontal="left" vertical="center" indent="1"/>
    </xf>
    <xf numFmtId="0" fontId="114" fillId="79" borderId="49" applyNumberFormat="0" applyAlignment="0" applyProtection="0"/>
    <xf numFmtId="0" fontId="105" fillId="0" borderId="50" applyNumberFormat="0" applyFill="0" applyAlignment="0" applyProtection="0"/>
    <xf numFmtId="0" fontId="19" fillId="55" borderId="53" applyNumberFormat="0" applyProtection="0">
      <alignment horizontal="left" vertical="center" indent="1"/>
    </xf>
    <xf numFmtId="4" fontId="47" fillId="46" borderId="53" applyNumberFormat="0" applyProtection="0">
      <alignment horizontal="right" vertical="center"/>
    </xf>
    <xf numFmtId="0" fontId="110" fillId="77" borderId="52" applyNumberFormat="0" applyAlignment="0" applyProtection="0"/>
    <xf numFmtId="0" fontId="19" fillId="50" borderId="53" applyNumberFormat="0" applyProtection="0">
      <alignment horizontal="left" vertical="center" indent="1"/>
    </xf>
    <xf numFmtId="0" fontId="19" fillId="55" borderId="53" applyNumberFormat="0" applyProtection="0">
      <alignment horizontal="left" vertical="top" indent="1"/>
    </xf>
    <xf numFmtId="0" fontId="47" fillId="34" borderId="53" applyNumberFormat="0" applyProtection="0">
      <alignment horizontal="left" vertical="top"/>
    </xf>
    <xf numFmtId="0" fontId="19" fillId="51" borderId="53" applyNumberFormat="0" applyProtection="0">
      <alignment horizontal="left" vertical="top" indent="1"/>
    </xf>
    <xf numFmtId="0" fontId="27" fillId="38" borderId="53" applyNumberFormat="0" applyProtection="0">
      <alignment horizontal="left" vertical="top" indent="1"/>
    </xf>
    <xf numFmtId="0" fontId="19" fillId="76" borderId="48" applyNumberFormat="0" applyFont="0" applyAlignment="0" applyProtection="0"/>
    <xf numFmtId="0" fontId="110" fillId="77" borderId="52" applyNumberFormat="0" applyAlignment="0" applyProtection="0"/>
    <xf numFmtId="0" fontId="105" fillId="0" borderId="50" applyNumberFormat="0" applyFill="0" applyAlignment="0" applyProtection="0"/>
    <xf numFmtId="4" fontId="47" fillId="39" borderId="53" applyNumberFormat="0" applyProtection="0">
      <alignment horizontal="right" vertical="center"/>
    </xf>
    <xf numFmtId="0" fontId="19" fillId="51" borderId="53" applyNumberFormat="0" applyProtection="0">
      <alignment horizontal="left" vertical="center" indent="1"/>
    </xf>
    <xf numFmtId="4" fontId="51" fillId="49" borderId="53" applyNumberFormat="0" applyProtection="0">
      <alignment horizontal="right" vertical="center"/>
    </xf>
    <xf numFmtId="0" fontId="19" fillId="49" borderId="53" applyNumberFormat="0" applyProtection="0">
      <alignment horizontal="left" vertical="center" indent="1"/>
    </xf>
    <xf numFmtId="4" fontId="47" fillId="47" borderId="53" applyNumberFormat="0" applyProtection="0">
      <alignment horizontal="right" vertical="center"/>
    </xf>
    <xf numFmtId="0" fontId="110" fillId="77" borderId="52" applyNumberFormat="0" applyAlignment="0" applyProtection="0"/>
    <xf numFmtId="0" fontId="19" fillId="49" borderId="53" applyNumberFormat="0" applyProtection="0">
      <alignment horizontal="left" vertical="center" indent="1"/>
    </xf>
    <xf numFmtId="0" fontId="19" fillId="54" borderId="53" applyNumberFormat="0" applyProtection="0">
      <alignment horizontal="left" vertical="center" indent="1"/>
    </xf>
    <xf numFmtId="4" fontId="47" fillId="40" borderId="53" applyNumberFormat="0" applyProtection="0">
      <alignment horizontal="right" vertical="center"/>
    </xf>
    <xf numFmtId="0" fontId="19" fillId="76" borderId="48" applyNumberFormat="0" applyFont="0" applyAlignment="0" applyProtection="0"/>
    <xf numFmtId="4" fontId="27" fillId="38" borderId="53" applyNumberFormat="0" applyProtection="0">
      <alignment horizontal="left" vertical="center" indent="1"/>
    </xf>
    <xf numFmtId="0" fontId="19" fillId="34" borderId="53" applyNumberFormat="0" applyProtection="0">
      <alignment horizontal="left" vertical="center" indent="1"/>
    </xf>
    <xf numFmtId="0" fontId="47" fillId="35" borderId="53" applyNumberFormat="0" applyProtection="0">
      <alignment horizontal="left" vertical="top" indent="1"/>
    </xf>
    <xf numFmtId="0" fontId="105" fillId="0" borderId="50" applyNumberFormat="0" applyFill="0" applyAlignment="0" applyProtection="0"/>
    <xf numFmtId="0" fontId="19" fillId="76" borderId="48" applyNumberFormat="0" applyFont="0" applyAlignment="0" applyProtection="0"/>
    <xf numFmtId="0" fontId="19" fillId="55" borderId="53" applyNumberFormat="0" applyProtection="0">
      <alignment horizontal="left" vertical="top" indent="1"/>
    </xf>
    <xf numFmtId="0" fontId="19" fillId="50" borderId="53" applyNumberFormat="0" applyProtection="0">
      <alignment horizontal="left" vertical="center" indent="1"/>
    </xf>
    <xf numFmtId="0" fontId="114" fillId="79" borderId="49" applyNumberFormat="0" applyAlignment="0" applyProtection="0"/>
    <xf numFmtId="0" fontId="114" fillId="79" borderId="49" applyNumberFormat="0" applyAlignment="0" applyProtection="0"/>
    <xf numFmtId="0" fontId="19" fillId="55" borderId="53" applyNumberFormat="0" applyProtection="0">
      <alignment horizontal="left" vertical="center" indent="1"/>
    </xf>
    <xf numFmtId="4" fontId="47" fillId="42" borderId="53" applyNumberFormat="0" applyProtection="0">
      <alignment horizontal="right" vertical="center"/>
    </xf>
    <xf numFmtId="0" fontId="19" fillId="85" borderId="53" applyNumberFormat="0" applyProtection="0">
      <alignment horizontal="left" vertical="center" indent="1"/>
    </xf>
    <xf numFmtId="0" fontId="19" fillId="76" borderId="48" applyNumberFormat="0" applyFont="0" applyAlignment="0" applyProtection="0"/>
    <xf numFmtId="0" fontId="105" fillId="0" borderId="50" applyNumberFormat="0" applyFill="0" applyAlignment="0" applyProtection="0"/>
    <xf numFmtId="4" fontId="27" fillId="37" borderId="53" applyNumberFormat="0" applyProtection="0">
      <alignment vertical="center"/>
    </xf>
    <xf numFmtId="0" fontId="19" fillId="84" borderId="53" applyNumberFormat="0" applyProtection="0">
      <alignment horizontal="left" vertical="top" indent="1"/>
    </xf>
    <xf numFmtId="4" fontId="51" fillId="35" borderId="53" applyNumberFormat="0" applyProtection="0">
      <alignment vertical="center"/>
    </xf>
    <xf numFmtId="0" fontId="105" fillId="0" borderId="50" applyNumberFormat="0" applyFill="0" applyAlignment="0" applyProtection="0"/>
    <xf numFmtId="0" fontId="19" fillId="76" borderId="48" applyNumberFormat="0" applyFont="0" applyAlignment="0" applyProtection="0"/>
    <xf numFmtId="0" fontId="19" fillId="49" borderId="53" applyNumberFormat="0" applyProtection="0">
      <alignment horizontal="left" vertical="top" indent="1"/>
    </xf>
    <xf numFmtId="0" fontId="19" fillId="84" borderId="53" applyNumberFormat="0" applyProtection="0">
      <alignment horizontal="left" vertical="center" indent="1"/>
    </xf>
    <xf numFmtId="0" fontId="114" fillId="79" borderId="49" applyNumberFormat="0" applyAlignment="0" applyProtection="0"/>
    <xf numFmtId="0" fontId="102" fillId="79" borderId="52" applyNumberFormat="0" applyAlignment="0" applyProtection="0"/>
    <xf numFmtId="0" fontId="114" fillId="79" borderId="49" applyNumberFormat="0" applyAlignment="0" applyProtection="0"/>
    <xf numFmtId="4" fontId="47" fillId="47" borderId="53" applyNumberFormat="0" applyProtection="0">
      <alignment horizontal="right" vertical="center"/>
    </xf>
    <xf numFmtId="0" fontId="19" fillId="85" borderId="53" applyNumberFormat="0" applyProtection="0">
      <alignment horizontal="left" vertical="top" indent="1"/>
    </xf>
    <xf numFmtId="0" fontId="105" fillId="0" borderId="50" applyNumberFormat="0" applyFill="0" applyAlignment="0" applyProtection="0"/>
    <xf numFmtId="0" fontId="105" fillId="0" borderId="50" applyNumberFormat="0" applyFill="0" applyAlignment="0" applyProtection="0"/>
    <xf numFmtId="0" fontId="19" fillId="85" borderId="53" applyNumberFormat="0" applyProtection="0">
      <alignment horizontal="left" vertical="top" indent="1"/>
    </xf>
    <xf numFmtId="4" fontId="47" fillId="44" borderId="53" applyNumberFormat="0" applyProtection="0">
      <alignment horizontal="right" vertical="center"/>
    </xf>
    <xf numFmtId="0" fontId="110" fillId="77" borderId="52" applyNumberFormat="0" applyAlignment="0" applyProtection="0"/>
    <xf numFmtId="0" fontId="63" fillId="59" borderId="51" applyNumberFormat="0" applyFont="0" applyFill="0" applyAlignment="0" applyProtection="0">
      <protection locked="0"/>
    </xf>
    <xf numFmtId="0" fontId="19" fillId="84" borderId="53" applyNumberFormat="0" applyProtection="0">
      <alignment horizontal="left" vertical="center" indent="1"/>
    </xf>
    <xf numFmtId="0" fontId="19" fillId="49" borderId="53" applyNumberFormat="0" applyProtection="0">
      <alignment horizontal="left" vertical="top" indent="1"/>
    </xf>
    <xf numFmtId="0" fontId="105" fillId="0" borderId="50" applyNumberFormat="0" applyFill="0" applyAlignment="0" applyProtection="0"/>
    <xf numFmtId="0" fontId="19" fillId="76" borderId="48" applyNumberFormat="0" applyFont="0" applyAlignment="0" applyProtection="0"/>
    <xf numFmtId="4" fontId="51" fillId="35" borderId="53" applyNumberFormat="0" applyProtection="0">
      <alignment vertical="center"/>
    </xf>
    <xf numFmtId="0" fontId="19" fillId="84" borderId="53" applyNumberFormat="0" applyProtection="0">
      <alignment horizontal="left" vertical="top" indent="1"/>
    </xf>
    <xf numFmtId="0" fontId="114" fillId="79" borderId="49" applyNumberFormat="0" applyAlignment="0" applyProtection="0"/>
    <xf numFmtId="0" fontId="102" fillId="79" borderId="52" applyNumberFormat="0" applyAlignment="0" applyProtection="0"/>
    <xf numFmtId="0" fontId="114" fillId="79" borderId="49" applyNumberFormat="0" applyAlignment="0" applyProtection="0"/>
    <xf numFmtId="4" fontId="47" fillId="45" borderId="53" applyNumberFormat="0" applyProtection="0">
      <alignment horizontal="right" vertical="center"/>
    </xf>
    <xf numFmtId="0" fontId="19" fillId="85" borderId="53" applyNumberFormat="0" applyProtection="0">
      <alignment horizontal="left" vertical="center" indent="1"/>
    </xf>
    <xf numFmtId="0" fontId="105" fillId="0" borderId="50" applyNumberFormat="0" applyFill="0" applyAlignment="0" applyProtection="0"/>
    <xf numFmtId="0" fontId="114" fillId="79" borderId="49" applyNumberFormat="0" applyAlignment="0" applyProtection="0"/>
    <xf numFmtId="0" fontId="21" fillId="35" borderId="46" applyNumberFormat="0" applyFont="0" applyAlignment="0" applyProtection="0">
      <alignment horizontal="center"/>
      <protection locked="0"/>
    </xf>
    <xf numFmtId="0" fontId="18" fillId="0" borderId="0"/>
    <xf numFmtId="43" fontId="19" fillId="0" borderId="0" applyFont="0" applyFill="0" applyBorder="0" applyAlignment="0" applyProtection="0"/>
    <xf numFmtId="44" fontId="19" fillId="0" borderId="0" applyFont="0" applyFill="0" applyBorder="0" applyProtection="0">
      <alignment horizontal="right"/>
    </xf>
    <xf numFmtId="9" fontId="19" fillId="0" borderId="0" applyFont="0" applyFill="0" applyBorder="0" applyAlignment="0" applyProtection="0"/>
    <xf numFmtId="4" fontId="27" fillId="37" borderId="20" applyNumberFormat="0" applyProtection="0">
      <alignment vertical="center"/>
    </xf>
    <xf numFmtId="4" fontId="46" fillId="38" borderId="20" applyNumberFormat="0" applyProtection="0">
      <alignment vertical="center"/>
    </xf>
    <xf numFmtId="4" fontId="27" fillId="38" borderId="20" applyNumberFormat="0" applyProtection="0">
      <alignment horizontal="left" vertical="center" indent="1"/>
    </xf>
    <xf numFmtId="4" fontId="27" fillId="38" borderId="20" applyNumberFormat="0" applyProtection="0">
      <alignment horizontal="left" vertical="center" indent="1"/>
    </xf>
    <xf numFmtId="0" fontId="27" fillId="38" borderId="20" applyNumberFormat="0" applyProtection="0">
      <alignment horizontal="left" vertical="top" indent="1"/>
    </xf>
    <xf numFmtId="4" fontId="27" fillId="34" borderId="20" applyNumberFormat="0" applyProtection="0"/>
    <xf numFmtId="4" fontId="47" fillId="39" borderId="20" applyNumberFormat="0" applyProtection="0">
      <alignment horizontal="right" vertical="center"/>
    </xf>
    <xf numFmtId="4" fontId="47" fillId="40" borderId="20" applyNumberFormat="0" applyProtection="0">
      <alignment horizontal="right" vertical="center"/>
    </xf>
    <xf numFmtId="4" fontId="47" fillId="41" borderId="20" applyNumberFormat="0" applyProtection="0">
      <alignment horizontal="right" vertical="center"/>
    </xf>
    <xf numFmtId="4" fontId="47" fillId="42" borderId="20" applyNumberFormat="0" applyProtection="0">
      <alignment horizontal="right" vertical="center"/>
    </xf>
    <xf numFmtId="4" fontId="47" fillId="43" borderId="20" applyNumberFormat="0" applyProtection="0">
      <alignment horizontal="right" vertical="center"/>
    </xf>
    <xf numFmtId="4" fontId="47" fillId="44" borderId="20" applyNumberFormat="0" applyProtection="0">
      <alignment horizontal="right" vertical="center"/>
    </xf>
    <xf numFmtId="4" fontId="47" fillId="45" borderId="20" applyNumberFormat="0" applyProtection="0">
      <alignment horizontal="right" vertical="center"/>
    </xf>
    <xf numFmtId="4" fontId="47" fillId="46" borderId="20" applyNumberFormat="0" applyProtection="0">
      <alignment horizontal="right" vertical="center"/>
    </xf>
    <xf numFmtId="4" fontId="47" fillId="47" borderId="20" applyNumberFormat="0" applyProtection="0">
      <alignment horizontal="right" vertical="center"/>
    </xf>
    <xf numFmtId="4" fontId="47" fillId="51" borderId="20" applyNumberFormat="0" applyProtection="0">
      <alignment horizontal="right" vertical="center"/>
    </xf>
    <xf numFmtId="0" fontId="19" fillId="50" borderId="20" applyNumberFormat="0" applyProtection="0">
      <alignment horizontal="left" vertical="center" indent="1"/>
    </xf>
    <xf numFmtId="0" fontId="19" fillId="50" borderId="20" applyNumberFormat="0" applyProtection="0">
      <alignment horizontal="left" vertical="center" indent="1"/>
    </xf>
    <xf numFmtId="0" fontId="19" fillId="50" borderId="20" applyNumberFormat="0" applyProtection="0">
      <alignment horizontal="left" vertical="center" indent="1"/>
    </xf>
    <xf numFmtId="0" fontId="19" fillId="50" borderId="20" applyNumberFormat="0" applyProtection="0">
      <alignment horizontal="left" vertical="center" indent="1"/>
    </xf>
    <xf numFmtId="0" fontId="19" fillId="50" borderId="20" applyNumberFormat="0" applyProtection="0">
      <alignment horizontal="left" vertical="top" indent="1"/>
    </xf>
    <xf numFmtId="0" fontId="19" fillId="50" borderId="20" applyNumberFormat="0" applyProtection="0">
      <alignment horizontal="left" vertical="top" indent="1"/>
    </xf>
    <xf numFmtId="0" fontId="19" fillId="50" borderId="20" applyNumberFormat="0" applyProtection="0">
      <alignment horizontal="left" vertical="top" indent="1"/>
    </xf>
    <xf numFmtId="0" fontId="19" fillId="50" borderId="20" applyNumberFormat="0" applyProtection="0">
      <alignment horizontal="left" vertical="top" indent="1"/>
    </xf>
    <xf numFmtId="0" fontId="19" fillId="34" borderId="20" applyNumberFormat="0" applyProtection="0">
      <alignment horizontal="left" vertical="center" indent="1"/>
    </xf>
    <xf numFmtId="0" fontId="19" fillId="34" borderId="20" applyNumberFormat="0" applyProtection="0">
      <alignment horizontal="left" vertical="center" indent="1"/>
    </xf>
    <xf numFmtId="0" fontId="19" fillId="34" borderId="20" applyNumberFormat="0" applyProtection="0">
      <alignment horizontal="left" vertical="center" indent="1"/>
    </xf>
    <xf numFmtId="0" fontId="19" fillId="34" borderId="20" applyNumberFormat="0" applyProtection="0">
      <alignment horizontal="left" vertical="center" indent="1"/>
    </xf>
    <xf numFmtId="0" fontId="19" fillId="34" borderId="20" applyNumberFormat="0" applyProtection="0">
      <alignment horizontal="left" vertical="top" indent="1"/>
    </xf>
    <xf numFmtId="0" fontId="19" fillId="34" borderId="20" applyNumberFormat="0" applyProtection="0">
      <alignment horizontal="left" vertical="top" indent="1"/>
    </xf>
    <xf numFmtId="0" fontId="19" fillId="34" borderId="20" applyNumberFormat="0" applyProtection="0">
      <alignment horizontal="left" vertical="top" indent="1"/>
    </xf>
    <xf numFmtId="0" fontId="19" fillId="34" borderId="20" applyNumberFormat="0" applyProtection="0">
      <alignment horizontal="left" vertical="top" indent="1"/>
    </xf>
    <xf numFmtId="0" fontId="19" fillId="54" borderId="20" applyNumberFormat="0" applyProtection="0">
      <alignment horizontal="left" vertical="center" indent="1"/>
    </xf>
    <xf numFmtId="0" fontId="19" fillId="54" borderId="20" applyNumberFormat="0" applyProtection="0">
      <alignment horizontal="left" vertical="center" indent="1"/>
    </xf>
    <xf numFmtId="0" fontId="19" fillId="54" borderId="20" applyNumberFormat="0" applyProtection="0">
      <alignment horizontal="left" vertical="center" indent="1"/>
    </xf>
    <xf numFmtId="0" fontId="19" fillId="54" borderId="20" applyNumberFormat="0" applyProtection="0">
      <alignment horizontal="left" vertical="center" indent="1"/>
    </xf>
    <xf numFmtId="0" fontId="19" fillId="54" borderId="20" applyNumberFormat="0" applyProtection="0">
      <alignment horizontal="left" vertical="top" indent="1"/>
    </xf>
    <xf numFmtId="0" fontId="19" fillId="54" borderId="20" applyNumberFormat="0" applyProtection="0">
      <alignment horizontal="left" vertical="top" indent="1"/>
    </xf>
    <xf numFmtId="0" fontId="19" fillId="54" borderId="20" applyNumberFormat="0" applyProtection="0">
      <alignment horizontal="left" vertical="top" indent="1"/>
    </xf>
    <xf numFmtId="0" fontId="19" fillId="54" borderId="20" applyNumberFormat="0" applyProtection="0">
      <alignment horizontal="left" vertical="top" indent="1"/>
    </xf>
    <xf numFmtId="0" fontId="19" fillId="55" borderId="20" applyNumberFormat="0" applyProtection="0">
      <alignment horizontal="left" vertical="center" indent="1"/>
    </xf>
    <xf numFmtId="0" fontId="19" fillId="55" borderId="20" applyNumberFormat="0" applyProtection="0">
      <alignment horizontal="left" vertical="center" indent="1"/>
    </xf>
    <xf numFmtId="0" fontId="19" fillId="55" borderId="20" applyNumberFormat="0" applyProtection="0">
      <alignment horizontal="left" vertical="center" indent="1"/>
    </xf>
    <xf numFmtId="0" fontId="19" fillId="55" borderId="20" applyNumberFormat="0" applyProtection="0">
      <alignment horizontal="left" vertical="center" indent="1"/>
    </xf>
    <xf numFmtId="0" fontId="19" fillId="55" borderId="20" applyNumberFormat="0" applyProtection="0">
      <alignment horizontal="left" vertical="top" indent="1"/>
    </xf>
    <xf numFmtId="0" fontId="19" fillId="55" borderId="20" applyNumberFormat="0" applyProtection="0">
      <alignment horizontal="left" vertical="top" indent="1"/>
    </xf>
    <xf numFmtId="0" fontId="19" fillId="55" borderId="20" applyNumberFormat="0" applyProtection="0">
      <alignment horizontal="left" vertical="top" indent="1"/>
    </xf>
    <xf numFmtId="0" fontId="19" fillId="55" borderId="20" applyNumberFormat="0" applyProtection="0">
      <alignment horizontal="left" vertical="top" indent="1"/>
    </xf>
    <xf numFmtId="4" fontId="47" fillId="35" borderId="20" applyNumberFormat="0" applyProtection="0">
      <alignment vertical="center"/>
    </xf>
    <xf numFmtId="4" fontId="51" fillId="35" borderId="20" applyNumberFormat="0" applyProtection="0">
      <alignment vertical="center"/>
    </xf>
    <xf numFmtId="4" fontId="47" fillId="35" borderId="20" applyNumberFormat="0" applyProtection="0">
      <alignment horizontal="left" vertical="center" indent="1"/>
    </xf>
    <xf numFmtId="0" fontId="47" fillId="35" borderId="20" applyNumberFormat="0" applyProtection="0">
      <alignment horizontal="left" vertical="top" indent="1"/>
    </xf>
    <xf numFmtId="4" fontId="47" fillId="0" borderId="20" applyNumberFormat="0" applyProtection="0">
      <alignment horizontal="right" vertical="center"/>
    </xf>
    <xf numFmtId="4" fontId="47" fillId="0" borderId="20" applyNumberFormat="0" applyProtection="0">
      <alignment horizontal="right" vertical="center"/>
    </xf>
    <xf numFmtId="4" fontId="51" fillId="49" borderId="20" applyNumberFormat="0" applyProtection="0">
      <alignment horizontal="right" vertical="center"/>
    </xf>
    <xf numFmtId="4" fontId="47" fillId="0" borderId="20" applyNumberFormat="0" applyProtection="0">
      <alignment horizontal="left" vertical="center" indent="1"/>
    </xf>
    <xf numFmtId="4" fontId="47" fillId="0" borderId="20" applyNumberFormat="0" applyProtection="0">
      <alignment horizontal="left" vertical="center" indent="1"/>
    </xf>
    <xf numFmtId="0" fontId="47" fillId="34" borderId="20" applyNumberFormat="0" applyProtection="0">
      <alignment horizontal="left" vertical="top"/>
    </xf>
    <xf numFmtId="0" fontId="47" fillId="34" borderId="20" applyNumberFormat="0" applyProtection="0">
      <alignment horizontal="left" vertical="top"/>
    </xf>
    <xf numFmtId="4" fontId="25" fillId="49" borderId="20" applyNumberFormat="0" applyProtection="0">
      <alignment horizontal="right" vertical="center"/>
    </xf>
    <xf numFmtId="4" fontId="27" fillId="38" borderId="20" applyNumberFormat="0" applyProtection="0">
      <alignment horizontal="left" vertical="center" indent="1"/>
    </xf>
    <xf numFmtId="4" fontId="27" fillId="38" borderId="20" applyNumberFormat="0" applyProtection="0">
      <alignment horizontal="left" vertical="center" indent="1"/>
    </xf>
    <xf numFmtId="4" fontId="27" fillId="38" borderId="20" applyNumberFormat="0" applyProtection="0">
      <alignment horizontal="left" vertical="center" indent="1"/>
    </xf>
    <xf numFmtId="4" fontId="27" fillId="38" borderId="20" applyNumberFormat="0" applyProtection="0">
      <alignment horizontal="left" vertical="center" indent="1"/>
    </xf>
    <xf numFmtId="4" fontId="27" fillId="38" borderId="20" applyNumberFormat="0" applyProtection="0">
      <alignment vertical="center"/>
    </xf>
    <xf numFmtId="4" fontId="27" fillId="34" borderId="20" applyNumberFormat="0" applyProtection="0"/>
    <xf numFmtId="4" fontId="27" fillId="34" borderId="20" applyNumberFormat="0" applyProtection="0"/>
    <xf numFmtId="4" fontId="27" fillId="34" borderId="20" applyNumberFormat="0" applyProtection="0"/>
    <xf numFmtId="4" fontId="27" fillId="34" borderId="20" applyNumberFormat="0" applyProtection="0"/>
    <xf numFmtId="0" fontId="19" fillId="50" borderId="20" applyNumberFormat="0" applyProtection="0">
      <alignment horizontal="left" vertical="center" indent="1"/>
    </xf>
    <xf numFmtId="0" fontId="19" fillId="50" borderId="20" applyNumberFormat="0" applyProtection="0">
      <alignment horizontal="left" vertical="top" indent="1"/>
    </xf>
    <xf numFmtId="0" fontId="19" fillId="34" borderId="20" applyNumberFormat="0" applyProtection="0">
      <alignment horizontal="left" vertical="center" indent="1"/>
    </xf>
    <xf numFmtId="0" fontId="19" fillId="34" borderId="20" applyNumberFormat="0" applyProtection="0">
      <alignment horizontal="left" vertical="top" indent="1"/>
    </xf>
    <xf numFmtId="0" fontId="19" fillId="54" borderId="20" applyNumberFormat="0" applyProtection="0">
      <alignment horizontal="left" vertical="center" indent="1"/>
    </xf>
    <xf numFmtId="0" fontId="19" fillId="54" borderId="20" applyNumberFormat="0" applyProtection="0">
      <alignment horizontal="left" vertical="top" indent="1"/>
    </xf>
    <xf numFmtId="0" fontId="19" fillId="55" borderId="20" applyNumberFormat="0" applyProtection="0">
      <alignment horizontal="left" vertical="center" indent="1"/>
    </xf>
    <xf numFmtId="0" fontId="19" fillId="55" borderId="20" applyNumberFormat="0" applyProtection="0">
      <alignment horizontal="left" vertical="top" indent="1"/>
    </xf>
    <xf numFmtId="4" fontId="47" fillId="0" borderId="20" applyNumberFormat="0" applyProtection="0">
      <alignment horizontal="right" vertical="center"/>
    </xf>
    <xf numFmtId="4" fontId="47" fillId="0" borderId="20" applyNumberFormat="0" applyProtection="0">
      <alignment horizontal="right" vertical="center"/>
    </xf>
    <xf numFmtId="4" fontId="47" fillId="0" borderId="20" applyNumberFormat="0" applyProtection="0">
      <alignment horizontal="right" vertical="center"/>
    </xf>
    <xf numFmtId="4" fontId="47" fillId="0" borderId="20" applyNumberFormat="0" applyProtection="0">
      <alignment horizontal="right" vertical="center"/>
    </xf>
    <xf numFmtId="4" fontId="47" fillId="0" borderId="20" applyNumberFormat="0" applyProtection="0">
      <alignment horizontal="left" vertical="center" indent="1"/>
    </xf>
    <xf numFmtId="4" fontId="47" fillId="0" borderId="20" applyNumberFormat="0" applyProtection="0">
      <alignment horizontal="left" vertical="center" indent="1"/>
    </xf>
    <xf numFmtId="4" fontId="47" fillId="0" borderId="20" applyNumberFormat="0" applyProtection="0">
      <alignment horizontal="left" vertical="center" indent="1"/>
    </xf>
    <xf numFmtId="4" fontId="47" fillId="0" borderId="20" applyNumberFormat="0" applyProtection="0">
      <alignment horizontal="left" vertical="center" indent="1"/>
    </xf>
    <xf numFmtId="4" fontId="47" fillId="59" borderId="20" applyNumberFormat="0" applyProtection="0">
      <alignment horizontal="left" vertical="center" indent="1"/>
    </xf>
    <xf numFmtId="0" fontId="47" fillId="34" borderId="20" applyNumberFormat="0" applyProtection="0">
      <alignment horizontal="left" vertical="top"/>
    </xf>
    <xf numFmtId="0" fontId="47" fillId="34" borderId="20" applyNumberFormat="0" applyProtection="0">
      <alignment horizontal="left" vertical="top"/>
    </xf>
    <xf numFmtId="0" fontId="47" fillId="34" borderId="20" applyNumberFormat="0" applyProtection="0">
      <alignment horizontal="left" vertical="top"/>
    </xf>
    <xf numFmtId="0" fontId="47" fillId="34" borderId="20" applyNumberFormat="0" applyProtection="0">
      <alignment horizontal="left" vertical="top"/>
    </xf>
    <xf numFmtId="0" fontId="47" fillId="34" borderId="20" applyNumberFormat="0" applyProtection="0">
      <alignment horizontal="center" vertical="top"/>
    </xf>
    <xf numFmtId="4" fontId="47" fillId="51" borderId="20" applyNumberFormat="0" applyProtection="0">
      <alignment horizontal="left" vertical="center" indent="1"/>
    </xf>
    <xf numFmtId="4" fontId="27" fillId="38" borderId="20" applyNumberFormat="0" applyProtection="0">
      <alignment horizontal="left" vertical="center" indent="1"/>
    </xf>
    <xf numFmtId="4" fontId="47" fillId="0" borderId="20" applyNumberFormat="0" applyProtection="0">
      <alignment horizontal="right" vertical="center"/>
    </xf>
    <xf numFmtId="4" fontId="47" fillId="0" borderId="20" applyNumberFormat="0" applyProtection="0">
      <alignment horizontal="left" vertical="center" indent="1"/>
    </xf>
    <xf numFmtId="0" fontId="47" fillId="34" borderId="20" applyNumberFormat="0" applyProtection="0">
      <alignment horizontal="left" vertical="top"/>
    </xf>
    <xf numFmtId="0" fontId="102" fillId="79" borderId="54" applyNumberFormat="0" applyAlignment="0" applyProtection="0"/>
    <xf numFmtId="0" fontId="102" fillId="79" borderId="54" applyNumberFormat="0" applyAlignment="0" applyProtection="0"/>
    <xf numFmtId="0" fontId="102" fillId="79" borderId="54" applyNumberFormat="0" applyAlignment="0" applyProtection="0"/>
    <xf numFmtId="0" fontId="102" fillId="79" borderId="54" applyNumberFormat="0" applyAlignment="0" applyProtection="0"/>
    <xf numFmtId="0" fontId="110" fillId="77" borderId="54" applyNumberFormat="0" applyAlignment="0" applyProtection="0"/>
    <xf numFmtId="0" fontId="110" fillId="77" borderId="54" applyNumberFormat="0" applyAlignment="0" applyProtection="0"/>
    <xf numFmtId="0" fontId="110" fillId="77" borderId="54" applyNumberFormat="0" applyAlignment="0" applyProtection="0"/>
    <xf numFmtId="0" fontId="110" fillId="77" borderId="54" applyNumberFormat="0" applyAlignment="0" applyProtection="0"/>
    <xf numFmtId="0" fontId="19" fillId="76" borderId="55" applyNumberFormat="0" applyFont="0" applyAlignment="0" applyProtection="0"/>
    <xf numFmtId="0" fontId="19" fillId="76" borderId="55" applyNumberFormat="0" applyFont="0" applyAlignment="0" applyProtection="0"/>
    <xf numFmtId="0" fontId="19" fillId="76" borderId="55" applyNumberFormat="0" applyFont="0" applyAlignment="0" applyProtection="0"/>
    <xf numFmtId="0" fontId="19" fillId="76" borderId="55" applyNumberFormat="0" applyFont="0" applyAlignment="0" applyProtection="0"/>
    <xf numFmtId="0" fontId="19" fillId="76" borderId="55" applyNumberFormat="0" applyFont="0" applyAlignment="0" applyProtection="0"/>
    <xf numFmtId="0" fontId="19" fillId="76" borderId="55" applyNumberFormat="0" applyFont="0" applyAlignment="0" applyProtection="0"/>
    <xf numFmtId="0" fontId="114" fillId="79" borderId="56" applyNumberFormat="0" applyAlignment="0" applyProtection="0"/>
    <xf numFmtId="0" fontId="114" fillId="79" borderId="56" applyNumberFormat="0" applyAlignment="0" applyProtection="0"/>
    <xf numFmtId="0" fontId="114" fillId="79" borderId="56" applyNumberFormat="0" applyAlignment="0" applyProtection="0"/>
    <xf numFmtId="0" fontId="114" fillId="79" borderId="56" applyNumberFormat="0" applyAlignment="0" applyProtection="0"/>
    <xf numFmtId="0" fontId="114" fillId="79" borderId="56" applyNumberFormat="0" applyAlignment="0" applyProtection="0"/>
    <xf numFmtId="0" fontId="114" fillId="79" borderId="56" applyNumberFormat="0" applyAlignment="0" applyProtection="0"/>
    <xf numFmtId="0" fontId="19" fillId="84" borderId="20" applyNumberFormat="0" applyProtection="0">
      <alignment horizontal="left" vertical="center" indent="1"/>
    </xf>
    <xf numFmtId="0" fontId="19" fillId="84" borderId="20" applyNumberFormat="0" applyProtection="0">
      <alignment horizontal="left" vertical="center" indent="1"/>
    </xf>
    <xf numFmtId="0" fontId="19" fillId="84" borderId="20" applyNumberFormat="0" applyProtection="0">
      <alignment horizontal="left" vertical="top" indent="1"/>
    </xf>
    <xf numFmtId="0" fontId="19" fillId="84" borderId="20" applyNumberFormat="0" applyProtection="0">
      <alignment horizontal="left" vertical="top" indent="1"/>
    </xf>
    <xf numFmtId="0" fontId="19" fillId="51" borderId="20" applyNumberFormat="0" applyProtection="0">
      <alignment horizontal="left" vertical="center" indent="1"/>
    </xf>
    <xf numFmtId="0" fontId="19" fillId="51" borderId="20" applyNumberFormat="0" applyProtection="0">
      <alignment horizontal="left" vertical="center" indent="1"/>
    </xf>
    <xf numFmtId="0" fontId="19" fillId="51" borderId="20" applyNumberFormat="0" applyProtection="0">
      <alignment horizontal="left" vertical="top" indent="1"/>
    </xf>
    <xf numFmtId="0" fontId="19" fillId="51" borderId="20" applyNumberFormat="0" applyProtection="0">
      <alignment horizontal="left" vertical="top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top" indent="1"/>
    </xf>
    <xf numFmtId="0" fontId="19" fillId="85" borderId="20" applyNumberFormat="0" applyProtection="0">
      <alignment horizontal="left" vertical="top" indent="1"/>
    </xf>
    <xf numFmtId="0" fontId="19" fillId="49" borderId="20" applyNumberFormat="0" applyProtection="0">
      <alignment horizontal="left" vertical="center" indent="1"/>
    </xf>
    <xf numFmtId="0" fontId="19" fillId="49" borderId="20" applyNumberFormat="0" applyProtection="0">
      <alignment horizontal="left" vertical="center" indent="1"/>
    </xf>
    <xf numFmtId="0" fontId="19" fillId="49" borderId="20" applyNumberFormat="0" applyProtection="0">
      <alignment horizontal="left" vertical="top" indent="1"/>
    </xf>
    <xf numFmtId="0" fontId="19" fillId="49" borderId="20" applyNumberFormat="0" applyProtection="0">
      <alignment horizontal="left" vertical="top" indent="1"/>
    </xf>
    <xf numFmtId="0" fontId="105" fillId="0" borderId="57" applyNumberFormat="0" applyFill="0" applyAlignment="0" applyProtection="0"/>
    <xf numFmtId="0" fontId="105" fillId="0" borderId="57" applyNumberFormat="0" applyFill="0" applyAlignment="0" applyProtection="0"/>
    <xf numFmtId="0" fontId="105" fillId="0" borderId="57" applyNumberFormat="0" applyFill="0" applyAlignment="0" applyProtection="0"/>
    <xf numFmtId="0" fontId="105" fillId="0" borderId="57" applyNumberFormat="0" applyFill="0" applyAlignment="0" applyProtection="0"/>
    <xf numFmtId="0" fontId="105" fillId="0" borderId="57" applyNumberFormat="0" applyFill="0" applyAlignment="0" applyProtection="0"/>
    <xf numFmtId="0" fontId="105" fillId="0" borderId="57" applyNumberFormat="0" applyFill="0" applyAlignment="0" applyProtection="0"/>
    <xf numFmtId="0" fontId="24" fillId="59" borderId="58" applyNumberFormat="0" applyFont="0" applyAlignment="0" applyProtection="0">
      <protection locked="0"/>
    </xf>
    <xf numFmtId="0" fontId="63" fillId="59" borderId="58" applyNumberFormat="0" applyFont="0" applyFill="0" applyAlignment="0" applyProtection="0">
      <protection locked="0"/>
    </xf>
    <xf numFmtId="0" fontId="105" fillId="0" borderId="57" applyNumberFormat="0" applyFill="0" applyAlignment="0" applyProtection="0"/>
    <xf numFmtId="0" fontId="105" fillId="0" borderId="57" applyNumberFormat="0" applyFill="0" applyAlignment="0" applyProtection="0"/>
    <xf numFmtId="0" fontId="105" fillId="0" borderId="57" applyNumberFormat="0" applyFill="0" applyAlignment="0" applyProtection="0"/>
    <xf numFmtId="0" fontId="105" fillId="0" borderId="57" applyNumberFormat="0" applyFill="0" applyAlignment="0" applyProtection="0"/>
    <xf numFmtId="4" fontId="25" fillId="49" borderId="20" applyNumberFormat="0" applyProtection="0">
      <alignment horizontal="right" vertical="center"/>
    </xf>
    <xf numFmtId="0" fontId="47" fillId="34" borderId="20" applyNumberFormat="0" applyProtection="0">
      <alignment horizontal="left" vertical="top"/>
    </xf>
    <xf numFmtId="4" fontId="47" fillId="0" borderId="20" applyNumberFormat="0" applyProtection="0">
      <alignment horizontal="left" vertical="center" indent="1"/>
    </xf>
    <xf numFmtId="4" fontId="51" fillId="49" borderId="20" applyNumberFormat="0" applyProtection="0">
      <alignment horizontal="right" vertical="center"/>
    </xf>
    <xf numFmtId="4" fontId="47" fillId="0" borderId="20" applyNumberFormat="0" applyProtection="0">
      <alignment horizontal="right" vertical="center"/>
    </xf>
    <xf numFmtId="0" fontId="47" fillId="35" borderId="20" applyNumberFormat="0" applyProtection="0">
      <alignment horizontal="left" vertical="top" indent="1"/>
    </xf>
    <xf numFmtId="4" fontId="47" fillId="35" borderId="20" applyNumberFormat="0" applyProtection="0">
      <alignment horizontal="left" vertical="center" indent="1"/>
    </xf>
    <xf numFmtId="4" fontId="51" fillId="35" borderId="20" applyNumberFormat="0" applyProtection="0">
      <alignment vertical="center"/>
    </xf>
    <xf numFmtId="4" fontId="47" fillId="35" borderId="20" applyNumberFormat="0" applyProtection="0">
      <alignment vertical="center"/>
    </xf>
    <xf numFmtId="0" fontId="19" fillId="49" borderId="20" applyNumberFormat="0" applyProtection="0">
      <alignment horizontal="left" vertical="top" indent="1"/>
    </xf>
    <xf numFmtId="0" fontId="19" fillId="49" borderId="20" applyNumberFormat="0" applyProtection="0">
      <alignment horizontal="left" vertical="top" indent="1"/>
    </xf>
    <xf numFmtId="0" fontId="19" fillId="55" borderId="20" applyNumberFormat="0" applyProtection="0">
      <alignment horizontal="left" vertical="top" indent="1"/>
    </xf>
    <xf numFmtId="0" fontId="19" fillId="49" borderId="20" applyNumberFormat="0" applyProtection="0">
      <alignment horizontal="left" vertical="center" indent="1"/>
    </xf>
    <xf numFmtId="0" fontId="19" fillId="49" borderId="20" applyNumberFormat="0" applyProtection="0">
      <alignment horizontal="left" vertical="center" indent="1"/>
    </xf>
    <xf numFmtId="0" fontId="19" fillId="5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top" indent="1"/>
    </xf>
    <xf numFmtId="0" fontId="19" fillId="85" borderId="20" applyNumberFormat="0" applyProtection="0">
      <alignment horizontal="left" vertical="top" indent="1"/>
    </xf>
    <xf numFmtId="0" fontId="19" fillId="54" borderId="20" applyNumberFormat="0" applyProtection="0">
      <alignment horizontal="left" vertical="top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54" borderId="20" applyNumberFormat="0" applyProtection="0">
      <alignment horizontal="left" vertical="center" indent="1"/>
    </xf>
    <xf numFmtId="0" fontId="19" fillId="51" borderId="20" applyNumberFormat="0" applyProtection="0">
      <alignment horizontal="left" vertical="top" indent="1"/>
    </xf>
    <xf numFmtId="0" fontId="19" fillId="51" borderId="20" applyNumberFormat="0" applyProtection="0">
      <alignment horizontal="left" vertical="top" indent="1"/>
    </xf>
    <xf numFmtId="0" fontId="19" fillId="34" borderId="20" applyNumberFormat="0" applyProtection="0">
      <alignment horizontal="left" vertical="top" indent="1"/>
    </xf>
    <xf numFmtId="0" fontId="19" fillId="51" borderId="20" applyNumberFormat="0" applyProtection="0">
      <alignment horizontal="left" vertical="center" indent="1"/>
    </xf>
    <xf numFmtId="0" fontId="19" fillId="51" borderId="20" applyNumberFormat="0" applyProtection="0">
      <alignment horizontal="left" vertical="center" indent="1"/>
    </xf>
    <xf numFmtId="0" fontId="19" fillId="34" borderId="20" applyNumberFormat="0" applyProtection="0">
      <alignment horizontal="left" vertical="center" indent="1"/>
    </xf>
    <xf numFmtId="0" fontId="19" fillId="84" borderId="20" applyNumberFormat="0" applyProtection="0">
      <alignment horizontal="left" vertical="top" indent="1"/>
    </xf>
    <xf numFmtId="0" fontId="19" fillId="84" borderId="20" applyNumberFormat="0" applyProtection="0">
      <alignment horizontal="left" vertical="top" indent="1"/>
    </xf>
    <xf numFmtId="0" fontId="19" fillId="50" borderId="20" applyNumberFormat="0" applyProtection="0">
      <alignment horizontal="left" vertical="top" indent="1"/>
    </xf>
    <xf numFmtId="0" fontId="19" fillId="84" borderId="20" applyNumberFormat="0" applyProtection="0">
      <alignment horizontal="left" vertical="center" indent="1"/>
    </xf>
    <xf numFmtId="0" fontId="19" fillId="84" borderId="20" applyNumberFormat="0" applyProtection="0">
      <alignment horizontal="left" vertical="center" indent="1"/>
    </xf>
    <xf numFmtId="0" fontId="19" fillId="50" borderId="20" applyNumberFormat="0" applyProtection="0">
      <alignment horizontal="left" vertical="center" indent="1"/>
    </xf>
    <xf numFmtId="4" fontId="47" fillId="51" borderId="20" applyNumberFormat="0" applyProtection="0">
      <alignment horizontal="right" vertical="center"/>
    </xf>
    <xf numFmtId="4" fontId="47" fillId="47" borderId="20" applyNumberFormat="0" applyProtection="0">
      <alignment horizontal="right" vertical="center"/>
    </xf>
    <xf numFmtId="4" fontId="47" fillId="46" borderId="20" applyNumberFormat="0" applyProtection="0">
      <alignment horizontal="right" vertical="center"/>
    </xf>
    <xf numFmtId="4" fontId="47" fillId="45" borderId="20" applyNumberFormat="0" applyProtection="0">
      <alignment horizontal="right" vertical="center"/>
    </xf>
    <xf numFmtId="4" fontId="47" fillId="44" borderId="20" applyNumberFormat="0" applyProtection="0">
      <alignment horizontal="right" vertical="center"/>
    </xf>
    <xf numFmtId="4" fontId="47" fillId="43" borderId="20" applyNumberFormat="0" applyProtection="0">
      <alignment horizontal="right" vertical="center"/>
    </xf>
    <xf numFmtId="4" fontId="47" fillId="42" borderId="20" applyNumberFormat="0" applyProtection="0">
      <alignment horizontal="right" vertical="center"/>
    </xf>
    <xf numFmtId="4" fontId="47" fillId="41" borderId="20" applyNumberFormat="0" applyProtection="0">
      <alignment horizontal="right" vertical="center"/>
    </xf>
    <xf numFmtId="4" fontId="47" fillId="40" borderId="20" applyNumberFormat="0" applyProtection="0">
      <alignment horizontal="right" vertical="center"/>
    </xf>
    <xf numFmtId="4" fontId="47" fillId="39" borderId="20" applyNumberFormat="0" applyProtection="0">
      <alignment horizontal="right" vertical="center"/>
    </xf>
    <xf numFmtId="0" fontId="27" fillId="38" borderId="20" applyNumberFormat="0" applyProtection="0">
      <alignment horizontal="left" vertical="top" indent="1"/>
    </xf>
    <xf numFmtId="4" fontId="27" fillId="38" borderId="20" applyNumberFormat="0" applyProtection="0">
      <alignment horizontal="left" vertical="center" indent="1"/>
    </xf>
    <xf numFmtId="4" fontId="46" fillId="38" borderId="20" applyNumberFormat="0" applyProtection="0">
      <alignment vertical="center"/>
    </xf>
    <xf numFmtId="4" fontId="27" fillId="37" borderId="20" applyNumberFormat="0" applyProtection="0">
      <alignment vertical="center"/>
    </xf>
    <xf numFmtId="0" fontId="63" fillId="59" borderId="58" applyNumberFormat="0" applyFont="0" applyFill="0" applyAlignment="0" applyProtection="0">
      <protection locked="0"/>
    </xf>
    <xf numFmtId="0" fontId="114" fillId="79" borderId="56" applyNumberFormat="0" applyAlignment="0" applyProtection="0"/>
    <xf numFmtId="0" fontId="114" fillId="79" borderId="56" applyNumberFormat="0" applyAlignment="0" applyProtection="0"/>
    <xf numFmtId="0" fontId="114" fillId="79" borderId="56" applyNumberFormat="0" applyAlignment="0" applyProtection="0"/>
    <xf numFmtId="0" fontId="114" fillId="79" borderId="56" applyNumberFormat="0" applyAlignment="0" applyProtection="0"/>
    <xf numFmtId="0" fontId="114" fillId="79" borderId="56" applyNumberFormat="0" applyAlignment="0" applyProtection="0"/>
    <xf numFmtId="0" fontId="114" fillId="79" borderId="56" applyNumberFormat="0" applyAlignment="0" applyProtection="0"/>
    <xf numFmtId="0" fontId="102" fillId="79" borderId="54" applyNumberFormat="0" applyAlignment="0" applyProtection="0"/>
    <xf numFmtId="0" fontId="102" fillId="79" borderId="54" applyNumberFormat="0" applyAlignment="0" applyProtection="0"/>
    <xf numFmtId="0" fontId="102" fillId="79" borderId="54" applyNumberFormat="0" applyAlignment="0" applyProtection="0"/>
    <xf numFmtId="0" fontId="102" fillId="79" borderId="54" applyNumberFormat="0" applyAlignment="0" applyProtection="0"/>
    <xf numFmtId="0" fontId="110" fillId="77" borderId="54" applyNumberFormat="0" applyAlignment="0" applyProtection="0"/>
    <xf numFmtId="0" fontId="110" fillId="77" borderId="54" applyNumberFormat="0" applyAlignment="0" applyProtection="0"/>
    <xf numFmtId="0" fontId="110" fillId="77" borderId="54" applyNumberFormat="0" applyAlignment="0" applyProtection="0"/>
    <xf numFmtId="0" fontId="110" fillId="77" borderId="54" applyNumberFormat="0" applyAlignment="0" applyProtection="0"/>
    <xf numFmtId="0" fontId="24" fillId="59" borderId="58" applyNumberFormat="0" applyFont="0" applyAlignment="0" applyProtection="0">
      <protection locked="0"/>
    </xf>
    <xf numFmtId="0" fontId="105" fillId="0" borderId="57" applyNumberFormat="0" applyFill="0" applyAlignment="0" applyProtection="0"/>
    <xf numFmtId="0" fontId="105" fillId="0" borderId="57" applyNumberFormat="0" applyFill="0" applyAlignment="0" applyProtection="0"/>
    <xf numFmtId="0" fontId="102" fillId="79" borderId="59" applyNumberFormat="0" applyAlignment="0" applyProtection="0"/>
    <xf numFmtId="0" fontId="102" fillId="79" borderId="59" applyNumberFormat="0" applyAlignment="0" applyProtection="0"/>
    <xf numFmtId="0" fontId="102" fillId="79" borderId="59" applyNumberFormat="0" applyAlignment="0" applyProtection="0"/>
    <xf numFmtId="0" fontId="102" fillId="79" borderId="59" applyNumberFormat="0" applyAlignment="0" applyProtection="0"/>
    <xf numFmtId="0" fontId="110" fillId="77" borderId="59" applyNumberFormat="0" applyAlignment="0" applyProtection="0"/>
    <xf numFmtId="0" fontId="110" fillId="77" borderId="59" applyNumberFormat="0" applyAlignment="0" applyProtection="0"/>
    <xf numFmtId="0" fontId="110" fillId="77" borderId="59" applyNumberFormat="0" applyAlignment="0" applyProtection="0"/>
    <xf numFmtId="0" fontId="110" fillId="77" borderId="59" applyNumberFormat="0" applyAlignment="0" applyProtection="0"/>
    <xf numFmtId="0" fontId="19" fillId="76" borderId="60" applyNumberFormat="0" applyFont="0" applyAlignment="0" applyProtection="0"/>
    <xf numFmtId="0" fontId="19" fillId="76" borderId="60" applyNumberFormat="0" applyFont="0" applyAlignment="0" applyProtection="0"/>
    <xf numFmtId="0" fontId="19" fillId="76" borderId="60" applyNumberFormat="0" applyFont="0" applyAlignment="0" applyProtection="0"/>
    <xf numFmtId="0" fontId="19" fillId="76" borderId="60" applyNumberFormat="0" applyFont="0" applyAlignment="0" applyProtection="0"/>
    <xf numFmtId="0" fontId="19" fillId="76" borderId="60" applyNumberFormat="0" applyFont="0" applyAlignment="0" applyProtection="0"/>
    <xf numFmtId="0" fontId="19" fillId="76" borderId="60" applyNumberFormat="0" applyFont="0" applyAlignment="0" applyProtection="0"/>
    <xf numFmtId="0" fontId="114" fillId="79" borderId="61" applyNumberFormat="0" applyAlignment="0" applyProtection="0"/>
    <xf numFmtId="0" fontId="114" fillId="79" borderId="61" applyNumberFormat="0" applyAlignment="0" applyProtection="0"/>
    <xf numFmtId="0" fontId="114" fillId="79" borderId="61" applyNumberFormat="0" applyAlignment="0" applyProtection="0"/>
    <xf numFmtId="0" fontId="114" fillId="79" borderId="61" applyNumberFormat="0" applyAlignment="0" applyProtection="0"/>
    <xf numFmtId="0" fontId="114" fillId="79" borderId="61" applyNumberFormat="0" applyAlignment="0" applyProtection="0"/>
    <xf numFmtId="0" fontId="114" fillId="79" borderId="61" applyNumberFormat="0" applyAlignment="0" applyProtection="0"/>
    <xf numFmtId="4" fontId="27" fillId="37" borderId="62" applyNumberFormat="0" applyProtection="0">
      <alignment vertical="center"/>
    </xf>
    <xf numFmtId="4" fontId="46" fillId="38" borderId="62" applyNumberFormat="0" applyProtection="0">
      <alignment vertical="center"/>
    </xf>
    <xf numFmtId="4" fontId="27" fillId="38" borderId="62" applyNumberFormat="0" applyProtection="0">
      <alignment horizontal="left" vertical="center" indent="1"/>
    </xf>
    <xf numFmtId="0" fontId="27" fillId="38" borderId="62" applyNumberFormat="0" applyProtection="0">
      <alignment horizontal="left" vertical="top" indent="1"/>
    </xf>
    <xf numFmtId="4" fontId="47" fillId="39" borderId="62" applyNumberFormat="0" applyProtection="0">
      <alignment horizontal="right" vertical="center"/>
    </xf>
    <xf numFmtId="4" fontId="47" fillId="40" borderId="62" applyNumberFormat="0" applyProtection="0">
      <alignment horizontal="right" vertical="center"/>
    </xf>
    <xf numFmtId="4" fontId="47" fillId="41" borderId="62" applyNumberFormat="0" applyProtection="0">
      <alignment horizontal="right" vertical="center"/>
    </xf>
    <xf numFmtId="4" fontId="47" fillId="42" borderId="62" applyNumberFormat="0" applyProtection="0">
      <alignment horizontal="right" vertical="center"/>
    </xf>
    <xf numFmtId="4" fontId="47" fillId="43" borderId="62" applyNumberFormat="0" applyProtection="0">
      <alignment horizontal="right" vertical="center"/>
    </xf>
    <xf numFmtId="4" fontId="47" fillId="44" borderId="62" applyNumberFormat="0" applyProtection="0">
      <alignment horizontal="right" vertical="center"/>
    </xf>
    <xf numFmtId="4" fontId="47" fillId="45" borderId="62" applyNumberFormat="0" applyProtection="0">
      <alignment horizontal="right" vertical="center"/>
    </xf>
    <xf numFmtId="4" fontId="47" fillId="46" borderId="62" applyNumberFormat="0" applyProtection="0">
      <alignment horizontal="right" vertical="center"/>
    </xf>
    <xf numFmtId="4" fontId="47" fillId="47" borderId="62" applyNumberFormat="0" applyProtection="0">
      <alignment horizontal="right" vertical="center"/>
    </xf>
    <xf numFmtId="4" fontId="47" fillId="51" borderId="62" applyNumberFormat="0" applyProtection="0">
      <alignment horizontal="right" vertical="center"/>
    </xf>
    <xf numFmtId="0" fontId="19" fillId="50" borderId="62" applyNumberFormat="0" applyProtection="0">
      <alignment horizontal="left" vertical="center" indent="1"/>
    </xf>
    <xf numFmtId="0" fontId="19" fillId="84" borderId="62" applyNumberFormat="0" applyProtection="0">
      <alignment horizontal="left" vertical="center" indent="1"/>
    </xf>
    <xf numFmtId="0" fontId="19" fillId="84" borderId="62" applyNumberFormat="0" applyProtection="0">
      <alignment horizontal="left" vertical="center" indent="1"/>
    </xf>
    <xf numFmtId="0" fontId="19" fillId="50" borderId="62" applyNumberFormat="0" applyProtection="0">
      <alignment horizontal="left" vertical="top" indent="1"/>
    </xf>
    <xf numFmtId="0" fontId="19" fillId="84" borderId="62" applyNumberFormat="0" applyProtection="0">
      <alignment horizontal="left" vertical="top" indent="1"/>
    </xf>
    <xf numFmtId="0" fontId="19" fillId="84" borderId="62" applyNumberFormat="0" applyProtection="0">
      <alignment horizontal="left" vertical="top" indent="1"/>
    </xf>
    <xf numFmtId="0" fontId="19" fillId="34" borderId="62" applyNumberFormat="0" applyProtection="0">
      <alignment horizontal="left" vertical="center" indent="1"/>
    </xf>
    <xf numFmtId="0" fontId="19" fillId="51" borderId="62" applyNumberFormat="0" applyProtection="0">
      <alignment horizontal="left" vertical="center" indent="1"/>
    </xf>
    <xf numFmtId="0" fontId="19" fillId="51" borderId="62" applyNumberFormat="0" applyProtection="0">
      <alignment horizontal="left" vertical="center" indent="1"/>
    </xf>
    <xf numFmtId="0" fontId="19" fillId="34" borderId="62" applyNumberFormat="0" applyProtection="0">
      <alignment horizontal="left" vertical="top" indent="1"/>
    </xf>
    <xf numFmtId="0" fontId="19" fillId="51" borderId="62" applyNumberFormat="0" applyProtection="0">
      <alignment horizontal="left" vertical="top" indent="1"/>
    </xf>
    <xf numFmtId="0" fontId="19" fillId="51" borderId="62" applyNumberFormat="0" applyProtection="0">
      <alignment horizontal="left" vertical="top" indent="1"/>
    </xf>
    <xf numFmtId="0" fontId="19" fillId="54" borderId="62" applyNumberFormat="0" applyProtection="0">
      <alignment horizontal="left" vertical="center" indent="1"/>
    </xf>
    <xf numFmtId="0" fontId="19" fillId="85" borderId="62" applyNumberFormat="0" applyProtection="0">
      <alignment horizontal="left" vertical="center" indent="1"/>
    </xf>
    <xf numFmtId="0" fontId="19" fillId="85" borderId="62" applyNumberFormat="0" applyProtection="0">
      <alignment horizontal="left" vertical="center" indent="1"/>
    </xf>
    <xf numFmtId="0" fontId="19" fillId="54" borderId="62" applyNumberFormat="0" applyProtection="0">
      <alignment horizontal="left" vertical="top" indent="1"/>
    </xf>
    <xf numFmtId="0" fontId="19" fillId="85" borderId="62" applyNumberFormat="0" applyProtection="0">
      <alignment horizontal="left" vertical="top" indent="1"/>
    </xf>
    <xf numFmtId="0" fontId="19" fillId="85" borderId="62" applyNumberFormat="0" applyProtection="0">
      <alignment horizontal="left" vertical="top" indent="1"/>
    </xf>
    <xf numFmtId="0" fontId="19" fillId="55" borderId="62" applyNumberFormat="0" applyProtection="0">
      <alignment horizontal="left" vertical="center" indent="1"/>
    </xf>
    <xf numFmtId="0" fontId="19" fillId="49" borderId="62" applyNumberFormat="0" applyProtection="0">
      <alignment horizontal="left" vertical="center" indent="1"/>
    </xf>
    <xf numFmtId="0" fontId="19" fillId="49" borderId="62" applyNumberFormat="0" applyProtection="0">
      <alignment horizontal="left" vertical="center" indent="1"/>
    </xf>
    <xf numFmtId="0" fontId="19" fillId="55" borderId="62" applyNumberFormat="0" applyProtection="0">
      <alignment horizontal="left" vertical="top" indent="1"/>
    </xf>
    <xf numFmtId="0" fontId="19" fillId="49" borderId="62" applyNumberFormat="0" applyProtection="0">
      <alignment horizontal="left" vertical="top" indent="1"/>
    </xf>
    <xf numFmtId="0" fontId="19" fillId="49" borderId="62" applyNumberFormat="0" applyProtection="0">
      <alignment horizontal="left" vertical="top" indent="1"/>
    </xf>
    <xf numFmtId="4" fontId="47" fillId="35" borderId="62" applyNumberFormat="0" applyProtection="0">
      <alignment vertical="center"/>
    </xf>
    <xf numFmtId="4" fontId="51" fillId="35" borderId="62" applyNumberFormat="0" applyProtection="0">
      <alignment vertical="center"/>
    </xf>
    <xf numFmtId="4" fontId="47" fillId="35" borderId="62" applyNumberFormat="0" applyProtection="0">
      <alignment horizontal="left" vertical="center" indent="1"/>
    </xf>
    <xf numFmtId="0" fontId="47" fillId="35" borderId="62" applyNumberFormat="0" applyProtection="0">
      <alignment horizontal="left" vertical="top" indent="1"/>
    </xf>
    <xf numFmtId="4" fontId="47" fillId="0" borderId="62" applyNumberFormat="0" applyProtection="0">
      <alignment horizontal="right" vertical="center"/>
    </xf>
    <xf numFmtId="4" fontId="51" fillId="49" borderId="62" applyNumberFormat="0" applyProtection="0">
      <alignment horizontal="right" vertical="center"/>
    </xf>
    <xf numFmtId="4" fontId="47" fillId="0" borderId="62" applyNumberFormat="0" applyProtection="0">
      <alignment horizontal="left" vertical="center" indent="1"/>
    </xf>
    <xf numFmtId="0" fontId="47" fillId="34" borderId="62" applyNumberFormat="0" applyProtection="0">
      <alignment horizontal="left" vertical="top"/>
    </xf>
    <xf numFmtId="4" fontId="25" fillId="49" borderId="62" applyNumberFormat="0" applyProtection="0">
      <alignment horizontal="right" vertical="center"/>
    </xf>
    <xf numFmtId="0" fontId="105" fillId="0" borderId="63" applyNumberFormat="0" applyFill="0" applyAlignment="0" applyProtection="0"/>
    <xf numFmtId="0" fontId="105" fillId="0" borderId="63" applyNumberFormat="0" applyFill="0" applyAlignment="0" applyProtection="0"/>
    <xf numFmtId="0" fontId="105" fillId="0" borderId="63" applyNumberFormat="0" applyFill="0" applyAlignment="0" applyProtection="0"/>
    <xf numFmtId="0" fontId="105" fillId="0" borderId="63" applyNumberFormat="0" applyFill="0" applyAlignment="0" applyProtection="0"/>
    <xf numFmtId="0" fontId="105" fillId="0" borderId="63" applyNumberFormat="0" applyFill="0" applyAlignment="0" applyProtection="0"/>
    <xf numFmtId="0" fontId="105" fillId="0" borderId="63" applyNumberFormat="0" applyFill="0" applyAlignment="0" applyProtection="0"/>
    <xf numFmtId="37" fontId="30" fillId="0" borderId="0"/>
    <xf numFmtId="43" fontId="1" fillId="0" borderId="0" applyFont="0" applyFill="0" applyBorder="0" applyAlignment="0" applyProtection="0"/>
    <xf numFmtId="39" fontId="30" fillId="0" borderId="0"/>
    <xf numFmtId="43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18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0" fontId="1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18" fillId="0" borderId="0"/>
    <xf numFmtId="9" fontId="18" fillId="0" borderId="0" applyFont="0" applyFill="0" applyBorder="0" applyAlignment="0" applyProtection="0"/>
    <xf numFmtId="0" fontId="118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" fillId="0" borderId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7" fontId="30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0" borderId="0"/>
    <xf numFmtId="37" fontId="121" fillId="0" borderId="0"/>
    <xf numFmtId="43" fontId="18" fillId="0" borderId="0" applyFont="0" applyFill="0" applyBorder="0" applyAlignment="0" applyProtection="0"/>
    <xf numFmtId="44" fontId="18" fillId="0" borderId="0" applyFont="0" applyFill="0" applyBorder="0" applyProtection="0">
      <alignment horizontal="right"/>
    </xf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8" fontId="18" fillId="0" borderId="0"/>
    <xf numFmtId="168" fontId="18" fillId="0" borderId="0"/>
    <xf numFmtId="168" fontId="18" fillId="0" borderId="0"/>
    <xf numFmtId="168" fontId="18" fillId="0" borderId="0"/>
    <xf numFmtId="168" fontId="18" fillId="0" borderId="0"/>
    <xf numFmtId="168" fontId="18" fillId="0" borderId="0"/>
    <xf numFmtId="168" fontId="18" fillId="0" borderId="0"/>
    <xf numFmtId="168" fontId="18" fillId="0" borderId="0"/>
    <xf numFmtId="43" fontId="18" fillId="0" borderId="0" applyFont="0" applyFill="0" applyBorder="0" applyAlignment="0" applyProtection="0"/>
    <xf numFmtId="0" fontId="26" fillId="0" borderId="82" applyNumberFormat="0" applyAlignment="0" applyProtection="0">
      <alignment horizontal="left" vertical="center"/>
    </xf>
    <xf numFmtId="171" fontId="18" fillId="0" borderId="0"/>
    <xf numFmtId="173" fontId="18" fillId="0" borderId="0"/>
    <xf numFmtId="0" fontId="18" fillId="0" borderId="0"/>
    <xf numFmtId="0" fontId="24" fillId="59" borderId="98" applyNumberFormat="0" applyFont="0" applyAlignment="0" applyProtection="0">
      <protection locked="0"/>
    </xf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27" fillId="37" borderId="83" applyNumberFormat="0" applyProtection="0">
      <alignment vertical="center"/>
    </xf>
    <xf numFmtId="4" fontId="46" fillId="38" borderId="83" applyNumberFormat="0" applyProtection="0">
      <alignment vertical="center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0" fontId="27" fillId="38" borderId="83" applyNumberFormat="0" applyProtection="0">
      <alignment horizontal="left" vertical="top" indent="1"/>
    </xf>
    <xf numFmtId="4" fontId="27" fillId="34" borderId="83" applyNumberFormat="0" applyProtection="0"/>
    <xf numFmtId="4" fontId="47" fillId="39" borderId="83" applyNumberFormat="0" applyProtection="0">
      <alignment horizontal="right" vertical="center"/>
    </xf>
    <xf numFmtId="4" fontId="47" fillId="40" borderId="83" applyNumberFormat="0" applyProtection="0">
      <alignment horizontal="right" vertical="center"/>
    </xf>
    <xf numFmtId="4" fontId="47" fillId="41" borderId="83" applyNumberFormat="0" applyProtection="0">
      <alignment horizontal="right" vertical="center"/>
    </xf>
    <xf numFmtId="4" fontId="47" fillId="42" borderId="83" applyNumberFormat="0" applyProtection="0">
      <alignment horizontal="right" vertical="center"/>
    </xf>
    <xf numFmtId="4" fontId="47" fillId="43" borderId="83" applyNumberFormat="0" applyProtection="0">
      <alignment horizontal="right" vertical="center"/>
    </xf>
    <xf numFmtId="4" fontId="47" fillId="44" borderId="83" applyNumberFormat="0" applyProtection="0">
      <alignment horizontal="right" vertical="center"/>
    </xf>
    <xf numFmtId="4" fontId="47" fillId="45" borderId="83" applyNumberFormat="0" applyProtection="0">
      <alignment horizontal="right" vertical="center"/>
    </xf>
    <xf numFmtId="4" fontId="47" fillId="46" borderId="83" applyNumberFormat="0" applyProtection="0">
      <alignment horizontal="right" vertical="center"/>
    </xf>
    <xf numFmtId="4" fontId="47" fillId="47" borderId="83" applyNumberFormat="0" applyProtection="0">
      <alignment horizontal="right" vertical="center"/>
    </xf>
    <xf numFmtId="4" fontId="27" fillId="48" borderId="84" applyNumberFormat="0" applyProtection="0">
      <alignment horizontal="left" vertical="center" indent="1"/>
    </xf>
    <xf numFmtId="4" fontId="47" fillId="51" borderId="83" applyNumberFormat="0" applyProtection="0">
      <alignment horizontal="right" vertical="center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top" indent="1"/>
    </xf>
    <xf numFmtId="0" fontId="18" fillId="50" borderId="83" applyNumberFormat="0" applyProtection="0">
      <alignment horizontal="left" vertical="top" indent="1"/>
    </xf>
    <xf numFmtId="0" fontId="18" fillId="50" borderId="83" applyNumberFormat="0" applyProtection="0">
      <alignment horizontal="left" vertical="top" indent="1"/>
    </xf>
    <xf numFmtId="0" fontId="18" fillId="50" borderId="83" applyNumberFormat="0" applyProtection="0">
      <alignment horizontal="left" vertical="top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top" indent="1"/>
    </xf>
    <xf numFmtId="0" fontId="18" fillId="34" borderId="83" applyNumberFormat="0" applyProtection="0">
      <alignment horizontal="left" vertical="top" indent="1"/>
    </xf>
    <xf numFmtId="0" fontId="18" fillId="34" borderId="83" applyNumberFormat="0" applyProtection="0">
      <alignment horizontal="left" vertical="top" indent="1"/>
    </xf>
    <xf numFmtId="0" fontId="18" fillId="3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top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top" indent="1"/>
    </xf>
    <xf numFmtId="0" fontId="18" fillId="55" borderId="83" applyNumberFormat="0" applyProtection="0">
      <alignment horizontal="left" vertical="top" indent="1"/>
    </xf>
    <xf numFmtId="0" fontId="18" fillId="55" borderId="83" applyNumberFormat="0" applyProtection="0">
      <alignment horizontal="left" vertical="top" indent="1"/>
    </xf>
    <xf numFmtId="0" fontId="18" fillId="55" borderId="83" applyNumberFormat="0" applyProtection="0">
      <alignment horizontal="left" vertical="top" indent="1"/>
    </xf>
    <xf numFmtId="4" fontId="47" fillId="35" borderId="83" applyNumberFormat="0" applyProtection="0">
      <alignment vertical="center"/>
    </xf>
    <xf numFmtId="4" fontId="51" fillId="35" borderId="83" applyNumberFormat="0" applyProtection="0">
      <alignment vertical="center"/>
    </xf>
    <xf numFmtId="4" fontId="47" fillId="35" borderId="83" applyNumberFormat="0" applyProtection="0">
      <alignment horizontal="left" vertical="center" indent="1"/>
    </xf>
    <xf numFmtId="0" fontId="47" fillId="35" borderId="83" applyNumberFormat="0" applyProtection="0">
      <alignment horizontal="left" vertical="top" indent="1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4" fontId="51" fillId="49" borderId="83" applyNumberFormat="0" applyProtection="0">
      <alignment horizontal="right" vertical="center"/>
    </xf>
    <xf numFmtId="4" fontId="47" fillId="0" borderId="83" applyNumberFormat="0" applyProtection="0">
      <alignment horizontal="left" vertical="center" indent="1"/>
    </xf>
    <xf numFmtId="4" fontId="47" fillId="0" borderId="83" applyNumberFormat="0" applyProtection="0">
      <alignment horizontal="left" vertical="center" indent="1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left" vertical="top"/>
    </xf>
    <xf numFmtId="4" fontId="25" fillId="49" borderId="83" applyNumberFormat="0" applyProtection="0">
      <alignment horizontal="right" vertical="center"/>
    </xf>
    <xf numFmtId="175" fontId="18" fillId="0" borderId="78">
      <alignment horizontal="justify" vertical="top" wrapText="1"/>
    </xf>
    <xf numFmtId="0" fontId="18" fillId="0" borderId="0">
      <alignment horizontal="left" wrapText="1"/>
    </xf>
    <xf numFmtId="176" fontId="18" fillId="0" borderId="0" applyFill="0" applyBorder="0" applyAlignment="0" applyProtection="0">
      <alignment wrapText="1"/>
    </xf>
    <xf numFmtId="0" fontId="18" fillId="0" borderId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vertical="center"/>
    </xf>
    <xf numFmtId="4" fontId="27" fillId="34" borderId="83" applyNumberFormat="0" applyProtection="0"/>
    <xf numFmtId="4" fontId="27" fillId="34" borderId="83" applyNumberFormat="0" applyProtection="0"/>
    <xf numFmtId="4" fontId="27" fillId="34" borderId="83" applyNumberFormat="0" applyProtection="0"/>
    <xf numFmtId="4" fontId="27" fillId="34" borderId="83" applyNumberFormat="0" applyProtection="0"/>
    <xf numFmtId="4" fontId="27" fillId="34" borderId="64" applyNumberFormat="0" applyProtection="0">
      <alignment vertical="center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top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top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top" indent="1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left" vertical="center" indent="1"/>
    </xf>
    <xf numFmtId="4" fontId="47" fillId="0" borderId="83" applyNumberFormat="0" applyProtection="0">
      <alignment horizontal="left" vertical="center" indent="1"/>
    </xf>
    <xf numFmtId="4" fontId="47" fillId="0" borderId="83" applyNumberFormat="0" applyProtection="0">
      <alignment horizontal="left" vertical="center" indent="1"/>
    </xf>
    <xf numFmtId="4" fontId="47" fillId="0" borderId="83" applyNumberFormat="0" applyProtection="0">
      <alignment horizontal="left" vertical="center" indent="1"/>
    </xf>
    <xf numFmtId="4" fontId="47" fillId="59" borderId="83" applyNumberFormat="0" applyProtection="0">
      <alignment horizontal="left" vertical="center" indent="1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center" vertical="top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37" fontId="18" fillId="0" borderId="0" applyFill="0" applyBorder="0" applyAlignment="0" applyProtection="0"/>
    <xf numFmtId="44" fontId="18" fillId="0" borderId="0" applyFont="0" applyFill="0" applyBorder="0" applyAlignment="0" applyProtection="0"/>
    <xf numFmtId="5" fontId="18" fillId="0" borderId="0" applyFill="0" applyBorder="0" applyAlignment="0" applyProtection="0"/>
    <xf numFmtId="178" fontId="18" fillId="0" borderId="0" applyFill="0" applyBorder="0" applyAlignment="0" applyProtection="0"/>
    <xf numFmtId="2" fontId="18" fillId="0" borderId="0" applyFill="0" applyBorder="0" applyAlignment="0" applyProtection="0"/>
    <xf numFmtId="0" fontId="18" fillId="0" borderId="0"/>
    <xf numFmtId="178" fontId="18" fillId="0" borderId="0" applyFill="0" applyBorder="0" applyAlignment="0" applyProtection="0"/>
    <xf numFmtId="4" fontId="47" fillId="51" borderId="83" applyNumberFormat="0" applyProtection="0">
      <alignment horizontal="left" vertical="center" indent="1"/>
    </xf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Protection="0">
      <alignment horizontal="right"/>
    </xf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" fontId="27" fillId="38" borderId="83" applyNumberFormat="0" applyProtection="0">
      <alignment horizontal="left" vertical="center" indent="1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left" vertical="center" indent="1"/>
    </xf>
    <xf numFmtId="0" fontId="47" fillId="34" borderId="83" applyNumberFormat="0" applyProtection="0">
      <alignment horizontal="left" vertical="top"/>
    </xf>
    <xf numFmtId="0" fontId="18" fillId="0" borderId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178" fontId="18" fillId="0" borderId="0" applyFill="0" applyBorder="0" applyAlignment="0" applyProtection="0"/>
    <xf numFmtId="37" fontId="18" fillId="0" borderId="0" applyFill="0" applyBorder="0" applyAlignment="0" applyProtection="0"/>
    <xf numFmtId="178" fontId="18" fillId="0" borderId="0" applyFill="0" applyBorder="0" applyAlignment="0" applyProtection="0"/>
    <xf numFmtId="0" fontId="18" fillId="0" borderId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178" fontId="18" fillId="0" borderId="0" applyFill="0" applyBorder="0" applyAlignment="0" applyProtection="0"/>
    <xf numFmtId="178" fontId="18" fillId="0" borderId="0" applyFill="0" applyBorder="0" applyAlignment="0" applyProtection="0"/>
    <xf numFmtId="4" fontId="27" fillId="34" borderId="64" applyNumberFormat="0" applyProtection="0">
      <alignment vertical="center"/>
    </xf>
    <xf numFmtId="178" fontId="18" fillId="0" borderId="0" applyFill="0" applyBorder="0" applyAlignment="0" applyProtection="0"/>
    <xf numFmtId="37" fontId="18" fillId="0" borderId="0" applyFill="0" applyBorder="0" applyAlignment="0" applyProtection="0"/>
    <xf numFmtId="178" fontId="18" fillId="0" borderId="0" applyFill="0" applyBorder="0" applyAlignment="0" applyProtection="0"/>
    <xf numFmtId="37" fontId="18" fillId="0" borderId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102" fillId="79" borderId="97" applyNumberFormat="0" applyAlignment="0" applyProtection="0"/>
    <xf numFmtId="4" fontId="27" fillId="34" borderId="64" applyNumberFormat="0" applyProtection="0">
      <alignment vertical="center"/>
    </xf>
    <xf numFmtId="0" fontId="63" fillId="59" borderId="98" applyNumberFormat="0" applyFont="0" applyFill="0" applyAlignment="0" applyProtection="0">
      <protection locked="0"/>
    </xf>
    <xf numFmtId="0" fontId="18" fillId="51" borderId="100" applyNumberFormat="0" applyProtection="0">
      <alignment horizontal="left" vertical="center" indent="1"/>
    </xf>
    <xf numFmtId="0" fontId="110" fillId="77" borderId="97" applyNumberFormat="0" applyAlignment="0" applyProtection="0"/>
    <xf numFmtId="0" fontId="18" fillId="0" borderId="30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" fontId="18" fillId="0" borderId="0" applyFont="0" applyFill="0" applyBorder="0" applyAlignment="0" applyProtection="0"/>
    <xf numFmtId="0" fontId="18" fillId="0" borderId="0"/>
    <xf numFmtId="0" fontId="18" fillId="0" borderId="0"/>
    <xf numFmtId="0" fontId="21" fillId="35" borderId="71" applyNumberFormat="0" applyFont="0" applyAlignment="0" applyProtection="0">
      <alignment horizontal="center"/>
      <protection locked="0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ont="0" applyFill="0" applyBorder="0" applyAlignment="0" applyProtection="0"/>
    <xf numFmtId="4" fontId="47" fillId="0" borderId="100" applyNumberFormat="0" applyProtection="0">
      <alignment horizontal="right" vertical="center"/>
    </xf>
    <xf numFmtId="4" fontId="47" fillId="0" borderId="100" applyNumberFormat="0" applyProtection="0">
      <alignment horizontal="left" vertical="center" indent="1"/>
    </xf>
    <xf numFmtId="0" fontId="18" fillId="54" borderId="100" applyNumberFormat="0" applyProtection="0">
      <alignment horizontal="left" vertical="top" indent="1"/>
    </xf>
    <xf numFmtId="4" fontId="27" fillId="38" borderId="100" applyNumberFormat="0" applyProtection="0">
      <alignment horizontal="left" vertical="center" indent="1"/>
    </xf>
    <xf numFmtId="0" fontId="18" fillId="0" borderId="0"/>
    <xf numFmtId="0" fontId="18" fillId="0" borderId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47" fillId="34" borderId="100" applyNumberFormat="0" applyProtection="0">
      <alignment horizontal="left" vertical="top"/>
    </xf>
    <xf numFmtId="4" fontId="47" fillId="35" borderId="100" applyNumberFormat="0" applyProtection="0">
      <alignment horizontal="left" vertical="center" indent="1"/>
    </xf>
    <xf numFmtId="0" fontId="18" fillId="50" borderId="100" applyNumberFormat="0" applyProtection="0">
      <alignment horizontal="left" vertical="center" indent="1"/>
    </xf>
    <xf numFmtId="4" fontId="27" fillId="38" borderId="100" applyNumberFormat="0" applyProtection="0">
      <alignment horizontal="left" vertical="center" indent="1"/>
    </xf>
    <xf numFmtId="0" fontId="18" fillId="51" borderId="100" applyNumberFormat="0" applyProtection="0">
      <alignment horizontal="left" vertical="top" indent="1"/>
    </xf>
    <xf numFmtId="0" fontId="21" fillId="35" borderId="12" applyNumberFormat="0" applyFont="0" applyAlignment="0" applyProtection="0">
      <alignment horizontal="center"/>
      <protection locked="0"/>
    </xf>
    <xf numFmtId="4" fontId="47" fillId="44" borderId="100" applyNumberFormat="0" applyProtection="0">
      <alignment horizontal="right" vertical="center"/>
    </xf>
    <xf numFmtId="0" fontId="18" fillId="34" borderId="100" applyNumberFormat="0" applyProtection="0">
      <alignment horizontal="left" vertical="top" indent="1"/>
    </xf>
    <xf numFmtId="0" fontId="18" fillId="85" borderId="100" applyNumberFormat="0" applyProtection="0">
      <alignment horizontal="left" vertical="center" indent="1"/>
    </xf>
    <xf numFmtId="0" fontId="18" fillId="85" borderId="100" applyNumberFormat="0" applyProtection="0">
      <alignment horizontal="left" vertical="center" indent="1"/>
    </xf>
    <xf numFmtId="0" fontId="18" fillId="50" borderId="100" applyNumberFormat="0" applyProtection="0">
      <alignment horizontal="left" vertical="top" indent="1"/>
    </xf>
    <xf numFmtId="4" fontId="47" fillId="43" borderId="100" applyNumberFormat="0" applyProtection="0">
      <alignment horizontal="right" vertical="center"/>
    </xf>
    <xf numFmtId="0" fontId="18" fillId="54" borderId="100" applyNumberFormat="0" applyProtection="0">
      <alignment horizontal="left" vertical="center" indent="1"/>
    </xf>
    <xf numFmtId="0" fontId="105" fillId="0" borderId="104" applyNumberFormat="0" applyFill="0" applyAlignment="0" applyProtection="0"/>
    <xf numFmtId="0" fontId="105" fillId="0" borderId="104" applyNumberFormat="0" applyFill="0" applyAlignment="0" applyProtection="0"/>
    <xf numFmtId="4" fontId="47" fillId="45" borderId="100" applyNumberFormat="0" applyProtection="0">
      <alignment horizontal="right" vertical="center"/>
    </xf>
    <xf numFmtId="0" fontId="102" fillId="79" borderId="101" applyNumberFormat="0" applyAlignment="0" applyProtection="0"/>
    <xf numFmtId="4" fontId="47" fillId="0" borderId="100" applyNumberFormat="0" applyProtection="0">
      <alignment horizontal="right" vertical="center"/>
    </xf>
    <xf numFmtId="0" fontId="18" fillId="34" borderId="100" applyNumberFormat="0" applyProtection="0">
      <alignment horizontal="left" vertical="top" indent="1"/>
    </xf>
    <xf numFmtId="0" fontId="18" fillId="84" borderId="100" applyNumberFormat="0" applyProtection="0">
      <alignment horizontal="left" vertical="center" indent="1"/>
    </xf>
    <xf numFmtId="0" fontId="18" fillId="34" borderId="100" applyNumberFormat="0" applyProtection="0">
      <alignment horizontal="left" vertical="center" indent="1"/>
    </xf>
    <xf numFmtId="0" fontId="18" fillId="50" borderId="100" applyNumberFormat="0" applyProtection="0">
      <alignment horizontal="left" vertical="center" indent="1"/>
    </xf>
    <xf numFmtId="0" fontId="18" fillId="50" borderId="100" applyNumberFormat="0" applyProtection="0">
      <alignment horizontal="left" vertical="top" indent="1"/>
    </xf>
    <xf numFmtId="0" fontId="110" fillId="77" borderId="101" applyNumberFormat="0" applyAlignment="0" applyProtection="0"/>
    <xf numFmtId="4" fontId="47" fillId="41" borderId="100" applyNumberFormat="0" applyProtection="0">
      <alignment horizontal="right" vertical="center"/>
    </xf>
    <xf numFmtId="0" fontId="105" fillId="0" borderId="104" applyNumberFormat="0" applyFill="0" applyAlignment="0" applyProtection="0"/>
    <xf numFmtId="0" fontId="18" fillId="50" borderId="100" applyNumberFormat="0" applyProtection="0">
      <alignment horizontal="left" vertical="center" indent="1"/>
    </xf>
    <xf numFmtId="4" fontId="27" fillId="37" borderId="100" applyNumberFormat="0" applyProtection="0">
      <alignment vertical="center"/>
    </xf>
    <xf numFmtId="0" fontId="18" fillId="85" borderId="100" applyNumberFormat="0" applyProtection="0">
      <alignment horizontal="left" vertical="center" indent="1"/>
    </xf>
    <xf numFmtId="4" fontId="47" fillId="51" borderId="100" applyNumberFormat="0" applyProtection="0">
      <alignment horizontal="right" vertical="center"/>
    </xf>
    <xf numFmtId="4" fontId="47" fillId="35" borderId="100" applyNumberFormat="0" applyProtection="0">
      <alignment horizontal="left" vertical="center" indent="1"/>
    </xf>
    <xf numFmtId="0" fontId="18" fillId="84" borderId="100" applyNumberFormat="0" applyProtection="0">
      <alignment horizontal="left" vertical="top" indent="1"/>
    </xf>
    <xf numFmtId="0" fontId="114" fillId="79" borderId="103" applyNumberFormat="0" applyAlignment="0" applyProtection="0"/>
    <xf numFmtId="0" fontId="24" fillId="59" borderId="105" applyNumberFormat="0" applyFont="0" applyAlignment="0" applyProtection="0">
      <protection locked="0"/>
    </xf>
    <xf numFmtId="4" fontId="47" fillId="40" borderId="100" applyNumberFormat="0" applyProtection="0">
      <alignment horizontal="right" vertical="center"/>
    </xf>
    <xf numFmtId="0" fontId="18" fillId="54" borderId="100" applyNumberFormat="0" applyProtection="0">
      <alignment horizontal="left" vertical="center" indent="1"/>
    </xf>
    <xf numFmtId="0" fontId="105" fillId="0" borderId="104" applyNumberFormat="0" applyFill="0" applyAlignment="0" applyProtection="0"/>
    <xf numFmtId="0" fontId="18" fillId="51" borderId="100" applyNumberFormat="0" applyProtection="0">
      <alignment horizontal="left" vertical="top" indent="1"/>
    </xf>
    <xf numFmtId="0" fontId="110" fillId="77" borderId="101" applyNumberFormat="0" applyAlignment="0" applyProtection="0"/>
    <xf numFmtId="4" fontId="47" fillId="0" borderId="100" applyNumberFormat="0" applyProtection="0">
      <alignment horizontal="right" vertical="center"/>
    </xf>
    <xf numFmtId="0" fontId="47" fillId="34" borderId="100" applyNumberFormat="0" applyProtection="0">
      <alignment horizontal="left" vertical="top"/>
    </xf>
    <xf numFmtId="0" fontId="18" fillId="54" borderId="100" applyNumberFormat="0" applyProtection="0">
      <alignment horizontal="left" vertical="center" indent="1"/>
    </xf>
    <xf numFmtId="4" fontId="47" fillId="44" borderId="100" applyNumberFormat="0" applyProtection="0">
      <alignment horizontal="right" vertical="center"/>
    </xf>
    <xf numFmtId="0" fontId="114" fillId="79" borderId="103" applyNumberFormat="0" applyAlignment="0" applyProtection="0"/>
    <xf numFmtId="0" fontId="18" fillId="49" borderId="100" applyNumberFormat="0" applyProtection="0">
      <alignment horizontal="left" vertical="top" indent="1"/>
    </xf>
    <xf numFmtId="4" fontId="47" fillId="40" borderId="100" applyNumberFormat="0" applyProtection="0">
      <alignment horizontal="right" vertical="center"/>
    </xf>
    <xf numFmtId="0" fontId="114" fillId="79" borderId="103" applyNumberFormat="0" applyAlignment="0" applyProtection="0"/>
    <xf numFmtId="4" fontId="51" fillId="49" borderId="100" applyNumberFormat="0" applyProtection="0">
      <alignment horizontal="right" vertical="center"/>
    </xf>
    <xf numFmtId="4" fontId="47" fillId="35" borderId="100" applyNumberFormat="0" applyProtection="0">
      <alignment vertical="center"/>
    </xf>
    <xf numFmtId="0" fontId="18" fillId="84" borderId="100" applyNumberFormat="0" applyProtection="0">
      <alignment horizontal="left" vertical="top" indent="1"/>
    </xf>
    <xf numFmtId="4" fontId="25" fillId="49" borderId="100" applyNumberFormat="0" applyProtection="0">
      <alignment horizontal="right" vertical="center"/>
    </xf>
    <xf numFmtId="4" fontId="47" fillId="35" borderId="100" applyNumberFormat="0" applyProtection="0">
      <alignment vertical="center"/>
    </xf>
    <xf numFmtId="0" fontId="18" fillId="50" borderId="100" applyNumberFormat="0" applyProtection="0">
      <alignment horizontal="left" vertical="top" indent="1"/>
    </xf>
    <xf numFmtId="0" fontId="114" fillId="79" borderId="103" applyNumberFormat="0" applyAlignment="0" applyProtection="0"/>
    <xf numFmtId="0" fontId="114" fillId="79" borderId="103" applyNumberFormat="0" applyAlignment="0" applyProtection="0"/>
    <xf numFmtId="4" fontId="47" fillId="46" borderId="100" applyNumberFormat="0" applyProtection="0">
      <alignment horizontal="right" vertical="center"/>
    </xf>
    <xf numFmtId="0" fontId="18" fillId="54" borderId="100" applyNumberFormat="0" applyProtection="0">
      <alignment horizontal="left" vertical="top" indent="1"/>
    </xf>
    <xf numFmtId="0" fontId="105" fillId="0" borderId="104" applyNumberFormat="0" applyFill="0" applyAlignment="0" applyProtection="0"/>
    <xf numFmtId="0" fontId="18" fillId="85" borderId="100" applyNumberFormat="0" applyProtection="0">
      <alignment horizontal="left" vertical="top" indent="1"/>
    </xf>
    <xf numFmtId="4" fontId="47" fillId="0" borderId="100" applyNumberFormat="0" applyProtection="0">
      <alignment horizontal="left" vertical="center" indent="1"/>
    </xf>
    <xf numFmtId="4" fontId="27" fillId="38" borderId="100" applyNumberFormat="0" applyProtection="0">
      <alignment horizontal="left" vertical="center" indent="1"/>
    </xf>
    <xf numFmtId="0" fontId="18" fillId="55" borderId="100" applyNumberFormat="0" applyProtection="0">
      <alignment horizontal="left" vertical="top" indent="1"/>
    </xf>
    <xf numFmtId="0" fontId="18" fillId="50" borderId="100" applyNumberFormat="0" applyProtection="0">
      <alignment horizontal="left" vertical="top" indent="1"/>
    </xf>
    <xf numFmtId="4" fontId="47" fillId="47" borderId="100" applyNumberFormat="0" applyProtection="0">
      <alignment horizontal="right" vertical="center"/>
    </xf>
    <xf numFmtId="0" fontId="102" fillId="79" borderId="101" applyNumberFormat="0" applyAlignment="0" applyProtection="0"/>
    <xf numFmtId="0" fontId="18" fillId="49" borderId="100" applyNumberFormat="0" applyProtection="0">
      <alignment horizontal="left" vertical="center" indent="1"/>
    </xf>
    <xf numFmtId="0" fontId="105" fillId="0" borderId="104" applyNumberFormat="0" applyFill="0" applyAlignment="0" applyProtection="0"/>
    <xf numFmtId="0" fontId="18" fillId="54" borderId="100" applyNumberFormat="0" applyProtection="0">
      <alignment horizontal="left" vertical="center" indent="1"/>
    </xf>
    <xf numFmtId="0" fontId="18" fillId="55" borderId="100" applyNumberFormat="0" applyProtection="0">
      <alignment horizontal="left" vertical="top" indent="1"/>
    </xf>
    <xf numFmtId="0" fontId="114" fillId="79" borderId="103" applyNumberFormat="0" applyAlignment="0" applyProtection="0"/>
    <xf numFmtId="4" fontId="47" fillId="0" borderId="100" applyNumberFormat="0" applyProtection="0">
      <alignment horizontal="left" vertical="center" indent="1"/>
    </xf>
    <xf numFmtId="0" fontId="18" fillId="49" borderId="100" applyNumberFormat="0" applyProtection="0">
      <alignment horizontal="left" vertical="center" indent="1"/>
    </xf>
    <xf numFmtId="0" fontId="18" fillId="76" borderId="102" applyNumberFormat="0" applyFont="0" applyAlignment="0" applyProtection="0"/>
    <xf numFmtId="0" fontId="18" fillId="34" borderId="100" applyNumberFormat="0" applyProtection="0">
      <alignment horizontal="left" vertical="center" indent="1"/>
    </xf>
    <xf numFmtId="0" fontId="27" fillId="38" borderId="100" applyNumberFormat="0" applyProtection="0">
      <alignment horizontal="left" vertical="top" indent="1"/>
    </xf>
    <xf numFmtId="0" fontId="18" fillId="76" borderId="102" applyNumberFormat="0" applyFont="0" applyAlignment="0" applyProtection="0"/>
    <xf numFmtId="0" fontId="18" fillId="51" borderId="100" applyNumberFormat="0" applyProtection="0">
      <alignment horizontal="left" vertical="center" indent="1"/>
    </xf>
    <xf numFmtId="4" fontId="47" fillId="0" borderId="100" applyNumberFormat="0" applyProtection="0">
      <alignment horizontal="left" vertical="center" indent="1"/>
    </xf>
    <xf numFmtId="0" fontId="18" fillId="49" borderId="100" applyNumberFormat="0" applyProtection="0">
      <alignment horizontal="left" vertical="top" indent="1"/>
    </xf>
    <xf numFmtId="0" fontId="18" fillId="54" borderId="100" applyNumberFormat="0" applyProtection="0">
      <alignment horizontal="left" vertical="top" indent="1"/>
    </xf>
    <xf numFmtId="0" fontId="114" fillId="79" borderId="103" applyNumberFormat="0" applyAlignment="0" applyProtection="0"/>
    <xf numFmtId="0" fontId="105" fillId="0" borderId="104" applyNumberFormat="0" applyFill="0" applyAlignment="0" applyProtection="0"/>
    <xf numFmtId="0" fontId="18" fillId="85" borderId="100" applyNumberFormat="0" applyProtection="0">
      <alignment horizontal="left" vertical="top" indent="1"/>
    </xf>
    <xf numFmtId="4" fontId="47" fillId="45" borderId="100" applyNumberFormat="0" applyProtection="0">
      <alignment horizontal="right" vertical="center"/>
    </xf>
    <xf numFmtId="0" fontId="110" fillId="77" borderId="101" applyNumberFormat="0" applyAlignment="0" applyProtection="0"/>
    <xf numFmtId="0" fontId="18" fillId="84" borderId="100" applyNumberFormat="0" applyProtection="0">
      <alignment horizontal="left" vertical="center" indent="1"/>
    </xf>
    <xf numFmtId="0" fontId="18" fillId="49" borderId="100" applyNumberFormat="0" applyProtection="0">
      <alignment horizontal="left" vertical="top" indent="1"/>
    </xf>
    <xf numFmtId="44" fontId="18" fillId="0" borderId="0" applyFont="0" applyFill="0" applyBorder="0" applyAlignment="0" applyProtection="0"/>
    <xf numFmtId="0" fontId="18" fillId="55" borderId="100" applyNumberFormat="0" applyProtection="0">
      <alignment horizontal="left" vertical="center" indent="1"/>
    </xf>
    <xf numFmtId="0" fontId="47" fillId="34" borderId="100" applyNumberFormat="0" applyProtection="0">
      <alignment horizontal="left" vertical="top"/>
    </xf>
    <xf numFmtId="0" fontId="18" fillId="54" borderId="100" applyNumberFormat="0" applyProtection="0">
      <alignment horizontal="left" vertical="top" indent="1"/>
    </xf>
    <xf numFmtId="4" fontId="47" fillId="44" borderId="100" applyNumberFormat="0" applyProtection="0">
      <alignment horizontal="right" vertical="center"/>
    </xf>
    <xf numFmtId="4" fontId="47" fillId="0" borderId="100" applyNumberFormat="0" applyProtection="0">
      <alignment horizontal="right" vertical="center"/>
    </xf>
    <xf numFmtId="0" fontId="18" fillId="51" borderId="100" applyNumberFormat="0" applyProtection="0">
      <alignment horizontal="left" vertical="center" indent="1"/>
    </xf>
    <xf numFmtId="4" fontId="27" fillId="37" borderId="100" applyNumberFormat="0" applyProtection="0">
      <alignment vertical="center"/>
    </xf>
    <xf numFmtId="0" fontId="105" fillId="0" borderId="104" applyNumberFormat="0" applyFill="0" applyAlignment="0" applyProtection="0"/>
    <xf numFmtId="0" fontId="27" fillId="38" borderId="100" applyNumberFormat="0" applyProtection="0">
      <alignment horizontal="left" vertical="top" indent="1"/>
    </xf>
    <xf numFmtId="0" fontId="18" fillId="51" borderId="100" applyNumberFormat="0" applyProtection="0">
      <alignment horizontal="left" vertical="top" indent="1"/>
    </xf>
    <xf numFmtId="0" fontId="47" fillId="34" borderId="100" applyNumberFormat="0" applyProtection="0">
      <alignment horizontal="left" vertical="top"/>
    </xf>
    <xf numFmtId="0" fontId="18" fillId="85" borderId="100" applyNumberFormat="0" applyProtection="0">
      <alignment horizontal="left" vertical="center" indent="1"/>
    </xf>
    <xf numFmtId="0" fontId="110" fillId="77" borderId="101" applyNumberFormat="0" applyAlignment="0" applyProtection="0"/>
    <xf numFmtId="4" fontId="47" fillId="0" borderId="100" applyNumberFormat="0" applyProtection="0">
      <alignment horizontal="left" vertical="center" indent="1"/>
    </xf>
    <xf numFmtId="4" fontId="25" fillId="49" borderId="100" applyNumberFormat="0" applyProtection="0">
      <alignment horizontal="right" vertical="center"/>
    </xf>
    <xf numFmtId="0" fontId="18" fillId="54" borderId="100" applyNumberFormat="0" applyProtection="0">
      <alignment horizontal="left" vertical="center" indent="1"/>
    </xf>
    <xf numFmtId="4" fontId="47" fillId="46" borderId="100" applyNumberFormat="0" applyProtection="0">
      <alignment horizontal="right" vertical="center"/>
    </xf>
    <xf numFmtId="0" fontId="18" fillId="85" borderId="100" applyNumberFormat="0" applyProtection="0">
      <alignment horizontal="left" vertical="center" indent="1"/>
    </xf>
    <xf numFmtId="0" fontId="114" fillId="79" borderId="103" applyNumberFormat="0" applyAlignment="0" applyProtection="0"/>
    <xf numFmtId="4" fontId="27" fillId="38" borderId="100" applyNumberFormat="0" applyProtection="0">
      <alignment horizontal="left" vertical="center" indent="1"/>
    </xf>
    <xf numFmtId="0" fontId="18" fillId="55" borderId="100" applyNumberFormat="0" applyProtection="0">
      <alignment horizontal="left" vertical="center" indent="1"/>
    </xf>
    <xf numFmtId="4" fontId="46" fillId="38" borderId="100" applyNumberFormat="0" applyProtection="0">
      <alignment vertical="center"/>
    </xf>
    <xf numFmtId="0" fontId="114" fillId="79" borderId="103" applyNumberFormat="0" applyAlignment="0" applyProtection="0"/>
    <xf numFmtId="0" fontId="105" fillId="0" borderId="104" applyNumberFormat="0" applyFill="0" applyAlignment="0" applyProtection="0"/>
    <xf numFmtId="4" fontId="47" fillId="39" borderId="100" applyNumberFormat="0" applyProtection="0">
      <alignment horizontal="right" vertical="center"/>
    </xf>
    <xf numFmtId="4" fontId="27" fillId="34" borderId="107" applyNumberFormat="0" applyProtection="0">
      <alignment vertical="center"/>
    </xf>
    <xf numFmtId="4" fontId="47" fillId="35" borderId="100" applyNumberFormat="0" applyProtection="0">
      <alignment horizontal="left" vertical="center" indent="1"/>
    </xf>
    <xf numFmtId="0" fontId="18" fillId="84" borderId="100" applyNumberFormat="0" applyProtection="0">
      <alignment horizontal="left" vertical="top" indent="1"/>
    </xf>
    <xf numFmtId="0" fontId="18" fillId="85" borderId="100" applyNumberFormat="0" applyProtection="0">
      <alignment horizontal="left" vertical="center" indent="1"/>
    </xf>
    <xf numFmtId="0" fontId="18" fillId="49" borderId="100" applyNumberFormat="0" applyProtection="0">
      <alignment horizontal="left" vertical="center" indent="1"/>
    </xf>
    <xf numFmtId="0" fontId="114" fillId="79" borderId="103" applyNumberFormat="0" applyAlignment="0" applyProtection="0"/>
    <xf numFmtId="0" fontId="102" fillId="79" borderId="101" applyNumberFormat="0" applyAlignment="0" applyProtection="0"/>
    <xf numFmtId="0" fontId="18" fillId="76" borderId="102" applyNumberFormat="0" applyFont="0" applyAlignment="0" applyProtection="0"/>
    <xf numFmtId="0" fontId="102" fillId="79" borderId="101" applyNumberFormat="0" applyAlignment="0" applyProtection="0"/>
    <xf numFmtId="0" fontId="18" fillId="0" borderId="0"/>
    <xf numFmtId="4" fontId="27" fillId="37" borderId="100" applyNumberFormat="0" applyProtection="0">
      <alignment vertical="center"/>
    </xf>
    <xf numFmtId="4" fontId="27" fillId="38" borderId="100" applyNumberFormat="0" applyProtection="0">
      <alignment horizontal="left" vertical="center" indent="1"/>
    </xf>
    <xf numFmtId="0" fontId="18" fillId="34" borderId="100" applyNumberFormat="0" applyProtection="0">
      <alignment horizontal="left" vertical="top" indent="1"/>
    </xf>
    <xf numFmtId="4" fontId="47" fillId="51" borderId="100" applyNumberFormat="0" applyProtection="0">
      <alignment horizontal="left" vertical="center" indent="1"/>
    </xf>
    <xf numFmtId="4" fontId="27" fillId="38" borderId="100" applyNumberFormat="0" applyProtection="0">
      <alignment vertical="center"/>
    </xf>
    <xf numFmtId="0" fontId="24" fillId="59" borderId="105" applyNumberFormat="0" applyFont="0" applyAlignment="0" applyProtection="0">
      <protection locked="0"/>
    </xf>
    <xf numFmtId="0" fontId="18" fillId="34" borderId="100" applyNumberFormat="0" applyProtection="0">
      <alignment horizontal="left" vertical="top" indent="1"/>
    </xf>
    <xf numFmtId="0" fontId="102" fillId="79" borderId="97" applyNumberFormat="0" applyAlignment="0" applyProtection="0"/>
    <xf numFmtId="0" fontId="102" fillId="79" borderId="97" applyNumberFormat="0" applyAlignment="0" applyProtection="0"/>
    <xf numFmtId="0" fontId="102" fillId="79" borderId="97" applyNumberFormat="0" applyAlignment="0" applyProtection="0"/>
    <xf numFmtId="0" fontId="102" fillId="79" borderId="97" applyNumberFormat="0" applyAlignment="0" applyProtection="0"/>
    <xf numFmtId="0" fontId="110" fillId="77" borderId="97" applyNumberFormat="0" applyAlignment="0" applyProtection="0"/>
    <xf numFmtId="0" fontId="110" fillId="77" borderId="97" applyNumberFormat="0" applyAlignment="0" applyProtection="0"/>
    <xf numFmtId="0" fontId="110" fillId="77" borderId="97" applyNumberFormat="0" applyAlignment="0" applyProtection="0"/>
    <xf numFmtId="0" fontId="18" fillId="50" borderId="100" applyNumberFormat="0" applyProtection="0">
      <alignment horizontal="left" vertical="top" indent="1"/>
    </xf>
    <xf numFmtId="4" fontId="27" fillId="34" borderId="100" applyNumberForma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8" fillId="50" borderId="100" applyNumberFormat="0" applyProtection="0">
      <alignment horizontal="left" vertical="center" indent="1"/>
    </xf>
    <xf numFmtId="0" fontId="18" fillId="76" borderId="92" applyNumberFormat="0" applyFont="0" applyAlignment="0" applyProtection="0"/>
    <xf numFmtId="4" fontId="51" fillId="35" borderId="100" applyNumberFormat="0" applyProtection="0">
      <alignment vertical="center"/>
    </xf>
    <xf numFmtId="0" fontId="18" fillId="50" borderId="100" applyNumberFormat="0" applyProtection="0">
      <alignment horizontal="left" vertical="center" indent="1"/>
    </xf>
    <xf numFmtId="4" fontId="27" fillId="38" borderId="100" applyNumberFormat="0" applyProtection="0">
      <alignment horizontal="left" vertical="center" indent="1"/>
    </xf>
    <xf numFmtId="0" fontId="18" fillId="54" borderId="100" applyNumberFormat="0" applyProtection="0">
      <alignment horizontal="left" vertical="top" indent="1"/>
    </xf>
    <xf numFmtId="0" fontId="21" fillId="35" borderId="12" applyNumberFormat="0" applyFont="0" applyAlignment="0" applyProtection="0">
      <alignment horizontal="center"/>
      <protection locked="0"/>
    </xf>
    <xf numFmtId="0" fontId="18" fillId="76" borderId="102" applyNumberFormat="0" applyFont="0" applyAlignment="0" applyProtection="0"/>
    <xf numFmtId="0" fontId="18" fillId="76" borderId="102" applyNumberFormat="0" applyFont="0" applyAlignment="0" applyProtection="0"/>
    <xf numFmtId="0" fontId="105" fillId="0" borderId="104" applyNumberFormat="0" applyFill="0" applyAlignment="0" applyProtection="0"/>
    <xf numFmtId="0" fontId="114" fillId="79" borderId="103" applyNumberFormat="0" applyAlignment="0" applyProtection="0"/>
    <xf numFmtId="0" fontId="114" fillId="79" borderId="103" applyNumberFormat="0" applyAlignment="0" applyProtection="0"/>
    <xf numFmtId="4" fontId="47" fillId="45" borderId="100" applyNumberFormat="0" applyProtection="0">
      <alignment horizontal="right" vertical="center"/>
    </xf>
    <xf numFmtId="0" fontId="18" fillId="54" borderId="100" applyNumberFormat="0" applyProtection="0">
      <alignment horizontal="left" vertical="top" indent="1"/>
    </xf>
    <xf numFmtId="0" fontId="110" fillId="77" borderId="101" applyNumberFormat="0" applyAlignment="0" applyProtection="0"/>
    <xf numFmtId="0" fontId="18" fillId="51" borderId="100" applyNumberFormat="0" applyProtection="0">
      <alignment horizontal="left" vertical="center" indent="1"/>
    </xf>
    <xf numFmtId="0" fontId="18" fillId="76" borderId="102" applyNumberFormat="0" applyFont="0" applyAlignment="0" applyProtection="0"/>
    <xf numFmtId="4" fontId="47" fillId="40" borderId="100" applyNumberFormat="0" applyProtection="0">
      <alignment horizontal="right" vertical="center"/>
    </xf>
    <xf numFmtId="0" fontId="27" fillId="38" borderId="100" applyNumberFormat="0" applyProtection="0">
      <alignment horizontal="left" vertical="top" indent="1"/>
    </xf>
    <xf numFmtId="0" fontId="18" fillId="49" borderId="100" applyNumberFormat="0" applyProtection="0">
      <alignment horizontal="left" vertical="top" indent="1"/>
    </xf>
    <xf numFmtId="4" fontId="46" fillId="38" borderId="100" applyNumberFormat="0" applyProtection="0">
      <alignment vertical="center"/>
    </xf>
    <xf numFmtId="0" fontId="18" fillId="51" borderId="100" applyNumberFormat="0" applyProtection="0">
      <alignment horizontal="left" vertical="top" indent="1"/>
    </xf>
    <xf numFmtId="4" fontId="47" fillId="59" borderId="100" applyNumberFormat="0" applyProtection="0">
      <alignment horizontal="left" vertical="center" indent="1"/>
    </xf>
    <xf numFmtId="4" fontId="47" fillId="44" borderId="100" applyNumberFormat="0" applyProtection="0">
      <alignment horizontal="right" vertical="center"/>
    </xf>
    <xf numFmtId="0" fontId="105" fillId="0" borderId="104" applyNumberFormat="0" applyFill="0" applyAlignment="0" applyProtection="0"/>
    <xf numFmtId="0" fontId="18" fillId="84" borderId="100" applyNumberFormat="0" applyProtection="0">
      <alignment horizontal="left" vertical="center" indent="1"/>
    </xf>
    <xf numFmtId="0" fontId="18" fillId="55" borderId="100" applyNumberFormat="0" applyProtection="0">
      <alignment horizontal="left" vertical="top" indent="1"/>
    </xf>
    <xf numFmtId="4" fontId="47" fillId="45" borderId="100" applyNumberFormat="0" applyProtection="0">
      <alignment horizontal="right" vertical="center"/>
    </xf>
    <xf numFmtId="4" fontId="47" fillId="0" borderId="100" applyNumberFormat="0" applyProtection="0">
      <alignment horizontal="right" vertical="center"/>
    </xf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8" fillId="84" borderId="100" applyNumberFormat="0" applyProtection="0">
      <alignment horizontal="left" vertical="top" indent="1"/>
    </xf>
    <xf numFmtId="0" fontId="18" fillId="76" borderId="102" applyNumberFormat="0" applyFont="0" applyAlignmen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34" borderId="100" applyNumberFormat="0" applyProtection="0">
      <alignment horizontal="left" vertical="center" indent="1"/>
    </xf>
    <xf numFmtId="4" fontId="47" fillId="40" borderId="100" applyNumberFormat="0" applyProtection="0">
      <alignment horizontal="right" vertical="center"/>
    </xf>
    <xf numFmtId="4" fontId="47" fillId="35" borderId="100" applyNumberFormat="0" applyProtection="0">
      <alignment horizontal="left" vertical="center" indent="1"/>
    </xf>
    <xf numFmtId="0" fontId="105" fillId="0" borderId="104" applyNumberFormat="0" applyFill="0" applyAlignment="0" applyProtection="0"/>
    <xf numFmtId="0" fontId="18" fillId="84" borderId="100" applyNumberFormat="0" applyProtection="0">
      <alignment horizontal="left" vertical="top" indent="1"/>
    </xf>
    <xf numFmtId="4" fontId="47" fillId="0" borderId="100" applyNumberFormat="0" applyProtection="0">
      <alignment horizontal="left" vertical="center" indent="1"/>
    </xf>
    <xf numFmtId="0" fontId="18" fillId="85" borderId="100" applyNumberFormat="0" applyProtection="0">
      <alignment horizontal="left" vertical="center" indent="1"/>
    </xf>
    <xf numFmtId="0" fontId="18" fillId="51" borderId="100" applyNumberFormat="0" applyProtection="0">
      <alignment horizontal="left" vertical="top" indent="1"/>
    </xf>
    <xf numFmtId="4" fontId="51" fillId="35" borderId="100" applyNumberFormat="0" applyProtection="0">
      <alignment vertical="center"/>
    </xf>
    <xf numFmtId="4" fontId="47" fillId="45" borderId="100" applyNumberFormat="0" applyProtection="0">
      <alignment horizontal="right" vertical="center"/>
    </xf>
    <xf numFmtId="0" fontId="18" fillId="55" borderId="100" applyNumberFormat="0" applyProtection="0">
      <alignment horizontal="left" vertical="top" indent="1"/>
    </xf>
    <xf numFmtId="0" fontId="102" fillId="79" borderId="101" applyNumberFormat="0" applyAlignment="0" applyProtection="0"/>
    <xf numFmtId="0" fontId="63" fillId="59" borderId="105" applyNumberFormat="0" applyFont="0" applyFill="0" applyAlignment="0" applyProtection="0">
      <protection locked="0"/>
    </xf>
    <xf numFmtId="0" fontId="18" fillId="49" borderId="100" applyNumberFormat="0" applyProtection="0">
      <alignment horizontal="left" vertical="center" indent="1"/>
    </xf>
    <xf numFmtId="0" fontId="105" fillId="0" borderId="104" applyNumberFormat="0" applyFill="0" applyAlignment="0" applyProtection="0"/>
    <xf numFmtId="0" fontId="47" fillId="34" borderId="100" applyNumberFormat="0" applyProtection="0">
      <alignment horizontal="left" vertical="top"/>
    </xf>
    <xf numFmtId="4" fontId="27" fillId="34" borderId="100" applyNumberFormat="0" applyProtection="0"/>
    <xf numFmtId="4" fontId="27" fillId="34" borderId="100" applyNumberFormat="0" applyProtection="0"/>
    <xf numFmtId="0" fontId="114" fillId="79" borderId="103" applyNumberFormat="0" applyAlignment="0" applyProtection="0"/>
    <xf numFmtId="0" fontId="18" fillId="54" borderId="100" applyNumberFormat="0" applyProtection="0">
      <alignment horizontal="left" vertical="center" indent="1"/>
    </xf>
    <xf numFmtId="0" fontId="18" fillId="34" borderId="100" applyNumberFormat="0" applyProtection="0">
      <alignment horizontal="left" vertical="center" indent="1"/>
    </xf>
    <xf numFmtId="0" fontId="110" fillId="77" borderId="101" applyNumberFormat="0" applyAlignment="0" applyProtection="0"/>
    <xf numFmtId="4" fontId="47" fillId="0" borderId="100" applyNumberFormat="0" applyProtection="0">
      <alignment horizontal="right" vertical="center"/>
    </xf>
    <xf numFmtId="0" fontId="47" fillId="34" borderId="100" applyNumberFormat="0" applyProtection="0">
      <alignment horizontal="center" vertical="top"/>
    </xf>
    <xf numFmtId="4" fontId="47" fillId="41" borderId="100" applyNumberFormat="0" applyProtection="0">
      <alignment horizontal="right" vertical="center"/>
    </xf>
    <xf numFmtId="4" fontId="47" fillId="35" borderId="100" applyNumberFormat="0" applyProtection="0">
      <alignment horizontal="left" vertical="center" indent="1"/>
    </xf>
    <xf numFmtId="0" fontId="18" fillId="76" borderId="102" applyNumberFormat="0" applyFont="0" applyAlignment="0" applyProtection="0"/>
    <xf numFmtId="0" fontId="18" fillId="50" borderId="100" applyNumberFormat="0" applyProtection="0">
      <alignment horizontal="left" vertical="top" indent="1"/>
    </xf>
    <xf numFmtId="0" fontId="114" fillId="79" borderId="103" applyNumberFormat="0" applyAlignment="0" applyProtection="0"/>
    <xf numFmtId="4" fontId="27" fillId="38" borderId="100" applyNumberFormat="0" applyProtection="0">
      <alignment horizontal="left" vertical="center" indent="1"/>
    </xf>
    <xf numFmtId="0" fontId="105" fillId="0" borderId="104" applyNumberFormat="0" applyFill="0" applyAlignment="0" applyProtection="0"/>
    <xf numFmtId="4" fontId="27" fillId="38" borderId="100" applyNumberFormat="0" applyProtection="0">
      <alignment horizontal="left" vertical="center" indent="1"/>
    </xf>
    <xf numFmtId="0" fontId="18" fillId="34" borderId="100" applyNumberFormat="0" applyProtection="0">
      <alignment horizontal="left" vertical="center" indent="1"/>
    </xf>
    <xf numFmtId="4" fontId="27" fillId="34" borderId="100" applyNumberFormat="0" applyProtection="0"/>
    <xf numFmtId="0" fontId="102" fillId="79" borderId="97" applyNumberFormat="0" applyAlignment="0" applyProtection="0"/>
    <xf numFmtId="0" fontId="110" fillId="77" borderId="97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02" fillId="79" borderId="101" applyNumberFormat="0" applyAlignment="0" applyProtection="0"/>
    <xf numFmtId="0" fontId="18" fillId="76" borderId="92" applyNumberFormat="0" applyFont="0" applyAlignment="0" applyProtection="0"/>
    <xf numFmtId="0" fontId="18" fillId="55" borderId="100" applyNumberFormat="0" applyProtection="0">
      <alignment horizontal="left" vertical="center" indent="1"/>
    </xf>
    <xf numFmtId="0" fontId="63" fillId="59" borderId="105" applyNumberFormat="0" applyFont="0" applyFill="0" applyAlignment="0" applyProtection="0">
      <protection locked="0"/>
    </xf>
    <xf numFmtId="0" fontId="18" fillId="50" borderId="100" applyNumberFormat="0" applyProtection="0">
      <alignment horizontal="left" vertical="top" indent="1"/>
    </xf>
    <xf numFmtId="0" fontId="18" fillId="76" borderId="102" applyNumberFormat="0" applyFont="0" applyAlignment="0" applyProtection="0"/>
    <xf numFmtId="0" fontId="102" fillId="79" borderId="101" applyNumberFormat="0" applyAlignment="0" applyProtection="0"/>
    <xf numFmtId="0" fontId="18" fillId="49" borderId="100" applyNumberFormat="0" applyProtection="0">
      <alignment horizontal="left" vertical="center" indent="1"/>
    </xf>
    <xf numFmtId="0" fontId="110" fillId="77" borderId="101" applyNumberFormat="0" applyAlignment="0" applyProtection="0"/>
    <xf numFmtId="0" fontId="18" fillId="84" borderId="100" applyNumberFormat="0" applyProtection="0">
      <alignment horizontal="left" vertical="top" indent="1"/>
    </xf>
    <xf numFmtId="4" fontId="47" fillId="35" borderId="100" applyNumberFormat="0" applyProtection="0">
      <alignment horizontal="left" vertical="center" indent="1"/>
    </xf>
    <xf numFmtId="4" fontId="27" fillId="34" borderId="100" applyNumberFormat="0" applyProtection="0"/>
    <xf numFmtId="0" fontId="18" fillId="34" borderId="100" applyNumberFormat="0" applyProtection="0">
      <alignment horizontal="left" vertical="top" indent="1"/>
    </xf>
    <xf numFmtId="0" fontId="18" fillId="49" borderId="100" applyNumberFormat="0" applyProtection="0">
      <alignment horizontal="left" vertical="center" indent="1"/>
    </xf>
    <xf numFmtId="0" fontId="18" fillId="85" borderId="100" applyNumberFormat="0" applyProtection="0">
      <alignment horizontal="left" vertical="center" indent="1"/>
    </xf>
    <xf numFmtId="4" fontId="47" fillId="0" borderId="100" applyNumberFormat="0" applyProtection="0">
      <alignment horizontal="right" vertical="center"/>
    </xf>
    <xf numFmtId="0" fontId="18" fillId="51" borderId="100" applyNumberFormat="0" applyProtection="0">
      <alignment horizontal="left" vertical="top" indent="1"/>
    </xf>
    <xf numFmtId="0" fontId="110" fillId="77" borderId="101" applyNumberFormat="0" applyAlignment="0" applyProtection="0"/>
    <xf numFmtId="0" fontId="18" fillId="76" borderId="102" applyNumberFormat="0" applyFont="0" applyAlignment="0" applyProtection="0"/>
    <xf numFmtId="0" fontId="105" fillId="0" borderId="104" applyNumberFormat="0" applyFill="0" applyAlignment="0" applyProtection="0"/>
    <xf numFmtId="0" fontId="18" fillId="50" borderId="100" applyNumberFormat="0" applyProtection="0">
      <alignment horizontal="left" vertical="center" indent="1"/>
    </xf>
    <xf numFmtId="0" fontId="114" fillId="79" borderId="103" applyNumberFormat="0" applyAlignment="0" applyProtection="0"/>
    <xf numFmtId="0" fontId="114" fillId="79" borderId="103" applyNumberFormat="0" applyAlignment="0" applyProtection="0"/>
    <xf numFmtId="0" fontId="105" fillId="0" borderId="104" applyNumberFormat="0" applyFill="0" applyAlignment="0" applyProtection="0"/>
    <xf numFmtId="0" fontId="105" fillId="0" borderId="104" applyNumberFormat="0" applyFill="0" applyAlignment="0" applyProtection="0"/>
    <xf numFmtId="0" fontId="18" fillId="34" borderId="100" applyNumberFormat="0" applyProtection="0">
      <alignment horizontal="left" vertical="center" indent="1"/>
    </xf>
    <xf numFmtId="4" fontId="27" fillId="38" borderId="100" applyNumberFormat="0" applyProtection="0">
      <alignment horizontal="left" vertical="center" indent="1"/>
    </xf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4" fontId="27" fillId="38" borderId="100" applyNumberFormat="0" applyProtection="0">
      <alignment horizontal="left" vertical="center" indent="1"/>
    </xf>
    <xf numFmtId="0" fontId="110" fillId="77" borderId="101" applyNumberFormat="0" applyAlignment="0" applyProtection="0"/>
    <xf numFmtId="0" fontId="18" fillId="51" borderId="100" applyNumberFormat="0" applyProtection="0">
      <alignment horizontal="left" vertical="top" indent="1"/>
    </xf>
    <xf numFmtId="4" fontId="51" fillId="49" borderId="100" applyNumberFormat="0" applyProtection="0">
      <alignment horizontal="right" vertical="center"/>
    </xf>
    <xf numFmtId="0" fontId="18" fillId="76" borderId="92" applyNumberFormat="0" applyFont="0" applyAlignment="0" applyProtection="0"/>
    <xf numFmtId="0" fontId="18" fillId="34" borderId="100" applyNumberFormat="0" applyProtection="0">
      <alignment horizontal="left" vertical="center" indent="1"/>
    </xf>
    <xf numFmtId="0" fontId="18" fillId="54" borderId="100" applyNumberFormat="0" applyProtection="0">
      <alignment horizontal="left" vertical="top" indent="1"/>
    </xf>
    <xf numFmtId="4" fontId="27" fillId="34" borderId="100" applyNumberFormat="0" applyProtection="0"/>
    <xf numFmtId="0" fontId="26" fillId="0" borderId="106">
      <alignment horizontal="left" vertical="center"/>
    </xf>
    <xf numFmtId="0" fontId="26" fillId="0" borderId="90">
      <alignment horizontal="left" vertical="center"/>
    </xf>
    <xf numFmtId="0" fontId="114" fillId="79" borderId="103" applyNumberFormat="0" applyAlignment="0" applyProtection="0"/>
    <xf numFmtId="4" fontId="27" fillId="38" borderId="100" applyNumberFormat="0" applyProtection="0">
      <alignment horizontal="left" vertical="center" indent="1"/>
    </xf>
    <xf numFmtId="0" fontId="18" fillId="51" borderId="100" applyNumberFormat="0" applyProtection="0">
      <alignment horizontal="left" vertical="top" indent="1"/>
    </xf>
    <xf numFmtId="0" fontId="18" fillId="85" borderId="100" applyNumberFormat="0" applyProtection="0">
      <alignment horizontal="left" vertical="top" indent="1"/>
    </xf>
    <xf numFmtId="0" fontId="18" fillId="49" borderId="100" applyNumberFormat="0" applyProtection="0">
      <alignment horizontal="left" vertical="center" indent="1"/>
    </xf>
    <xf numFmtId="4" fontId="47" fillId="47" borderId="100" applyNumberFormat="0" applyProtection="0">
      <alignment horizontal="right" vertical="center"/>
    </xf>
    <xf numFmtId="0" fontId="110" fillId="77" borderId="101" applyNumberFormat="0" applyAlignment="0" applyProtection="0"/>
    <xf numFmtId="4" fontId="47" fillId="44" borderId="100" applyNumberFormat="0" applyProtection="0">
      <alignment horizontal="right" vertical="center"/>
    </xf>
    <xf numFmtId="0" fontId="18" fillId="51" borderId="100" applyNumberFormat="0" applyProtection="0">
      <alignment horizontal="left" vertical="top" indent="1"/>
    </xf>
    <xf numFmtId="0" fontId="18" fillId="76" borderId="102" applyNumberFormat="0" applyFont="0" applyAlignment="0" applyProtection="0"/>
    <xf numFmtId="4" fontId="47" fillId="39" borderId="100" applyNumberFormat="0" applyProtection="0">
      <alignment horizontal="right" vertical="center"/>
    </xf>
    <xf numFmtId="4" fontId="47" fillId="0" borderId="100" applyNumberFormat="0" applyProtection="0">
      <alignment horizontal="right" vertical="center"/>
    </xf>
    <xf numFmtId="0" fontId="18" fillId="76" borderId="102" applyNumberFormat="0" applyFont="0" applyAlignment="0" applyProtection="0"/>
    <xf numFmtId="4" fontId="47" fillId="0" borderId="100" applyNumberFormat="0" applyProtection="0">
      <alignment horizontal="right" vertical="center"/>
    </xf>
    <xf numFmtId="4" fontId="47" fillId="35" borderId="100" applyNumberFormat="0" applyProtection="0">
      <alignment vertical="center"/>
    </xf>
    <xf numFmtId="4" fontId="47" fillId="39" borderId="100" applyNumberFormat="0" applyProtection="0">
      <alignment horizontal="right" vertical="center"/>
    </xf>
    <xf numFmtId="0" fontId="18" fillId="84" borderId="100" applyNumberFormat="0" applyProtection="0">
      <alignment horizontal="left" vertical="top" indent="1"/>
    </xf>
    <xf numFmtId="0" fontId="105" fillId="0" borderId="104" applyNumberFormat="0" applyFill="0" applyAlignment="0" applyProtection="0"/>
    <xf numFmtId="0" fontId="105" fillId="0" borderId="104" applyNumberFormat="0" applyFill="0" applyAlignment="0" applyProtection="0"/>
    <xf numFmtId="4" fontId="46" fillId="38" borderId="100" applyNumberFormat="0" applyProtection="0">
      <alignment vertical="center"/>
    </xf>
    <xf numFmtId="0" fontId="18" fillId="54" borderId="100" applyNumberFormat="0" applyProtection="0">
      <alignment horizontal="left" vertical="center" indent="1"/>
    </xf>
    <xf numFmtId="0" fontId="18" fillId="85" borderId="100" applyNumberFormat="0" applyProtection="0">
      <alignment horizontal="left" vertical="center" indent="1"/>
    </xf>
    <xf numFmtId="0" fontId="63" fillId="59" borderId="105" applyNumberFormat="0" applyFont="0" applyFill="0" applyAlignment="0" applyProtection="0">
      <protection locked="0"/>
    </xf>
    <xf numFmtId="0" fontId="105" fillId="0" borderId="104" applyNumberFormat="0" applyFill="0" applyAlignment="0" applyProtection="0"/>
    <xf numFmtId="4" fontId="27" fillId="37" borderId="100" applyNumberFormat="0" applyProtection="0">
      <alignment vertical="center"/>
    </xf>
    <xf numFmtId="0" fontId="114" fillId="79" borderId="93" applyNumberFormat="0" applyAlignment="0" applyProtection="0"/>
    <xf numFmtId="0" fontId="114" fillId="79" borderId="93" applyNumberFormat="0" applyAlignment="0" applyProtection="0"/>
    <xf numFmtId="0" fontId="47" fillId="34" borderId="100" applyNumberFormat="0" applyProtection="0">
      <alignment horizontal="left" vertical="top"/>
    </xf>
    <xf numFmtId="0" fontId="47" fillId="34" borderId="100" applyNumberFormat="0" applyProtection="0">
      <alignment horizontal="left" vertical="top"/>
    </xf>
    <xf numFmtId="0" fontId="18" fillId="76" borderId="92" applyNumberFormat="0" applyFont="0" applyAlignment="0" applyProtection="0"/>
    <xf numFmtId="0" fontId="18" fillId="55" borderId="100" applyNumberFormat="0" applyProtection="0">
      <alignment horizontal="left" vertical="top" indent="1"/>
    </xf>
    <xf numFmtId="4" fontId="47" fillId="39" borderId="100" applyNumberFormat="0" applyProtection="0">
      <alignment horizontal="right" vertical="center"/>
    </xf>
    <xf numFmtId="0" fontId="114" fillId="79" borderId="103" applyNumberFormat="0" applyAlignment="0" applyProtection="0"/>
    <xf numFmtId="0" fontId="18" fillId="85" borderId="100" applyNumberFormat="0" applyProtection="0">
      <alignment horizontal="left" vertical="center" indent="1"/>
    </xf>
    <xf numFmtId="0" fontId="18" fillId="34" borderId="100" applyNumberFormat="0" applyProtection="0">
      <alignment horizontal="left" vertical="top" indent="1"/>
    </xf>
    <xf numFmtId="0" fontId="102" fillId="79" borderId="101" applyNumberFormat="0" applyAlignment="0" applyProtection="0"/>
    <xf numFmtId="0" fontId="18" fillId="54" borderId="100" applyNumberFormat="0" applyProtection="0">
      <alignment horizontal="left" vertical="top" indent="1"/>
    </xf>
    <xf numFmtId="0" fontId="18" fillId="51" borderId="100" applyNumberFormat="0" applyProtection="0">
      <alignment horizontal="left" vertical="center" indent="1"/>
    </xf>
    <xf numFmtId="0" fontId="18" fillId="76" borderId="102" applyNumberFormat="0" applyFont="0" applyAlignment="0" applyProtection="0"/>
    <xf numFmtId="0" fontId="102" fillId="79" borderId="101" applyNumberFormat="0" applyAlignment="0" applyProtection="0"/>
    <xf numFmtId="0" fontId="18" fillId="55" borderId="100" applyNumberFormat="0" applyProtection="0">
      <alignment horizontal="left" vertical="top" indent="1"/>
    </xf>
    <xf numFmtId="0" fontId="102" fillId="79" borderId="101" applyNumberFormat="0" applyAlignment="0" applyProtection="0"/>
    <xf numFmtId="4" fontId="27" fillId="37" borderId="100" applyNumberFormat="0" applyProtection="0">
      <alignment vertical="center"/>
    </xf>
    <xf numFmtId="0" fontId="102" fillId="79" borderId="101" applyNumberFormat="0" applyAlignment="0" applyProtection="0"/>
    <xf numFmtId="0" fontId="18" fillId="51" borderId="100" applyNumberFormat="0" applyProtection="0">
      <alignment horizontal="left" vertical="top" indent="1"/>
    </xf>
    <xf numFmtId="0" fontId="105" fillId="0" borderId="104" applyNumberFormat="0" applyFill="0" applyAlignment="0" applyProtection="0"/>
    <xf numFmtId="4" fontId="47" fillId="43" borderId="100" applyNumberFormat="0" applyProtection="0">
      <alignment horizontal="right" vertical="center"/>
    </xf>
    <xf numFmtId="0" fontId="18" fillId="85" borderId="100" applyNumberFormat="0" applyProtection="0">
      <alignment horizontal="left" vertical="top" indent="1"/>
    </xf>
    <xf numFmtId="0" fontId="18" fillId="34" borderId="100" applyNumberFormat="0" applyProtection="0">
      <alignment horizontal="left" vertical="top" indent="1"/>
    </xf>
    <xf numFmtId="0" fontId="18" fillId="50" borderId="100" applyNumberFormat="0" applyProtection="0">
      <alignment horizontal="left" vertical="center" indent="1"/>
    </xf>
    <xf numFmtId="4" fontId="47" fillId="47" borderId="100" applyNumberFormat="0" applyProtection="0">
      <alignment horizontal="right" vertical="center"/>
    </xf>
    <xf numFmtId="0" fontId="18" fillId="55" borderId="100" applyNumberFormat="0" applyProtection="0">
      <alignment horizontal="left" vertical="center" indent="1"/>
    </xf>
    <xf numFmtId="0" fontId="18" fillId="49" borderId="100" applyNumberFormat="0" applyProtection="0">
      <alignment horizontal="left" vertical="center" indent="1"/>
    </xf>
    <xf numFmtId="4" fontId="47" fillId="0" borderId="100" applyNumberFormat="0" applyProtection="0">
      <alignment horizontal="left" vertical="center" indent="1"/>
    </xf>
    <xf numFmtId="0" fontId="18" fillId="54" borderId="100" applyNumberFormat="0" applyProtection="0">
      <alignment horizontal="left" vertical="top" indent="1"/>
    </xf>
    <xf numFmtId="0" fontId="18" fillId="50" borderId="100" applyNumberFormat="0" applyProtection="0">
      <alignment horizontal="left" vertical="center" indent="1"/>
    </xf>
    <xf numFmtId="0" fontId="114" fillId="79" borderId="93" applyNumberFormat="0" applyAlignment="0" applyProtection="0"/>
    <xf numFmtId="0" fontId="114" fillId="79" borderId="93" applyNumberFormat="0" applyAlignment="0" applyProtection="0"/>
    <xf numFmtId="0" fontId="18" fillId="54" borderId="100" applyNumberFormat="0" applyProtection="0">
      <alignment horizontal="left" vertical="center" indent="1"/>
    </xf>
    <xf numFmtId="4" fontId="27" fillId="34" borderId="100" applyNumberFormat="0" applyProtection="0"/>
    <xf numFmtId="0" fontId="114" fillId="79" borderId="93" applyNumberFormat="0" applyAlignment="0" applyProtection="0"/>
    <xf numFmtId="4" fontId="47" fillId="39" borderId="100" applyNumberFormat="0" applyProtection="0">
      <alignment horizontal="right" vertical="center"/>
    </xf>
    <xf numFmtId="0" fontId="18" fillId="34" borderId="100" applyNumberFormat="0" applyProtection="0">
      <alignment horizontal="left" vertical="top" indent="1"/>
    </xf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34" borderId="100" applyNumberFormat="0" applyProtection="0">
      <alignment horizontal="left" vertical="top" indent="1"/>
    </xf>
    <xf numFmtId="0" fontId="47" fillId="34" borderId="100" applyNumberFormat="0" applyProtection="0">
      <alignment horizontal="left" vertical="top"/>
    </xf>
    <xf numFmtId="4" fontId="27" fillId="38" borderId="100" applyNumberFormat="0" applyProtection="0">
      <alignment horizontal="left" vertical="center" indent="1"/>
    </xf>
    <xf numFmtId="4" fontId="47" fillId="0" borderId="100" applyNumberFormat="0" applyProtection="0">
      <alignment horizontal="left" vertical="center" indent="1"/>
    </xf>
    <xf numFmtId="0" fontId="18" fillId="55" borderId="100" applyNumberFormat="0" applyProtection="0">
      <alignment horizontal="left" vertical="center" indent="1"/>
    </xf>
    <xf numFmtId="0" fontId="18" fillId="76" borderId="102" applyNumberFormat="0" applyFont="0" applyAlignment="0" applyProtection="0"/>
    <xf numFmtId="0" fontId="18" fillId="55" borderId="100" applyNumberFormat="0" applyProtection="0">
      <alignment horizontal="left" vertical="top" indent="1"/>
    </xf>
    <xf numFmtId="0" fontId="105" fillId="0" borderId="104" applyNumberFormat="0" applyFill="0" applyAlignment="0" applyProtection="0"/>
    <xf numFmtId="0" fontId="18" fillId="55" borderId="100" applyNumberFormat="0" applyProtection="0">
      <alignment horizontal="left" vertical="top" indent="1"/>
    </xf>
    <xf numFmtId="4" fontId="47" fillId="35" borderId="100" applyNumberFormat="0" applyProtection="0">
      <alignment horizontal="left" vertical="center" indent="1"/>
    </xf>
    <xf numFmtId="4" fontId="27" fillId="38" borderId="100" applyNumberFormat="0" applyProtection="0">
      <alignment horizontal="left" vertical="center" indent="1"/>
    </xf>
    <xf numFmtId="0" fontId="114" fillId="79" borderId="103" applyNumberFormat="0" applyAlignment="0" applyProtection="0"/>
    <xf numFmtId="0" fontId="18" fillId="55" borderId="100" applyNumberFormat="0" applyProtection="0">
      <alignment horizontal="left" vertical="center" indent="1"/>
    </xf>
    <xf numFmtId="0" fontId="18" fillId="54" borderId="100" applyNumberFormat="0" applyProtection="0">
      <alignment horizontal="left" vertical="top" indent="1"/>
    </xf>
    <xf numFmtId="4" fontId="51" fillId="35" borderId="100" applyNumberFormat="0" applyProtection="0">
      <alignment vertical="center"/>
    </xf>
    <xf numFmtId="4" fontId="25" fillId="49" borderId="100" applyNumberFormat="0" applyProtection="0">
      <alignment horizontal="right" vertical="center"/>
    </xf>
    <xf numFmtId="0" fontId="27" fillId="38" borderId="100" applyNumberFormat="0" applyProtection="0">
      <alignment horizontal="left" vertical="top" indent="1"/>
    </xf>
    <xf numFmtId="0" fontId="18" fillId="50" borderId="100" applyNumberFormat="0" applyProtection="0">
      <alignment horizontal="left" vertical="center" indent="1"/>
    </xf>
    <xf numFmtId="0" fontId="114" fillId="79" borderId="103" applyNumberFormat="0" applyAlignment="0" applyProtection="0"/>
    <xf numFmtId="4" fontId="47" fillId="0" borderId="100" applyNumberFormat="0" applyProtection="0">
      <alignment horizontal="right" vertical="center"/>
    </xf>
    <xf numFmtId="0" fontId="18" fillId="34" borderId="100" applyNumberFormat="0" applyProtection="0">
      <alignment horizontal="left" vertical="top" indent="1"/>
    </xf>
    <xf numFmtId="0" fontId="18" fillId="84" borderId="100" applyNumberFormat="0" applyProtection="0">
      <alignment horizontal="left" vertical="center" indent="1"/>
    </xf>
    <xf numFmtId="0" fontId="105" fillId="0" borderId="104" applyNumberFormat="0" applyFill="0" applyAlignment="0" applyProtection="0"/>
    <xf numFmtId="0" fontId="18" fillId="50" borderId="100" applyNumberFormat="0" applyProtection="0">
      <alignment horizontal="left" vertical="top" indent="1"/>
    </xf>
    <xf numFmtId="0" fontId="110" fillId="77" borderId="101" applyNumberFormat="0" applyAlignment="0" applyProtection="0"/>
    <xf numFmtId="4" fontId="27" fillId="38" borderId="100" applyNumberFormat="0" applyProtection="0">
      <alignment horizontal="left" vertical="center" indent="1"/>
    </xf>
    <xf numFmtId="4" fontId="47" fillId="0" borderId="100" applyNumberFormat="0" applyProtection="0">
      <alignment horizontal="left" vertical="center" indent="1"/>
    </xf>
    <xf numFmtId="0" fontId="114" fillId="79" borderId="93" applyNumberFormat="0" applyAlignment="0" applyProtection="0"/>
    <xf numFmtId="0" fontId="114" fillId="79" borderId="93" applyNumberFormat="0" applyAlignment="0" applyProtection="0"/>
    <xf numFmtId="0" fontId="18" fillId="55" borderId="100" applyNumberFormat="0" applyProtection="0">
      <alignment horizontal="left" vertical="top" indent="1"/>
    </xf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55" borderId="100" applyNumberFormat="0" applyProtection="0">
      <alignment horizontal="left" vertical="top" indent="1"/>
    </xf>
    <xf numFmtId="4" fontId="25" fillId="49" borderId="100" applyNumberFormat="0" applyProtection="0">
      <alignment horizontal="right" vertical="center"/>
    </xf>
    <xf numFmtId="0" fontId="110" fillId="77" borderId="101" applyNumberFormat="0" applyAlignment="0" applyProtection="0"/>
    <xf numFmtId="0" fontId="18" fillId="49" borderId="100" applyNumberFormat="0" applyProtection="0">
      <alignment horizontal="left" vertical="top" indent="1"/>
    </xf>
    <xf numFmtId="0" fontId="18" fillId="84" borderId="100" applyNumberFormat="0" applyProtection="0">
      <alignment horizontal="left" vertical="top" indent="1"/>
    </xf>
    <xf numFmtId="4" fontId="47" fillId="41" borderId="100" applyNumberFormat="0" applyProtection="0">
      <alignment horizontal="right" vertical="center"/>
    </xf>
    <xf numFmtId="4" fontId="47" fillId="0" borderId="100" applyNumberFormat="0" applyProtection="0">
      <alignment horizontal="right" vertical="center"/>
    </xf>
    <xf numFmtId="0" fontId="114" fillId="79" borderId="103" applyNumberFormat="0" applyAlignment="0" applyProtection="0"/>
    <xf numFmtId="0" fontId="105" fillId="0" borderId="104" applyNumberFormat="0" applyFill="0" applyAlignment="0" applyProtection="0"/>
    <xf numFmtId="4" fontId="47" fillId="46" borderId="100" applyNumberFormat="0" applyProtection="0">
      <alignment horizontal="right" vertical="center"/>
    </xf>
    <xf numFmtId="0" fontId="18" fillId="76" borderId="102" applyNumberFormat="0" applyFont="0" applyAlignment="0" applyProtection="0"/>
    <xf numFmtId="0" fontId="47" fillId="34" borderId="100" applyNumberFormat="0" applyProtection="0">
      <alignment horizontal="left" vertical="top"/>
    </xf>
    <xf numFmtId="4" fontId="47" fillId="46" borderId="100" applyNumberFormat="0" applyProtection="0">
      <alignment horizontal="right" vertical="center"/>
    </xf>
    <xf numFmtId="0" fontId="18" fillId="55" borderId="100" applyNumberFormat="0" applyProtection="0">
      <alignment horizontal="left" vertical="top" indent="1"/>
    </xf>
    <xf numFmtId="0" fontId="18" fillId="51" borderId="100" applyNumberFormat="0" applyProtection="0">
      <alignment horizontal="left" vertical="center" indent="1"/>
    </xf>
    <xf numFmtId="4" fontId="27" fillId="34" borderId="100" applyNumberFormat="0" applyProtection="0"/>
    <xf numFmtId="4" fontId="47" fillId="47" borderId="100" applyNumberFormat="0" applyProtection="0">
      <alignment horizontal="right" vertical="center"/>
    </xf>
    <xf numFmtId="0" fontId="27" fillId="38" borderId="100" applyNumberFormat="0" applyProtection="0">
      <alignment horizontal="left" vertical="top" indent="1"/>
    </xf>
    <xf numFmtId="0" fontId="114" fillId="79" borderId="103" applyNumberFormat="0" applyAlignment="0" applyProtection="0"/>
    <xf numFmtId="0" fontId="114" fillId="79" borderId="103" applyNumberFormat="0" applyAlignment="0" applyProtection="0"/>
    <xf numFmtId="0" fontId="47" fillId="34" borderId="100" applyNumberFormat="0" applyProtection="0">
      <alignment horizontal="left" vertical="top"/>
    </xf>
    <xf numFmtId="0" fontId="27" fillId="38" borderId="100" applyNumberFormat="0" applyProtection="0">
      <alignment horizontal="left" vertical="top" indent="1"/>
    </xf>
    <xf numFmtId="0" fontId="114" fillId="79" borderId="103" applyNumberFormat="0" applyAlignment="0" applyProtection="0"/>
    <xf numFmtId="0" fontId="18" fillId="55" borderId="100" applyNumberFormat="0" applyProtection="0">
      <alignment horizontal="left" vertical="center" indent="1"/>
    </xf>
    <xf numFmtId="4" fontId="27" fillId="34" borderId="107" applyNumberFormat="0" applyProtection="0">
      <alignment vertical="center"/>
    </xf>
    <xf numFmtId="4" fontId="47" fillId="0" borderId="100" applyNumberFormat="0" applyProtection="0">
      <alignment horizontal="right" vertical="center"/>
    </xf>
    <xf numFmtId="0" fontId="18" fillId="76" borderId="102" applyNumberFormat="0" applyFont="0" applyAlignment="0" applyProtection="0"/>
    <xf numFmtId="4" fontId="47" fillId="42" borderId="100" applyNumberFormat="0" applyProtection="0">
      <alignment horizontal="right" vertical="center"/>
    </xf>
    <xf numFmtId="0" fontId="18" fillId="84" borderId="100" applyNumberFormat="0" applyProtection="0">
      <alignment horizontal="left" vertical="center" indent="1"/>
    </xf>
    <xf numFmtId="0" fontId="114" fillId="79" borderId="93" applyNumberFormat="0" applyAlignment="0" applyProtection="0"/>
    <xf numFmtId="4" fontId="27" fillId="34" borderId="100" applyNumberForma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34" borderId="100" applyNumberFormat="0" applyProtection="0">
      <alignment horizontal="left" vertical="top" indent="1"/>
    </xf>
    <xf numFmtId="0" fontId="18" fillId="49" borderId="100" applyNumberFormat="0" applyProtection="0">
      <alignment horizontal="left" vertical="center" indent="1"/>
    </xf>
    <xf numFmtId="4" fontId="47" fillId="0" borderId="100" applyNumberFormat="0" applyProtection="0">
      <alignment horizontal="left" vertical="center" indent="1"/>
    </xf>
    <xf numFmtId="4" fontId="47" fillId="40" borderId="100" applyNumberFormat="0" applyProtection="0">
      <alignment horizontal="right" vertical="center"/>
    </xf>
    <xf numFmtId="4" fontId="46" fillId="38" borderId="100" applyNumberFormat="0" applyProtection="0">
      <alignment vertical="center"/>
    </xf>
    <xf numFmtId="4" fontId="47" fillId="0" borderId="100" applyNumberFormat="0" applyProtection="0">
      <alignment horizontal="left" vertical="center" indent="1"/>
    </xf>
    <xf numFmtId="4" fontId="47" fillId="0" borderId="100" applyNumberFormat="0" applyProtection="0">
      <alignment horizontal="right" vertical="center"/>
    </xf>
    <xf numFmtId="4" fontId="47" fillId="44" borderId="100" applyNumberFormat="0" applyProtection="0">
      <alignment horizontal="right" vertical="center"/>
    </xf>
    <xf numFmtId="0" fontId="18" fillId="49" borderId="100" applyNumberFormat="0" applyProtection="0">
      <alignment horizontal="left" vertical="top" indent="1"/>
    </xf>
    <xf numFmtId="0" fontId="18" fillId="76" borderId="102" applyNumberFormat="0" applyFont="0" applyAlignment="0" applyProtection="0"/>
    <xf numFmtId="0" fontId="18" fillId="34" borderId="100" applyNumberFormat="0" applyProtection="0">
      <alignment horizontal="left" vertical="center" indent="1"/>
    </xf>
    <xf numFmtId="4" fontId="27" fillId="38" borderId="100" applyNumberFormat="0" applyProtection="0">
      <alignment horizontal="left" vertical="center" indent="1"/>
    </xf>
    <xf numFmtId="4" fontId="51" fillId="49" borderId="100" applyNumberFormat="0" applyProtection="0">
      <alignment horizontal="right" vertical="center"/>
    </xf>
    <xf numFmtId="0" fontId="18" fillId="76" borderId="102" applyNumberFormat="0" applyFont="0" applyAlignment="0" applyProtection="0"/>
    <xf numFmtId="0" fontId="18" fillId="34" borderId="100" applyNumberFormat="0" applyProtection="0">
      <alignment horizontal="left" vertical="center" indent="1"/>
    </xf>
    <xf numFmtId="0" fontId="18" fillId="54" borderId="100" applyNumberFormat="0" applyProtection="0">
      <alignment horizontal="left" vertical="center" indent="1"/>
    </xf>
    <xf numFmtId="0" fontId="114" fillId="79" borderId="103" applyNumberFormat="0" applyAlignment="0" applyProtection="0"/>
    <xf numFmtId="0" fontId="18" fillId="49" borderId="100" applyNumberFormat="0" applyProtection="0">
      <alignment horizontal="left" vertical="top" indent="1"/>
    </xf>
    <xf numFmtId="4" fontId="47" fillId="59" borderId="100" applyNumberFormat="0" applyProtection="0">
      <alignment horizontal="left" vertical="center" indent="1"/>
    </xf>
    <xf numFmtId="4" fontId="46" fillId="38" borderId="100" applyNumberFormat="0" applyProtection="0">
      <alignment vertical="center"/>
    </xf>
    <xf numFmtId="0" fontId="102" fillId="79" borderId="101" applyNumberFormat="0" applyAlignment="0" applyProtection="0"/>
    <xf numFmtId="0" fontId="114" fillId="79" borderId="103" applyNumberFormat="0" applyAlignment="0" applyProtection="0"/>
    <xf numFmtId="0" fontId="18" fillId="34" borderId="100" applyNumberFormat="0" applyProtection="0">
      <alignment horizontal="left" vertical="top" indent="1"/>
    </xf>
    <xf numFmtId="4" fontId="47" fillId="42" borderId="100" applyNumberFormat="0" applyProtection="0">
      <alignment horizontal="right" vertical="center"/>
    </xf>
    <xf numFmtId="0" fontId="18" fillId="50" borderId="100" applyNumberFormat="0" applyProtection="0">
      <alignment horizontal="left" vertical="top" indent="1"/>
    </xf>
    <xf numFmtId="4" fontId="47" fillId="0" borderId="100" applyNumberFormat="0" applyProtection="0">
      <alignment horizontal="right" vertical="center"/>
    </xf>
    <xf numFmtId="0" fontId="110" fillId="77" borderId="101" applyNumberFormat="0" applyAlignment="0" applyProtection="0"/>
    <xf numFmtId="0" fontId="24" fillId="59" borderId="105" applyNumberFormat="0" applyFont="0" applyAlignment="0" applyProtection="0">
      <protection locked="0"/>
    </xf>
    <xf numFmtId="0" fontId="18" fillId="34" borderId="100" applyNumberFormat="0" applyProtection="0">
      <alignment horizontal="left" vertical="top" indent="1"/>
    </xf>
    <xf numFmtId="0" fontId="18" fillId="34" borderId="100" applyNumberFormat="0" applyProtection="0">
      <alignment horizontal="left" vertical="center" indent="1"/>
    </xf>
    <xf numFmtId="0" fontId="18" fillId="76" borderId="102" applyNumberFormat="0" applyFont="0" applyAlignment="0" applyProtection="0"/>
    <xf numFmtId="4" fontId="27" fillId="37" borderId="100" applyNumberFormat="0" applyProtection="0">
      <alignment vertical="center"/>
    </xf>
    <xf numFmtId="4" fontId="47" fillId="0" borderId="100" applyNumberFormat="0" applyProtection="0">
      <alignment horizontal="right" vertical="center"/>
    </xf>
    <xf numFmtId="0" fontId="18" fillId="76" borderId="102" applyNumberFormat="0" applyFon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05" fillId="0" borderId="104" applyNumberFormat="0" applyFill="0" applyAlignmen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4" fontId="47" fillId="35" borderId="100" applyNumberFormat="0" applyProtection="0">
      <alignment vertical="center"/>
    </xf>
    <xf numFmtId="0" fontId="18" fillId="50" borderId="100" applyNumberFormat="0" applyProtection="0">
      <alignment horizontal="left" vertical="center" indent="1"/>
    </xf>
    <xf numFmtId="4" fontId="46" fillId="38" borderId="100" applyNumberFormat="0" applyProtection="0">
      <alignment vertical="center"/>
    </xf>
    <xf numFmtId="0" fontId="114" fillId="79" borderId="103" applyNumberFormat="0" applyAlignment="0" applyProtection="0"/>
    <xf numFmtId="0" fontId="114" fillId="79" borderId="103" applyNumberFormat="0" applyAlignment="0" applyProtection="0"/>
    <xf numFmtId="4" fontId="47" fillId="0" borderId="100" applyNumberFormat="0" applyProtection="0">
      <alignment horizontal="left" vertical="center" indent="1"/>
    </xf>
    <xf numFmtId="0" fontId="18" fillId="51" borderId="100" applyNumberFormat="0" applyProtection="0">
      <alignment horizontal="left" vertical="center" indent="1"/>
    </xf>
    <xf numFmtId="0" fontId="18" fillId="49" borderId="100" applyNumberFormat="0" applyProtection="0">
      <alignment horizontal="left" vertical="top" indent="1"/>
    </xf>
    <xf numFmtId="4" fontId="47" fillId="47" borderId="100" applyNumberFormat="0" applyProtection="0">
      <alignment horizontal="right" vertical="center"/>
    </xf>
    <xf numFmtId="4" fontId="47" fillId="45" borderId="100" applyNumberFormat="0" applyProtection="0">
      <alignment horizontal="right" vertical="center"/>
    </xf>
    <xf numFmtId="4" fontId="47" fillId="35" borderId="100" applyNumberFormat="0" applyProtection="0">
      <alignment vertical="center"/>
    </xf>
    <xf numFmtId="0" fontId="105" fillId="0" borderId="104" applyNumberFormat="0" applyFill="0" applyAlignment="0" applyProtection="0"/>
    <xf numFmtId="0" fontId="18" fillId="76" borderId="102" applyNumberFormat="0" applyFont="0" applyAlignment="0" applyProtection="0"/>
    <xf numFmtId="4" fontId="51" fillId="35" borderId="100" applyNumberFormat="0" applyProtection="0">
      <alignment vertical="center"/>
    </xf>
    <xf numFmtId="0" fontId="47" fillId="34" borderId="100" applyNumberFormat="0" applyProtection="0">
      <alignment horizontal="left" vertical="top"/>
    </xf>
    <xf numFmtId="4" fontId="27" fillId="37" borderId="100" applyNumberFormat="0" applyProtection="0">
      <alignment vertical="center"/>
    </xf>
    <xf numFmtId="0" fontId="114" fillId="79" borderId="103" applyNumberFormat="0" applyAlignment="0" applyProtection="0"/>
    <xf numFmtId="0" fontId="105" fillId="0" borderId="104" applyNumberFormat="0" applyFill="0" applyAlignment="0" applyProtection="0"/>
    <xf numFmtId="0" fontId="18" fillId="85" borderId="100" applyNumberFormat="0" applyProtection="0">
      <alignment horizontal="left" vertical="top" indent="1"/>
    </xf>
    <xf numFmtId="0" fontId="18" fillId="49" borderId="100" applyNumberFormat="0" applyProtection="0">
      <alignment horizontal="left" vertical="top" indent="1"/>
    </xf>
    <xf numFmtId="0" fontId="114" fillId="79" borderId="103" applyNumberFormat="0" applyAlignment="0" applyProtection="0"/>
    <xf numFmtId="0" fontId="114" fillId="79" borderId="103" applyNumberFormat="0" applyAlignment="0" applyProtection="0"/>
    <xf numFmtId="0" fontId="18" fillId="51" borderId="100" applyNumberFormat="0" applyProtection="0">
      <alignment horizontal="left" vertical="center" indent="1"/>
    </xf>
    <xf numFmtId="0" fontId="114" fillId="79" borderId="103" applyNumberFormat="0" applyAlignment="0" applyProtection="0"/>
    <xf numFmtId="0" fontId="18" fillId="85" borderId="100" applyNumberFormat="0" applyProtection="0">
      <alignment horizontal="left" vertical="top" indent="1"/>
    </xf>
    <xf numFmtId="4" fontId="47" fillId="0" borderId="100" applyNumberFormat="0" applyProtection="0">
      <alignment horizontal="left" vertical="center" indent="1"/>
    </xf>
    <xf numFmtId="0" fontId="18" fillId="50" borderId="100" applyNumberFormat="0" applyProtection="0">
      <alignment horizontal="left" vertical="top" indent="1"/>
    </xf>
    <xf numFmtId="0" fontId="18" fillId="85" borderId="100" applyNumberFormat="0" applyProtection="0">
      <alignment horizontal="left" vertical="top" indent="1"/>
    </xf>
    <xf numFmtId="0" fontId="105" fillId="0" borderId="104" applyNumberFormat="0" applyFill="0" applyAlignment="0" applyProtection="0"/>
    <xf numFmtId="0" fontId="27" fillId="38" borderId="100" applyNumberFormat="0" applyProtection="0">
      <alignment horizontal="left" vertical="top" indent="1"/>
    </xf>
    <xf numFmtId="0" fontId="18" fillId="0" borderId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8" fillId="76" borderId="102" applyNumberFormat="0" applyFont="0" applyAlignment="0" applyProtection="0"/>
    <xf numFmtId="0" fontId="18" fillId="50" borderId="100" applyNumberFormat="0" applyProtection="0">
      <alignment horizontal="left" vertical="top" indent="1"/>
    </xf>
    <xf numFmtId="0" fontId="27" fillId="38" borderId="100" applyNumberFormat="0" applyProtection="0">
      <alignment horizontal="left" vertical="top" indent="1"/>
    </xf>
    <xf numFmtId="0" fontId="18" fillId="55" borderId="100" applyNumberFormat="0" applyProtection="0">
      <alignment horizontal="left" vertical="top" indent="1"/>
    </xf>
    <xf numFmtId="0" fontId="18" fillId="85" borderId="100" applyNumberFormat="0" applyProtection="0">
      <alignment horizontal="left" vertical="top" indent="1"/>
    </xf>
    <xf numFmtId="0" fontId="18" fillId="84" borderId="100" applyNumberFormat="0" applyProtection="0">
      <alignment horizontal="left" vertical="center" indent="1"/>
    </xf>
    <xf numFmtId="4" fontId="47" fillId="41" borderId="100" applyNumberFormat="0" applyProtection="0">
      <alignment horizontal="right" vertical="center"/>
    </xf>
    <xf numFmtId="0" fontId="18" fillId="55" borderId="100" applyNumberFormat="0" applyProtection="0">
      <alignment horizontal="left" vertical="center" indent="1"/>
    </xf>
    <xf numFmtId="0" fontId="18" fillId="84" borderId="100" applyNumberFormat="0" applyProtection="0">
      <alignment horizontal="left" vertical="center" indent="1"/>
    </xf>
    <xf numFmtId="0" fontId="47" fillId="34" borderId="100" applyNumberFormat="0" applyProtection="0">
      <alignment horizontal="left" vertical="top"/>
    </xf>
    <xf numFmtId="0" fontId="102" fillId="79" borderId="101" applyNumberFormat="0" applyAlignment="0" applyProtection="0"/>
    <xf numFmtId="0" fontId="18" fillId="54" borderId="100" applyNumberFormat="0" applyProtection="0">
      <alignment horizontal="left" vertical="top" indent="1"/>
    </xf>
    <xf numFmtId="0" fontId="110" fillId="77" borderId="101" applyNumberFormat="0" applyAlignment="0" applyProtection="0"/>
    <xf numFmtId="0" fontId="18" fillId="55" borderId="100" applyNumberFormat="0" applyProtection="0">
      <alignment horizontal="left" vertical="top" indent="1"/>
    </xf>
    <xf numFmtId="4" fontId="47" fillId="46" borderId="100" applyNumberFormat="0" applyProtection="0">
      <alignment horizontal="right" vertical="center"/>
    </xf>
    <xf numFmtId="4" fontId="51" fillId="35" borderId="100" applyNumberFormat="0" applyProtection="0">
      <alignment vertical="center"/>
    </xf>
    <xf numFmtId="0" fontId="18" fillId="55" borderId="100" applyNumberFormat="0" applyProtection="0">
      <alignment horizontal="left" vertical="center" indent="1"/>
    </xf>
    <xf numFmtId="4" fontId="47" fillId="35" borderId="100" applyNumberFormat="0" applyProtection="0">
      <alignment vertical="center"/>
    </xf>
    <xf numFmtId="0" fontId="18" fillId="55" borderId="100" applyNumberFormat="0" applyProtection="0">
      <alignment horizontal="left" vertical="center" indent="1"/>
    </xf>
    <xf numFmtId="0" fontId="18" fillId="50" borderId="100" applyNumberFormat="0" applyProtection="0">
      <alignment horizontal="left" vertical="top" indent="1"/>
    </xf>
    <xf numFmtId="0" fontId="110" fillId="77" borderId="101" applyNumberFormat="0" applyAlignment="0" applyProtection="0"/>
    <xf numFmtId="4" fontId="47" fillId="42" borderId="100" applyNumberFormat="0" applyProtection="0">
      <alignment horizontal="right" vertical="center"/>
    </xf>
    <xf numFmtId="0" fontId="105" fillId="0" borderId="104" applyNumberFormat="0" applyFill="0" applyAlignment="0" applyProtection="0"/>
    <xf numFmtId="0" fontId="18" fillId="50" borderId="100" applyNumberFormat="0" applyProtection="0">
      <alignment horizontal="left" vertical="center" indent="1"/>
    </xf>
    <xf numFmtId="0" fontId="24" fillId="59" borderId="105" applyNumberFormat="0" applyFont="0" applyAlignment="0" applyProtection="0">
      <protection locked="0"/>
    </xf>
    <xf numFmtId="0" fontId="18" fillId="50" borderId="100" applyNumberFormat="0" applyProtection="0">
      <alignment horizontal="left" vertical="center" indent="1"/>
    </xf>
    <xf numFmtId="0" fontId="18" fillId="34" borderId="100" applyNumberFormat="0" applyProtection="0">
      <alignment horizontal="left" vertical="center" indent="1"/>
    </xf>
    <xf numFmtId="0" fontId="110" fillId="77" borderId="97" applyNumberFormat="0" applyAlignment="0" applyProtection="0"/>
    <xf numFmtId="4" fontId="27" fillId="38" borderId="100" applyNumberFormat="0" applyProtection="0">
      <alignment vertical="center"/>
    </xf>
    <xf numFmtId="43" fontId="18" fillId="0" borderId="0" applyFont="0" applyFill="0" applyBorder="0" applyAlignment="0" applyProtection="0"/>
    <xf numFmtId="44" fontId="18" fillId="0" borderId="0" applyFont="0" applyFill="0" applyBorder="0" applyProtection="0">
      <alignment horizontal="right"/>
    </xf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55" borderId="100" applyNumberFormat="0" applyProtection="0">
      <alignment horizontal="left" vertical="top" indent="1"/>
    </xf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4" fontId="27" fillId="37" borderId="83" applyNumberFormat="0" applyProtection="0">
      <alignment vertical="center"/>
    </xf>
    <xf numFmtId="4" fontId="46" fillId="38" borderId="83" applyNumberFormat="0" applyProtection="0">
      <alignment vertical="center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0" fontId="27" fillId="38" borderId="83" applyNumberFormat="0" applyProtection="0">
      <alignment horizontal="left" vertical="top" indent="1"/>
    </xf>
    <xf numFmtId="4" fontId="27" fillId="34" borderId="83" applyNumberFormat="0" applyProtection="0"/>
    <xf numFmtId="4" fontId="47" fillId="39" borderId="83" applyNumberFormat="0" applyProtection="0">
      <alignment horizontal="right" vertical="center"/>
    </xf>
    <xf numFmtId="4" fontId="47" fillId="40" borderId="83" applyNumberFormat="0" applyProtection="0">
      <alignment horizontal="right" vertical="center"/>
    </xf>
    <xf numFmtId="4" fontId="47" fillId="41" borderId="83" applyNumberFormat="0" applyProtection="0">
      <alignment horizontal="right" vertical="center"/>
    </xf>
    <xf numFmtId="4" fontId="47" fillId="42" borderId="83" applyNumberFormat="0" applyProtection="0">
      <alignment horizontal="right" vertical="center"/>
    </xf>
    <xf numFmtId="4" fontId="47" fillId="43" borderId="83" applyNumberFormat="0" applyProtection="0">
      <alignment horizontal="right" vertical="center"/>
    </xf>
    <xf numFmtId="4" fontId="47" fillId="44" borderId="83" applyNumberFormat="0" applyProtection="0">
      <alignment horizontal="right" vertical="center"/>
    </xf>
    <xf numFmtId="4" fontId="47" fillId="45" borderId="83" applyNumberFormat="0" applyProtection="0">
      <alignment horizontal="right" vertical="center"/>
    </xf>
    <xf numFmtId="4" fontId="47" fillId="46" borderId="83" applyNumberFormat="0" applyProtection="0">
      <alignment horizontal="right" vertical="center"/>
    </xf>
    <xf numFmtId="4" fontId="47" fillId="47" borderId="83" applyNumberFormat="0" applyProtection="0">
      <alignment horizontal="right" vertical="center"/>
    </xf>
    <xf numFmtId="4" fontId="47" fillId="51" borderId="83" applyNumberFormat="0" applyProtection="0">
      <alignment horizontal="right" vertical="center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top" indent="1"/>
    </xf>
    <xf numFmtId="0" fontId="18" fillId="50" borderId="83" applyNumberFormat="0" applyProtection="0">
      <alignment horizontal="left" vertical="top" indent="1"/>
    </xf>
    <xf numFmtId="0" fontId="18" fillId="50" borderId="83" applyNumberFormat="0" applyProtection="0">
      <alignment horizontal="left" vertical="top" indent="1"/>
    </xf>
    <xf numFmtId="0" fontId="18" fillId="50" borderId="83" applyNumberFormat="0" applyProtection="0">
      <alignment horizontal="left" vertical="top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top" indent="1"/>
    </xf>
    <xf numFmtId="0" fontId="18" fillId="34" borderId="83" applyNumberFormat="0" applyProtection="0">
      <alignment horizontal="left" vertical="top" indent="1"/>
    </xf>
    <xf numFmtId="0" fontId="18" fillId="34" borderId="83" applyNumberFormat="0" applyProtection="0">
      <alignment horizontal="left" vertical="top" indent="1"/>
    </xf>
    <xf numFmtId="0" fontId="18" fillId="3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top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top" indent="1"/>
    </xf>
    <xf numFmtId="0" fontId="18" fillId="55" borderId="83" applyNumberFormat="0" applyProtection="0">
      <alignment horizontal="left" vertical="top" indent="1"/>
    </xf>
    <xf numFmtId="0" fontId="18" fillId="55" borderId="83" applyNumberFormat="0" applyProtection="0">
      <alignment horizontal="left" vertical="top" indent="1"/>
    </xf>
    <xf numFmtId="0" fontId="18" fillId="55" borderId="83" applyNumberFormat="0" applyProtection="0">
      <alignment horizontal="left" vertical="top" indent="1"/>
    </xf>
    <xf numFmtId="4" fontId="47" fillId="35" borderId="83" applyNumberFormat="0" applyProtection="0">
      <alignment vertical="center"/>
    </xf>
    <xf numFmtId="4" fontId="51" fillId="35" borderId="83" applyNumberFormat="0" applyProtection="0">
      <alignment vertical="center"/>
    </xf>
    <xf numFmtId="4" fontId="47" fillId="35" borderId="83" applyNumberFormat="0" applyProtection="0">
      <alignment horizontal="left" vertical="center" indent="1"/>
    </xf>
    <xf numFmtId="0" fontId="47" fillId="35" borderId="83" applyNumberFormat="0" applyProtection="0">
      <alignment horizontal="left" vertical="top" indent="1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4" fontId="51" fillId="49" borderId="83" applyNumberFormat="0" applyProtection="0">
      <alignment horizontal="right" vertical="center"/>
    </xf>
    <xf numFmtId="4" fontId="47" fillId="0" borderId="83" applyNumberFormat="0" applyProtection="0">
      <alignment horizontal="left" vertical="center" indent="1"/>
    </xf>
    <xf numFmtId="4" fontId="47" fillId="0" borderId="83" applyNumberFormat="0" applyProtection="0">
      <alignment horizontal="left" vertical="center" indent="1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left" vertical="top"/>
    </xf>
    <xf numFmtId="4" fontId="25" fillId="49" borderId="83" applyNumberFormat="0" applyProtection="0">
      <alignment horizontal="right" vertical="center"/>
    </xf>
    <xf numFmtId="0" fontId="18" fillId="0" borderId="0"/>
    <xf numFmtId="0" fontId="102" fillId="79" borderId="97" applyNumberFormat="0" applyAlignment="0" applyProtection="0"/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vertical="center"/>
    </xf>
    <xf numFmtId="4" fontId="27" fillId="34" borderId="83" applyNumberFormat="0" applyProtection="0"/>
    <xf numFmtId="4" fontId="27" fillId="34" borderId="83" applyNumberFormat="0" applyProtection="0"/>
    <xf numFmtId="4" fontId="27" fillId="34" borderId="83" applyNumberFormat="0" applyProtection="0"/>
    <xf numFmtId="4" fontId="27" fillId="34" borderId="83" applyNumberFormat="0" applyProtection="0"/>
    <xf numFmtId="4" fontId="27" fillId="34" borderId="64" applyNumberFormat="0" applyProtection="0">
      <alignment vertical="center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top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top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top" indent="1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left" vertical="center" indent="1"/>
    </xf>
    <xf numFmtId="4" fontId="47" fillId="0" borderId="83" applyNumberFormat="0" applyProtection="0">
      <alignment horizontal="left" vertical="center" indent="1"/>
    </xf>
    <xf numFmtId="4" fontId="47" fillId="0" borderId="83" applyNumberFormat="0" applyProtection="0">
      <alignment horizontal="left" vertical="center" indent="1"/>
    </xf>
    <xf numFmtId="4" fontId="47" fillId="0" borderId="83" applyNumberFormat="0" applyProtection="0">
      <alignment horizontal="left" vertical="center" indent="1"/>
    </xf>
    <xf numFmtId="4" fontId="47" fillId="59" borderId="83" applyNumberFormat="0" applyProtection="0">
      <alignment horizontal="left" vertical="center" indent="1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center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10" fillId="77" borderId="97" applyNumberFormat="0" applyAlignment="0" applyProtection="0"/>
    <xf numFmtId="4" fontId="47" fillId="51" borderId="83" applyNumberFormat="0" applyProtection="0">
      <alignment horizontal="left" vertical="center" indent="1"/>
    </xf>
    <xf numFmtId="0" fontId="18" fillId="0" borderId="0"/>
    <xf numFmtId="4" fontId="27" fillId="38" borderId="83" applyNumberFormat="0" applyProtection="0">
      <alignment horizontal="left" vertical="center" indent="1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left" vertical="center" indent="1"/>
    </xf>
    <xf numFmtId="0" fontId="47" fillId="34" borderId="83" applyNumberFormat="0" applyProtection="0">
      <alignment horizontal="left" vertical="top"/>
    </xf>
    <xf numFmtId="0" fontId="105" fillId="0" borderId="104" applyNumberFormat="0" applyFill="0" applyAlignment="0" applyProtection="0"/>
    <xf numFmtId="0" fontId="110" fillId="77" borderId="97" applyNumberFormat="0" applyAlignment="0" applyProtection="0"/>
    <xf numFmtId="4" fontId="27" fillId="38" borderId="100" applyNumberFormat="0" applyProtection="0">
      <alignment vertical="center"/>
    </xf>
    <xf numFmtId="0" fontId="18" fillId="0" borderId="0"/>
    <xf numFmtId="4" fontId="27" fillId="34" borderId="64" applyNumberForma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02" fillId="79" borderId="97" applyNumberFormat="0" applyAlignment="0" applyProtection="0"/>
    <xf numFmtId="4" fontId="27" fillId="34" borderId="64" applyNumberFormat="0" applyProtection="0">
      <alignment vertical="center"/>
    </xf>
    <xf numFmtId="0" fontId="110" fillId="77" borderId="97" applyNumberFormat="0" applyAlignment="0" applyProtection="0"/>
    <xf numFmtId="0" fontId="18" fillId="0" borderId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8" fillId="49" borderId="100" applyNumberFormat="0" applyProtection="0">
      <alignment horizontal="left" vertical="center" indent="1"/>
    </xf>
    <xf numFmtId="0" fontId="102" fillId="79" borderId="101" applyNumberFormat="0" applyAlignment="0" applyProtection="0"/>
    <xf numFmtId="0" fontId="18" fillId="76" borderId="92" applyNumberFormat="0" applyFont="0" applyAlignment="0" applyProtection="0"/>
    <xf numFmtId="0" fontId="18" fillId="50" borderId="100" applyNumberFormat="0" applyProtection="0">
      <alignment horizontal="left" vertical="top" indent="1"/>
    </xf>
    <xf numFmtId="0" fontId="18" fillId="76" borderId="102" applyNumberFormat="0" applyFont="0" applyAlignment="0" applyProtection="0"/>
    <xf numFmtId="4" fontId="27" fillId="38" borderId="100" applyNumberFormat="0" applyProtection="0">
      <alignment horizontal="left" vertical="center" indent="1"/>
    </xf>
    <xf numFmtId="0" fontId="110" fillId="77" borderId="101" applyNumberFormat="0" applyAlignment="0" applyProtection="0"/>
    <xf numFmtId="4" fontId="27" fillId="34" borderId="107" applyNumberFormat="0" applyProtection="0">
      <alignment vertical="center"/>
    </xf>
    <xf numFmtId="4" fontId="47" fillId="0" borderId="100" applyNumberFormat="0" applyProtection="0">
      <alignment horizontal="left" vertical="center" indent="1"/>
    </xf>
    <xf numFmtId="0" fontId="114" fillId="79" borderId="103" applyNumberFormat="0" applyAlignment="0" applyProtection="0"/>
    <xf numFmtId="0" fontId="105" fillId="0" borderId="104" applyNumberFormat="0" applyFill="0" applyAlignment="0" applyProtection="0"/>
    <xf numFmtId="4" fontId="47" fillId="51" borderId="100" applyNumberFormat="0" applyProtection="0">
      <alignment horizontal="right" vertical="center"/>
    </xf>
    <xf numFmtId="4" fontId="25" fillId="49" borderId="100" applyNumberFormat="0" applyProtection="0">
      <alignment horizontal="right" vertical="center"/>
    </xf>
    <xf numFmtId="4" fontId="47" fillId="46" borderId="100" applyNumberFormat="0" applyProtection="0">
      <alignment horizontal="right" vertical="center"/>
    </xf>
    <xf numFmtId="0" fontId="102" fillId="79" borderId="101" applyNumberFormat="0" applyAlignment="0" applyProtection="0"/>
    <xf numFmtId="0" fontId="114" fillId="79" borderId="103" applyNumberFormat="0" applyAlignment="0" applyProtection="0"/>
    <xf numFmtId="4" fontId="47" fillId="41" borderId="100" applyNumberFormat="0" applyProtection="0">
      <alignment horizontal="right" vertical="center"/>
    </xf>
    <xf numFmtId="0" fontId="18" fillId="50" borderId="100" applyNumberFormat="0" applyProtection="0">
      <alignment horizontal="left" vertical="center" indent="1"/>
    </xf>
    <xf numFmtId="4" fontId="27" fillId="34" borderId="100" applyNumberFormat="0" applyProtection="0"/>
    <xf numFmtId="0" fontId="18" fillId="76" borderId="102" applyNumberFormat="0" applyFont="0" applyAlignment="0" applyProtection="0"/>
    <xf numFmtId="4" fontId="47" fillId="44" borderId="100" applyNumberFormat="0" applyProtection="0">
      <alignment horizontal="right" vertical="center"/>
    </xf>
    <xf numFmtId="0" fontId="18" fillId="55" borderId="100" applyNumberFormat="0" applyProtection="0">
      <alignment horizontal="left" vertical="center" indent="1"/>
    </xf>
    <xf numFmtId="0" fontId="110" fillId="77" borderId="101" applyNumberFormat="0" applyAlignment="0" applyProtection="0"/>
    <xf numFmtId="0" fontId="18" fillId="85" borderId="100" applyNumberFormat="0" applyProtection="0">
      <alignment horizontal="left" vertical="top" indent="1"/>
    </xf>
    <xf numFmtId="0" fontId="18" fillId="55" borderId="100" applyNumberFormat="0" applyProtection="0">
      <alignment horizontal="left" vertical="center" indent="1"/>
    </xf>
    <xf numFmtId="0" fontId="110" fillId="77" borderId="101" applyNumberFormat="0" applyAlignment="0" applyProtection="0"/>
    <xf numFmtId="4" fontId="47" fillId="0" borderId="100" applyNumberFormat="0" applyProtection="0">
      <alignment horizontal="left" vertical="center" indent="1"/>
    </xf>
    <xf numFmtId="4" fontId="47" fillId="35" borderId="100" applyNumberFormat="0" applyProtection="0">
      <alignment vertical="center"/>
    </xf>
    <xf numFmtId="0" fontId="102" fillId="79" borderId="97" applyNumberFormat="0" applyAlignment="0" applyProtection="0"/>
    <xf numFmtId="0" fontId="110" fillId="77" borderId="97" applyNumberFormat="0" applyAlignment="0" applyProtection="0"/>
    <xf numFmtId="4" fontId="27" fillId="34" borderId="100" applyNumberFormat="0" applyProtection="0"/>
    <xf numFmtId="0" fontId="18" fillId="0" borderId="0" applyFill="0" applyBorder="0" applyProtection="0">
      <alignment horizontal="right"/>
    </xf>
    <xf numFmtId="0" fontId="114" fillId="79" borderId="93" applyNumberFormat="0" applyAlignment="0" applyProtection="0"/>
    <xf numFmtId="4" fontId="47" fillId="42" borderId="100" applyNumberFormat="0" applyProtection="0">
      <alignment horizontal="right" vertical="center"/>
    </xf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55" borderId="100" applyNumberFormat="0" applyProtection="0">
      <alignment horizontal="left" vertical="center" indent="1"/>
    </xf>
    <xf numFmtId="0" fontId="47" fillId="35" borderId="100" applyNumberFormat="0" applyProtection="0">
      <alignment horizontal="left" vertical="top" indent="1"/>
    </xf>
    <xf numFmtId="0" fontId="18" fillId="50" borderId="100" applyNumberFormat="0" applyProtection="0">
      <alignment horizontal="left" vertical="top" indent="1"/>
    </xf>
    <xf numFmtId="0" fontId="110" fillId="77" borderId="101" applyNumberFormat="0" applyAlignment="0" applyProtection="0"/>
    <xf numFmtId="0" fontId="18" fillId="54" borderId="100" applyNumberFormat="0" applyProtection="0">
      <alignment horizontal="left" vertical="center" indent="1"/>
    </xf>
    <xf numFmtId="0" fontId="114" fillId="79" borderId="103" applyNumberFormat="0" applyAlignment="0" applyProtection="0"/>
    <xf numFmtId="0" fontId="18" fillId="85" borderId="100" applyNumberFormat="0" applyProtection="0">
      <alignment horizontal="left" vertical="top" indent="1"/>
    </xf>
    <xf numFmtId="0" fontId="18" fillId="84" borderId="100" applyNumberFormat="0" applyProtection="0">
      <alignment horizontal="left" vertical="center" indent="1"/>
    </xf>
    <xf numFmtId="0" fontId="47" fillId="35" borderId="100" applyNumberFormat="0" applyProtection="0">
      <alignment horizontal="left" vertical="top" indent="1"/>
    </xf>
    <xf numFmtId="0" fontId="26" fillId="0" borderId="106">
      <alignment horizontal="left" vertical="center"/>
    </xf>
    <xf numFmtId="4" fontId="47" fillId="0" borderId="100" applyNumberFormat="0" applyProtection="0">
      <alignment horizontal="left" vertical="center" indent="1"/>
    </xf>
    <xf numFmtId="0" fontId="105" fillId="0" borderId="104" applyNumberFormat="0" applyFill="0" applyAlignment="0" applyProtection="0"/>
    <xf numFmtId="0" fontId="18" fillId="85" borderId="100" applyNumberFormat="0" applyProtection="0">
      <alignment horizontal="left" vertical="center" indent="1"/>
    </xf>
    <xf numFmtId="0" fontId="47" fillId="35" borderId="100" applyNumberFormat="0" applyProtection="0">
      <alignment horizontal="left" vertical="top" indent="1"/>
    </xf>
    <xf numFmtId="4" fontId="47" fillId="43" borderId="100" applyNumberFormat="0" applyProtection="0">
      <alignment horizontal="right" vertical="center"/>
    </xf>
    <xf numFmtId="4" fontId="47" fillId="0" borderId="100" applyNumberFormat="0" applyProtection="0">
      <alignment horizontal="right" vertical="center"/>
    </xf>
    <xf numFmtId="0" fontId="18" fillId="76" borderId="102" applyNumberFormat="0" applyFont="0" applyAlignment="0" applyProtection="0"/>
    <xf numFmtId="0" fontId="18" fillId="51" borderId="100" applyNumberFormat="0" applyProtection="0">
      <alignment horizontal="left" vertical="center" indent="1"/>
    </xf>
    <xf numFmtId="0" fontId="18" fillId="85" borderId="100" applyNumberFormat="0" applyProtection="0">
      <alignment horizontal="left" vertical="center" indent="1"/>
    </xf>
    <xf numFmtId="0" fontId="102" fillId="79" borderId="101" applyNumberFormat="0" applyAlignment="0" applyProtection="0"/>
    <xf numFmtId="4" fontId="47" fillId="43" borderId="100" applyNumberFormat="0" applyProtection="0">
      <alignment horizontal="right" vertical="center"/>
    </xf>
    <xf numFmtId="0" fontId="18" fillId="54" borderId="100" applyNumberFormat="0" applyProtection="0">
      <alignment horizontal="left" vertical="center" indent="1"/>
    </xf>
    <xf numFmtId="0" fontId="18" fillId="49" borderId="100" applyNumberFormat="0" applyProtection="0">
      <alignment horizontal="left" vertical="center" indent="1"/>
    </xf>
    <xf numFmtId="4" fontId="27" fillId="38" borderId="100" applyNumberFormat="0" applyProtection="0">
      <alignment horizontal="left" vertical="center" indent="1"/>
    </xf>
    <xf numFmtId="4" fontId="47" fillId="43" borderId="100" applyNumberFormat="0" applyProtection="0">
      <alignment horizontal="right" vertical="center"/>
    </xf>
    <xf numFmtId="4" fontId="47" fillId="35" borderId="100" applyNumberFormat="0" applyProtection="0">
      <alignment vertical="center"/>
    </xf>
    <xf numFmtId="0" fontId="18" fillId="76" borderId="102" applyNumberFormat="0" applyFont="0" applyAlignment="0" applyProtection="0"/>
    <xf numFmtId="0" fontId="18" fillId="76" borderId="102" applyNumberFormat="0" applyFont="0" applyAlignment="0" applyProtection="0"/>
    <xf numFmtId="4" fontId="46" fillId="38" borderId="100" applyNumberFormat="0" applyProtection="0">
      <alignment vertical="center"/>
    </xf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4" fontId="47" fillId="35" borderId="100" applyNumberFormat="0" applyProtection="0">
      <alignment horizontal="left" vertical="center" indent="1"/>
    </xf>
    <xf numFmtId="0" fontId="18" fillId="76" borderId="92" applyNumberFormat="0" applyFont="0" applyAlignment="0" applyProtection="0"/>
    <xf numFmtId="4" fontId="25" fillId="49" borderId="100" applyNumberFormat="0" applyProtection="0">
      <alignment horizontal="right" vertical="center"/>
    </xf>
    <xf numFmtId="0" fontId="18" fillId="50" borderId="100" applyNumberFormat="0" applyProtection="0">
      <alignment horizontal="left" vertical="top" indent="1"/>
    </xf>
    <xf numFmtId="4" fontId="47" fillId="39" borderId="100" applyNumberFormat="0" applyProtection="0">
      <alignment horizontal="right" vertical="center"/>
    </xf>
    <xf numFmtId="0" fontId="18" fillId="85" borderId="100" applyNumberFormat="0" applyProtection="0">
      <alignment horizontal="left" vertical="top" indent="1"/>
    </xf>
    <xf numFmtId="0" fontId="63" fillId="59" borderId="105" applyNumberFormat="0" applyFont="0" applyFill="0" applyAlignment="0" applyProtection="0">
      <protection locked="0"/>
    </xf>
    <xf numFmtId="0" fontId="18" fillId="34" borderId="100" applyNumberFormat="0" applyProtection="0">
      <alignment horizontal="left" vertical="center" indent="1"/>
    </xf>
    <xf numFmtId="0" fontId="18" fillId="49" borderId="100" applyNumberFormat="0" applyProtection="0">
      <alignment horizontal="left" vertical="center" indent="1"/>
    </xf>
    <xf numFmtId="0" fontId="114" fillId="79" borderId="103" applyNumberFormat="0" applyAlignment="0" applyProtection="0"/>
    <xf numFmtId="4" fontId="27" fillId="38" borderId="100" applyNumberFormat="0" applyProtection="0">
      <alignment horizontal="left" vertical="center" indent="1"/>
    </xf>
    <xf numFmtId="4" fontId="47" fillId="39" borderId="100" applyNumberFormat="0" applyProtection="0">
      <alignment horizontal="right" vertical="center"/>
    </xf>
    <xf numFmtId="0" fontId="110" fillId="77" borderId="101" applyNumberFormat="0" applyAlignment="0" applyProtection="0"/>
    <xf numFmtId="0" fontId="18" fillId="84" borderId="100" applyNumberFormat="0" applyProtection="0">
      <alignment horizontal="left" vertical="top" indent="1"/>
    </xf>
    <xf numFmtId="0" fontId="18" fillId="85" borderId="100" applyNumberFormat="0" applyProtection="0">
      <alignment horizontal="left" vertical="center" indent="1"/>
    </xf>
    <xf numFmtId="0" fontId="114" fillId="79" borderId="103" applyNumberFormat="0" applyAlignment="0" applyProtection="0"/>
    <xf numFmtId="4" fontId="47" fillId="46" borderId="100" applyNumberFormat="0" applyProtection="0">
      <alignment horizontal="right" vertical="center"/>
    </xf>
    <xf numFmtId="0" fontId="18" fillId="34" borderId="100" applyNumberFormat="0" applyProtection="0">
      <alignment horizontal="left" vertical="center" indent="1"/>
    </xf>
    <xf numFmtId="0" fontId="102" fillId="79" borderId="101" applyNumberFormat="0" applyAlignment="0" applyProtection="0"/>
    <xf numFmtId="0" fontId="18" fillId="84" borderId="100" applyNumberFormat="0" applyProtection="0">
      <alignment horizontal="left" vertical="top" indent="1"/>
    </xf>
    <xf numFmtId="4" fontId="47" fillId="51" borderId="100" applyNumberFormat="0" applyProtection="0">
      <alignment horizontal="right" vertical="center"/>
    </xf>
    <xf numFmtId="0" fontId="18" fillId="49" borderId="100" applyNumberFormat="0" applyProtection="0">
      <alignment horizontal="left" vertical="center" indent="1"/>
    </xf>
    <xf numFmtId="0" fontId="18" fillId="50" borderId="100" applyNumberFormat="0" applyProtection="0">
      <alignment horizontal="left" vertical="center" indent="1"/>
    </xf>
    <xf numFmtId="4" fontId="27" fillId="34" borderId="100" applyNumberFormat="0" applyProtection="0"/>
    <xf numFmtId="0" fontId="18" fillId="55" borderId="100" applyNumberFormat="0" applyProtection="0">
      <alignment horizontal="left" vertical="center" indent="1"/>
    </xf>
    <xf numFmtId="4" fontId="47" fillId="0" borderId="100" applyNumberFormat="0" applyProtection="0">
      <alignment horizontal="left" vertical="center" indent="1"/>
    </xf>
    <xf numFmtId="0" fontId="47" fillId="34" borderId="100" applyNumberFormat="0" applyProtection="0">
      <alignment horizontal="left" vertical="top"/>
    </xf>
    <xf numFmtId="4" fontId="47" fillId="40" borderId="100" applyNumberFormat="0" applyProtection="0">
      <alignment horizontal="right" vertical="center"/>
    </xf>
    <xf numFmtId="0" fontId="47" fillId="35" borderId="100" applyNumberFormat="0" applyProtection="0">
      <alignment horizontal="left" vertical="top" indent="1"/>
    </xf>
    <xf numFmtId="0" fontId="18" fillId="76" borderId="102" applyNumberFormat="0" applyFont="0" applyAlignment="0" applyProtection="0"/>
    <xf numFmtId="4" fontId="47" fillId="40" borderId="100" applyNumberFormat="0" applyProtection="0">
      <alignment horizontal="right" vertical="center"/>
    </xf>
    <xf numFmtId="0" fontId="18" fillId="50" borderId="100" applyNumberFormat="0" applyProtection="0">
      <alignment horizontal="left" vertical="center" indent="1"/>
    </xf>
    <xf numFmtId="0" fontId="18" fillId="76" borderId="102" applyNumberFormat="0" applyFont="0" applyAlignment="0" applyProtection="0"/>
    <xf numFmtId="0" fontId="114" fillId="79" borderId="103" applyNumberFormat="0" applyAlignment="0" applyProtection="0"/>
    <xf numFmtId="4" fontId="47" fillId="51" borderId="100" applyNumberFormat="0" applyProtection="0">
      <alignment horizontal="right" vertical="center"/>
    </xf>
    <xf numFmtId="4" fontId="27" fillId="34" borderId="107" applyNumberFormat="0" applyProtection="0">
      <alignment vertical="center"/>
    </xf>
    <xf numFmtId="0" fontId="18" fillId="55" borderId="100" applyNumberFormat="0" applyProtection="0">
      <alignment horizontal="left" vertical="center" indent="1"/>
    </xf>
    <xf numFmtId="0" fontId="102" fillId="79" borderId="97" applyNumberFormat="0" applyAlignment="0" applyProtection="0"/>
    <xf numFmtId="0" fontId="110" fillId="77" borderId="97" applyNumberFormat="0" applyAlignment="0" applyProtection="0"/>
    <xf numFmtId="0" fontId="114" fillId="79" borderId="93" applyNumberFormat="0" applyAlignment="0" applyProtection="0"/>
    <xf numFmtId="4" fontId="47" fillId="0" borderId="100" applyNumberFormat="0" applyProtection="0">
      <alignment horizontal="right" vertical="center"/>
    </xf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55" borderId="100" applyNumberFormat="0" applyProtection="0">
      <alignment horizontal="left" vertical="center" indent="1"/>
    </xf>
    <xf numFmtId="0" fontId="18" fillId="34" borderId="100" applyNumberFormat="0" applyProtection="0">
      <alignment horizontal="left" vertical="center" indent="1"/>
    </xf>
    <xf numFmtId="0" fontId="18" fillId="55" borderId="100" applyNumberFormat="0" applyProtection="0">
      <alignment horizontal="left" vertical="top" indent="1"/>
    </xf>
    <xf numFmtId="0" fontId="18" fillId="76" borderId="102" applyNumberFormat="0" applyFont="0" applyAlignment="0" applyProtection="0"/>
    <xf numFmtId="0" fontId="105" fillId="0" borderId="104" applyNumberFormat="0" applyFill="0" applyAlignment="0" applyProtection="0"/>
    <xf numFmtId="0" fontId="105" fillId="0" borderId="104" applyNumberFormat="0" applyFill="0" applyAlignment="0" applyProtection="0"/>
    <xf numFmtId="0" fontId="63" fillId="59" borderId="105" applyNumberFormat="0" applyFont="0" applyFill="0" applyAlignment="0" applyProtection="0">
      <protection locked="0"/>
    </xf>
    <xf numFmtId="0" fontId="18" fillId="51" borderId="100" applyNumberFormat="0" applyProtection="0">
      <alignment horizontal="left" vertical="top" indent="1"/>
    </xf>
    <xf numFmtId="0" fontId="105" fillId="0" borderId="104" applyNumberFormat="0" applyFill="0" applyAlignment="0" applyProtection="0"/>
    <xf numFmtId="4" fontId="47" fillId="0" borderId="100" applyNumberFormat="0" applyProtection="0">
      <alignment horizontal="left" vertical="center" indent="1"/>
    </xf>
    <xf numFmtId="0" fontId="102" fillId="79" borderId="101" applyNumberFormat="0" applyAlignment="0" applyProtection="0"/>
    <xf numFmtId="0" fontId="102" fillId="79" borderId="101" applyNumberFormat="0" applyAlignment="0" applyProtection="0"/>
    <xf numFmtId="0" fontId="18" fillId="85" borderId="100" applyNumberFormat="0" applyProtection="0">
      <alignment horizontal="left" vertical="top" indent="1"/>
    </xf>
    <xf numFmtId="4" fontId="51" fillId="49" borderId="100" applyNumberFormat="0" applyProtection="0">
      <alignment horizontal="right" vertical="center"/>
    </xf>
    <xf numFmtId="0" fontId="47" fillId="34" borderId="100" applyNumberFormat="0" applyProtection="0">
      <alignment horizontal="left" vertical="top"/>
    </xf>
    <xf numFmtId="4" fontId="47" fillId="0" borderId="100" applyNumberFormat="0" applyProtection="0">
      <alignment horizontal="left" vertical="center" indent="1"/>
    </xf>
    <xf numFmtId="4" fontId="25" fillId="49" borderId="100" applyNumberFormat="0" applyProtection="0">
      <alignment horizontal="right" vertical="center"/>
    </xf>
    <xf numFmtId="0" fontId="18" fillId="84" borderId="100" applyNumberFormat="0" applyProtection="0">
      <alignment horizontal="left" vertical="top" indent="1"/>
    </xf>
    <xf numFmtId="0" fontId="114" fillId="79" borderId="103" applyNumberFormat="0" applyAlignment="0" applyProtection="0"/>
    <xf numFmtId="0" fontId="18" fillId="54" borderId="100" applyNumberFormat="0" applyProtection="0">
      <alignment horizontal="left" vertical="top" indent="1"/>
    </xf>
    <xf numFmtId="4" fontId="51" fillId="49" borderId="100" applyNumberFormat="0" applyProtection="0">
      <alignment horizontal="right" vertical="center"/>
    </xf>
    <xf numFmtId="0" fontId="105" fillId="0" borderId="104" applyNumberFormat="0" applyFill="0" applyAlignment="0" applyProtection="0"/>
    <xf numFmtId="0" fontId="114" fillId="79" borderId="103" applyNumberFormat="0" applyAlignment="0" applyProtection="0"/>
    <xf numFmtId="0" fontId="18" fillId="54" borderId="100" applyNumberFormat="0" applyProtection="0">
      <alignment horizontal="left" vertical="top" indent="1"/>
    </xf>
    <xf numFmtId="0" fontId="18" fillId="50" borderId="100" applyNumberFormat="0" applyProtection="0">
      <alignment horizontal="left" vertical="top" indent="1"/>
    </xf>
    <xf numFmtId="4" fontId="47" fillId="39" borderId="100" applyNumberFormat="0" applyProtection="0">
      <alignment horizontal="right" vertical="center"/>
    </xf>
    <xf numFmtId="0" fontId="102" fillId="79" borderId="101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4" fontId="47" fillId="46" borderId="100" applyNumberFormat="0" applyProtection="0">
      <alignment horizontal="right" vertical="center"/>
    </xf>
    <xf numFmtId="0" fontId="114" fillId="79" borderId="103" applyNumberFormat="0" applyAlignment="0" applyProtection="0"/>
    <xf numFmtId="0" fontId="27" fillId="38" borderId="100" applyNumberFormat="0" applyProtection="0">
      <alignment horizontal="left" vertical="top" indent="1"/>
    </xf>
    <xf numFmtId="0" fontId="18" fillId="76" borderId="92" applyNumberFormat="0" applyFont="0" applyAlignment="0" applyProtection="0"/>
    <xf numFmtId="0" fontId="18" fillId="34" borderId="100" applyNumberFormat="0" applyProtection="0">
      <alignment horizontal="left" vertical="center" indent="1"/>
    </xf>
    <xf numFmtId="4" fontId="47" fillId="41" borderId="100" applyNumberFormat="0" applyProtection="0">
      <alignment horizontal="right" vertical="center"/>
    </xf>
    <xf numFmtId="0" fontId="18" fillId="50" borderId="100" applyNumberFormat="0" applyProtection="0">
      <alignment horizontal="left" vertical="center" indent="1"/>
    </xf>
    <xf numFmtId="0" fontId="102" fillId="79" borderId="101" applyNumberFormat="0" applyAlignment="0" applyProtection="0"/>
    <xf numFmtId="0" fontId="110" fillId="77" borderId="101" applyNumberFormat="0" applyAlignment="0" applyProtection="0"/>
    <xf numFmtId="4" fontId="47" fillId="45" borderId="100" applyNumberFormat="0" applyProtection="0">
      <alignment horizontal="right" vertical="center"/>
    </xf>
    <xf numFmtId="4" fontId="51" fillId="35" borderId="100" applyNumberFormat="0" applyProtection="0">
      <alignment vertical="center"/>
    </xf>
    <xf numFmtId="0" fontId="18" fillId="84" borderId="100" applyNumberFormat="0" applyProtection="0">
      <alignment horizontal="left" vertical="center" indent="1"/>
    </xf>
    <xf numFmtId="4" fontId="25" fillId="49" borderId="100" applyNumberFormat="0" applyProtection="0">
      <alignment horizontal="right" vertical="center"/>
    </xf>
    <xf numFmtId="0" fontId="114" fillId="79" borderId="103" applyNumberFormat="0" applyAlignment="0" applyProtection="0"/>
    <xf numFmtId="0" fontId="47" fillId="35" borderId="100" applyNumberFormat="0" applyProtection="0">
      <alignment horizontal="left" vertical="top" indent="1"/>
    </xf>
    <xf numFmtId="0" fontId="105" fillId="0" borderId="104" applyNumberFormat="0" applyFill="0" applyAlignment="0" applyProtection="0"/>
    <xf numFmtId="0" fontId="18" fillId="85" borderId="100" applyNumberFormat="0" applyProtection="0">
      <alignment horizontal="left" vertical="top" indent="1"/>
    </xf>
    <xf numFmtId="0" fontId="114" fillId="79" borderId="103" applyNumberFormat="0" applyAlignment="0" applyProtection="0"/>
    <xf numFmtId="4" fontId="47" fillId="47" borderId="100" applyNumberFormat="0" applyProtection="0">
      <alignment horizontal="right" vertical="center"/>
    </xf>
    <xf numFmtId="0" fontId="47" fillId="34" borderId="100" applyNumberFormat="0" applyProtection="0">
      <alignment horizontal="left" vertical="top"/>
    </xf>
    <xf numFmtId="0" fontId="18" fillId="76" borderId="102" applyNumberFormat="0" applyFont="0" applyAlignment="0" applyProtection="0"/>
    <xf numFmtId="0" fontId="18" fillId="34" borderId="100" applyNumberFormat="0" applyProtection="0">
      <alignment horizontal="left" vertical="top" indent="1"/>
    </xf>
    <xf numFmtId="0" fontId="18" fillId="49" borderId="100" applyNumberFormat="0" applyProtection="0">
      <alignment horizontal="left" vertical="top" indent="1"/>
    </xf>
    <xf numFmtId="4" fontId="27" fillId="38" borderId="100" applyNumberFormat="0" applyProtection="0">
      <alignment horizontal="left" vertical="center" indent="1"/>
    </xf>
    <xf numFmtId="4" fontId="51" fillId="35" borderId="100" applyNumberFormat="0" applyProtection="0">
      <alignment vertical="center"/>
    </xf>
    <xf numFmtId="0" fontId="114" fillId="79" borderId="103" applyNumberFormat="0" applyAlignment="0" applyProtection="0"/>
    <xf numFmtId="0" fontId="18" fillId="85" borderId="100" applyNumberFormat="0" applyProtection="0">
      <alignment horizontal="left" vertical="center" indent="1"/>
    </xf>
    <xf numFmtId="0" fontId="18" fillId="84" borderId="100" applyNumberFormat="0" applyProtection="0">
      <alignment horizontal="left" vertical="top" indent="1"/>
    </xf>
    <xf numFmtId="4" fontId="47" fillId="35" borderId="100" applyNumberFormat="0" applyProtection="0">
      <alignment vertical="center"/>
    </xf>
    <xf numFmtId="4" fontId="47" fillId="0" borderId="100" applyNumberFormat="0" applyProtection="0">
      <alignment horizontal="right" vertical="center"/>
    </xf>
    <xf numFmtId="4" fontId="47" fillId="42" borderId="100" applyNumberFormat="0" applyProtection="0">
      <alignment horizontal="right" vertical="center"/>
    </xf>
    <xf numFmtId="0" fontId="105" fillId="0" borderId="104" applyNumberFormat="0" applyFill="0" applyAlignment="0" applyProtection="0"/>
    <xf numFmtId="0" fontId="47" fillId="34" borderId="100" applyNumberFormat="0" applyProtection="0">
      <alignment horizontal="left" vertical="top"/>
    </xf>
    <xf numFmtId="0" fontId="102" fillId="79" borderId="97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05" fillId="0" borderId="104" applyNumberFormat="0" applyFill="0" applyAlignment="0" applyProtection="0"/>
    <xf numFmtId="0" fontId="18" fillId="76" borderId="92" applyNumberFormat="0" applyFont="0" applyAlignment="0" applyProtection="0"/>
    <xf numFmtId="0" fontId="18" fillId="55" borderId="100" applyNumberFormat="0" applyProtection="0">
      <alignment horizontal="left" vertical="center" indent="1"/>
    </xf>
    <xf numFmtId="0" fontId="102" fillId="79" borderId="101" applyNumberFormat="0" applyAlignment="0" applyProtection="0"/>
    <xf numFmtId="4" fontId="47" fillId="51" borderId="100" applyNumberFormat="0" applyProtection="0">
      <alignment horizontal="left" vertical="center" indent="1"/>
    </xf>
    <xf numFmtId="4" fontId="47" fillId="42" borderId="100" applyNumberFormat="0" applyProtection="0">
      <alignment horizontal="right" vertical="center"/>
    </xf>
    <xf numFmtId="4" fontId="47" fillId="43" borderId="100" applyNumberFormat="0" applyProtection="0">
      <alignment horizontal="right" vertical="center"/>
    </xf>
    <xf numFmtId="0" fontId="65" fillId="0" borderId="16" applyNumberFormat="0" applyFont="0" applyFill="0" applyAlignment="0" applyProtection="0"/>
    <xf numFmtId="4" fontId="47" fillId="51" borderId="100" applyNumberFormat="0" applyProtection="0">
      <alignment horizontal="right" vertical="center"/>
    </xf>
    <xf numFmtId="4" fontId="47" fillId="43" borderId="100" applyNumberFormat="0" applyProtection="0">
      <alignment horizontal="right" vertical="center"/>
    </xf>
    <xf numFmtId="0" fontId="18" fillId="50" borderId="100" applyNumberFormat="0" applyProtection="0">
      <alignment horizontal="left" vertical="top" indent="1"/>
    </xf>
    <xf numFmtId="0" fontId="18" fillId="34" borderId="100" applyNumberFormat="0" applyProtection="0">
      <alignment horizontal="left" vertical="center" indent="1"/>
    </xf>
    <xf numFmtId="4" fontId="27" fillId="38" borderId="100" applyNumberFormat="0" applyProtection="0">
      <alignment horizontal="left" vertical="center" indent="1"/>
    </xf>
    <xf numFmtId="0" fontId="18" fillId="34" borderId="100" applyNumberFormat="0" applyProtection="0">
      <alignment horizontal="left" vertical="center" indent="1"/>
    </xf>
    <xf numFmtId="0" fontId="18" fillId="50" borderId="100" applyNumberFormat="0" applyProtection="0">
      <alignment horizontal="left" vertical="top" indent="1"/>
    </xf>
    <xf numFmtId="0" fontId="18" fillId="51" borderId="100" applyNumberFormat="0" applyProtection="0">
      <alignment horizontal="left" vertical="center" indent="1"/>
    </xf>
    <xf numFmtId="4" fontId="47" fillId="41" borderId="100" applyNumberFormat="0" applyProtection="0">
      <alignment horizontal="right" vertical="center"/>
    </xf>
    <xf numFmtId="4" fontId="47" fillId="51" borderId="100" applyNumberFormat="0" applyProtection="0">
      <alignment horizontal="right" vertical="center"/>
    </xf>
    <xf numFmtId="0" fontId="18" fillId="54" borderId="100" applyNumberFormat="0" applyProtection="0">
      <alignment horizontal="left" vertical="top" indent="1"/>
    </xf>
    <xf numFmtId="0" fontId="18" fillId="55" borderId="100" applyNumberFormat="0" applyProtection="0">
      <alignment horizontal="left" vertical="top" indent="1"/>
    </xf>
    <xf numFmtId="0" fontId="18" fillId="34" borderId="100" applyNumberFormat="0" applyProtection="0">
      <alignment horizontal="left" vertical="center" indent="1"/>
    </xf>
    <xf numFmtId="4" fontId="47" fillId="42" borderId="100" applyNumberFormat="0" applyProtection="0">
      <alignment horizontal="right" vertical="center"/>
    </xf>
    <xf numFmtId="0" fontId="18" fillId="55" borderId="100" applyNumberFormat="0" applyProtection="0">
      <alignment horizontal="left" vertical="top" indent="1"/>
    </xf>
    <xf numFmtId="0" fontId="18" fillId="84" borderId="100" applyNumberFormat="0" applyProtection="0">
      <alignment horizontal="left" vertical="top" indent="1"/>
    </xf>
    <xf numFmtId="4" fontId="51" fillId="35" borderId="100" applyNumberFormat="0" applyProtection="0">
      <alignment vertical="center"/>
    </xf>
    <xf numFmtId="0" fontId="18" fillId="34" borderId="100" applyNumberFormat="0" applyProtection="0">
      <alignment horizontal="left" vertical="top" indent="1"/>
    </xf>
    <xf numFmtId="4" fontId="47" fillId="45" borderId="100" applyNumberFormat="0" applyProtection="0">
      <alignment horizontal="right" vertical="center"/>
    </xf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4" fontId="47" fillId="40" borderId="100" applyNumberFormat="0" applyProtection="0">
      <alignment horizontal="right" vertical="center"/>
    </xf>
    <xf numFmtId="0" fontId="47" fillId="34" borderId="100" applyNumberFormat="0" applyProtection="0">
      <alignment horizontal="left" vertical="top"/>
    </xf>
    <xf numFmtId="0" fontId="114" fillId="79" borderId="93" applyNumberFormat="0" applyAlignment="0" applyProtection="0"/>
    <xf numFmtId="0" fontId="18" fillId="51" borderId="100" applyNumberFormat="0" applyProtection="0">
      <alignment horizontal="left" vertical="center" indent="1"/>
    </xf>
    <xf numFmtId="4" fontId="27" fillId="38" borderId="100" applyNumberFormat="0" applyProtection="0">
      <alignment horizontal="left" vertical="center" indent="1"/>
    </xf>
    <xf numFmtId="0" fontId="18" fillId="34" borderId="100" applyNumberFormat="0" applyProtection="0">
      <alignment horizontal="left" vertical="center" indent="1"/>
    </xf>
    <xf numFmtId="4" fontId="27" fillId="38" borderId="100" applyNumberFormat="0" applyProtection="0">
      <alignment horizontal="left" vertical="center" indent="1"/>
    </xf>
    <xf numFmtId="0" fontId="47" fillId="34" borderId="100" applyNumberFormat="0" applyProtection="0">
      <alignment horizontal="left" vertical="top"/>
    </xf>
    <xf numFmtId="0" fontId="110" fillId="77" borderId="101" applyNumberFormat="0" applyAlignment="0" applyProtection="0"/>
    <xf numFmtId="4" fontId="46" fillId="38" borderId="100" applyNumberFormat="0" applyProtection="0">
      <alignment vertical="center"/>
    </xf>
    <xf numFmtId="0" fontId="18" fillId="34" borderId="100" applyNumberFormat="0" applyProtection="0">
      <alignment horizontal="left" vertical="center" indent="1"/>
    </xf>
    <xf numFmtId="4" fontId="47" fillId="39" borderId="100" applyNumberFormat="0" applyProtection="0">
      <alignment horizontal="right" vertical="center"/>
    </xf>
    <xf numFmtId="0" fontId="18" fillId="50" borderId="100" applyNumberFormat="0" applyProtection="0">
      <alignment horizontal="left" vertical="top" indent="1"/>
    </xf>
    <xf numFmtId="0" fontId="18" fillId="76" borderId="102" applyNumberFormat="0" applyFont="0" applyAlignment="0" applyProtection="0"/>
    <xf numFmtId="4" fontId="47" fillId="51" borderId="100" applyNumberFormat="0" applyProtection="0">
      <alignment horizontal="left" vertical="center" indent="1"/>
    </xf>
    <xf numFmtId="0" fontId="18" fillId="54" borderId="100" applyNumberFormat="0" applyProtection="0">
      <alignment horizontal="left" vertical="center" indent="1"/>
    </xf>
    <xf numFmtId="0" fontId="110" fillId="77" borderId="101" applyNumberFormat="0" applyAlignment="0" applyProtection="0"/>
    <xf numFmtId="0" fontId="105" fillId="0" borderId="104" applyNumberFormat="0" applyFill="0" applyAlignment="0" applyProtection="0"/>
    <xf numFmtId="4" fontId="47" fillId="47" borderId="100" applyNumberFormat="0" applyProtection="0">
      <alignment horizontal="right" vertical="center"/>
    </xf>
    <xf numFmtId="0" fontId="18" fillId="50" borderId="100" applyNumberFormat="0" applyProtection="0">
      <alignment horizontal="left" vertical="center" indent="1"/>
    </xf>
    <xf numFmtId="0" fontId="102" fillId="79" borderId="101" applyNumberFormat="0" applyAlignment="0" applyProtection="0"/>
    <xf numFmtId="0" fontId="47" fillId="34" borderId="100" applyNumberFormat="0" applyProtection="0">
      <alignment horizontal="left" vertical="top"/>
    </xf>
    <xf numFmtId="0" fontId="18" fillId="49" borderId="100" applyNumberFormat="0" applyProtection="0">
      <alignment horizontal="left" vertical="top" indent="1"/>
    </xf>
    <xf numFmtId="0" fontId="18" fillId="51" borderId="100" applyNumberFormat="0" applyProtection="0">
      <alignment horizontal="left" vertical="top" indent="1"/>
    </xf>
    <xf numFmtId="0" fontId="18" fillId="51" borderId="100" applyNumberFormat="0" applyProtection="0">
      <alignment horizontal="left" vertical="center" indent="1"/>
    </xf>
    <xf numFmtId="0" fontId="18" fillId="50" borderId="100" applyNumberFormat="0" applyProtection="0">
      <alignment horizontal="left" vertical="top" indent="1"/>
    </xf>
    <xf numFmtId="0" fontId="18" fillId="54" borderId="100" applyNumberFormat="0" applyProtection="0">
      <alignment horizontal="left" vertical="center" indent="1"/>
    </xf>
    <xf numFmtId="4" fontId="47" fillId="41" borderId="100" applyNumberFormat="0" applyProtection="0">
      <alignment horizontal="right" vertical="center"/>
    </xf>
    <xf numFmtId="0" fontId="18" fillId="49" borderId="100" applyNumberFormat="0" applyProtection="0">
      <alignment horizontal="left" vertical="top" indent="1"/>
    </xf>
    <xf numFmtId="0" fontId="18" fillId="84" borderId="100" applyNumberFormat="0" applyProtection="0">
      <alignment horizontal="left" vertical="center" indent="1"/>
    </xf>
    <xf numFmtId="0" fontId="18" fillId="76" borderId="102" applyNumberFormat="0" applyFont="0" applyAlignment="0" applyProtection="0"/>
    <xf numFmtId="0" fontId="105" fillId="0" borderId="104" applyNumberFormat="0" applyFill="0" applyAlignment="0" applyProtection="0"/>
    <xf numFmtId="4" fontId="27" fillId="38" borderId="100" applyNumberFormat="0" applyProtection="0">
      <alignment horizontal="left" vertical="center" indent="1"/>
    </xf>
    <xf numFmtId="0" fontId="18" fillId="84" borderId="100" applyNumberFormat="0" applyProtection="0">
      <alignment horizontal="left" vertical="top" indent="1"/>
    </xf>
    <xf numFmtId="0" fontId="114" fillId="79" borderId="93" applyNumberFormat="0" applyAlignment="0" applyProtection="0"/>
    <xf numFmtId="0" fontId="114" fillId="79" borderId="93" applyNumberFormat="0" applyAlignment="0" applyProtection="0"/>
    <xf numFmtId="0" fontId="47" fillId="34" borderId="100" applyNumberFormat="0" applyProtection="0">
      <alignment horizontal="left" vertical="top"/>
    </xf>
    <xf numFmtId="0" fontId="18" fillId="76" borderId="92" applyNumberFormat="0" applyFont="0" applyAlignment="0" applyProtection="0"/>
    <xf numFmtId="0" fontId="18" fillId="55" borderId="100" applyNumberFormat="0" applyProtection="0">
      <alignment horizontal="left" vertical="top" indent="1"/>
    </xf>
    <xf numFmtId="0" fontId="18" fillId="51" borderId="100" applyNumberFormat="0" applyProtection="0">
      <alignment horizontal="left" vertical="top" indent="1"/>
    </xf>
    <xf numFmtId="0" fontId="105" fillId="0" borderId="104" applyNumberFormat="0" applyFill="0" applyAlignment="0" applyProtection="0"/>
    <xf numFmtId="0" fontId="105" fillId="0" borderId="104" applyNumberFormat="0" applyFill="0" applyAlignment="0" applyProtection="0"/>
    <xf numFmtId="4" fontId="51" fillId="35" borderId="100" applyNumberFormat="0" applyProtection="0">
      <alignment vertical="center"/>
    </xf>
    <xf numFmtId="4" fontId="47" fillId="0" borderId="100" applyNumberFormat="0" applyProtection="0">
      <alignment horizontal="left" vertical="center" indent="1"/>
    </xf>
    <xf numFmtId="0" fontId="18" fillId="76" borderId="102" applyNumberFormat="0" applyFont="0" applyAlignment="0" applyProtection="0"/>
    <xf numFmtId="0" fontId="47" fillId="34" borderId="100" applyNumberFormat="0" applyProtection="0">
      <alignment horizontal="left" vertical="top"/>
    </xf>
    <xf numFmtId="0" fontId="105" fillId="0" borderId="104" applyNumberFormat="0" applyFill="0" applyAlignment="0" applyProtection="0"/>
    <xf numFmtId="0" fontId="18" fillId="49" borderId="100" applyNumberFormat="0" applyProtection="0">
      <alignment horizontal="left" vertical="center" indent="1"/>
    </xf>
    <xf numFmtId="4" fontId="46" fillId="38" borderId="100" applyNumberFormat="0" applyProtection="0">
      <alignment vertical="center"/>
    </xf>
    <xf numFmtId="0" fontId="110" fillId="77" borderId="101" applyNumberFormat="0" applyAlignment="0" applyProtection="0"/>
    <xf numFmtId="0" fontId="102" fillId="79" borderId="101" applyNumberFormat="0" applyAlignment="0" applyProtection="0"/>
    <xf numFmtId="0" fontId="105" fillId="0" borderId="104" applyNumberFormat="0" applyFill="0" applyAlignment="0" applyProtection="0"/>
    <xf numFmtId="0" fontId="26" fillId="0" borderId="99">
      <alignment horizontal="left" vertical="center"/>
    </xf>
    <xf numFmtId="0" fontId="26" fillId="0" borderId="106">
      <alignment horizontal="left" vertical="center"/>
    </xf>
    <xf numFmtId="0" fontId="110" fillId="77" borderId="101" applyNumberFormat="0" applyAlignment="0" applyProtection="0"/>
    <xf numFmtId="0" fontId="18" fillId="85" borderId="100" applyNumberFormat="0" applyProtection="0">
      <alignment horizontal="left" vertical="top" indent="1"/>
    </xf>
    <xf numFmtId="4" fontId="47" fillId="0" borderId="100" applyNumberFormat="0" applyProtection="0">
      <alignment horizontal="left" vertical="center" indent="1"/>
    </xf>
    <xf numFmtId="0" fontId="114" fillId="79" borderId="103" applyNumberFormat="0" applyAlignment="0" applyProtection="0"/>
    <xf numFmtId="0" fontId="18" fillId="49" borderId="100" applyNumberFormat="0" applyProtection="0">
      <alignment horizontal="left" vertical="center" indent="1"/>
    </xf>
    <xf numFmtId="0" fontId="102" fillId="79" borderId="101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4" fontId="27" fillId="34" borderId="100" applyNumberFormat="0" applyProtection="0"/>
    <xf numFmtId="0" fontId="105" fillId="0" borderId="104" applyNumberFormat="0" applyFill="0" applyAlignment="0" applyProtection="0"/>
    <xf numFmtId="0" fontId="47" fillId="35" borderId="100" applyNumberFormat="0" applyProtection="0">
      <alignment horizontal="left" vertical="top" indent="1"/>
    </xf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34" borderId="100" applyNumberFormat="0" applyProtection="0">
      <alignment horizontal="left" vertical="top" indent="1"/>
    </xf>
    <xf numFmtId="4" fontId="47" fillId="51" borderId="100" applyNumberFormat="0" applyProtection="0">
      <alignment horizontal="right" vertical="center"/>
    </xf>
    <xf numFmtId="0" fontId="18" fillId="76" borderId="102" applyNumberFormat="0" applyFont="0" applyAlignment="0" applyProtection="0"/>
    <xf numFmtId="0" fontId="18" fillId="34" borderId="100" applyNumberFormat="0" applyProtection="0">
      <alignment horizontal="left" vertical="top" indent="1"/>
    </xf>
    <xf numFmtId="0" fontId="18" fillId="34" borderId="100" applyNumberFormat="0" applyProtection="0">
      <alignment horizontal="left" vertical="top" indent="1"/>
    </xf>
    <xf numFmtId="0" fontId="114" fillId="79" borderId="103" applyNumberFormat="0" applyAlignment="0" applyProtection="0"/>
    <xf numFmtId="0" fontId="110" fillId="77" borderId="101" applyNumberFormat="0" applyAlignment="0" applyProtection="0"/>
    <xf numFmtId="0" fontId="114" fillId="79" borderId="103" applyNumberFormat="0" applyAlignment="0" applyProtection="0"/>
    <xf numFmtId="0" fontId="18" fillId="34" borderId="100" applyNumberFormat="0" applyProtection="0">
      <alignment horizontal="left" vertical="top" indent="1"/>
    </xf>
    <xf numFmtId="0" fontId="114" fillId="79" borderId="103" applyNumberFormat="0" applyAlignment="0" applyProtection="0"/>
    <xf numFmtId="0" fontId="18" fillId="34" borderId="100" applyNumberFormat="0" applyProtection="0">
      <alignment horizontal="left" vertical="top" indent="1"/>
    </xf>
    <xf numFmtId="4" fontId="47" fillId="0" borderId="100" applyNumberFormat="0" applyProtection="0">
      <alignment horizontal="left" vertical="center" indent="1"/>
    </xf>
    <xf numFmtId="0" fontId="18" fillId="84" borderId="100" applyNumberFormat="0" applyProtection="0">
      <alignment horizontal="left" vertical="center" indent="1"/>
    </xf>
    <xf numFmtId="4" fontId="27" fillId="38" borderId="100" applyNumberFormat="0" applyProtection="0">
      <alignment horizontal="left" vertical="center" indent="1"/>
    </xf>
    <xf numFmtId="0" fontId="18" fillId="84" borderId="100" applyNumberFormat="0" applyProtection="0">
      <alignment horizontal="left" vertical="top" indent="1"/>
    </xf>
    <xf numFmtId="0" fontId="47" fillId="34" borderId="100" applyNumberFormat="0" applyProtection="0">
      <alignment horizontal="center" vertical="top"/>
    </xf>
    <xf numFmtId="0" fontId="110" fillId="77" borderId="101" applyNumberFormat="0" applyAlignment="0" applyProtection="0"/>
    <xf numFmtId="4" fontId="51" fillId="49" borderId="100" applyNumberFormat="0" applyProtection="0">
      <alignment horizontal="right" vertical="center"/>
    </xf>
    <xf numFmtId="0" fontId="114" fillId="79" borderId="103" applyNumberFormat="0" applyAlignment="0" applyProtection="0"/>
    <xf numFmtId="0" fontId="18" fillId="85" borderId="100" applyNumberFormat="0" applyProtection="0">
      <alignment horizontal="left" vertical="center" indent="1"/>
    </xf>
    <xf numFmtId="0" fontId="18" fillId="55" borderId="100" applyNumberFormat="0" applyProtection="0">
      <alignment horizontal="left" vertical="top" indent="1"/>
    </xf>
    <xf numFmtId="0" fontId="18" fillId="49" borderId="100" applyNumberFormat="0" applyProtection="0">
      <alignment horizontal="left" vertical="center" indent="1"/>
    </xf>
    <xf numFmtId="4" fontId="47" fillId="0" borderId="100" applyNumberFormat="0" applyProtection="0">
      <alignment horizontal="left" vertical="center" indent="1"/>
    </xf>
    <xf numFmtId="0" fontId="114" fillId="79" borderId="93" applyNumberFormat="0" applyAlignment="0" applyProtection="0"/>
    <xf numFmtId="0" fontId="114" fillId="79" borderId="93" applyNumberFormat="0" applyAlignment="0" applyProtection="0"/>
    <xf numFmtId="0" fontId="105" fillId="0" borderId="104" applyNumberFormat="0" applyFill="0" applyAlignmen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55" borderId="100" applyNumberFormat="0" applyProtection="0">
      <alignment horizontal="left" vertical="top" indent="1"/>
    </xf>
    <xf numFmtId="0" fontId="18" fillId="50" borderId="100" applyNumberFormat="0" applyProtection="0">
      <alignment horizontal="left" vertical="center" indent="1"/>
    </xf>
    <xf numFmtId="4" fontId="27" fillId="37" borderId="100" applyNumberFormat="0" applyProtection="0">
      <alignment vertical="center"/>
    </xf>
    <xf numFmtId="0" fontId="18" fillId="51" borderId="100" applyNumberFormat="0" applyProtection="0">
      <alignment horizontal="left" vertical="center" indent="1"/>
    </xf>
    <xf numFmtId="0" fontId="18" fillId="0" borderId="0" applyFill="0" applyBorder="0" applyProtection="0">
      <alignment horizontal="right"/>
    </xf>
    <xf numFmtId="0" fontId="18" fillId="84" borderId="100" applyNumberFormat="0" applyProtection="0">
      <alignment horizontal="left" vertical="center" indent="1"/>
    </xf>
    <xf numFmtId="4" fontId="27" fillId="37" borderId="100" applyNumberFormat="0" applyProtection="0">
      <alignment vertical="center"/>
    </xf>
    <xf numFmtId="0" fontId="18" fillId="54" borderId="100" applyNumberFormat="0" applyProtection="0">
      <alignment horizontal="left" vertical="center" indent="1"/>
    </xf>
    <xf numFmtId="0" fontId="110" fillId="77" borderId="101" applyNumberFormat="0" applyAlignment="0" applyProtection="0"/>
    <xf numFmtId="0" fontId="18" fillId="84" borderId="100" applyNumberFormat="0" applyProtection="0">
      <alignment horizontal="left" vertical="center" indent="1"/>
    </xf>
    <xf numFmtId="0" fontId="18" fillId="85" borderId="100" applyNumberFormat="0" applyProtection="0">
      <alignment horizontal="left" vertical="top" indent="1"/>
    </xf>
    <xf numFmtId="0" fontId="18" fillId="55" borderId="100" applyNumberFormat="0" applyProtection="0">
      <alignment horizontal="left" vertical="center" indent="1"/>
    </xf>
    <xf numFmtId="0" fontId="18" fillId="54" borderId="100" applyNumberFormat="0" applyProtection="0">
      <alignment horizontal="left" vertical="top" indent="1"/>
    </xf>
    <xf numFmtId="0" fontId="18" fillId="84" borderId="100" applyNumberFormat="0" applyProtection="0">
      <alignment horizontal="left" vertical="center" indent="1"/>
    </xf>
    <xf numFmtId="0" fontId="18" fillId="84" borderId="100" applyNumberFormat="0" applyProtection="0">
      <alignment horizontal="left" vertical="center" indent="1"/>
    </xf>
    <xf numFmtId="0" fontId="18" fillId="55" borderId="100" applyNumberFormat="0" applyProtection="0">
      <alignment horizontal="left" vertical="center" indent="1"/>
    </xf>
    <xf numFmtId="0" fontId="18" fillId="50" borderId="100" applyNumberFormat="0" applyProtection="0">
      <alignment horizontal="left" vertical="center" indent="1"/>
    </xf>
    <xf numFmtId="4" fontId="51" fillId="49" borderId="100" applyNumberFormat="0" applyProtection="0">
      <alignment horizontal="right" vertical="center"/>
    </xf>
    <xf numFmtId="4" fontId="47" fillId="0" borderId="100" applyNumberFormat="0" applyProtection="0">
      <alignment horizontal="right" vertical="center"/>
    </xf>
    <xf numFmtId="4" fontId="47" fillId="59" borderId="100" applyNumberFormat="0" applyProtection="0">
      <alignment horizontal="left" vertical="center" indent="1"/>
    </xf>
    <xf numFmtId="0" fontId="18" fillId="84" borderId="100" applyNumberFormat="0" applyProtection="0">
      <alignment horizontal="left" vertical="top" indent="1"/>
    </xf>
    <xf numFmtId="0" fontId="18" fillId="51" borderId="100" applyNumberFormat="0" applyProtection="0">
      <alignment horizontal="left" vertical="top" indent="1"/>
    </xf>
    <xf numFmtId="0" fontId="63" fillId="59" borderId="105" applyNumberFormat="0" applyFont="0" applyFill="0" applyAlignment="0" applyProtection="0">
      <protection locked="0"/>
    </xf>
    <xf numFmtId="0" fontId="47" fillId="34" borderId="100" applyNumberFormat="0" applyProtection="0">
      <alignment horizontal="center" vertical="top"/>
    </xf>
    <xf numFmtId="0" fontId="114" fillId="79" borderId="103" applyNumberFormat="0" applyAlignment="0" applyProtection="0"/>
    <xf numFmtId="0" fontId="18" fillId="84" borderId="100" applyNumberFormat="0" applyProtection="0">
      <alignment horizontal="left" vertical="center" indent="1"/>
    </xf>
    <xf numFmtId="0" fontId="18" fillId="76" borderId="102" applyNumberFormat="0" applyFont="0" applyAlignment="0" applyProtection="0"/>
    <xf numFmtId="0" fontId="102" fillId="79" borderId="101" applyNumberFormat="0" applyAlignment="0" applyProtection="0"/>
    <xf numFmtId="4" fontId="47" fillId="45" borderId="100" applyNumberFormat="0" applyProtection="0">
      <alignment horizontal="right" vertical="center"/>
    </xf>
    <xf numFmtId="0" fontId="18" fillId="54" borderId="100" applyNumberFormat="0" applyProtection="0">
      <alignment horizontal="left" vertical="center" indent="1"/>
    </xf>
    <xf numFmtId="0" fontId="24" fillId="59" borderId="105" applyNumberFormat="0" applyFont="0" applyAlignment="0" applyProtection="0">
      <protection locked="0"/>
    </xf>
    <xf numFmtId="0" fontId="110" fillId="77" borderId="101" applyNumberFormat="0" applyAlignment="0" applyProtection="0"/>
    <xf numFmtId="0" fontId="18" fillId="51" borderId="100" applyNumberFormat="0" applyProtection="0">
      <alignment horizontal="left" vertical="top" indent="1"/>
    </xf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63" fillId="59" borderId="98" applyNumberFormat="0" applyFont="0" applyFill="0" applyAlignment="0" applyProtection="0">
      <protection locked="0"/>
    </xf>
    <xf numFmtId="0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22" applyNumberFormat="0" applyFont="0" applyFill="0" applyAlignment="0" applyProtection="0"/>
    <xf numFmtId="0" fontId="18" fillId="55" borderId="100" applyNumberFormat="0" applyProtection="0">
      <alignment horizontal="left" vertical="center" indent="1"/>
    </xf>
    <xf numFmtId="4" fontId="47" fillId="35" borderId="100" applyNumberFormat="0" applyProtection="0">
      <alignment horizontal="left" vertical="center" indent="1"/>
    </xf>
    <xf numFmtId="0" fontId="105" fillId="0" borderId="104" applyNumberFormat="0" applyFill="0" applyAlignment="0" applyProtection="0"/>
    <xf numFmtId="0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30" applyNumberFormat="0" applyFill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4" fontId="47" fillId="47" borderId="100" applyNumberFormat="0" applyProtection="0">
      <alignment horizontal="right" vertical="center"/>
    </xf>
    <xf numFmtId="0" fontId="18" fillId="49" borderId="100" applyNumberFormat="0" applyProtection="0">
      <alignment horizontal="left" vertical="top" indent="1"/>
    </xf>
    <xf numFmtId="4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5" fontId="18" fillId="0" borderId="0" applyFill="0" applyBorder="0" applyAlignment="0" applyProtection="0"/>
    <xf numFmtId="178" fontId="18" fillId="0" borderId="0" applyFill="0" applyBorder="0" applyAlignment="0" applyProtection="0"/>
    <xf numFmtId="0" fontId="18" fillId="0" borderId="0" applyFont="0" applyFill="0" applyBorder="0" applyAlignment="0" applyProtection="0"/>
    <xf numFmtId="2" fontId="18" fillId="0" borderId="0" applyFill="0" applyBorder="0" applyAlignment="0" applyProtection="0"/>
    <xf numFmtId="0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21" fillId="35" borderId="71" applyNumberFormat="0" applyFont="0" applyAlignment="0" applyProtection="0">
      <alignment horizontal="center"/>
      <protection locked="0"/>
    </xf>
    <xf numFmtId="0" fontId="18" fillId="0" borderId="0"/>
    <xf numFmtId="4" fontId="47" fillId="44" borderId="100" applyNumberFormat="0" applyProtection="0">
      <alignment horizontal="right" vertical="center"/>
    </xf>
    <xf numFmtId="0" fontId="102" fillId="79" borderId="101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54" borderId="100" applyNumberFormat="0" applyProtection="0">
      <alignment horizontal="left" vertical="top" indent="1"/>
    </xf>
    <xf numFmtId="0" fontId="18" fillId="51" borderId="100" applyNumberFormat="0" applyProtection="0">
      <alignment horizontal="left" vertical="center" indent="1"/>
    </xf>
    <xf numFmtId="0" fontId="18" fillId="49" borderId="100" applyNumberFormat="0" applyProtection="0">
      <alignment horizontal="left" vertical="top" indent="1"/>
    </xf>
    <xf numFmtId="0" fontId="114" fillId="79" borderId="103" applyNumberFormat="0" applyAlignment="0" applyProtection="0"/>
    <xf numFmtId="0" fontId="18" fillId="51" borderId="100" applyNumberFormat="0" applyProtection="0">
      <alignment horizontal="left" vertical="top" indent="1"/>
    </xf>
    <xf numFmtId="0" fontId="114" fillId="79" borderId="103" applyNumberForma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8" fillId="50" borderId="100" applyNumberFormat="0" applyProtection="0">
      <alignment horizontal="left" vertical="top" indent="1"/>
    </xf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02" fillId="79" borderId="97" applyNumberFormat="0" applyAlignment="0" applyProtection="0"/>
    <xf numFmtId="0" fontId="18" fillId="84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top" indent="1"/>
    </xf>
    <xf numFmtId="0" fontId="18" fillId="84" borderId="83" applyNumberFormat="0" applyProtection="0">
      <alignment horizontal="left" vertical="top" indent="1"/>
    </xf>
    <xf numFmtId="0" fontId="18" fillId="51" borderId="83" applyNumberFormat="0" applyProtection="0">
      <alignment horizontal="left" vertical="center" indent="1"/>
    </xf>
    <xf numFmtId="0" fontId="18" fillId="51" borderId="83" applyNumberFormat="0" applyProtection="0">
      <alignment horizontal="left" vertical="center" indent="1"/>
    </xf>
    <xf numFmtId="0" fontId="18" fillId="51" borderId="83" applyNumberFormat="0" applyProtection="0">
      <alignment horizontal="left" vertical="top" indent="1"/>
    </xf>
    <xf numFmtId="0" fontId="18" fillId="51" borderId="83" applyNumberFormat="0" applyProtection="0">
      <alignment horizontal="left" vertical="top" indent="1"/>
    </xf>
    <xf numFmtId="0" fontId="18" fillId="85" borderId="83" applyNumberFormat="0" applyProtection="0">
      <alignment horizontal="left" vertical="center" indent="1"/>
    </xf>
    <xf numFmtId="0" fontId="18" fillId="85" borderId="83" applyNumberFormat="0" applyProtection="0">
      <alignment horizontal="left" vertical="center" indent="1"/>
    </xf>
    <xf numFmtId="0" fontId="18" fillId="85" borderId="83" applyNumberFormat="0" applyProtection="0">
      <alignment horizontal="left" vertical="top" indent="1"/>
    </xf>
    <xf numFmtId="0" fontId="18" fillId="85" borderId="83" applyNumberFormat="0" applyProtection="0">
      <alignment horizontal="left" vertical="top" indent="1"/>
    </xf>
    <xf numFmtId="0" fontId="18" fillId="49" borderId="83" applyNumberFormat="0" applyProtection="0">
      <alignment horizontal="left" vertical="center" indent="1"/>
    </xf>
    <xf numFmtId="0" fontId="18" fillId="49" borderId="83" applyNumberFormat="0" applyProtection="0">
      <alignment horizontal="left" vertical="center" indent="1"/>
    </xf>
    <xf numFmtId="0" fontId="18" fillId="49" borderId="83" applyNumberFormat="0" applyProtection="0">
      <alignment horizontal="left" vertical="top" indent="1"/>
    </xf>
    <xf numFmtId="0" fontId="18" fillId="49" borderId="83" applyNumberFormat="0" applyProtection="0">
      <alignment horizontal="left" vertical="top" indent="1"/>
    </xf>
    <xf numFmtId="0" fontId="18" fillId="61" borderId="13" applyNumberFormat="0">
      <protection locked="0"/>
    </xf>
    <xf numFmtId="0" fontId="18" fillId="61" borderId="13" applyNumberFormat="0">
      <protection locked="0"/>
    </xf>
    <xf numFmtId="0" fontId="18" fillId="61" borderId="13" applyNumberFormat="0">
      <protection locked="0"/>
    </xf>
    <xf numFmtId="0" fontId="18" fillId="0" borderId="0">
      <alignment horizontal="left" wrapText="1"/>
    </xf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10" fillId="77" borderId="97" applyNumberFormat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50" borderId="100" applyNumberFormat="0" applyProtection="0">
      <alignment horizontal="left" vertical="center" indent="1"/>
    </xf>
    <xf numFmtId="0" fontId="18" fillId="0" borderId="0"/>
    <xf numFmtId="178" fontId="18" fillId="0" borderId="0" applyFill="0" applyBorder="0" applyAlignment="0" applyProtection="0"/>
    <xf numFmtId="178" fontId="18" fillId="0" borderId="0" applyFill="0" applyBorder="0" applyAlignment="0" applyProtection="0"/>
    <xf numFmtId="0" fontId="18" fillId="85" borderId="100" applyNumberFormat="0" applyProtection="0">
      <alignment horizontal="left" vertical="center" indent="1"/>
    </xf>
    <xf numFmtId="4" fontId="47" fillId="40" borderId="100" applyNumberFormat="0" applyProtection="0">
      <alignment horizontal="right" vertical="center"/>
    </xf>
    <xf numFmtId="0" fontId="18" fillId="0" borderId="0"/>
    <xf numFmtId="0" fontId="102" fillId="79" borderId="101" applyNumberFormat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178" fontId="18" fillId="0" borderId="0" applyFill="0" applyBorder="0" applyAlignment="0" applyProtection="0"/>
    <xf numFmtId="37" fontId="18" fillId="0" borderId="0" applyFill="0" applyBorder="0" applyAlignment="0" applyProtection="0"/>
    <xf numFmtId="178" fontId="18" fillId="0" borderId="0" applyFill="0" applyBorder="0" applyAlignment="0" applyProtection="0"/>
    <xf numFmtId="178" fontId="18" fillId="0" borderId="0" applyFill="0" applyBorder="0" applyAlignment="0" applyProtection="0"/>
    <xf numFmtId="178" fontId="18" fillId="0" borderId="0" applyFill="0" applyBorder="0" applyAlignment="0" applyProtection="0"/>
    <xf numFmtId="178" fontId="18" fillId="0" borderId="0" applyFill="0" applyBorder="0" applyAlignment="0" applyProtection="0"/>
    <xf numFmtId="178" fontId="18" fillId="0" borderId="0" applyFill="0" applyBorder="0" applyAlignment="0" applyProtection="0"/>
    <xf numFmtId="37" fontId="18" fillId="0" borderId="0" applyFill="0" applyBorder="0" applyAlignment="0" applyProtection="0"/>
    <xf numFmtId="0" fontId="110" fillId="77" borderId="101" applyNumberFormat="0" applyAlignment="0" applyProtection="0"/>
    <xf numFmtId="4" fontId="27" fillId="38" borderId="100" applyNumberFormat="0" applyProtection="0">
      <alignment horizontal="left" vertical="center" indent="1"/>
    </xf>
    <xf numFmtId="0" fontId="18" fillId="49" borderId="100" applyNumberFormat="0" applyProtection="0">
      <alignment horizontal="left" vertical="top" indent="1"/>
    </xf>
    <xf numFmtId="0" fontId="18" fillId="0" borderId="0"/>
    <xf numFmtId="4" fontId="27" fillId="34" borderId="100" applyNumberForma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37" fontId="18" fillId="0" borderId="0" applyFill="0" applyBorder="0" applyAlignment="0" applyProtection="0"/>
    <xf numFmtId="0" fontId="18" fillId="0" borderId="0"/>
    <xf numFmtId="37" fontId="18" fillId="0" borderId="0" applyFill="0" applyBorder="0" applyAlignment="0" applyProtection="0"/>
    <xf numFmtId="0" fontId="18" fillId="0" borderId="0"/>
    <xf numFmtId="0" fontId="18" fillId="0" borderId="0"/>
    <xf numFmtId="178" fontId="18" fillId="0" borderId="0" applyFill="0" applyBorder="0" applyAlignment="0" applyProtection="0"/>
    <xf numFmtId="0" fontId="18" fillId="0" borderId="0"/>
    <xf numFmtId="0" fontId="18" fillId="0" borderId="0"/>
    <xf numFmtId="178" fontId="18" fillId="0" borderId="0" applyFill="0" applyBorder="0" applyAlignment="0" applyProtection="0"/>
    <xf numFmtId="178" fontId="18" fillId="0" borderId="0" applyFill="0" applyBorder="0" applyAlignment="0" applyProtection="0"/>
    <xf numFmtId="0" fontId="18" fillId="0" borderId="0"/>
    <xf numFmtId="178" fontId="18" fillId="0" borderId="0" applyFill="0" applyBorder="0" applyAlignment="0" applyProtection="0"/>
    <xf numFmtId="178" fontId="18" fillId="0" borderId="0" applyFill="0" applyBorder="0" applyAlignment="0" applyProtection="0"/>
    <xf numFmtId="0" fontId="18" fillId="0" borderId="0"/>
    <xf numFmtId="178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0" fontId="18" fillId="0" borderId="0"/>
    <xf numFmtId="0" fontId="18" fillId="0" borderId="0"/>
    <xf numFmtId="0" fontId="18" fillId="0" borderId="0"/>
    <xf numFmtId="178" fontId="18" fillId="0" borderId="0" applyFill="0" applyBorder="0" applyAlignment="0" applyProtection="0"/>
    <xf numFmtId="37" fontId="18" fillId="0" borderId="0" applyFill="0" applyBorder="0" applyAlignment="0" applyProtection="0"/>
    <xf numFmtId="0" fontId="18" fillId="0" borderId="0"/>
    <xf numFmtId="178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0" fontId="18" fillId="0" borderId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0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4" fillId="59" borderId="89" applyNumberFormat="0" applyFont="0" applyAlignment="0" applyProtection="0">
      <protection locked="0"/>
    </xf>
    <xf numFmtId="0" fontId="18" fillId="0" borderId="0" applyFont="0" applyFill="0" applyBorder="0" applyAlignment="0" applyProtection="0"/>
    <xf numFmtId="0" fontId="63" fillId="59" borderId="89" applyNumberFormat="0" applyFont="0" applyFill="0" applyAlignment="0" applyProtection="0">
      <protection locked="0"/>
    </xf>
    <xf numFmtId="0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0" fontId="18" fillId="0" borderId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/>
    <xf numFmtId="4" fontId="27" fillId="34" borderId="100" applyNumberFormat="0" applyProtection="0"/>
    <xf numFmtId="4" fontId="47" fillId="43" borderId="100" applyNumberFormat="0" applyProtection="0">
      <alignment horizontal="right" vertical="center"/>
    </xf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8" fillId="0" borderId="0" applyFont="0" applyFill="0" applyBorder="0" applyAlignment="0" applyProtection="0"/>
    <xf numFmtId="4" fontId="25" fillId="49" borderId="83" applyNumberFormat="0" applyProtection="0">
      <alignment horizontal="right" vertical="center"/>
    </xf>
    <xf numFmtId="0" fontId="47" fillId="34" borderId="83" applyNumberFormat="0" applyProtection="0">
      <alignment horizontal="left" vertical="top"/>
    </xf>
    <xf numFmtId="4" fontId="47" fillId="0" borderId="83" applyNumberFormat="0" applyProtection="0">
      <alignment horizontal="left" vertical="center" indent="1"/>
    </xf>
    <xf numFmtId="4" fontId="51" fillId="49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0" fontId="47" fillId="35" borderId="83" applyNumberFormat="0" applyProtection="0">
      <alignment horizontal="left" vertical="top" indent="1"/>
    </xf>
    <xf numFmtId="4" fontId="47" fillId="35" borderId="83" applyNumberFormat="0" applyProtection="0">
      <alignment horizontal="left" vertical="center" indent="1"/>
    </xf>
    <xf numFmtId="4" fontId="51" fillId="35" borderId="83" applyNumberFormat="0" applyProtection="0">
      <alignment vertical="center"/>
    </xf>
    <xf numFmtId="4" fontId="47" fillId="35" borderId="83" applyNumberFormat="0" applyProtection="0">
      <alignment vertical="center"/>
    </xf>
    <xf numFmtId="0" fontId="18" fillId="49" borderId="83" applyNumberFormat="0" applyProtection="0">
      <alignment horizontal="left" vertical="top" indent="1"/>
    </xf>
    <xf numFmtId="0" fontId="18" fillId="49" borderId="83" applyNumberFormat="0" applyProtection="0">
      <alignment horizontal="left" vertical="top" indent="1"/>
    </xf>
    <xf numFmtId="0" fontId="18" fillId="55" borderId="83" applyNumberFormat="0" applyProtection="0">
      <alignment horizontal="left" vertical="top" indent="1"/>
    </xf>
    <xf numFmtId="0" fontId="18" fillId="49" borderId="83" applyNumberFormat="0" applyProtection="0">
      <alignment horizontal="left" vertical="center" indent="1"/>
    </xf>
    <xf numFmtId="0" fontId="18" fillId="49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center" indent="1"/>
    </xf>
    <xf numFmtId="0" fontId="18" fillId="85" borderId="83" applyNumberFormat="0" applyProtection="0">
      <alignment horizontal="left" vertical="top" indent="1"/>
    </xf>
    <xf numFmtId="0" fontId="18" fillId="85" borderId="83" applyNumberFormat="0" applyProtection="0">
      <alignment horizontal="left" vertical="top" indent="1"/>
    </xf>
    <xf numFmtId="0" fontId="18" fillId="54" borderId="83" applyNumberFormat="0" applyProtection="0">
      <alignment horizontal="left" vertical="top" indent="1"/>
    </xf>
    <xf numFmtId="0" fontId="18" fillId="85" borderId="83" applyNumberFormat="0" applyProtection="0">
      <alignment horizontal="left" vertical="center" indent="1"/>
    </xf>
    <xf numFmtId="0" fontId="18" fillId="85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center" indent="1"/>
    </xf>
    <xf numFmtId="0" fontId="18" fillId="51" borderId="83" applyNumberFormat="0" applyProtection="0">
      <alignment horizontal="left" vertical="top" indent="1"/>
    </xf>
    <xf numFmtId="0" fontId="18" fillId="51" borderId="83" applyNumberFormat="0" applyProtection="0">
      <alignment horizontal="left" vertical="top" indent="1"/>
    </xf>
    <xf numFmtId="0" fontId="18" fillId="34" borderId="83" applyNumberFormat="0" applyProtection="0">
      <alignment horizontal="left" vertical="top" indent="1"/>
    </xf>
    <xf numFmtId="0" fontId="18" fillId="51" borderId="83" applyNumberFormat="0" applyProtection="0">
      <alignment horizontal="left" vertical="center" indent="1"/>
    </xf>
    <xf numFmtId="0" fontId="18" fillId="51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top" indent="1"/>
    </xf>
    <xf numFmtId="0" fontId="18" fillId="84" borderId="83" applyNumberFormat="0" applyProtection="0">
      <alignment horizontal="left" vertical="top" indent="1"/>
    </xf>
    <xf numFmtId="0" fontId="18" fillId="50" borderId="83" applyNumberFormat="0" applyProtection="0">
      <alignment horizontal="left" vertical="top" indent="1"/>
    </xf>
    <xf numFmtId="0" fontId="18" fillId="84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center" indent="1"/>
    </xf>
    <xf numFmtId="4" fontId="47" fillId="51" borderId="83" applyNumberFormat="0" applyProtection="0">
      <alignment horizontal="right" vertical="center"/>
    </xf>
    <xf numFmtId="4" fontId="47" fillId="47" borderId="83" applyNumberFormat="0" applyProtection="0">
      <alignment horizontal="right" vertical="center"/>
    </xf>
    <xf numFmtId="4" fontId="47" fillId="46" borderId="83" applyNumberFormat="0" applyProtection="0">
      <alignment horizontal="right" vertical="center"/>
    </xf>
    <xf numFmtId="4" fontId="47" fillId="45" borderId="83" applyNumberFormat="0" applyProtection="0">
      <alignment horizontal="right" vertical="center"/>
    </xf>
    <xf numFmtId="4" fontId="47" fillId="44" borderId="83" applyNumberFormat="0" applyProtection="0">
      <alignment horizontal="right" vertical="center"/>
    </xf>
    <xf numFmtId="4" fontId="47" fillId="43" borderId="83" applyNumberFormat="0" applyProtection="0">
      <alignment horizontal="right" vertical="center"/>
    </xf>
    <xf numFmtId="4" fontId="47" fillId="42" borderId="83" applyNumberFormat="0" applyProtection="0">
      <alignment horizontal="right" vertical="center"/>
    </xf>
    <xf numFmtId="4" fontId="47" fillId="41" borderId="83" applyNumberFormat="0" applyProtection="0">
      <alignment horizontal="right" vertical="center"/>
    </xf>
    <xf numFmtId="4" fontId="47" fillId="40" borderId="83" applyNumberFormat="0" applyProtection="0">
      <alignment horizontal="right" vertical="center"/>
    </xf>
    <xf numFmtId="4" fontId="47" fillId="39" borderId="83" applyNumberFormat="0" applyProtection="0">
      <alignment horizontal="right" vertical="center"/>
    </xf>
    <xf numFmtId="0" fontId="27" fillId="38" borderId="83" applyNumberFormat="0" applyProtection="0">
      <alignment horizontal="left" vertical="top" indent="1"/>
    </xf>
    <xf numFmtId="4" fontId="27" fillId="38" borderId="83" applyNumberFormat="0" applyProtection="0">
      <alignment horizontal="left" vertical="center" indent="1"/>
    </xf>
    <xf numFmtId="4" fontId="46" fillId="38" borderId="83" applyNumberFormat="0" applyProtection="0">
      <alignment vertical="center"/>
    </xf>
    <xf numFmtId="4" fontId="27" fillId="37" borderId="83" applyNumberFormat="0" applyProtection="0">
      <alignment vertical="center"/>
    </xf>
    <xf numFmtId="3" fontId="18" fillId="0" borderId="0" applyFont="0" applyFill="0" applyBorder="0" applyAlignment="0" applyProtection="0"/>
    <xf numFmtId="0" fontId="63" fillId="59" borderId="89" applyNumberFormat="0" applyFont="0" applyFill="0" applyAlignment="0" applyProtection="0">
      <protection locked="0"/>
    </xf>
    <xf numFmtId="0" fontId="18" fillId="0" borderId="0"/>
    <xf numFmtId="0" fontId="18" fillId="0" borderId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3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4" fontId="47" fillId="46" borderId="100" applyNumberFormat="0" applyProtection="0">
      <alignment horizontal="right" vertical="center"/>
    </xf>
    <xf numFmtId="4" fontId="51" fillId="49" borderId="100" applyNumberFormat="0" applyProtection="0">
      <alignment horizontal="right" vertical="center"/>
    </xf>
    <xf numFmtId="0" fontId="105" fillId="0" borderId="104" applyNumberFormat="0" applyFill="0" applyAlignment="0" applyProtection="0"/>
    <xf numFmtId="0" fontId="114" fillId="79" borderId="103" applyNumberFormat="0" applyAlignment="0" applyProtection="0"/>
    <xf numFmtId="4" fontId="47" fillId="0" borderId="100" applyNumberFormat="0" applyProtection="0">
      <alignment horizontal="right" vertical="center"/>
    </xf>
    <xf numFmtId="4" fontId="25" fillId="49" borderId="100" applyNumberFormat="0" applyProtection="0">
      <alignment horizontal="right" vertical="center"/>
    </xf>
    <xf numFmtId="0" fontId="102" fillId="79" borderId="101" applyNumberFormat="0" applyAlignment="0" applyProtection="0"/>
    <xf numFmtId="0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0" fontId="18" fillId="0" borderId="0"/>
    <xf numFmtId="0" fontId="24" fillId="59" borderId="89" applyNumberFormat="0" applyFont="0" applyAlignment="0" applyProtection="0">
      <protection locked="0"/>
    </xf>
    <xf numFmtId="0" fontId="18" fillId="61" borderId="13" applyNumberFormat="0">
      <protection locked="0"/>
    </xf>
    <xf numFmtId="0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4" fillId="59" borderId="98" applyNumberFormat="0" applyFont="0" applyAlignment="0" applyProtection="0">
      <protection locked="0"/>
    </xf>
    <xf numFmtId="4" fontId="47" fillId="41" borderId="100" applyNumberFormat="0" applyProtection="0">
      <alignment horizontal="right" vertical="center"/>
    </xf>
    <xf numFmtId="0" fontId="18" fillId="0" borderId="0" applyFont="0" applyFill="0" applyBorder="0" applyAlignment="0" applyProtection="0"/>
    <xf numFmtId="0" fontId="26" fillId="0" borderId="45">
      <alignment horizontal="left" vertical="center"/>
    </xf>
    <xf numFmtId="0" fontId="102" fillId="79" borderId="101" applyNumberFormat="0" applyAlignment="0" applyProtection="0"/>
    <xf numFmtId="0" fontId="102" fillId="79" borderId="101" applyNumberFormat="0" applyAlignment="0" applyProtection="0"/>
    <xf numFmtId="0" fontId="18" fillId="54" borderId="100" applyNumberFormat="0" applyProtection="0">
      <alignment horizontal="left" vertical="top" indent="1"/>
    </xf>
    <xf numFmtId="0" fontId="24" fillId="59" borderId="105" applyNumberFormat="0" applyFont="0" applyAlignment="0" applyProtection="0">
      <protection locked="0"/>
    </xf>
    <xf numFmtId="0" fontId="102" fillId="79" borderId="101" applyNumberFormat="0" applyAlignment="0" applyProtection="0"/>
    <xf numFmtId="0" fontId="110" fillId="77" borderId="101" applyNumberFormat="0" applyAlignment="0" applyProtection="0"/>
    <xf numFmtId="0" fontId="18" fillId="0" borderId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61" borderId="13" applyNumberFormat="0">
      <protection locked="0"/>
    </xf>
    <xf numFmtId="0" fontId="18" fillId="0" borderId="0" applyFont="0" applyFill="0" applyBorder="0" applyAlignment="0" applyProtection="0"/>
    <xf numFmtId="0" fontId="18" fillId="0" borderId="0"/>
    <xf numFmtId="0" fontId="18" fillId="61" borderId="13" applyNumberFormat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54" borderId="100" applyNumberFormat="0" applyProtection="0">
      <alignment horizontal="left" vertical="top" indent="1"/>
    </xf>
    <xf numFmtId="0" fontId="18" fillId="49" borderId="100" applyNumberFormat="0" applyProtection="0">
      <alignment horizontal="left" vertical="top" indent="1"/>
    </xf>
    <xf numFmtId="0" fontId="18" fillId="54" borderId="100" applyNumberFormat="0" applyProtection="0">
      <alignment horizontal="left" vertical="center" indent="1"/>
    </xf>
    <xf numFmtId="0" fontId="102" fillId="79" borderId="85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8" fillId="85" borderId="100" applyNumberFormat="0" applyProtection="0">
      <alignment horizontal="left" vertical="top" indent="1"/>
    </xf>
    <xf numFmtId="0" fontId="18" fillId="51" borderId="100" applyNumberFormat="0" applyProtection="0">
      <alignment horizontal="left" vertical="center" indent="1"/>
    </xf>
    <xf numFmtId="0" fontId="47" fillId="35" borderId="100" applyNumberFormat="0" applyProtection="0">
      <alignment horizontal="left" vertical="top" indent="1"/>
    </xf>
    <xf numFmtId="0" fontId="18" fillId="51" borderId="100" applyNumberFormat="0" applyProtection="0">
      <alignment horizontal="left" vertical="center" indent="1"/>
    </xf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4" fontId="27" fillId="37" borderId="83" applyNumberFormat="0" applyProtection="0">
      <alignment vertical="center"/>
    </xf>
    <xf numFmtId="4" fontId="46" fillId="38" borderId="83" applyNumberFormat="0" applyProtection="0">
      <alignment vertical="center"/>
    </xf>
    <xf numFmtId="4" fontId="27" fillId="38" borderId="83" applyNumberFormat="0" applyProtection="0">
      <alignment horizontal="left" vertical="center" indent="1"/>
    </xf>
    <xf numFmtId="0" fontId="27" fillId="38" borderId="83" applyNumberFormat="0" applyProtection="0">
      <alignment horizontal="left" vertical="top" indent="1"/>
    </xf>
    <xf numFmtId="4" fontId="47" fillId="39" borderId="83" applyNumberFormat="0" applyProtection="0">
      <alignment horizontal="right" vertical="center"/>
    </xf>
    <xf numFmtId="4" fontId="47" fillId="40" borderId="83" applyNumberFormat="0" applyProtection="0">
      <alignment horizontal="right" vertical="center"/>
    </xf>
    <xf numFmtId="4" fontId="47" fillId="41" borderId="83" applyNumberFormat="0" applyProtection="0">
      <alignment horizontal="right" vertical="center"/>
    </xf>
    <xf numFmtId="4" fontId="47" fillId="42" borderId="83" applyNumberFormat="0" applyProtection="0">
      <alignment horizontal="right" vertical="center"/>
    </xf>
    <xf numFmtId="4" fontId="47" fillId="43" borderId="83" applyNumberFormat="0" applyProtection="0">
      <alignment horizontal="right" vertical="center"/>
    </xf>
    <xf numFmtId="4" fontId="47" fillId="44" borderId="83" applyNumberFormat="0" applyProtection="0">
      <alignment horizontal="right" vertical="center"/>
    </xf>
    <xf numFmtId="4" fontId="47" fillId="45" borderId="83" applyNumberFormat="0" applyProtection="0">
      <alignment horizontal="right" vertical="center"/>
    </xf>
    <xf numFmtId="4" fontId="47" fillId="46" borderId="83" applyNumberFormat="0" applyProtection="0">
      <alignment horizontal="right" vertical="center"/>
    </xf>
    <xf numFmtId="4" fontId="47" fillId="47" borderId="83" applyNumberFormat="0" applyProtection="0">
      <alignment horizontal="right" vertical="center"/>
    </xf>
    <xf numFmtId="4" fontId="47" fillId="51" borderId="83" applyNumberFormat="0" applyProtection="0">
      <alignment horizontal="right" vertical="center"/>
    </xf>
    <xf numFmtId="0" fontId="18" fillId="50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top" indent="1"/>
    </xf>
    <xf numFmtId="0" fontId="18" fillId="84" borderId="83" applyNumberFormat="0" applyProtection="0">
      <alignment horizontal="left" vertical="top" indent="1"/>
    </xf>
    <xf numFmtId="0" fontId="18" fillId="84" borderId="83" applyNumberFormat="0" applyProtection="0">
      <alignment horizontal="left" vertical="top" indent="1"/>
    </xf>
    <xf numFmtId="0" fontId="18" fillId="34" borderId="83" applyNumberFormat="0" applyProtection="0">
      <alignment horizontal="left" vertical="center" indent="1"/>
    </xf>
    <xf numFmtId="0" fontId="18" fillId="51" borderId="83" applyNumberFormat="0" applyProtection="0">
      <alignment horizontal="left" vertical="center" indent="1"/>
    </xf>
    <xf numFmtId="0" fontId="18" fillId="51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top" indent="1"/>
    </xf>
    <xf numFmtId="0" fontId="18" fillId="51" borderId="83" applyNumberFormat="0" applyProtection="0">
      <alignment horizontal="left" vertical="top" indent="1"/>
    </xf>
    <xf numFmtId="0" fontId="18" fillId="51" borderId="83" applyNumberFormat="0" applyProtection="0">
      <alignment horizontal="left" vertical="top" indent="1"/>
    </xf>
    <xf numFmtId="0" fontId="18" fillId="54" borderId="83" applyNumberFormat="0" applyProtection="0">
      <alignment horizontal="left" vertical="center" indent="1"/>
    </xf>
    <xf numFmtId="0" fontId="18" fillId="85" borderId="83" applyNumberFormat="0" applyProtection="0">
      <alignment horizontal="left" vertical="center" indent="1"/>
    </xf>
    <xf numFmtId="0" fontId="18" fillId="85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top" indent="1"/>
    </xf>
    <xf numFmtId="0" fontId="18" fillId="85" borderId="83" applyNumberFormat="0" applyProtection="0">
      <alignment horizontal="left" vertical="top" indent="1"/>
    </xf>
    <xf numFmtId="0" fontId="18" fillId="85" borderId="83" applyNumberFormat="0" applyProtection="0">
      <alignment horizontal="left" vertical="top" indent="1"/>
    </xf>
    <xf numFmtId="0" fontId="18" fillId="55" borderId="83" applyNumberFormat="0" applyProtection="0">
      <alignment horizontal="left" vertical="center" indent="1"/>
    </xf>
    <xf numFmtId="0" fontId="18" fillId="49" borderId="83" applyNumberFormat="0" applyProtection="0">
      <alignment horizontal="left" vertical="center" indent="1"/>
    </xf>
    <xf numFmtId="0" fontId="18" fillId="49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top" indent="1"/>
    </xf>
    <xf numFmtId="0" fontId="18" fillId="49" borderId="83" applyNumberFormat="0" applyProtection="0">
      <alignment horizontal="left" vertical="top" indent="1"/>
    </xf>
    <xf numFmtId="0" fontId="18" fillId="49" borderId="83" applyNumberFormat="0" applyProtection="0">
      <alignment horizontal="left" vertical="top" indent="1"/>
    </xf>
    <xf numFmtId="4" fontId="47" fillId="35" borderId="83" applyNumberFormat="0" applyProtection="0">
      <alignment vertical="center"/>
    </xf>
    <xf numFmtId="4" fontId="51" fillId="35" borderId="83" applyNumberFormat="0" applyProtection="0">
      <alignment vertical="center"/>
    </xf>
    <xf numFmtId="4" fontId="47" fillId="35" borderId="83" applyNumberFormat="0" applyProtection="0">
      <alignment horizontal="left" vertical="center" indent="1"/>
    </xf>
    <xf numFmtId="0" fontId="47" fillId="35" borderId="83" applyNumberFormat="0" applyProtection="0">
      <alignment horizontal="left" vertical="top" indent="1"/>
    </xf>
    <xf numFmtId="4" fontId="47" fillId="0" borderId="83" applyNumberFormat="0" applyProtection="0">
      <alignment horizontal="right" vertical="center"/>
    </xf>
    <xf numFmtId="4" fontId="51" fillId="49" borderId="83" applyNumberFormat="0" applyProtection="0">
      <alignment horizontal="right" vertical="center"/>
    </xf>
    <xf numFmtId="4" fontId="47" fillId="0" borderId="83" applyNumberFormat="0" applyProtection="0">
      <alignment horizontal="left" vertical="center" indent="1"/>
    </xf>
    <xf numFmtId="0" fontId="47" fillId="34" borderId="83" applyNumberFormat="0" applyProtection="0">
      <alignment horizontal="left" vertical="top"/>
    </xf>
    <xf numFmtId="4" fontId="25" fillId="49" borderId="83" applyNumberFormat="0" applyProtection="0">
      <alignment horizontal="right" vertical="center"/>
    </xf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10" fillId="77" borderId="101" applyNumberFormat="0" applyAlignment="0" applyProtection="0"/>
    <xf numFmtId="0" fontId="114" fillId="79" borderId="103" applyNumberFormat="0" applyAlignment="0" applyProtection="0"/>
    <xf numFmtId="4" fontId="47" fillId="51" borderId="100" applyNumberFormat="0" applyProtection="0">
      <alignment horizontal="right" vertical="center"/>
    </xf>
    <xf numFmtId="4" fontId="47" fillId="42" borderId="100" applyNumberFormat="0" applyProtection="0">
      <alignment horizontal="right" vertical="center"/>
    </xf>
    <xf numFmtId="43" fontId="18" fillId="0" borderId="0" applyFont="0" applyFill="0" applyBorder="0" applyAlignment="0" applyProtection="0"/>
    <xf numFmtId="44" fontId="18" fillId="0" borderId="0" applyFont="0" applyFill="0" applyBorder="0" applyProtection="0">
      <alignment horizontal="right"/>
    </xf>
    <xf numFmtId="9" fontId="18" fillId="0" borderId="0" applyFont="0" applyFill="0" applyBorder="0" applyAlignment="0" applyProtection="0"/>
    <xf numFmtId="0" fontId="26" fillId="0" borderId="90">
      <alignment horizontal="left" vertical="center"/>
    </xf>
    <xf numFmtId="4" fontId="27" fillId="34" borderId="91" applyNumberFormat="0" applyProtection="0">
      <alignment vertical="center"/>
    </xf>
    <xf numFmtId="4" fontId="47" fillId="0" borderId="83" applyNumberFormat="0" applyProtection="0">
      <alignment horizontal="right" vertical="center"/>
    </xf>
    <xf numFmtId="0" fontId="18" fillId="51" borderId="83" applyNumberFormat="0" applyProtection="0">
      <alignment horizontal="left" vertical="center" indent="1"/>
    </xf>
    <xf numFmtId="4" fontId="27" fillId="37" borderId="83" applyNumberFormat="0" applyProtection="0">
      <alignment vertical="center"/>
    </xf>
    <xf numFmtId="0" fontId="110" fillId="77" borderId="85" applyNumberFormat="0" applyAlignment="0" applyProtection="0"/>
    <xf numFmtId="0" fontId="24" fillId="59" borderId="89" applyNumberFormat="0" applyFont="0" applyAlignment="0" applyProtection="0">
      <protection locked="0"/>
    </xf>
    <xf numFmtId="0" fontId="102" fillId="79" borderId="85" applyNumberFormat="0" applyAlignment="0" applyProtection="0"/>
    <xf numFmtId="4" fontId="47" fillId="42" borderId="83" applyNumberFormat="0" applyProtection="0">
      <alignment horizontal="right" vertical="center"/>
    </xf>
    <xf numFmtId="0" fontId="18" fillId="51" borderId="83" applyNumberFormat="0" applyProtection="0">
      <alignment horizontal="left" vertical="top" indent="1"/>
    </xf>
    <xf numFmtId="4" fontId="25" fillId="49" borderId="83" applyNumberFormat="0" applyProtection="0">
      <alignment horizontal="right" vertical="center"/>
    </xf>
    <xf numFmtId="0" fontId="114" fillId="79" borderId="87" applyNumberFormat="0" applyAlignment="0" applyProtection="0"/>
    <xf numFmtId="9" fontId="18" fillId="0" borderId="0" applyFont="0" applyFill="0" applyBorder="0" applyAlignment="0" applyProtection="0"/>
    <xf numFmtId="44" fontId="18" fillId="0" borderId="0" applyFont="0" applyFill="0" applyBorder="0" applyProtection="0">
      <alignment horizontal="right"/>
    </xf>
    <xf numFmtId="43" fontId="18" fillId="0" borderId="0" applyFont="0" applyFill="0" applyBorder="0" applyAlignment="0" applyProtection="0"/>
    <xf numFmtId="0" fontId="47" fillId="35" borderId="83" applyNumberFormat="0" applyProtection="0">
      <alignment horizontal="left" vertical="top" indent="1"/>
    </xf>
    <xf numFmtId="0" fontId="18" fillId="34" borderId="83" applyNumberFormat="0" applyProtection="0">
      <alignment horizontal="left" vertical="center" indent="1"/>
    </xf>
    <xf numFmtId="0" fontId="102" fillId="79" borderId="85" applyNumberFormat="0" applyAlignment="0" applyProtection="0"/>
    <xf numFmtId="4" fontId="47" fillId="43" borderId="83" applyNumberFormat="0" applyProtection="0">
      <alignment horizontal="right" vertical="center"/>
    </xf>
    <xf numFmtId="0" fontId="18" fillId="54" borderId="83" applyNumberFormat="0" applyProtection="0">
      <alignment horizontal="left" vertical="center" indent="1"/>
    </xf>
    <xf numFmtId="0" fontId="114" fillId="79" borderId="87" applyNumberFormat="0" applyAlignment="0" applyProtection="0"/>
    <xf numFmtId="4" fontId="25" fillId="49" borderId="83" applyNumberFormat="0" applyProtection="0">
      <alignment horizontal="right" vertical="center"/>
    </xf>
    <xf numFmtId="0" fontId="18" fillId="51" borderId="83" applyNumberFormat="0" applyProtection="0">
      <alignment horizontal="left" vertical="top" indent="1"/>
    </xf>
    <xf numFmtId="4" fontId="47" fillId="39" borderId="83" applyNumberFormat="0" applyProtection="0">
      <alignment horizontal="right" vertical="center"/>
    </xf>
    <xf numFmtId="0" fontId="18" fillId="76" borderId="86" applyNumberFormat="0" applyFont="0" applyAlignment="0" applyProtection="0"/>
    <xf numFmtId="0" fontId="105" fillId="0" borderId="88" applyNumberFormat="0" applyFill="0" applyAlignment="0" applyProtection="0"/>
    <xf numFmtId="0" fontId="27" fillId="38" borderId="83" applyNumberFormat="0" applyProtection="0">
      <alignment horizontal="left" vertical="top" indent="1"/>
    </xf>
    <xf numFmtId="0" fontId="18" fillId="51" borderId="83" applyNumberFormat="0" applyProtection="0">
      <alignment horizontal="left" vertical="center" indent="1"/>
    </xf>
    <xf numFmtId="4" fontId="47" fillId="0" borderId="83" applyNumberFormat="0" applyProtection="0">
      <alignment horizontal="right" vertical="center"/>
    </xf>
    <xf numFmtId="0" fontId="105" fillId="0" borderId="88" applyNumberFormat="0" applyFill="0" applyAlignment="0" applyProtection="0"/>
    <xf numFmtId="0" fontId="18" fillId="76" borderId="86" applyNumberFormat="0" applyFont="0" applyAlignment="0" applyProtection="0"/>
    <xf numFmtId="0" fontId="21" fillId="35" borderId="71" applyNumberFormat="0" applyFont="0" applyAlignment="0" applyProtection="0">
      <alignment horizontal="center"/>
      <protection locked="0"/>
    </xf>
    <xf numFmtId="0" fontId="18" fillId="49" borderId="83" applyNumberFormat="0" applyProtection="0">
      <alignment horizontal="left" vertical="center" indent="1"/>
    </xf>
    <xf numFmtId="4" fontId="47" fillId="51" borderId="83" applyNumberFormat="0" applyProtection="0">
      <alignment horizontal="right" vertical="center"/>
    </xf>
    <xf numFmtId="0" fontId="114" fillId="79" borderId="87" applyNumberFormat="0" applyAlignment="0" applyProtection="0"/>
    <xf numFmtId="0" fontId="114" fillId="79" borderId="87" applyNumberFormat="0" applyAlignment="0" applyProtection="0"/>
    <xf numFmtId="0" fontId="18" fillId="49" borderId="83" applyNumberFormat="0" applyProtection="0">
      <alignment horizontal="left" vertical="center" indent="1"/>
    </xf>
    <xf numFmtId="0" fontId="105" fillId="0" borderId="88" applyNumberFormat="0" applyFill="0" applyAlignment="0" applyProtection="0"/>
    <xf numFmtId="0" fontId="18" fillId="85" borderId="83" applyNumberFormat="0" applyProtection="0">
      <alignment horizontal="left" vertical="center" indent="1"/>
    </xf>
    <xf numFmtId="4" fontId="47" fillId="41" borderId="83" applyNumberFormat="0" applyProtection="0">
      <alignment horizontal="right" vertical="center"/>
    </xf>
    <xf numFmtId="0" fontId="18" fillId="76" borderId="86" applyNumberFormat="0" applyFont="0" applyAlignment="0" applyProtection="0"/>
    <xf numFmtId="4" fontId="46" fillId="38" borderId="83" applyNumberFormat="0" applyProtection="0">
      <alignment vertical="center"/>
    </xf>
    <xf numFmtId="0" fontId="18" fillId="84" borderId="83" applyNumberFormat="0" applyProtection="0">
      <alignment horizontal="left" vertical="top" indent="1"/>
    </xf>
    <xf numFmtId="4" fontId="47" fillId="35" borderId="83" applyNumberFormat="0" applyProtection="0">
      <alignment horizontal="left" vertical="center" indent="1"/>
    </xf>
    <xf numFmtId="0" fontId="105" fillId="0" borderId="88" applyNumberFormat="0" applyFill="0" applyAlignment="0" applyProtection="0"/>
    <xf numFmtId="0" fontId="18" fillId="76" borderId="86" applyNumberFormat="0" applyFont="0" applyAlignment="0" applyProtection="0"/>
    <xf numFmtId="0" fontId="18" fillId="49" borderId="83" applyNumberFormat="0" applyProtection="0">
      <alignment horizontal="left" vertical="top" indent="1"/>
    </xf>
    <xf numFmtId="0" fontId="18" fillId="84" borderId="83" applyNumberFormat="0" applyProtection="0">
      <alignment horizontal="left" vertical="center" indent="1"/>
    </xf>
    <xf numFmtId="0" fontId="114" fillId="79" borderId="87" applyNumberFormat="0" applyAlignment="0" applyProtection="0"/>
    <xf numFmtId="0" fontId="102" fillId="79" borderId="85" applyNumberFormat="0" applyAlignment="0" applyProtection="0"/>
    <xf numFmtId="0" fontId="114" fillId="79" borderId="87" applyNumberFormat="0" applyAlignment="0" applyProtection="0"/>
    <xf numFmtId="4" fontId="47" fillId="51" borderId="83" applyNumberFormat="0" applyProtection="0">
      <alignment horizontal="right" vertical="center"/>
    </xf>
    <xf numFmtId="0" fontId="18" fillId="85" borderId="83" applyNumberFormat="0" applyProtection="0">
      <alignment horizontal="left" vertical="top" indent="1"/>
    </xf>
    <xf numFmtId="0" fontId="105" fillId="0" borderId="88" applyNumberFormat="0" applyFill="0" applyAlignment="0" applyProtection="0"/>
    <xf numFmtId="0" fontId="24" fillId="59" borderId="89" applyNumberFormat="0" applyFont="0" applyAlignment="0" applyProtection="0">
      <protection locked="0"/>
    </xf>
    <xf numFmtId="4" fontId="47" fillId="43" borderId="83" applyNumberFormat="0" applyProtection="0">
      <alignment horizontal="right" vertical="center"/>
    </xf>
    <xf numFmtId="0" fontId="18" fillId="54" borderId="83" applyNumberFormat="0" applyProtection="0">
      <alignment horizontal="left" vertical="top" indent="1"/>
    </xf>
    <xf numFmtId="0" fontId="18" fillId="76" borderId="86" applyNumberFormat="0" applyFont="0" applyAlignment="0" applyProtection="0"/>
    <xf numFmtId="0" fontId="105" fillId="0" borderId="88" applyNumberFormat="0" applyFill="0" applyAlignment="0" applyProtection="0"/>
    <xf numFmtId="0" fontId="18" fillId="50" borderId="83" applyNumberFormat="0" applyProtection="0">
      <alignment horizontal="left" vertical="top" indent="1"/>
    </xf>
    <xf numFmtId="4" fontId="47" fillId="35" borderId="83" applyNumberFormat="0" applyProtection="0">
      <alignment vertical="center"/>
    </xf>
    <xf numFmtId="0" fontId="105" fillId="0" borderId="88" applyNumberFormat="0" applyFill="0" applyAlignment="0" applyProtection="0"/>
    <xf numFmtId="0" fontId="18" fillId="76" borderId="86" applyNumberFormat="0" applyFont="0" applyAlignment="0" applyProtection="0"/>
    <xf numFmtId="4" fontId="47" fillId="35" borderId="83" applyNumberFormat="0" applyProtection="0">
      <alignment vertical="center"/>
    </xf>
    <xf numFmtId="0" fontId="18" fillId="50" borderId="83" applyNumberFormat="0" applyProtection="0">
      <alignment horizontal="left" vertical="top" indent="1"/>
    </xf>
    <xf numFmtId="0" fontId="114" fillId="79" borderId="87" applyNumberFormat="0" applyAlignment="0" applyProtection="0"/>
    <xf numFmtId="0" fontId="102" fillId="79" borderId="85" applyNumberFormat="0" applyAlignment="0" applyProtection="0"/>
    <xf numFmtId="0" fontId="114" fillId="79" borderId="87" applyNumberFormat="0" applyAlignment="0" applyProtection="0"/>
    <xf numFmtId="4" fontId="47" fillId="46" borderId="83" applyNumberFormat="0" applyProtection="0">
      <alignment horizontal="right" vertical="center"/>
    </xf>
    <xf numFmtId="0" fontId="18" fillId="54" borderId="83" applyNumberFormat="0" applyProtection="0">
      <alignment horizontal="left" vertical="top" indent="1"/>
    </xf>
    <xf numFmtId="0" fontId="105" fillId="0" borderId="88" applyNumberFormat="0" applyFill="0" applyAlignment="0" applyProtection="0"/>
    <xf numFmtId="0" fontId="63" fillId="59" borderId="89" applyNumberFormat="0" applyFont="0" applyFill="0" applyAlignment="0" applyProtection="0">
      <protection locked="0"/>
    </xf>
    <xf numFmtId="0" fontId="105" fillId="0" borderId="88" applyNumberFormat="0" applyFill="0" applyAlignment="0" applyProtection="0"/>
    <xf numFmtId="0" fontId="18" fillId="85" borderId="83" applyNumberFormat="0" applyProtection="0">
      <alignment horizontal="left" vertical="top" indent="1"/>
    </xf>
    <xf numFmtId="4" fontId="47" fillId="45" borderId="83" applyNumberFormat="0" applyProtection="0">
      <alignment horizontal="right" vertical="center"/>
    </xf>
    <xf numFmtId="0" fontId="110" fillId="77" borderId="85" applyNumberFormat="0" applyAlignment="0" applyProtection="0"/>
    <xf numFmtId="0" fontId="18" fillId="84" borderId="83" applyNumberFormat="0" applyProtection="0">
      <alignment horizontal="left" vertical="center" indent="1"/>
    </xf>
    <xf numFmtId="0" fontId="18" fillId="49" borderId="83" applyNumberFormat="0" applyProtection="0">
      <alignment horizontal="left" vertical="top" indent="1"/>
    </xf>
    <xf numFmtId="4" fontId="47" fillId="35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top" indent="1"/>
    </xf>
    <xf numFmtId="0" fontId="102" fillId="79" borderId="85" applyNumberFormat="0" applyAlignment="0" applyProtection="0"/>
    <xf numFmtId="4" fontId="47" fillId="44" borderId="83" applyNumberFormat="0" applyProtection="0">
      <alignment horizontal="right" vertical="center"/>
    </xf>
    <xf numFmtId="0" fontId="18" fillId="85" borderId="83" applyNumberFormat="0" applyProtection="0">
      <alignment horizontal="left" vertical="center" indent="1"/>
    </xf>
    <xf numFmtId="0" fontId="114" fillId="79" borderId="87" applyNumberFormat="0" applyAlignment="0" applyProtection="0"/>
    <xf numFmtId="4" fontId="51" fillId="49" borderId="83" applyNumberFormat="0" applyProtection="0">
      <alignment horizontal="right" vertical="center"/>
    </xf>
    <xf numFmtId="0" fontId="18" fillId="51" borderId="83" applyNumberFormat="0" applyProtection="0">
      <alignment horizontal="left" vertical="center" indent="1"/>
    </xf>
    <xf numFmtId="4" fontId="46" fillId="38" borderId="83" applyNumberFormat="0" applyProtection="0">
      <alignment vertical="center"/>
    </xf>
    <xf numFmtId="0" fontId="110" fillId="77" borderId="85" applyNumberFormat="0" applyAlignment="0" applyProtection="0"/>
    <xf numFmtId="0" fontId="102" fillId="79" borderId="85" applyNumberFormat="0" applyAlignment="0" applyProtection="0"/>
    <xf numFmtId="4" fontId="47" fillId="41" borderId="83" applyNumberFormat="0" applyProtection="0">
      <alignment horizontal="right" vertical="center"/>
    </xf>
    <xf numFmtId="0" fontId="18" fillId="51" borderId="83" applyNumberFormat="0" applyProtection="0">
      <alignment horizontal="left" vertical="top" indent="1"/>
    </xf>
    <xf numFmtId="0" fontId="47" fillId="34" borderId="83" applyNumberFormat="0" applyProtection="0">
      <alignment horizontal="left" vertical="top"/>
    </xf>
    <xf numFmtId="0" fontId="114" fillId="79" borderId="87" applyNumberFormat="0" applyAlignment="0" applyProtection="0"/>
    <xf numFmtId="0" fontId="26" fillId="0" borderId="90">
      <alignment horizontal="left" vertical="center"/>
    </xf>
    <xf numFmtId="4" fontId="27" fillId="34" borderId="91" applyNumberFormat="0" applyProtection="0">
      <alignment vertical="center"/>
    </xf>
    <xf numFmtId="0" fontId="26" fillId="0" borderId="90">
      <alignment horizontal="left" vertical="center"/>
    </xf>
    <xf numFmtId="4" fontId="27" fillId="34" borderId="91" applyNumberFormat="0" applyProtection="0">
      <alignment vertical="center"/>
    </xf>
    <xf numFmtId="4" fontId="27" fillId="34" borderId="91" applyNumberFormat="0" applyProtection="0">
      <alignment vertical="center"/>
    </xf>
    <xf numFmtId="4" fontId="47" fillId="0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top" indent="1"/>
    </xf>
    <xf numFmtId="4" fontId="27" fillId="38" borderId="83" applyNumberFormat="0" applyProtection="0">
      <alignment horizontal="left" vertical="center" indent="1"/>
    </xf>
    <xf numFmtId="0" fontId="110" fillId="77" borderId="85" applyNumberFormat="0" applyAlignment="0" applyProtection="0"/>
    <xf numFmtId="4" fontId="47" fillId="40" borderId="83" applyNumberFormat="0" applyProtection="0">
      <alignment horizontal="right" vertical="center"/>
    </xf>
    <xf numFmtId="0" fontId="18" fillId="34" borderId="83" applyNumberFormat="0" applyProtection="0">
      <alignment horizontal="left" vertical="top" indent="1"/>
    </xf>
    <xf numFmtId="4" fontId="47" fillId="0" borderId="83" applyNumberFormat="0" applyProtection="0">
      <alignment horizontal="left" vertical="center" indent="1"/>
    </xf>
    <xf numFmtId="0" fontId="114" fillId="79" borderId="87" applyNumberFormat="0" applyAlignment="0" applyProtection="0"/>
    <xf numFmtId="0" fontId="105" fillId="0" borderId="88" applyNumberFormat="0" applyFill="0" applyAlignment="0" applyProtection="0"/>
    <xf numFmtId="0" fontId="18" fillId="55" borderId="83" applyNumberFormat="0" applyProtection="0">
      <alignment horizontal="left" vertical="center" indent="1"/>
    </xf>
    <xf numFmtId="4" fontId="47" fillId="46" borderId="83" applyNumberFormat="0" applyProtection="0">
      <alignment horizontal="right" vertical="center"/>
    </xf>
    <xf numFmtId="0" fontId="110" fillId="77" borderId="85" applyNumberFormat="0" applyAlignment="0" applyProtection="0"/>
    <xf numFmtId="0" fontId="18" fillId="50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top" indent="1"/>
    </xf>
    <xf numFmtId="0" fontId="47" fillId="34" borderId="83" applyNumberFormat="0" applyProtection="0">
      <alignment horizontal="left" vertical="top"/>
    </xf>
    <xf numFmtId="0" fontId="18" fillId="51" borderId="83" applyNumberFormat="0" applyProtection="0">
      <alignment horizontal="left" vertical="top" indent="1"/>
    </xf>
    <xf numFmtId="0" fontId="27" fillId="38" borderId="83" applyNumberFormat="0" applyProtection="0">
      <alignment horizontal="left" vertical="top" indent="1"/>
    </xf>
    <xf numFmtId="0" fontId="18" fillId="76" borderId="86" applyNumberFormat="0" applyFont="0" applyAlignment="0" applyProtection="0"/>
    <xf numFmtId="0" fontId="110" fillId="77" borderId="85" applyNumberFormat="0" applyAlignment="0" applyProtection="0"/>
    <xf numFmtId="0" fontId="105" fillId="0" borderId="88" applyNumberFormat="0" applyFill="0" applyAlignment="0" applyProtection="0"/>
    <xf numFmtId="4" fontId="47" fillId="39" borderId="83" applyNumberFormat="0" applyProtection="0">
      <alignment horizontal="right" vertical="center"/>
    </xf>
    <xf numFmtId="0" fontId="18" fillId="51" borderId="83" applyNumberFormat="0" applyProtection="0">
      <alignment horizontal="left" vertical="center" indent="1"/>
    </xf>
    <xf numFmtId="4" fontId="51" fillId="49" borderId="83" applyNumberFormat="0" applyProtection="0">
      <alignment horizontal="right" vertical="center"/>
    </xf>
    <xf numFmtId="0" fontId="18" fillId="49" borderId="83" applyNumberFormat="0" applyProtection="0">
      <alignment horizontal="left" vertical="center" indent="1"/>
    </xf>
    <xf numFmtId="4" fontId="47" fillId="47" borderId="83" applyNumberFormat="0" applyProtection="0">
      <alignment horizontal="right" vertical="center"/>
    </xf>
    <xf numFmtId="0" fontId="110" fillId="77" borderId="85" applyNumberFormat="0" applyAlignment="0" applyProtection="0"/>
    <xf numFmtId="0" fontId="18" fillId="49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center" indent="1"/>
    </xf>
    <xf numFmtId="4" fontId="47" fillId="40" borderId="83" applyNumberFormat="0" applyProtection="0">
      <alignment horizontal="right" vertical="center"/>
    </xf>
    <xf numFmtId="0" fontId="18" fillId="76" borderId="86" applyNumberFormat="0" applyFont="0" applyAlignment="0" applyProtection="0"/>
    <xf numFmtId="4" fontId="27" fillId="38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center" indent="1"/>
    </xf>
    <xf numFmtId="0" fontId="47" fillId="35" borderId="83" applyNumberFormat="0" applyProtection="0">
      <alignment horizontal="left" vertical="top" indent="1"/>
    </xf>
    <xf numFmtId="0" fontId="105" fillId="0" borderId="88" applyNumberFormat="0" applyFill="0" applyAlignment="0" applyProtection="0"/>
    <xf numFmtId="0" fontId="18" fillId="76" borderId="86" applyNumberFormat="0" applyFont="0" applyAlignment="0" applyProtection="0"/>
    <xf numFmtId="0" fontId="18" fillId="55" borderId="83" applyNumberFormat="0" applyProtection="0">
      <alignment horizontal="left" vertical="top" indent="1"/>
    </xf>
    <xf numFmtId="0" fontId="18" fillId="50" borderId="83" applyNumberFormat="0" applyProtection="0">
      <alignment horizontal="left" vertical="center" indent="1"/>
    </xf>
    <xf numFmtId="0" fontId="114" fillId="79" borderId="87" applyNumberFormat="0" applyAlignment="0" applyProtection="0"/>
    <xf numFmtId="0" fontId="114" fillId="79" borderId="87" applyNumberFormat="0" applyAlignment="0" applyProtection="0"/>
    <xf numFmtId="0" fontId="18" fillId="55" borderId="83" applyNumberFormat="0" applyProtection="0">
      <alignment horizontal="left" vertical="center" indent="1"/>
    </xf>
    <xf numFmtId="4" fontId="47" fillId="42" borderId="83" applyNumberFormat="0" applyProtection="0">
      <alignment horizontal="right" vertical="center"/>
    </xf>
    <xf numFmtId="0" fontId="18" fillId="85" borderId="83" applyNumberFormat="0" applyProtection="0">
      <alignment horizontal="left" vertical="center" indent="1"/>
    </xf>
    <xf numFmtId="0" fontId="18" fillId="76" borderId="86" applyNumberFormat="0" applyFont="0" applyAlignment="0" applyProtection="0"/>
    <xf numFmtId="0" fontId="105" fillId="0" borderId="88" applyNumberFormat="0" applyFill="0" applyAlignment="0" applyProtection="0"/>
    <xf numFmtId="4" fontId="27" fillId="37" borderId="83" applyNumberFormat="0" applyProtection="0">
      <alignment vertical="center"/>
    </xf>
    <xf numFmtId="0" fontId="18" fillId="84" borderId="83" applyNumberFormat="0" applyProtection="0">
      <alignment horizontal="left" vertical="top" indent="1"/>
    </xf>
    <xf numFmtId="4" fontId="51" fillId="35" borderId="83" applyNumberFormat="0" applyProtection="0">
      <alignment vertical="center"/>
    </xf>
    <xf numFmtId="0" fontId="105" fillId="0" borderId="88" applyNumberFormat="0" applyFill="0" applyAlignment="0" applyProtection="0"/>
    <xf numFmtId="0" fontId="18" fillId="76" borderId="86" applyNumberFormat="0" applyFont="0" applyAlignment="0" applyProtection="0"/>
    <xf numFmtId="0" fontId="18" fillId="49" borderId="83" applyNumberFormat="0" applyProtection="0">
      <alignment horizontal="left" vertical="top" indent="1"/>
    </xf>
    <xf numFmtId="0" fontId="18" fillId="84" borderId="83" applyNumberFormat="0" applyProtection="0">
      <alignment horizontal="left" vertical="center" indent="1"/>
    </xf>
    <xf numFmtId="0" fontId="114" fillId="79" borderId="87" applyNumberFormat="0" applyAlignment="0" applyProtection="0"/>
    <xf numFmtId="0" fontId="102" fillId="79" borderId="85" applyNumberFormat="0" applyAlignment="0" applyProtection="0"/>
    <xf numFmtId="0" fontId="114" fillId="79" borderId="87" applyNumberFormat="0" applyAlignment="0" applyProtection="0"/>
    <xf numFmtId="4" fontId="47" fillId="47" borderId="83" applyNumberFormat="0" applyProtection="0">
      <alignment horizontal="right" vertical="center"/>
    </xf>
    <xf numFmtId="0" fontId="18" fillId="85" borderId="83" applyNumberFormat="0" applyProtection="0">
      <alignment horizontal="left" vertical="top" indent="1"/>
    </xf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8" fillId="85" borderId="83" applyNumberFormat="0" applyProtection="0">
      <alignment horizontal="left" vertical="top" indent="1"/>
    </xf>
    <xf numFmtId="4" fontId="47" fillId="44" borderId="83" applyNumberFormat="0" applyProtection="0">
      <alignment horizontal="right" vertical="center"/>
    </xf>
    <xf numFmtId="0" fontId="110" fillId="77" borderId="85" applyNumberFormat="0" applyAlignment="0" applyProtection="0"/>
    <xf numFmtId="0" fontId="63" fillId="59" borderId="89" applyNumberFormat="0" applyFont="0" applyFill="0" applyAlignment="0" applyProtection="0">
      <protection locked="0"/>
    </xf>
    <xf numFmtId="0" fontId="18" fillId="84" borderId="83" applyNumberFormat="0" applyProtection="0">
      <alignment horizontal="left" vertical="center" indent="1"/>
    </xf>
    <xf numFmtId="0" fontId="18" fillId="49" borderId="83" applyNumberFormat="0" applyProtection="0">
      <alignment horizontal="left" vertical="top" indent="1"/>
    </xf>
    <xf numFmtId="0" fontId="105" fillId="0" borderId="88" applyNumberFormat="0" applyFill="0" applyAlignment="0" applyProtection="0"/>
    <xf numFmtId="0" fontId="18" fillId="76" borderId="86" applyNumberFormat="0" applyFont="0" applyAlignment="0" applyProtection="0"/>
    <xf numFmtId="4" fontId="51" fillId="35" borderId="83" applyNumberFormat="0" applyProtection="0">
      <alignment vertical="center"/>
    </xf>
    <xf numFmtId="0" fontId="18" fillId="84" borderId="83" applyNumberFormat="0" applyProtection="0">
      <alignment horizontal="left" vertical="top" indent="1"/>
    </xf>
    <xf numFmtId="0" fontId="114" fillId="79" borderId="87" applyNumberFormat="0" applyAlignment="0" applyProtection="0"/>
    <xf numFmtId="0" fontId="102" fillId="79" borderId="85" applyNumberFormat="0" applyAlignment="0" applyProtection="0"/>
    <xf numFmtId="0" fontId="114" fillId="79" borderId="87" applyNumberFormat="0" applyAlignment="0" applyProtection="0"/>
    <xf numFmtId="4" fontId="47" fillId="45" borderId="83" applyNumberFormat="0" applyProtection="0">
      <alignment horizontal="right" vertical="center"/>
    </xf>
    <xf numFmtId="0" fontId="18" fillId="85" borderId="83" applyNumberFormat="0" applyProtection="0">
      <alignment horizontal="left" vertical="center" indent="1"/>
    </xf>
    <xf numFmtId="0" fontId="105" fillId="0" borderId="88" applyNumberFormat="0" applyFill="0" applyAlignment="0" applyProtection="0"/>
    <xf numFmtId="0" fontId="114" fillId="79" borderId="87" applyNumberFormat="0" applyAlignment="0" applyProtection="0"/>
    <xf numFmtId="0" fontId="21" fillId="35" borderId="71" applyNumberFormat="0" applyFont="0" applyAlignment="0" applyProtection="0">
      <alignment horizontal="center"/>
      <protection locked="0"/>
    </xf>
    <xf numFmtId="43" fontId="18" fillId="0" borderId="0" applyFont="0" applyFill="0" applyBorder="0" applyAlignment="0" applyProtection="0"/>
    <xf numFmtId="44" fontId="18" fillId="0" borderId="0" applyFont="0" applyFill="0" applyBorder="0" applyProtection="0">
      <alignment horizontal="right"/>
    </xf>
    <xf numFmtId="9" fontId="18" fillId="0" borderId="0" applyFont="0" applyFill="0" applyBorder="0" applyAlignment="0" applyProtection="0"/>
    <xf numFmtId="4" fontId="27" fillId="37" borderId="83" applyNumberFormat="0" applyProtection="0">
      <alignment vertical="center"/>
    </xf>
    <xf numFmtId="4" fontId="46" fillId="38" borderId="83" applyNumberFormat="0" applyProtection="0">
      <alignment vertical="center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0" fontId="27" fillId="38" borderId="83" applyNumberFormat="0" applyProtection="0">
      <alignment horizontal="left" vertical="top" indent="1"/>
    </xf>
    <xf numFmtId="4" fontId="27" fillId="34" borderId="83" applyNumberFormat="0" applyProtection="0"/>
    <xf numFmtId="4" fontId="47" fillId="39" borderId="83" applyNumberFormat="0" applyProtection="0">
      <alignment horizontal="right" vertical="center"/>
    </xf>
    <xf numFmtId="4" fontId="47" fillId="40" borderId="83" applyNumberFormat="0" applyProtection="0">
      <alignment horizontal="right" vertical="center"/>
    </xf>
    <xf numFmtId="4" fontId="47" fillId="41" borderId="83" applyNumberFormat="0" applyProtection="0">
      <alignment horizontal="right" vertical="center"/>
    </xf>
    <xf numFmtId="4" fontId="47" fillId="42" borderId="83" applyNumberFormat="0" applyProtection="0">
      <alignment horizontal="right" vertical="center"/>
    </xf>
    <xf numFmtId="4" fontId="47" fillId="43" borderId="83" applyNumberFormat="0" applyProtection="0">
      <alignment horizontal="right" vertical="center"/>
    </xf>
    <xf numFmtId="4" fontId="47" fillId="44" borderId="83" applyNumberFormat="0" applyProtection="0">
      <alignment horizontal="right" vertical="center"/>
    </xf>
    <xf numFmtId="4" fontId="47" fillId="45" borderId="83" applyNumberFormat="0" applyProtection="0">
      <alignment horizontal="right" vertical="center"/>
    </xf>
    <xf numFmtId="4" fontId="47" fillId="46" borderId="83" applyNumberFormat="0" applyProtection="0">
      <alignment horizontal="right" vertical="center"/>
    </xf>
    <xf numFmtId="4" fontId="47" fillId="47" borderId="83" applyNumberFormat="0" applyProtection="0">
      <alignment horizontal="right" vertical="center"/>
    </xf>
    <xf numFmtId="4" fontId="47" fillId="51" borderId="83" applyNumberFormat="0" applyProtection="0">
      <alignment horizontal="right" vertical="center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top" indent="1"/>
    </xf>
    <xf numFmtId="0" fontId="18" fillId="50" borderId="83" applyNumberFormat="0" applyProtection="0">
      <alignment horizontal="left" vertical="top" indent="1"/>
    </xf>
    <xf numFmtId="0" fontId="18" fillId="50" borderId="83" applyNumberFormat="0" applyProtection="0">
      <alignment horizontal="left" vertical="top" indent="1"/>
    </xf>
    <xf numFmtId="0" fontId="18" fillId="50" borderId="83" applyNumberFormat="0" applyProtection="0">
      <alignment horizontal="left" vertical="top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top" indent="1"/>
    </xf>
    <xf numFmtId="0" fontId="18" fillId="34" borderId="83" applyNumberFormat="0" applyProtection="0">
      <alignment horizontal="left" vertical="top" indent="1"/>
    </xf>
    <xf numFmtId="0" fontId="18" fillId="34" borderId="83" applyNumberFormat="0" applyProtection="0">
      <alignment horizontal="left" vertical="top" indent="1"/>
    </xf>
    <xf numFmtId="0" fontId="18" fillId="3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top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top" indent="1"/>
    </xf>
    <xf numFmtId="0" fontId="18" fillId="55" borderId="83" applyNumberFormat="0" applyProtection="0">
      <alignment horizontal="left" vertical="top" indent="1"/>
    </xf>
    <xf numFmtId="0" fontId="18" fillId="55" borderId="83" applyNumberFormat="0" applyProtection="0">
      <alignment horizontal="left" vertical="top" indent="1"/>
    </xf>
    <xf numFmtId="0" fontId="18" fillId="55" borderId="83" applyNumberFormat="0" applyProtection="0">
      <alignment horizontal="left" vertical="top" indent="1"/>
    </xf>
    <xf numFmtId="4" fontId="47" fillId="35" borderId="83" applyNumberFormat="0" applyProtection="0">
      <alignment vertical="center"/>
    </xf>
    <xf numFmtId="4" fontId="51" fillId="35" borderId="83" applyNumberFormat="0" applyProtection="0">
      <alignment vertical="center"/>
    </xf>
    <xf numFmtId="4" fontId="47" fillId="35" borderId="83" applyNumberFormat="0" applyProtection="0">
      <alignment horizontal="left" vertical="center" indent="1"/>
    </xf>
    <xf numFmtId="0" fontId="47" fillId="35" borderId="83" applyNumberFormat="0" applyProtection="0">
      <alignment horizontal="left" vertical="top" indent="1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4" fontId="51" fillId="49" borderId="83" applyNumberFormat="0" applyProtection="0">
      <alignment horizontal="right" vertical="center"/>
    </xf>
    <xf numFmtId="4" fontId="47" fillId="0" borderId="83" applyNumberFormat="0" applyProtection="0">
      <alignment horizontal="left" vertical="center" indent="1"/>
    </xf>
    <xf numFmtId="4" fontId="47" fillId="0" borderId="83" applyNumberFormat="0" applyProtection="0">
      <alignment horizontal="left" vertical="center" indent="1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left" vertical="top"/>
    </xf>
    <xf numFmtId="4" fontId="25" fillId="49" borderId="83" applyNumberFormat="0" applyProtection="0">
      <alignment horizontal="right" vertical="center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vertical="center"/>
    </xf>
    <xf numFmtId="4" fontId="27" fillId="34" borderId="83" applyNumberFormat="0" applyProtection="0"/>
    <xf numFmtId="4" fontId="27" fillId="34" borderId="83" applyNumberFormat="0" applyProtection="0"/>
    <xf numFmtId="4" fontId="27" fillId="34" borderId="83" applyNumberFormat="0" applyProtection="0"/>
    <xf numFmtId="4" fontId="27" fillId="34" borderId="83" applyNumberFormat="0" applyProtection="0"/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top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top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top" indent="1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left" vertical="center" indent="1"/>
    </xf>
    <xf numFmtId="4" fontId="47" fillId="0" borderId="83" applyNumberFormat="0" applyProtection="0">
      <alignment horizontal="left" vertical="center" indent="1"/>
    </xf>
    <xf numFmtId="4" fontId="47" fillId="0" borderId="83" applyNumberFormat="0" applyProtection="0">
      <alignment horizontal="left" vertical="center" indent="1"/>
    </xf>
    <xf numFmtId="4" fontId="47" fillId="0" borderId="83" applyNumberFormat="0" applyProtection="0">
      <alignment horizontal="left" vertical="center" indent="1"/>
    </xf>
    <xf numFmtId="4" fontId="47" fillId="59" borderId="83" applyNumberFormat="0" applyProtection="0">
      <alignment horizontal="left" vertical="center" indent="1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center" vertical="top"/>
    </xf>
    <xf numFmtId="4" fontId="47" fillId="51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left" vertical="center" indent="1"/>
    </xf>
    <xf numFmtId="0" fontId="47" fillId="34" borderId="83" applyNumberFormat="0" applyProtection="0">
      <alignment horizontal="left" vertical="top"/>
    </xf>
    <xf numFmtId="0" fontId="102" fillId="79" borderId="85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8" fillId="84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top" indent="1"/>
    </xf>
    <xf numFmtId="0" fontId="18" fillId="84" borderId="83" applyNumberFormat="0" applyProtection="0">
      <alignment horizontal="left" vertical="top" indent="1"/>
    </xf>
    <xf numFmtId="0" fontId="18" fillId="51" borderId="83" applyNumberFormat="0" applyProtection="0">
      <alignment horizontal="left" vertical="center" indent="1"/>
    </xf>
    <xf numFmtId="0" fontId="18" fillId="51" borderId="83" applyNumberFormat="0" applyProtection="0">
      <alignment horizontal="left" vertical="center" indent="1"/>
    </xf>
    <xf numFmtId="0" fontId="18" fillId="51" borderId="83" applyNumberFormat="0" applyProtection="0">
      <alignment horizontal="left" vertical="top" indent="1"/>
    </xf>
    <xf numFmtId="0" fontId="18" fillId="51" borderId="83" applyNumberFormat="0" applyProtection="0">
      <alignment horizontal="left" vertical="top" indent="1"/>
    </xf>
    <xf numFmtId="0" fontId="18" fillId="85" borderId="83" applyNumberFormat="0" applyProtection="0">
      <alignment horizontal="left" vertical="center" indent="1"/>
    </xf>
    <xf numFmtId="0" fontId="18" fillId="85" borderId="83" applyNumberFormat="0" applyProtection="0">
      <alignment horizontal="left" vertical="center" indent="1"/>
    </xf>
    <xf numFmtId="0" fontId="18" fillId="85" borderId="83" applyNumberFormat="0" applyProtection="0">
      <alignment horizontal="left" vertical="top" indent="1"/>
    </xf>
    <xf numFmtId="0" fontId="18" fillId="85" borderId="83" applyNumberFormat="0" applyProtection="0">
      <alignment horizontal="left" vertical="top" indent="1"/>
    </xf>
    <xf numFmtId="0" fontId="18" fillId="49" borderId="83" applyNumberFormat="0" applyProtection="0">
      <alignment horizontal="left" vertical="center" indent="1"/>
    </xf>
    <xf numFmtId="0" fontId="18" fillId="49" borderId="83" applyNumberFormat="0" applyProtection="0">
      <alignment horizontal="left" vertical="center" indent="1"/>
    </xf>
    <xf numFmtId="0" fontId="18" fillId="49" borderId="83" applyNumberFormat="0" applyProtection="0">
      <alignment horizontal="left" vertical="top" indent="1"/>
    </xf>
    <xf numFmtId="0" fontId="18" fillId="49" borderId="83" applyNumberFormat="0" applyProtection="0">
      <alignment horizontal="left" vertical="top" indent="1"/>
    </xf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24" fillId="59" borderId="89" applyNumberFormat="0" applyFont="0" applyAlignment="0" applyProtection="0">
      <protection locked="0"/>
    </xf>
    <xf numFmtId="0" fontId="63" fillId="59" borderId="89" applyNumberFormat="0" applyFont="0" applyFill="0" applyAlignment="0" applyProtection="0">
      <protection locked="0"/>
    </xf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4" fontId="25" fillId="49" borderId="83" applyNumberFormat="0" applyProtection="0">
      <alignment horizontal="right" vertical="center"/>
    </xf>
    <xf numFmtId="0" fontId="47" fillId="34" borderId="83" applyNumberFormat="0" applyProtection="0">
      <alignment horizontal="left" vertical="top"/>
    </xf>
    <xf numFmtId="4" fontId="47" fillId="0" borderId="83" applyNumberFormat="0" applyProtection="0">
      <alignment horizontal="left" vertical="center" indent="1"/>
    </xf>
    <xf numFmtId="4" fontId="51" fillId="49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0" fontId="47" fillId="35" borderId="83" applyNumberFormat="0" applyProtection="0">
      <alignment horizontal="left" vertical="top" indent="1"/>
    </xf>
    <xf numFmtId="4" fontId="47" fillId="35" borderId="83" applyNumberFormat="0" applyProtection="0">
      <alignment horizontal="left" vertical="center" indent="1"/>
    </xf>
    <xf numFmtId="4" fontId="51" fillId="35" borderId="83" applyNumberFormat="0" applyProtection="0">
      <alignment vertical="center"/>
    </xf>
    <xf numFmtId="4" fontId="47" fillId="35" borderId="83" applyNumberFormat="0" applyProtection="0">
      <alignment vertical="center"/>
    </xf>
    <xf numFmtId="0" fontId="18" fillId="49" borderId="83" applyNumberFormat="0" applyProtection="0">
      <alignment horizontal="left" vertical="top" indent="1"/>
    </xf>
    <xf numFmtId="0" fontId="18" fillId="49" borderId="83" applyNumberFormat="0" applyProtection="0">
      <alignment horizontal="left" vertical="top" indent="1"/>
    </xf>
    <xf numFmtId="0" fontId="18" fillId="55" borderId="83" applyNumberFormat="0" applyProtection="0">
      <alignment horizontal="left" vertical="top" indent="1"/>
    </xf>
    <xf numFmtId="0" fontId="18" fillId="49" borderId="83" applyNumberFormat="0" applyProtection="0">
      <alignment horizontal="left" vertical="center" indent="1"/>
    </xf>
    <xf numFmtId="0" fontId="18" fillId="49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center" indent="1"/>
    </xf>
    <xf numFmtId="0" fontId="18" fillId="85" borderId="83" applyNumberFormat="0" applyProtection="0">
      <alignment horizontal="left" vertical="top" indent="1"/>
    </xf>
    <xf numFmtId="0" fontId="18" fillId="85" borderId="83" applyNumberFormat="0" applyProtection="0">
      <alignment horizontal="left" vertical="top" indent="1"/>
    </xf>
    <xf numFmtId="0" fontId="18" fillId="54" borderId="83" applyNumberFormat="0" applyProtection="0">
      <alignment horizontal="left" vertical="top" indent="1"/>
    </xf>
    <xf numFmtId="0" fontId="18" fillId="85" borderId="83" applyNumberFormat="0" applyProtection="0">
      <alignment horizontal="left" vertical="center" indent="1"/>
    </xf>
    <xf numFmtId="0" fontId="18" fillId="85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center" indent="1"/>
    </xf>
    <xf numFmtId="0" fontId="18" fillId="51" borderId="83" applyNumberFormat="0" applyProtection="0">
      <alignment horizontal="left" vertical="top" indent="1"/>
    </xf>
    <xf numFmtId="0" fontId="18" fillId="51" borderId="83" applyNumberFormat="0" applyProtection="0">
      <alignment horizontal="left" vertical="top" indent="1"/>
    </xf>
    <xf numFmtId="0" fontId="18" fillId="34" borderId="83" applyNumberFormat="0" applyProtection="0">
      <alignment horizontal="left" vertical="top" indent="1"/>
    </xf>
    <xf numFmtId="0" fontId="18" fillId="51" borderId="83" applyNumberFormat="0" applyProtection="0">
      <alignment horizontal="left" vertical="center" indent="1"/>
    </xf>
    <xf numFmtId="0" fontId="18" fillId="51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top" indent="1"/>
    </xf>
    <xf numFmtId="0" fontId="18" fillId="84" borderId="83" applyNumberFormat="0" applyProtection="0">
      <alignment horizontal="left" vertical="top" indent="1"/>
    </xf>
    <xf numFmtId="0" fontId="18" fillId="50" borderId="83" applyNumberFormat="0" applyProtection="0">
      <alignment horizontal="left" vertical="top" indent="1"/>
    </xf>
    <xf numFmtId="0" fontId="18" fillId="84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center" indent="1"/>
    </xf>
    <xf numFmtId="4" fontId="47" fillId="51" borderId="83" applyNumberFormat="0" applyProtection="0">
      <alignment horizontal="right" vertical="center"/>
    </xf>
    <xf numFmtId="4" fontId="47" fillId="47" borderId="83" applyNumberFormat="0" applyProtection="0">
      <alignment horizontal="right" vertical="center"/>
    </xf>
    <xf numFmtId="4" fontId="47" fillId="46" borderId="83" applyNumberFormat="0" applyProtection="0">
      <alignment horizontal="right" vertical="center"/>
    </xf>
    <xf numFmtId="4" fontId="47" fillId="45" borderId="83" applyNumberFormat="0" applyProtection="0">
      <alignment horizontal="right" vertical="center"/>
    </xf>
    <xf numFmtId="4" fontId="47" fillId="44" borderId="83" applyNumberFormat="0" applyProtection="0">
      <alignment horizontal="right" vertical="center"/>
    </xf>
    <xf numFmtId="4" fontId="47" fillId="43" borderId="83" applyNumberFormat="0" applyProtection="0">
      <alignment horizontal="right" vertical="center"/>
    </xf>
    <xf numFmtId="4" fontId="47" fillId="42" borderId="83" applyNumberFormat="0" applyProtection="0">
      <alignment horizontal="right" vertical="center"/>
    </xf>
    <xf numFmtId="4" fontId="47" fillId="41" borderId="83" applyNumberFormat="0" applyProtection="0">
      <alignment horizontal="right" vertical="center"/>
    </xf>
    <xf numFmtId="4" fontId="47" fillId="40" borderId="83" applyNumberFormat="0" applyProtection="0">
      <alignment horizontal="right" vertical="center"/>
    </xf>
    <xf numFmtId="4" fontId="47" fillId="39" borderId="83" applyNumberFormat="0" applyProtection="0">
      <alignment horizontal="right" vertical="center"/>
    </xf>
    <xf numFmtId="0" fontId="27" fillId="38" borderId="83" applyNumberFormat="0" applyProtection="0">
      <alignment horizontal="left" vertical="top" indent="1"/>
    </xf>
    <xf numFmtId="4" fontId="27" fillId="38" borderId="83" applyNumberFormat="0" applyProtection="0">
      <alignment horizontal="left" vertical="center" indent="1"/>
    </xf>
    <xf numFmtId="4" fontId="46" fillId="38" borderId="83" applyNumberFormat="0" applyProtection="0">
      <alignment vertical="center"/>
    </xf>
    <xf numFmtId="4" fontId="27" fillId="37" borderId="83" applyNumberFormat="0" applyProtection="0">
      <alignment vertical="center"/>
    </xf>
    <xf numFmtId="0" fontId="63" fillId="59" borderId="89" applyNumberFormat="0" applyFont="0" applyFill="0" applyAlignment="0" applyProtection="0">
      <protection locked="0"/>
    </xf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24" fillId="59" borderId="89" applyNumberFormat="0" applyFont="0" applyAlignment="0" applyProtection="0">
      <protection locked="0"/>
    </xf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4" fontId="27" fillId="37" borderId="83" applyNumberFormat="0" applyProtection="0">
      <alignment vertical="center"/>
    </xf>
    <xf numFmtId="4" fontId="46" fillId="38" borderId="83" applyNumberFormat="0" applyProtection="0">
      <alignment vertical="center"/>
    </xf>
    <xf numFmtId="4" fontId="27" fillId="38" borderId="83" applyNumberFormat="0" applyProtection="0">
      <alignment horizontal="left" vertical="center" indent="1"/>
    </xf>
    <xf numFmtId="0" fontId="27" fillId="38" borderId="83" applyNumberFormat="0" applyProtection="0">
      <alignment horizontal="left" vertical="top" indent="1"/>
    </xf>
    <xf numFmtId="4" fontId="47" fillId="39" borderId="83" applyNumberFormat="0" applyProtection="0">
      <alignment horizontal="right" vertical="center"/>
    </xf>
    <xf numFmtId="4" fontId="47" fillId="40" borderId="83" applyNumberFormat="0" applyProtection="0">
      <alignment horizontal="right" vertical="center"/>
    </xf>
    <xf numFmtId="4" fontId="47" fillId="41" borderId="83" applyNumberFormat="0" applyProtection="0">
      <alignment horizontal="right" vertical="center"/>
    </xf>
    <xf numFmtId="4" fontId="47" fillId="42" borderId="83" applyNumberFormat="0" applyProtection="0">
      <alignment horizontal="right" vertical="center"/>
    </xf>
    <xf numFmtId="4" fontId="47" fillId="43" borderId="83" applyNumberFormat="0" applyProtection="0">
      <alignment horizontal="right" vertical="center"/>
    </xf>
    <xf numFmtId="4" fontId="47" fillId="44" borderId="83" applyNumberFormat="0" applyProtection="0">
      <alignment horizontal="right" vertical="center"/>
    </xf>
    <xf numFmtId="4" fontId="47" fillId="45" borderId="83" applyNumberFormat="0" applyProtection="0">
      <alignment horizontal="right" vertical="center"/>
    </xf>
    <xf numFmtId="4" fontId="47" fillId="46" borderId="83" applyNumberFormat="0" applyProtection="0">
      <alignment horizontal="right" vertical="center"/>
    </xf>
    <xf numFmtId="4" fontId="47" fillId="47" borderId="83" applyNumberFormat="0" applyProtection="0">
      <alignment horizontal="right" vertical="center"/>
    </xf>
    <xf numFmtId="4" fontId="47" fillId="51" borderId="83" applyNumberFormat="0" applyProtection="0">
      <alignment horizontal="right" vertical="center"/>
    </xf>
    <xf numFmtId="0" fontId="18" fillId="50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top" indent="1"/>
    </xf>
    <xf numFmtId="0" fontId="18" fillId="84" borderId="83" applyNumberFormat="0" applyProtection="0">
      <alignment horizontal="left" vertical="top" indent="1"/>
    </xf>
    <xf numFmtId="0" fontId="18" fillId="84" borderId="83" applyNumberFormat="0" applyProtection="0">
      <alignment horizontal="left" vertical="top" indent="1"/>
    </xf>
    <xf numFmtId="0" fontId="18" fillId="34" borderId="83" applyNumberFormat="0" applyProtection="0">
      <alignment horizontal="left" vertical="center" indent="1"/>
    </xf>
    <xf numFmtId="0" fontId="18" fillId="51" borderId="83" applyNumberFormat="0" applyProtection="0">
      <alignment horizontal="left" vertical="center" indent="1"/>
    </xf>
    <xf numFmtId="0" fontId="18" fillId="51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top" indent="1"/>
    </xf>
    <xf numFmtId="0" fontId="18" fillId="51" borderId="83" applyNumberFormat="0" applyProtection="0">
      <alignment horizontal="left" vertical="top" indent="1"/>
    </xf>
    <xf numFmtId="0" fontId="18" fillId="51" borderId="83" applyNumberFormat="0" applyProtection="0">
      <alignment horizontal="left" vertical="top" indent="1"/>
    </xf>
    <xf numFmtId="0" fontId="18" fillId="54" borderId="83" applyNumberFormat="0" applyProtection="0">
      <alignment horizontal="left" vertical="center" indent="1"/>
    </xf>
    <xf numFmtId="0" fontId="18" fillId="85" borderId="83" applyNumberFormat="0" applyProtection="0">
      <alignment horizontal="left" vertical="center" indent="1"/>
    </xf>
    <xf numFmtId="0" fontId="18" fillId="85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top" indent="1"/>
    </xf>
    <xf numFmtId="0" fontId="18" fillId="85" borderId="83" applyNumberFormat="0" applyProtection="0">
      <alignment horizontal="left" vertical="top" indent="1"/>
    </xf>
    <xf numFmtId="0" fontId="18" fillId="85" borderId="83" applyNumberFormat="0" applyProtection="0">
      <alignment horizontal="left" vertical="top" indent="1"/>
    </xf>
    <xf numFmtId="0" fontId="18" fillId="55" borderId="83" applyNumberFormat="0" applyProtection="0">
      <alignment horizontal="left" vertical="center" indent="1"/>
    </xf>
    <xf numFmtId="0" fontId="18" fillId="49" borderId="83" applyNumberFormat="0" applyProtection="0">
      <alignment horizontal="left" vertical="center" indent="1"/>
    </xf>
    <xf numFmtId="0" fontId="18" fillId="49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top" indent="1"/>
    </xf>
    <xf numFmtId="0" fontId="18" fillId="49" borderId="83" applyNumberFormat="0" applyProtection="0">
      <alignment horizontal="left" vertical="top" indent="1"/>
    </xf>
    <xf numFmtId="0" fontId="18" fillId="49" borderId="83" applyNumberFormat="0" applyProtection="0">
      <alignment horizontal="left" vertical="top" indent="1"/>
    </xf>
    <xf numFmtId="4" fontId="47" fillId="35" borderId="83" applyNumberFormat="0" applyProtection="0">
      <alignment vertical="center"/>
    </xf>
    <xf numFmtId="4" fontId="51" fillId="35" borderId="83" applyNumberFormat="0" applyProtection="0">
      <alignment vertical="center"/>
    </xf>
    <xf numFmtId="4" fontId="47" fillId="35" borderId="83" applyNumberFormat="0" applyProtection="0">
      <alignment horizontal="left" vertical="center" indent="1"/>
    </xf>
    <xf numFmtId="0" fontId="47" fillId="35" borderId="83" applyNumberFormat="0" applyProtection="0">
      <alignment horizontal="left" vertical="top" indent="1"/>
    </xf>
    <xf numFmtId="4" fontId="47" fillId="0" borderId="83" applyNumberFormat="0" applyProtection="0">
      <alignment horizontal="right" vertical="center"/>
    </xf>
    <xf numFmtId="4" fontId="51" fillId="49" borderId="83" applyNumberFormat="0" applyProtection="0">
      <alignment horizontal="right" vertical="center"/>
    </xf>
    <xf numFmtId="4" fontId="47" fillId="0" borderId="83" applyNumberFormat="0" applyProtection="0">
      <alignment horizontal="left" vertical="center" indent="1"/>
    </xf>
    <xf numFmtId="0" fontId="47" fillId="34" borderId="83" applyNumberFormat="0" applyProtection="0">
      <alignment horizontal="left" vertical="top"/>
    </xf>
    <xf numFmtId="4" fontId="25" fillId="49" borderId="83" applyNumberFormat="0" applyProtection="0">
      <alignment horizontal="right" vertical="center"/>
    </xf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12" fontId="26" fillId="36" borderId="16">
      <alignment horizontal="left"/>
    </xf>
    <xf numFmtId="0" fontId="18" fillId="54" borderId="100" applyNumberFormat="0" applyProtection="0">
      <alignment horizontal="left" vertical="top" indent="1"/>
    </xf>
    <xf numFmtId="0" fontId="18" fillId="55" borderId="100" applyNumberFormat="0" applyProtection="0">
      <alignment horizontal="left" vertical="center" indent="1"/>
    </xf>
    <xf numFmtId="0" fontId="18" fillId="55" borderId="100" applyNumberFormat="0" applyProtection="0">
      <alignment horizontal="left" vertical="top" indent="1"/>
    </xf>
    <xf numFmtId="4" fontId="47" fillId="0" borderId="100" applyNumberFormat="0" applyProtection="0">
      <alignment horizontal="right" vertical="center"/>
    </xf>
    <xf numFmtId="4" fontId="47" fillId="0" borderId="100" applyNumberFormat="0" applyProtection="0">
      <alignment horizontal="right" vertical="center"/>
    </xf>
    <xf numFmtId="4" fontId="47" fillId="0" borderId="100" applyNumberFormat="0" applyProtection="0">
      <alignment horizontal="left" vertical="center" indent="1"/>
    </xf>
    <xf numFmtId="0" fontId="47" fillId="34" borderId="100" applyNumberFormat="0" applyProtection="0">
      <alignment horizontal="left" vertical="top"/>
    </xf>
    <xf numFmtId="4" fontId="27" fillId="37" borderId="94" applyNumberFormat="0" applyProtection="0">
      <alignment vertical="center"/>
    </xf>
    <xf numFmtId="4" fontId="27" fillId="37" borderId="94" applyNumberFormat="0" applyProtection="0">
      <alignment vertical="center"/>
    </xf>
    <xf numFmtId="4" fontId="27" fillId="37" borderId="94" applyNumberFormat="0" applyProtection="0">
      <alignment vertical="center"/>
    </xf>
    <xf numFmtId="4" fontId="27" fillId="37" borderId="94" applyNumberFormat="0" applyProtection="0">
      <alignment vertical="center"/>
    </xf>
    <xf numFmtId="4" fontId="27" fillId="37" borderId="94" applyNumberFormat="0" applyProtection="0">
      <alignment vertical="center"/>
    </xf>
    <xf numFmtId="4" fontId="27" fillId="37" borderId="94" applyNumberFormat="0" applyProtection="0">
      <alignment vertical="center"/>
    </xf>
    <xf numFmtId="4" fontId="27" fillId="37" borderId="94" applyNumberFormat="0" applyProtection="0">
      <alignment vertical="center"/>
    </xf>
    <xf numFmtId="4" fontId="27" fillId="37" borderId="94" applyNumberFormat="0" applyProtection="0">
      <alignment vertical="center"/>
    </xf>
    <xf numFmtId="4" fontId="27" fillId="37" borderId="94" applyNumberFormat="0" applyProtection="0">
      <alignment vertical="center"/>
    </xf>
    <xf numFmtId="4" fontId="46" fillId="38" borderId="94" applyNumberFormat="0" applyProtection="0">
      <alignment vertical="center"/>
    </xf>
    <xf numFmtId="4" fontId="46" fillId="38" borderId="94" applyNumberFormat="0" applyProtection="0">
      <alignment vertical="center"/>
    </xf>
    <xf numFmtId="4" fontId="46" fillId="38" borderId="94" applyNumberFormat="0" applyProtection="0">
      <alignment vertical="center"/>
    </xf>
    <xf numFmtId="4" fontId="46" fillId="38" borderId="94" applyNumberFormat="0" applyProtection="0">
      <alignment vertical="center"/>
    </xf>
    <xf numFmtId="4" fontId="46" fillId="38" borderId="94" applyNumberFormat="0" applyProtection="0">
      <alignment vertical="center"/>
    </xf>
    <xf numFmtId="4" fontId="46" fillId="38" borderId="94" applyNumberFormat="0" applyProtection="0">
      <alignment vertical="center"/>
    </xf>
    <xf numFmtId="4" fontId="46" fillId="38" borderId="94" applyNumberFormat="0" applyProtection="0">
      <alignment vertical="center"/>
    </xf>
    <xf numFmtId="4" fontId="46" fillId="38" borderId="94" applyNumberFormat="0" applyProtection="0">
      <alignment vertical="center"/>
    </xf>
    <xf numFmtId="4" fontId="46" fillId="38" borderId="94" applyNumberFormat="0" applyProtection="0">
      <alignment vertical="center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vertical="center"/>
    </xf>
    <xf numFmtId="4" fontId="27" fillId="38" borderId="94" applyNumberFormat="0" applyProtection="0">
      <alignment vertical="center"/>
    </xf>
    <xf numFmtId="4" fontId="27" fillId="38" borderId="94" applyNumberFormat="0" applyProtection="0">
      <alignment vertical="center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0" fontId="27" fillId="38" borderId="94" applyNumberFormat="0" applyProtection="0">
      <alignment horizontal="left" vertical="top" indent="1"/>
    </xf>
    <xf numFmtId="0" fontId="27" fillId="38" borderId="94" applyNumberFormat="0" applyProtection="0">
      <alignment horizontal="left" vertical="top" indent="1"/>
    </xf>
    <xf numFmtId="0" fontId="27" fillId="38" borderId="94" applyNumberFormat="0" applyProtection="0">
      <alignment horizontal="left" vertical="top" indent="1"/>
    </xf>
    <xf numFmtId="0" fontId="27" fillId="38" borderId="94" applyNumberFormat="0" applyProtection="0">
      <alignment horizontal="left" vertical="top" indent="1"/>
    </xf>
    <xf numFmtId="0" fontId="27" fillId="38" borderId="94" applyNumberFormat="0" applyProtection="0">
      <alignment horizontal="left" vertical="top" indent="1"/>
    </xf>
    <xf numFmtId="0" fontId="27" fillId="38" borderId="94" applyNumberFormat="0" applyProtection="0">
      <alignment horizontal="left" vertical="top" indent="1"/>
    </xf>
    <xf numFmtId="0" fontId="27" fillId="38" borderId="94" applyNumberFormat="0" applyProtection="0">
      <alignment horizontal="left" vertical="top" indent="1"/>
    </xf>
    <xf numFmtId="0" fontId="27" fillId="38" borderId="94" applyNumberFormat="0" applyProtection="0">
      <alignment horizontal="left" vertical="top" indent="1"/>
    </xf>
    <xf numFmtId="0" fontId="27" fillId="38" borderId="94" applyNumberFormat="0" applyProtection="0">
      <alignment horizontal="left" vertical="top" indent="1"/>
    </xf>
    <xf numFmtId="4" fontId="27" fillId="34" borderId="94" applyNumberFormat="0" applyProtection="0"/>
    <xf numFmtId="4" fontId="27" fillId="34" borderId="95" applyNumberFormat="0" applyProtection="0">
      <alignment vertical="center"/>
    </xf>
    <xf numFmtId="4" fontId="27" fillId="34" borderId="95" applyNumberFormat="0" applyProtection="0">
      <alignment vertical="center"/>
    </xf>
    <xf numFmtId="4" fontId="27" fillId="34" borderId="95" applyNumberFormat="0" applyProtection="0">
      <alignment vertical="center"/>
    </xf>
    <xf numFmtId="4" fontId="27" fillId="34" borderId="94" applyNumberFormat="0" applyProtection="0"/>
    <xf numFmtId="4" fontId="27" fillId="34" borderId="94" applyNumberFormat="0" applyProtection="0"/>
    <xf numFmtId="4" fontId="27" fillId="34" borderId="94" applyNumberFormat="0" applyProtection="0"/>
    <xf numFmtId="4" fontId="27" fillId="34" borderId="94" applyNumberFormat="0" applyProtection="0"/>
    <xf numFmtId="4" fontId="27" fillId="34" borderId="94" applyNumberFormat="0" applyProtection="0"/>
    <xf numFmtId="4" fontId="27" fillId="34" borderId="94" applyNumberFormat="0" applyProtection="0"/>
    <xf numFmtId="4" fontId="27" fillId="34" borderId="94" applyNumberFormat="0" applyProtection="0"/>
    <xf numFmtId="4" fontId="27" fillId="34" borderId="94" applyNumberFormat="0" applyProtection="0"/>
    <xf numFmtId="4" fontId="27" fillId="34" borderId="94" applyNumberFormat="0" applyProtection="0"/>
    <xf numFmtId="4" fontId="27" fillId="34" borderId="94" applyNumberFormat="0" applyProtection="0"/>
    <xf numFmtId="4" fontId="27" fillId="34" borderId="94" applyNumberFormat="0" applyProtection="0"/>
    <xf numFmtId="4" fontId="27" fillId="34" borderId="94" applyNumberFormat="0" applyProtection="0"/>
    <xf numFmtId="4" fontId="27" fillId="34" borderId="94" applyNumberFormat="0" applyProtection="0"/>
    <xf numFmtId="4" fontId="27" fillId="34" borderId="94" applyNumberFormat="0" applyProtection="0"/>
    <xf numFmtId="4" fontId="27" fillId="34" borderId="95" applyNumberFormat="0" applyProtection="0">
      <alignment vertical="center"/>
    </xf>
    <xf numFmtId="4" fontId="27" fillId="34" borderId="95" applyNumberFormat="0" applyProtection="0">
      <alignment vertical="center"/>
    </xf>
    <xf numFmtId="4" fontId="27" fillId="34" borderId="95" applyNumberFormat="0" applyProtection="0">
      <alignment vertical="center"/>
    </xf>
    <xf numFmtId="4" fontId="27" fillId="34" borderId="95" applyNumberFormat="0" applyProtection="0">
      <alignment vertical="center"/>
    </xf>
    <xf numFmtId="4" fontId="27" fillId="34" borderId="95" applyNumberFormat="0" applyProtection="0">
      <alignment vertical="center"/>
    </xf>
    <xf numFmtId="4" fontId="27" fillId="34" borderId="95" applyNumberFormat="0" applyProtection="0">
      <alignment vertical="center"/>
    </xf>
    <xf numFmtId="4" fontId="27" fillId="34" borderId="95" applyNumberFormat="0" applyProtection="0">
      <alignment vertical="center"/>
    </xf>
    <xf numFmtId="4" fontId="47" fillId="39" borderId="94" applyNumberFormat="0" applyProtection="0">
      <alignment horizontal="right" vertical="center"/>
    </xf>
    <xf numFmtId="4" fontId="47" fillId="39" borderId="94" applyNumberFormat="0" applyProtection="0">
      <alignment horizontal="right" vertical="center"/>
    </xf>
    <xf numFmtId="4" fontId="47" fillId="39" borderId="94" applyNumberFormat="0" applyProtection="0">
      <alignment horizontal="right" vertical="center"/>
    </xf>
    <xf numFmtId="4" fontId="47" fillId="39" borderId="94" applyNumberFormat="0" applyProtection="0">
      <alignment horizontal="right" vertical="center"/>
    </xf>
    <xf numFmtId="4" fontId="47" fillId="39" borderId="94" applyNumberFormat="0" applyProtection="0">
      <alignment horizontal="right" vertical="center"/>
    </xf>
    <xf numFmtId="4" fontId="47" fillId="39" borderId="94" applyNumberFormat="0" applyProtection="0">
      <alignment horizontal="right" vertical="center"/>
    </xf>
    <xf numFmtId="4" fontId="47" fillId="39" borderId="94" applyNumberFormat="0" applyProtection="0">
      <alignment horizontal="right" vertical="center"/>
    </xf>
    <xf numFmtId="4" fontId="47" fillId="39" borderId="94" applyNumberFormat="0" applyProtection="0">
      <alignment horizontal="right" vertical="center"/>
    </xf>
    <xf numFmtId="4" fontId="47" fillId="39" borderId="94" applyNumberFormat="0" applyProtection="0">
      <alignment horizontal="right" vertical="center"/>
    </xf>
    <xf numFmtId="4" fontId="47" fillId="40" borderId="94" applyNumberFormat="0" applyProtection="0">
      <alignment horizontal="right" vertical="center"/>
    </xf>
    <xf numFmtId="4" fontId="47" fillId="40" borderId="94" applyNumberFormat="0" applyProtection="0">
      <alignment horizontal="right" vertical="center"/>
    </xf>
    <xf numFmtId="4" fontId="47" fillId="40" borderId="94" applyNumberFormat="0" applyProtection="0">
      <alignment horizontal="right" vertical="center"/>
    </xf>
    <xf numFmtId="4" fontId="47" fillId="40" borderId="94" applyNumberFormat="0" applyProtection="0">
      <alignment horizontal="right" vertical="center"/>
    </xf>
    <xf numFmtId="4" fontId="47" fillId="40" borderId="94" applyNumberFormat="0" applyProtection="0">
      <alignment horizontal="right" vertical="center"/>
    </xf>
    <xf numFmtId="4" fontId="47" fillId="40" borderId="94" applyNumberFormat="0" applyProtection="0">
      <alignment horizontal="right" vertical="center"/>
    </xf>
    <xf numFmtId="4" fontId="47" fillId="40" borderId="94" applyNumberFormat="0" applyProtection="0">
      <alignment horizontal="right" vertical="center"/>
    </xf>
    <xf numFmtId="4" fontId="47" fillId="40" borderId="94" applyNumberFormat="0" applyProtection="0">
      <alignment horizontal="right" vertical="center"/>
    </xf>
    <xf numFmtId="4" fontId="47" fillId="40" borderId="94" applyNumberFormat="0" applyProtection="0">
      <alignment horizontal="right" vertical="center"/>
    </xf>
    <xf numFmtId="4" fontId="47" fillId="41" borderId="94" applyNumberFormat="0" applyProtection="0">
      <alignment horizontal="right" vertical="center"/>
    </xf>
    <xf numFmtId="4" fontId="47" fillId="41" borderId="94" applyNumberFormat="0" applyProtection="0">
      <alignment horizontal="right" vertical="center"/>
    </xf>
    <xf numFmtId="4" fontId="47" fillId="41" borderId="94" applyNumberFormat="0" applyProtection="0">
      <alignment horizontal="right" vertical="center"/>
    </xf>
    <xf numFmtId="4" fontId="47" fillId="41" borderId="94" applyNumberFormat="0" applyProtection="0">
      <alignment horizontal="right" vertical="center"/>
    </xf>
    <xf numFmtId="4" fontId="47" fillId="41" borderId="94" applyNumberFormat="0" applyProtection="0">
      <alignment horizontal="right" vertical="center"/>
    </xf>
    <xf numFmtId="4" fontId="47" fillId="41" borderId="94" applyNumberFormat="0" applyProtection="0">
      <alignment horizontal="right" vertical="center"/>
    </xf>
    <xf numFmtId="4" fontId="47" fillId="41" borderId="94" applyNumberFormat="0" applyProtection="0">
      <alignment horizontal="right" vertical="center"/>
    </xf>
    <xf numFmtId="4" fontId="47" fillId="41" borderId="94" applyNumberFormat="0" applyProtection="0">
      <alignment horizontal="right" vertical="center"/>
    </xf>
    <xf numFmtId="4" fontId="47" fillId="41" borderId="94" applyNumberFormat="0" applyProtection="0">
      <alignment horizontal="right" vertical="center"/>
    </xf>
    <xf numFmtId="4" fontId="47" fillId="42" borderId="94" applyNumberFormat="0" applyProtection="0">
      <alignment horizontal="right" vertical="center"/>
    </xf>
    <xf numFmtId="4" fontId="47" fillId="42" borderId="94" applyNumberFormat="0" applyProtection="0">
      <alignment horizontal="right" vertical="center"/>
    </xf>
    <xf numFmtId="4" fontId="47" fillId="42" borderId="94" applyNumberFormat="0" applyProtection="0">
      <alignment horizontal="right" vertical="center"/>
    </xf>
    <xf numFmtId="4" fontId="47" fillId="42" borderId="94" applyNumberFormat="0" applyProtection="0">
      <alignment horizontal="right" vertical="center"/>
    </xf>
    <xf numFmtId="4" fontId="47" fillId="42" borderId="94" applyNumberFormat="0" applyProtection="0">
      <alignment horizontal="right" vertical="center"/>
    </xf>
    <xf numFmtId="4" fontId="47" fillId="42" borderId="94" applyNumberFormat="0" applyProtection="0">
      <alignment horizontal="right" vertical="center"/>
    </xf>
    <xf numFmtId="4" fontId="47" fillId="42" borderId="94" applyNumberFormat="0" applyProtection="0">
      <alignment horizontal="right" vertical="center"/>
    </xf>
    <xf numFmtId="4" fontId="47" fillId="42" borderId="94" applyNumberFormat="0" applyProtection="0">
      <alignment horizontal="right" vertical="center"/>
    </xf>
    <xf numFmtId="4" fontId="47" fillId="42" borderId="94" applyNumberFormat="0" applyProtection="0">
      <alignment horizontal="right" vertical="center"/>
    </xf>
    <xf numFmtId="4" fontId="47" fillId="43" borderId="94" applyNumberFormat="0" applyProtection="0">
      <alignment horizontal="right" vertical="center"/>
    </xf>
    <xf numFmtId="4" fontId="47" fillId="43" borderId="94" applyNumberFormat="0" applyProtection="0">
      <alignment horizontal="right" vertical="center"/>
    </xf>
    <xf numFmtId="4" fontId="47" fillId="43" borderId="94" applyNumberFormat="0" applyProtection="0">
      <alignment horizontal="right" vertical="center"/>
    </xf>
    <xf numFmtId="4" fontId="47" fillId="43" borderId="94" applyNumberFormat="0" applyProtection="0">
      <alignment horizontal="right" vertical="center"/>
    </xf>
    <xf numFmtId="4" fontId="47" fillId="43" borderId="94" applyNumberFormat="0" applyProtection="0">
      <alignment horizontal="right" vertical="center"/>
    </xf>
    <xf numFmtId="4" fontId="47" fillId="43" borderId="94" applyNumberFormat="0" applyProtection="0">
      <alignment horizontal="right" vertical="center"/>
    </xf>
    <xf numFmtId="4" fontId="47" fillId="43" borderId="94" applyNumberFormat="0" applyProtection="0">
      <alignment horizontal="right" vertical="center"/>
    </xf>
    <xf numFmtId="4" fontId="47" fillId="43" borderId="94" applyNumberFormat="0" applyProtection="0">
      <alignment horizontal="right" vertical="center"/>
    </xf>
    <xf numFmtId="4" fontId="47" fillId="43" borderId="94" applyNumberFormat="0" applyProtection="0">
      <alignment horizontal="right" vertical="center"/>
    </xf>
    <xf numFmtId="4" fontId="47" fillId="44" borderId="94" applyNumberFormat="0" applyProtection="0">
      <alignment horizontal="right" vertical="center"/>
    </xf>
    <xf numFmtId="4" fontId="47" fillId="44" borderId="94" applyNumberFormat="0" applyProtection="0">
      <alignment horizontal="right" vertical="center"/>
    </xf>
    <xf numFmtId="4" fontId="47" fillId="44" borderId="94" applyNumberFormat="0" applyProtection="0">
      <alignment horizontal="right" vertical="center"/>
    </xf>
    <xf numFmtId="4" fontId="47" fillId="44" borderId="94" applyNumberFormat="0" applyProtection="0">
      <alignment horizontal="right" vertical="center"/>
    </xf>
    <xf numFmtId="4" fontId="47" fillId="44" borderId="94" applyNumberFormat="0" applyProtection="0">
      <alignment horizontal="right" vertical="center"/>
    </xf>
    <xf numFmtId="4" fontId="47" fillId="44" borderId="94" applyNumberFormat="0" applyProtection="0">
      <alignment horizontal="right" vertical="center"/>
    </xf>
    <xf numFmtId="4" fontId="47" fillId="44" borderId="94" applyNumberFormat="0" applyProtection="0">
      <alignment horizontal="right" vertical="center"/>
    </xf>
    <xf numFmtId="4" fontId="47" fillId="44" borderId="94" applyNumberFormat="0" applyProtection="0">
      <alignment horizontal="right" vertical="center"/>
    </xf>
    <xf numFmtId="4" fontId="47" fillId="44" borderId="94" applyNumberFormat="0" applyProtection="0">
      <alignment horizontal="right" vertical="center"/>
    </xf>
    <xf numFmtId="4" fontId="47" fillId="45" borderId="94" applyNumberFormat="0" applyProtection="0">
      <alignment horizontal="right" vertical="center"/>
    </xf>
    <xf numFmtId="4" fontId="47" fillId="45" borderId="94" applyNumberFormat="0" applyProtection="0">
      <alignment horizontal="right" vertical="center"/>
    </xf>
    <xf numFmtId="4" fontId="47" fillId="45" borderId="94" applyNumberFormat="0" applyProtection="0">
      <alignment horizontal="right" vertical="center"/>
    </xf>
    <xf numFmtId="4" fontId="47" fillId="45" borderId="94" applyNumberFormat="0" applyProtection="0">
      <alignment horizontal="right" vertical="center"/>
    </xf>
    <xf numFmtId="4" fontId="47" fillId="45" borderId="94" applyNumberFormat="0" applyProtection="0">
      <alignment horizontal="right" vertical="center"/>
    </xf>
    <xf numFmtId="4" fontId="47" fillId="45" borderId="94" applyNumberFormat="0" applyProtection="0">
      <alignment horizontal="right" vertical="center"/>
    </xf>
    <xf numFmtId="4" fontId="47" fillId="45" borderId="94" applyNumberFormat="0" applyProtection="0">
      <alignment horizontal="right" vertical="center"/>
    </xf>
    <xf numFmtId="4" fontId="47" fillId="45" borderId="94" applyNumberFormat="0" applyProtection="0">
      <alignment horizontal="right" vertical="center"/>
    </xf>
    <xf numFmtId="4" fontId="47" fillId="45" borderId="94" applyNumberFormat="0" applyProtection="0">
      <alignment horizontal="right" vertical="center"/>
    </xf>
    <xf numFmtId="4" fontId="47" fillId="46" borderId="94" applyNumberFormat="0" applyProtection="0">
      <alignment horizontal="right" vertical="center"/>
    </xf>
    <xf numFmtId="4" fontId="47" fillId="46" borderId="94" applyNumberFormat="0" applyProtection="0">
      <alignment horizontal="right" vertical="center"/>
    </xf>
    <xf numFmtId="4" fontId="47" fillId="46" borderId="94" applyNumberFormat="0" applyProtection="0">
      <alignment horizontal="right" vertical="center"/>
    </xf>
    <xf numFmtId="4" fontId="47" fillId="46" borderId="94" applyNumberFormat="0" applyProtection="0">
      <alignment horizontal="right" vertical="center"/>
    </xf>
    <xf numFmtId="4" fontId="47" fillId="46" borderId="94" applyNumberFormat="0" applyProtection="0">
      <alignment horizontal="right" vertical="center"/>
    </xf>
    <xf numFmtId="4" fontId="47" fillId="46" borderId="94" applyNumberFormat="0" applyProtection="0">
      <alignment horizontal="right" vertical="center"/>
    </xf>
    <xf numFmtId="4" fontId="47" fillId="46" borderId="94" applyNumberFormat="0" applyProtection="0">
      <alignment horizontal="right" vertical="center"/>
    </xf>
    <xf numFmtId="4" fontId="47" fillId="46" borderId="94" applyNumberFormat="0" applyProtection="0">
      <alignment horizontal="right" vertical="center"/>
    </xf>
    <xf numFmtId="4" fontId="47" fillId="46" borderId="94" applyNumberFormat="0" applyProtection="0">
      <alignment horizontal="right" vertical="center"/>
    </xf>
    <xf numFmtId="4" fontId="47" fillId="47" borderId="94" applyNumberFormat="0" applyProtection="0">
      <alignment horizontal="right" vertical="center"/>
    </xf>
    <xf numFmtId="4" fontId="47" fillId="47" borderId="94" applyNumberFormat="0" applyProtection="0">
      <alignment horizontal="right" vertical="center"/>
    </xf>
    <xf numFmtId="4" fontId="47" fillId="47" borderId="94" applyNumberFormat="0" applyProtection="0">
      <alignment horizontal="right" vertical="center"/>
    </xf>
    <xf numFmtId="4" fontId="47" fillId="47" borderId="94" applyNumberFormat="0" applyProtection="0">
      <alignment horizontal="right" vertical="center"/>
    </xf>
    <xf numFmtId="4" fontId="47" fillId="47" borderId="94" applyNumberFormat="0" applyProtection="0">
      <alignment horizontal="right" vertical="center"/>
    </xf>
    <xf numFmtId="4" fontId="47" fillId="47" borderId="94" applyNumberFormat="0" applyProtection="0">
      <alignment horizontal="right" vertical="center"/>
    </xf>
    <xf numFmtId="4" fontId="47" fillId="47" borderId="94" applyNumberFormat="0" applyProtection="0">
      <alignment horizontal="right" vertical="center"/>
    </xf>
    <xf numFmtId="4" fontId="47" fillId="47" borderId="94" applyNumberFormat="0" applyProtection="0">
      <alignment horizontal="right" vertical="center"/>
    </xf>
    <xf numFmtId="4" fontId="47" fillId="47" borderId="94" applyNumberFormat="0" applyProtection="0">
      <alignment horizontal="right" vertical="center"/>
    </xf>
    <xf numFmtId="4" fontId="47" fillId="51" borderId="94" applyNumberFormat="0" applyProtection="0">
      <alignment horizontal="right" vertical="center"/>
    </xf>
    <xf numFmtId="4" fontId="47" fillId="51" borderId="94" applyNumberFormat="0" applyProtection="0">
      <alignment horizontal="right" vertical="center"/>
    </xf>
    <xf numFmtId="4" fontId="47" fillId="51" borderId="94" applyNumberFormat="0" applyProtection="0">
      <alignment horizontal="right" vertical="center"/>
    </xf>
    <xf numFmtId="4" fontId="47" fillId="51" borderId="94" applyNumberFormat="0" applyProtection="0">
      <alignment horizontal="right" vertical="center"/>
    </xf>
    <xf numFmtId="4" fontId="47" fillId="51" borderId="94" applyNumberFormat="0" applyProtection="0">
      <alignment horizontal="right" vertical="center"/>
    </xf>
    <xf numFmtId="4" fontId="47" fillId="51" borderId="94" applyNumberFormat="0" applyProtection="0">
      <alignment horizontal="right" vertical="center"/>
    </xf>
    <xf numFmtId="4" fontId="47" fillId="51" borderId="94" applyNumberFormat="0" applyProtection="0">
      <alignment horizontal="right" vertical="center"/>
    </xf>
    <xf numFmtId="4" fontId="47" fillId="51" borderId="94" applyNumberFormat="0" applyProtection="0">
      <alignment horizontal="right" vertical="center"/>
    </xf>
    <xf numFmtId="4" fontId="47" fillId="51" borderId="94" applyNumberFormat="0" applyProtection="0">
      <alignment horizontal="right" vertical="center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4" fontId="47" fillId="35" borderId="94" applyNumberFormat="0" applyProtection="0">
      <alignment vertical="center"/>
    </xf>
    <xf numFmtId="4" fontId="47" fillId="35" borderId="94" applyNumberFormat="0" applyProtection="0">
      <alignment vertical="center"/>
    </xf>
    <xf numFmtId="4" fontId="47" fillId="35" borderId="94" applyNumberFormat="0" applyProtection="0">
      <alignment vertical="center"/>
    </xf>
    <xf numFmtId="4" fontId="47" fillId="35" borderId="94" applyNumberFormat="0" applyProtection="0">
      <alignment vertical="center"/>
    </xf>
    <xf numFmtId="4" fontId="47" fillId="35" borderId="94" applyNumberFormat="0" applyProtection="0">
      <alignment vertical="center"/>
    </xf>
    <xf numFmtId="4" fontId="47" fillId="35" borderId="94" applyNumberFormat="0" applyProtection="0">
      <alignment vertical="center"/>
    </xf>
    <xf numFmtId="4" fontId="47" fillId="35" borderId="94" applyNumberFormat="0" applyProtection="0">
      <alignment vertical="center"/>
    </xf>
    <xf numFmtId="4" fontId="47" fillId="35" borderId="94" applyNumberFormat="0" applyProtection="0">
      <alignment vertical="center"/>
    </xf>
    <xf numFmtId="4" fontId="47" fillId="35" borderId="94" applyNumberFormat="0" applyProtection="0">
      <alignment vertical="center"/>
    </xf>
    <xf numFmtId="4" fontId="51" fillId="35" borderId="94" applyNumberFormat="0" applyProtection="0">
      <alignment vertical="center"/>
    </xf>
    <xf numFmtId="4" fontId="51" fillId="35" borderId="94" applyNumberFormat="0" applyProtection="0">
      <alignment vertical="center"/>
    </xf>
    <xf numFmtId="4" fontId="51" fillId="35" borderId="94" applyNumberFormat="0" applyProtection="0">
      <alignment vertical="center"/>
    </xf>
    <xf numFmtId="4" fontId="51" fillId="35" borderId="94" applyNumberFormat="0" applyProtection="0">
      <alignment vertical="center"/>
    </xf>
    <xf numFmtId="4" fontId="51" fillId="35" borderId="94" applyNumberFormat="0" applyProtection="0">
      <alignment vertical="center"/>
    </xf>
    <xf numFmtId="4" fontId="51" fillId="35" borderId="94" applyNumberFormat="0" applyProtection="0">
      <alignment vertical="center"/>
    </xf>
    <xf numFmtId="4" fontId="51" fillId="35" borderId="94" applyNumberFormat="0" applyProtection="0">
      <alignment vertical="center"/>
    </xf>
    <xf numFmtId="4" fontId="51" fillId="35" borderId="94" applyNumberFormat="0" applyProtection="0">
      <alignment vertical="center"/>
    </xf>
    <xf numFmtId="4" fontId="51" fillId="35" borderId="94" applyNumberFormat="0" applyProtection="0">
      <alignment vertical="center"/>
    </xf>
    <xf numFmtId="4" fontId="47" fillId="35" borderId="94" applyNumberFormat="0" applyProtection="0">
      <alignment horizontal="left" vertical="center" indent="1"/>
    </xf>
    <xf numFmtId="4" fontId="47" fillId="35" borderId="94" applyNumberFormat="0" applyProtection="0">
      <alignment horizontal="left" vertical="center" indent="1"/>
    </xf>
    <xf numFmtId="4" fontId="47" fillId="35" borderId="94" applyNumberFormat="0" applyProtection="0">
      <alignment horizontal="left" vertical="center" indent="1"/>
    </xf>
    <xf numFmtId="4" fontId="47" fillId="35" borderId="94" applyNumberFormat="0" applyProtection="0">
      <alignment horizontal="left" vertical="center" indent="1"/>
    </xf>
    <xf numFmtId="4" fontId="47" fillId="35" borderId="94" applyNumberFormat="0" applyProtection="0">
      <alignment horizontal="left" vertical="center" indent="1"/>
    </xf>
    <xf numFmtId="4" fontId="47" fillId="35" borderId="94" applyNumberFormat="0" applyProtection="0">
      <alignment horizontal="left" vertical="center" indent="1"/>
    </xf>
    <xf numFmtId="4" fontId="47" fillId="35" borderId="94" applyNumberFormat="0" applyProtection="0">
      <alignment horizontal="left" vertical="center" indent="1"/>
    </xf>
    <xf numFmtId="4" fontId="47" fillId="35" borderId="94" applyNumberFormat="0" applyProtection="0">
      <alignment horizontal="left" vertical="center" indent="1"/>
    </xf>
    <xf numFmtId="4" fontId="47" fillId="35" borderId="94" applyNumberFormat="0" applyProtection="0">
      <alignment horizontal="left" vertical="center" indent="1"/>
    </xf>
    <xf numFmtId="0" fontId="47" fillId="35" borderId="94" applyNumberFormat="0" applyProtection="0">
      <alignment horizontal="left" vertical="top" indent="1"/>
    </xf>
    <xf numFmtId="0" fontId="47" fillId="35" borderId="94" applyNumberFormat="0" applyProtection="0">
      <alignment horizontal="left" vertical="top" indent="1"/>
    </xf>
    <xf numFmtId="0" fontId="47" fillId="35" borderId="94" applyNumberFormat="0" applyProtection="0">
      <alignment horizontal="left" vertical="top" indent="1"/>
    </xf>
    <xf numFmtId="0" fontId="47" fillId="35" borderId="94" applyNumberFormat="0" applyProtection="0">
      <alignment horizontal="left" vertical="top" indent="1"/>
    </xf>
    <xf numFmtId="0" fontId="47" fillId="35" borderId="94" applyNumberFormat="0" applyProtection="0">
      <alignment horizontal="left" vertical="top" indent="1"/>
    </xf>
    <xf numFmtId="0" fontId="47" fillId="35" borderId="94" applyNumberFormat="0" applyProtection="0">
      <alignment horizontal="left" vertical="top" indent="1"/>
    </xf>
    <xf numFmtId="0" fontId="47" fillId="35" borderId="94" applyNumberFormat="0" applyProtection="0">
      <alignment horizontal="left" vertical="top" indent="1"/>
    </xf>
    <xf numFmtId="0" fontId="47" fillId="35" borderId="94" applyNumberFormat="0" applyProtection="0">
      <alignment horizontal="left" vertical="top" indent="1"/>
    </xf>
    <xf numFmtId="0" fontId="47" fillId="35" borderId="94" applyNumberFormat="0" applyProtection="0">
      <alignment horizontal="left" vertical="top" indent="1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51" fillId="49" borderId="94" applyNumberFormat="0" applyProtection="0">
      <alignment horizontal="right" vertical="center"/>
    </xf>
    <xf numFmtId="4" fontId="51" fillId="49" borderId="94" applyNumberFormat="0" applyProtection="0">
      <alignment horizontal="right" vertical="center"/>
    </xf>
    <xf numFmtId="4" fontId="51" fillId="49" borderId="94" applyNumberFormat="0" applyProtection="0">
      <alignment horizontal="right" vertical="center"/>
    </xf>
    <xf numFmtId="4" fontId="51" fillId="49" borderId="94" applyNumberFormat="0" applyProtection="0">
      <alignment horizontal="right" vertical="center"/>
    </xf>
    <xf numFmtId="4" fontId="51" fillId="49" borderId="94" applyNumberFormat="0" applyProtection="0">
      <alignment horizontal="right" vertical="center"/>
    </xf>
    <xf numFmtId="4" fontId="51" fillId="49" borderId="94" applyNumberFormat="0" applyProtection="0">
      <alignment horizontal="right" vertical="center"/>
    </xf>
    <xf numFmtId="4" fontId="51" fillId="49" borderId="94" applyNumberFormat="0" applyProtection="0">
      <alignment horizontal="right" vertical="center"/>
    </xf>
    <xf numFmtId="4" fontId="51" fillId="49" borderId="94" applyNumberFormat="0" applyProtection="0">
      <alignment horizontal="right" vertical="center"/>
    </xf>
    <xf numFmtId="4" fontId="51" fillId="49" borderId="94" applyNumberFormat="0" applyProtection="0">
      <alignment horizontal="right" vertical="center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59" borderId="94" applyNumberFormat="0" applyProtection="0">
      <alignment horizontal="left" vertical="center" indent="1"/>
    </xf>
    <xf numFmtId="4" fontId="47" fillId="59" borderId="94" applyNumberFormat="0" applyProtection="0">
      <alignment horizontal="left" vertical="center" indent="1"/>
    </xf>
    <xf numFmtId="4" fontId="47" fillId="59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51" borderId="94" applyNumberFormat="0" applyProtection="0">
      <alignment horizontal="left" vertical="center" indent="1"/>
    </xf>
    <xf numFmtId="4" fontId="47" fillId="51" borderId="94" applyNumberFormat="0" applyProtection="0">
      <alignment horizontal="left" vertical="center" indent="1"/>
    </xf>
    <xf numFmtId="4" fontId="47" fillId="51" borderId="94" applyNumberFormat="0" applyProtection="0">
      <alignment horizontal="left" vertical="center" indent="1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center" vertical="top"/>
    </xf>
    <xf numFmtId="0" fontId="47" fillId="34" borderId="94" applyNumberFormat="0" applyProtection="0">
      <alignment horizontal="center" vertical="top"/>
    </xf>
    <xf numFmtId="0" fontId="47" fillId="34" borderId="94" applyNumberFormat="0" applyProtection="0">
      <alignment horizontal="center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4" fontId="25" fillId="49" borderId="94" applyNumberFormat="0" applyProtection="0">
      <alignment horizontal="right" vertical="center"/>
    </xf>
    <xf numFmtId="4" fontId="25" fillId="49" borderId="94" applyNumberFormat="0" applyProtection="0">
      <alignment horizontal="right" vertical="center"/>
    </xf>
    <xf numFmtId="4" fontId="25" fillId="49" borderId="94" applyNumberFormat="0" applyProtection="0">
      <alignment horizontal="right" vertical="center"/>
    </xf>
    <xf numFmtId="4" fontId="25" fillId="49" borderId="94" applyNumberFormat="0" applyProtection="0">
      <alignment horizontal="right" vertical="center"/>
    </xf>
    <xf numFmtId="4" fontId="25" fillId="49" borderId="94" applyNumberFormat="0" applyProtection="0">
      <alignment horizontal="right" vertical="center"/>
    </xf>
    <xf numFmtId="4" fontId="25" fillId="49" borderId="94" applyNumberFormat="0" applyProtection="0">
      <alignment horizontal="right" vertical="center"/>
    </xf>
    <xf numFmtId="4" fontId="25" fillId="49" borderId="94" applyNumberFormat="0" applyProtection="0">
      <alignment horizontal="right" vertical="center"/>
    </xf>
    <xf numFmtId="4" fontId="25" fillId="49" borderId="94" applyNumberFormat="0" applyProtection="0">
      <alignment horizontal="right" vertical="center"/>
    </xf>
    <xf numFmtId="4" fontId="25" fillId="49" borderId="94" applyNumberFormat="0" applyProtection="0">
      <alignment horizontal="right" vertical="center"/>
    </xf>
    <xf numFmtId="175" fontId="18" fillId="0" borderId="15">
      <alignment horizontal="justify" vertical="top" wrapText="1"/>
    </xf>
    <xf numFmtId="4" fontId="47" fillId="42" borderId="100" applyNumberFormat="0" applyProtection="0">
      <alignment horizontal="right" vertical="center"/>
    </xf>
    <xf numFmtId="4" fontId="47" fillId="43" borderId="100" applyNumberFormat="0" applyProtection="0">
      <alignment horizontal="right" vertical="center"/>
    </xf>
    <xf numFmtId="4" fontId="47" fillId="44" borderId="100" applyNumberFormat="0" applyProtection="0">
      <alignment horizontal="right" vertical="center"/>
    </xf>
    <xf numFmtId="4" fontId="47" fillId="47" borderId="100" applyNumberFormat="0" applyProtection="0">
      <alignment horizontal="right" vertical="center"/>
    </xf>
    <xf numFmtId="4" fontId="27" fillId="38" borderId="100" applyNumberFormat="0" applyProtection="0">
      <alignment horizontal="left" vertical="center" indent="1"/>
    </xf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8" fillId="54" borderId="100" applyNumberFormat="0" applyProtection="0">
      <alignment horizontal="left" vertical="center" indent="1"/>
    </xf>
    <xf numFmtId="4" fontId="47" fillId="0" borderId="100" applyNumberFormat="0" applyProtection="0">
      <alignment horizontal="right" vertical="center"/>
    </xf>
    <xf numFmtId="4" fontId="47" fillId="0" borderId="100" applyNumberFormat="0" applyProtection="0">
      <alignment horizontal="right" vertical="center"/>
    </xf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24" fillId="59" borderId="28" applyNumberFormat="0" applyFont="0" applyAlignment="0" applyProtection="0">
      <protection locked="0"/>
    </xf>
    <xf numFmtId="0" fontId="24" fillId="59" borderId="28" applyNumberFormat="0" applyFont="0" applyAlignment="0" applyProtection="0">
      <protection locked="0"/>
    </xf>
    <xf numFmtId="0" fontId="24" fillId="59" borderId="28" applyNumberFormat="0" applyFont="0" applyAlignment="0" applyProtection="0">
      <protection locked="0"/>
    </xf>
    <xf numFmtId="0" fontId="24" fillId="59" borderId="28" applyNumberFormat="0" applyFont="0" applyAlignment="0" applyProtection="0">
      <protection locked="0"/>
    </xf>
    <xf numFmtId="0" fontId="24" fillId="59" borderId="28" applyNumberFormat="0" applyFont="0" applyAlignment="0" applyProtection="0">
      <protection locked="0"/>
    </xf>
    <xf numFmtId="0" fontId="24" fillId="59" borderId="28" applyNumberFormat="0" applyFont="0" applyAlignment="0" applyProtection="0">
      <protection locked="0"/>
    </xf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9" fontId="3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9" fontId="3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94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" fontId="27" fillId="38" borderId="100" applyNumberFormat="0" applyProtection="0">
      <alignment horizontal="left" vertical="center" indent="1"/>
    </xf>
    <xf numFmtId="4" fontId="47" fillId="0" borderId="100" applyNumberFormat="0" applyProtection="0">
      <alignment horizontal="right" vertical="center"/>
    </xf>
    <xf numFmtId="0" fontId="18" fillId="54" borderId="100" applyNumberFormat="0" applyProtection="0">
      <alignment horizontal="left" vertical="center" indent="1"/>
    </xf>
    <xf numFmtId="0" fontId="47" fillId="35" borderId="100" applyNumberFormat="0" applyProtection="0">
      <alignment horizontal="left" vertical="top" indent="1"/>
    </xf>
    <xf numFmtId="4" fontId="47" fillId="51" borderId="100" applyNumberFormat="0" applyProtection="0">
      <alignment horizontal="right" vertical="center"/>
    </xf>
    <xf numFmtId="0" fontId="26" fillId="0" borderId="99">
      <alignment horizontal="left" vertical="center"/>
    </xf>
    <xf numFmtId="0" fontId="110" fillId="77" borderId="97" applyNumberFormat="0" applyAlignment="0" applyProtection="0"/>
    <xf numFmtId="0" fontId="24" fillId="59" borderId="98" applyNumberFormat="0" applyFont="0" applyAlignment="0" applyProtection="0">
      <protection locked="0"/>
    </xf>
    <xf numFmtId="0" fontId="102" fillId="79" borderId="97" applyNumberFormat="0" applyAlignment="0" applyProtection="0"/>
    <xf numFmtId="0" fontId="18" fillId="50" borderId="100" applyNumberFormat="0" applyProtection="0">
      <alignment horizontal="left" vertical="center" indent="1"/>
    </xf>
    <xf numFmtId="0" fontId="102" fillId="79" borderId="97" applyNumberFormat="0" applyAlignment="0" applyProtection="0"/>
    <xf numFmtId="0" fontId="18" fillId="54" borderId="100" applyNumberFormat="0" applyProtection="0">
      <alignment horizontal="left" vertical="center" indent="1"/>
    </xf>
    <xf numFmtId="0" fontId="102" fillId="79" borderId="97" applyNumberFormat="0" applyAlignment="0" applyProtection="0"/>
    <xf numFmtId="0" fontId="24" fillId="59" borderId="98" applyNumberFormat="0" applyFont="0" applyAlignment="0" applyProtection="0">
      <protection locked="0"/>
    </xf>
    <xf numFmtId="0" fontId="47" fillId="34" borderId="100" applyNumberFormat="0" applyProtection="0">
      <alignment horizontal="left" vertical="top"/>
    </xf>
    <xf numFmtId="0" fontId="102" fillId="79" borderId="97" applyNumberFormat="0" applyAlignment="0" applyProtection="0"/>
    <xf numFmtId="0" fontId="63" fillId="59" borderId="98" applyNumberFormat="0" applyFont="0" applyFill="0" applyAlignment="0" applyProtection="0">
      <protection locked="0"/>
    </xf>
    <xf numFmtId="4" fontId="47" fillId="0" borderId="100" applyNumberFormat="0" applyProtection="0">
      <alignment horizontal="right" vertical="center"/>
    </xf>
    <xf numFmtId="0" fontId="110" fillId="77" borderId="97" applyNumberFormat="0" applyAlignment="0" applyProtection="0"/>
    <xf numFmtId="0" fontId="102" fillId="79" borderId="97" applyNumberFormat="0" applyAlignment="0" applyProtection="0"/>
    <xf numFmtId="0" fontId="110" fillId="77" borderId="97" applyNumberFormat="0" applyAlignment="0" applyProtection="0"/>
    <xf numFmtId="0" fontId="102" fillId="79" borderId="97" applyNumberFormat="0" applyAlignment="0" applyProtection="0"/>
    <xf numFmtId="0" fontId="26" fillId="0" borderId="99">
      <alignment horizontal="left" vertical="center"/>
    </xf>
    <xf numFmtId="0" fontId="26" fillId="0" borderId="99">
      <alignment horizontal="left" vertical="center"/>
    </xf>
    <xf numFmtId="0" fontId="110" fillId="77" borderId="97" applyNumberFormat="0" applyAlignment="0" applyProtection="0"/>
    <xf numFmtId="0" fontId="18" fillId="54" borderId="100" applyNumberFormat="0" applyProtection="0">
      <alignment horizontal="left" vertical="center" indent="1"/>
    </xf>
    <xf numFmtId="0" fontId="110" fillId="77" borderId="97" applyNumberFormat="0" applyAlignment="0" applyProtection="0"/>
    <xf numFmtId="0" fontId="110" fillId="77" borderId="97" applyNumberFormat="0" applyAlignment="0" applyProtection="0"/>
    <xf numFmtId="4" fontId="47" fillId="0" borderId="100" applyNumberFormat="0" applyProtection="0">
      <alignment horizontal="left" vertical="center" indent="1"/>
    </xf>
    <xf numFmtId="0" fontId="110" fillId="77" borderId="97" applyNumberFormat="0" applyAlignment="0" applyProtection="0"/>
    <xf numFmtId="0" fontId="102" fillId="79" borderId="97" applyNumberFormat="0" applyAlignment="0" applyProtection="0"/>
    <xf numFmtId="0" fontId="110" fillId="77" borderId="97" applyNumberFormat="0" applyAlignment="0" applyProtection="0"/>
    <xf numFmtId="0" fontId="63" fillId="59" borderId="98" applyNumberFormat="0" applyFont="0" applyFill="0" applyAlignment="0" applyProtection="0">
      <protection locked="0"/>
    </xf>
    <xf numFmtId="0" fontId="18" fillId="54" borderId="100" applyNumberFormat="0" applyProtection="0">
      <alignment horizontal="left" vertical="top" indent="1"/>
    </xf>
    <xf numFmtId="0" fontId="102" fillId="79" borderId="97" applyNumberFormat="0" applyAlignment="0" applyProtection="0"/>
    <xf numFmtId="4" fontId="47" fillId="0" borderId="100" applyNumberFormat="0" applyProtection="0">
      <alignment horizontal="right" vertical="center"/>
    </xf>
    <xf numFmtId="4" fontId="47" fillId="0" borderId="100" applyNumberFormat="0" applyProtection="0">
      <alignment horizontal="left" vertical="center" indent="1"/>
    </xf>
    <xf numFmtId="0" fontId="18" fillId="34" borderId="100" applyNumberFormat="0" applyProtection="0">
      <alignment horizontal="left" vertical="center" indent="1"/>
    </xf>
    <xf numFmtId="0" fontId="47" fillId="34" borderId="100" applyNumberFormat="0" applyProtection="0">
      <alignment horizontal="left" vertical="top"/>
    </xf>
    <xf numFmtId="0" fontId="47" fillId="34" borderId="100" applyNumberFormat="0" applyProtection="0">
      <alignment horizontal="left" vertical="top"/>
    </xf>
    <xf numFmtId="0" fontId="47" fillId="34" borderId="100" applyNumberFormat="0" applyProtection="0">
      <alignment horizontal="left" vertical="top"/>
    </xf>
    <xf numFmtId="4" fontId="47" fillId="0" borderId="100" applyNumberFormat="0" applyProtection="0">
      <alignment horizontal="left" vertical="center" indent="1"/>
    </xf>
    <xf numFmtId="0" fontId="102" fillId="79" borderId="97" applyNumberFormat="0" applyAlignment="0" applyProtection="0"/>
    <xf numFmtId="0" fontId="102" fillId="79" borderId="97" applyNumberFormat="0" applyAlignment="0" applyProtection="0"/>
    <xf numFmtId="0" fontId="102" fillId="79" borderId="97" applyNumberFormat="0" applyAlignment="0" applyProtection="0"/>
    <xf numFmtId="0" fontId="102" fillId="79" borderId="97" applyNumberFormat="0" applyAlignment="0" applyProtection="0"/>
    <xf numFmtId="0" fontId="110" fillId="77" borderId="97" applyNumberFormat="0" applyAlignment="0" applyProtection="0"/>
    <xf numFmtId="0" fontId="110" fillId="77" borderId="97" applyNumberFormat="0" applyAlignment="0" applyProtection="0"/>
    <xf numFmtId="0" fontId="110" fillId="77" borderId="97" applyNumberFormat="0" applyAlignment="0" applyProtection="0"/>
    <xf numFmtId="0" fontId="110" fillId="77" borderId="97" applyNumberFormat="0" applyAlignment="0" applyProtection="0"/>
    <xf numFmtId="0" fontId="47" fillId="34" borderId="100" applyNumberFormat="0" applyProtection="0">
      <alignment horizontal="left" vertical="top"/>
    </xf>
    <xf numFmtId="0" fontId="18" fillId="54" borderId="100" applyNumberFormat="0" applyProtection="0">
      <alignment horizontal="left" vertical="top" indent="1"/>
    </xf>
    <xf numFmtId="0" fontId="24" fillId="59" borderId="98" applyNumberFormat="0" applyFont="0" applyAlignment="0" applyProtection="0">
      <protection locked="0"/>
    </xf>
    <xf numFmtId="0" fontId="63" fillId="59" borderId="98" applyNumberFormat="0" applyFont="0" applyFill="0" applyAlignment="0" applyProtection="0">
      <protection locked="0"/>
    </xf>
    <xf numFmtId="0" fontId="18" fillId="0" borderId="0" applyFill="0" applyBorder="0" applyProtection="0">
      <alignment horizontal="right"/>
    </xf>
    <xf numFmtId="0" fontId="63" fillId="59" borderId="98" applyNumberFormat="0" applyFont="0" applyFill="0" applyAlignment="0" applyProtection="0">
      <protection locked="0"/>
    </xf>
    <xf numFmtId="0" fontId="102" fillId="79" borderId="97" applyNumberFormat="0" applyAlignment="0" applyProtection="0"/>
    <xf numFmtId="0" fontId="102" fillId="79" borderId="97" applyNumberFormat="0" applyAlignment="0" applyProtection="0"/>
    <xf numFmtId="0" fontId="102" fillId="79" borderId="97" applyNumberFormat="0" applyAlignment="0" applyProtection="0"/>
    <xf numFmtId="0" fontId="102" fillId="79" borderId="97" applyNumberFormat="0" applyAlignment="0" applyProtection="0"/>
    <xf numFmtId="0" fontId="110" fillId="77" borderId="97" applyNumberFormat="0" applyAlignment="0" applyProtection="0"/>
    <xf numFmtId="0" fontId="110" fillId="77" borderId="97" applyNumberFormat="0" applyAlignment="0" applyProtection="0"/>
    <xf numFmtId="0" fontId="110" fillId="77" borderId="97" applyNumberFormat="0" applyAlignment="0" applyProtection="0"/>
    <xf numFmtId="0" fontId="110" fillId="77" borderId="97" applyNumberFormat="0" applyAlignment="0" applyProtection="0"/>
    <xf numFmtId="0" fontId="24" fillId="59" borderId="98" applyNumberFormat="0" applyFont="0" applyAlignment="0" applyProtection="0">
      <protection locked="0"/>
    </xf>
    <xf numFmtId="4" fontId="51" fillId="49" borderId="100" applyNumberFormat="0" applyProtection="0">
      <alignment horizontal="right" vertical="center"/>
    </xf>
    <xf numFmtId="0" fontId="18" fillId="54" borderId="100" applyNumberFormat="0" applyProtection="0">
      <alignment horizontal="left" vertical="center" indent="1"/>
    </xf>
    <xf numFmtId="0" fontId="102" fillId="79" borderId="97" applyNumberFormat="0" applyAlignment="0" applyProtection="0"/>
    <xf numFmtId="0" fontId="102" fillId="79" borderId="97" applyNumberFormat="0" applyAlignment="0" applyProtection="0"/>
    <xf numFmtId="0" fontId="102" fillId="79" borderId="97" applyNumberFormat="0" applyAlignment="0" applyProtection="0"/>
    <xf numFmtId="0" fontId="102" fillId="79" borderId="97" applyNumberFormat="0" applyAlignment="0" applyProtection="0"/>
    <xf numFmtId="0" fontId="110" fillId="77" borderId="97" applyNumberFormat="0" applyAlignment="0" applyProtection="0"/>
    <xf numFmtId="0" fontId="110" fillId="77" borderId="97" applyNumberFormat="0" applyAlignment="0" applyProtection="0"/>
    <xf numFmtId="0" fontId="110" fillId="77" borderId="97" applyNumberFormat="0" applyAlignment="0" applyProtection="0"/>
    <xf numFmtId="0" fontId="110" fillId="77" borderId="97" applyNumberFormat="0" applyAlignment="0" applyProtection="0"/>
    <xf numFmtId="0" fontId="47" fillId="35" borderId="100" applyNumberFormat="0" applyProtection="0">
      <alignment horizontal="left" vertical="top" indent="1"/>
    </xf>
    <xf numFmtId="0" fontId="18" fillId="34" borderId="100" applyNumberFormat="0" applyProtection="0">
      <alignment horizontal="left" vertical="top" indent="1"/>
    </xf>
    <xf numFmtId="0" fontId="105" fillId="0" borderId="104" applyNumberFormat="0" applyFill="0" applyAlignment="0" applyProtection="0"/>
    <xf numFmtId="0" fontId="105" fillId="0" borderId="104" applyNumberFormat="0" applyFill="0" applyAlignment="0" applyProtection="0"/>
    <xf numFmtId="0" fontId="105" fillId="0" borderId="104" applyNumberFormat="0" applyFill="0" applyAlignment="0" applyProtection="0"/>
    <xf numFmtId="0" fontId="105" fillId="0" borderId="104" applyNumberFormat="0" applyFill="0" applyAlignment="0" applyProtection="0"/>
    <xf numFmtId="0" fontId="105" fillId="0" borderId="104" applyNumberFormat="0" applyFill="0" applyAlignment="0" applyProtection="0"/>
    <xf numFmtId="49" fontId="1" fillId="0" borderId="0" applyAlignment="0">
      <alignment horizontal="center"/>
    </xf>
    <xf numFmtId="2" fontId="1" fillId="0" borderId="0"/>
    <xf numFmtId="0" fontId="18" fillId="0" borderId="0" applyFill="0" applyBorder="0" applyProtection="0">
      <alignment horizontal="right"/>
    </xf>
    <xf numFmtId="0" fontId="63" fillId="59" borderId="121" applyNumberFormat="0" applyFont="0" applyFill="0" applyAlignment="0" applyProtection="0">
      <protection locked="0"/>
    </xf>
    <xf numFmtId="0" fontId="63" fillId="59" borderId="121" applyNumberFormat="0" applyFont="0" applyFill="0" applyAlignment="0" applyProtection="0">
      <protection locked="0"/>
    </xf>
    <xf numFmtId="0" fontId="63" fillId="59" borderId="121" applyNumberFormat="0" applyFont="0" applyFill="0" applyAlignment="0" applyProtection="0">
      <protection locked="0"/>
    </xf>
    <xf numFmtId="0" fontId="63" fillId="59" borderId="121" applyNumberFormat="0" applyFont="0" applyFill="0" applyAlignment="0" applyProtection="0">
      <protection locked="0"/>
    </xf>
    <xf numFmtId="0" fontId="63" fillId="59" borderId="121" applyNumberFormat="0" applyFont="0" applyFill="0" applyAlignment="0" applyProtection="0">
      <protection locked="0"/>
    </xf>
    <xf numFmtId="0" fontId="63" fillId="59" borderId="121" applyNumberFormat="0" applyFont="0" applyFill="0" applyAlignment="0" applyProtection="0">
      <protection locked="0"/>
    </xf>
    <xf numFmtId="0" fontId="63" fillId="59" borderId="121" applyNumberFormat="0" applyFont="0" applyFill="0" applyAlignment="0" applyProtection="0">
      <protection locked="0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0" borderId="0" applyFill="0" applyBorder="0" applyProtection="0">
      <alignment horizontal="right"/>
    </xf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0" borderId="0" applyFill="0" applyBorder="0" applyProtection="0">
      <alignment horizontal="right"/>
    </xf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8" fillId="0" borderId="0" applyFill="0" applyBorder="0" applyProtection="0">
      <alignment horizontal="right"/>
    </xf>
    <xf numFmtId="0" fontId="26" fillId="0" borderId="123">
      <alignment horizontal="left" vertical="center"/>
    </xf>
    <xf numFmtId="0" fontId="26" fillId="0" borderId="123">
      <alignment horizontal="left" vertical="center"/>
    </xf>
    <xf numFmtId="0" fontId="26" fillId="0" borderId="123">
      <alignment horizontal="left" vertical="center"/>
    </xf>
    <xf numFmtId="0" fontId="26" fillId="0" borderId="123">
      <alignment horizontal="left" vertical="center"/>
    </xf>
    <xf numFmtId="0" fontId="26" fillId="0" borderId="123">
      <alignment horizontal="left" vertical="center"/>
    </xf>
    <xf numFmtId="0" fontId="26" fillId="0" borderId="123">
      <alignment horizontal="left" vertical="center"/>
    </xf>
    <xf numFmtId="0" fontId="26" fillId="0" borderId="123">
      <alignment horizontal="left" vertical="center"/>
    </xf>
    <xf numFmtId="0" fontId="26" fillId="0" borderId="123">
      <alignment horizontal="left" vertical="center"/>
    </xf>
    <xf numFmtId="0" fontId="18" fillId="0" borderId="0" applyFill="0" applyBorder="0" applyProtection="0">
      <alignment horizontal="right"/>
    </xf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8" fillId="0" borderId="0" applyFill="0" applyBorder="0" applyProtection="0">
      <alignment horizontal="right"/>
    </xf>
    <xf numFmtId="0" fontId="18" fillId="0" borderId="112" applyNumberFormat="0" applyFill="0" applyAlignment="0" applyProtection="0"/>
    <xf numFmtId="0" fontId="18" fillId="0" borderId="112" applyNumberFormat="0" applyFill="0" applyAlignment="0" applyProtection="0"/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26" fillId="0" borderId="106">
      <alignment horizontal="left" vertical="center"/>
    </xf>
    <xf numFmtId="0" fontId="18" fillId="0" borderId="0" applyFill="0" applyBorder="0" applyProtection="0">
      <alignment horizontal="right"/>
    </xf>
    <xf numFmtId="0" fontId="21" fillId="35" borderId="113" applyNumberFormat="0" applyFont="0" applyAlignment="0" applyProtection="0">
      <alignment horizontal="center"/>
      <protection locked="0"/>
    </xf>
    <xf numFmtId="0" fontId="21" fillId="35" borderId="113" applyNumberFormat="0" applyFont="0" applyAlignment="0" applyProtection="0">
      <alignment horizontal="center"/>
      <protection locked="0"/>
    </xf>
    <xf numFmtId="0" fontId="21" fillId="35" borderId="113" applyNumberFormat="0" applyFont="0" applyAlignment="0" applyProtection="0">
      <alignment horizontal="center"/>
      <protection locked="0"/>
    </xf>
    <xf numFmtId="0" fontId="21" fillId="35" borderId="113" applyNumberFormat="0" applyFont="0" applyAlignment="0" applyProtection="0">
      <alignment horizontal="center"/>
      <protection locked="0"/>
    </xf>
    <xf numFmtId="0" fontId="18" fillId="0" borderId="0" applyFill="0" applyBorder="0" applyProtection="0">
      <alignment horizontal="right"/>
    </xf>
    <xf numFmtId="37" fontId="30" fillId="0" borderId="0"/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63" fillId="59" borderId="28" applyNumberFormat="0" applyFont="0" applyFill="0" applyAlignment="0" applyProtection="0">
      <protection locked="0"/>
    </xf>
    <xf numFmtId="0" fontId="63" fillId="59" borderId="28" applyNumberFormat="0" applyFont="0" applyFill="0" applyAlignment="0" applyProtection="0">
      <protection locked="0"/>
    </xf>
    <xf numFmtId="0" fontId="63" fillId="59" borderId="28" applyNumberFormat="0" applyFont="0" applyFill="0" applyAlignment="0" applyProtection="0">
      <protection locked="0"/>
    </xf>
    <xf numFmtId="0" fontId="63" fillId="59" borderId="28" applyNumberFormat="0" applyFont="0" applyFill="0" applyAlignment="0" applyProtection="0">
      <protection locked="0"/>
    </xf>
    <xf numFmtId="0" fontId="63" fillId="59" borderId="28" applyNumberFormat="0" applyFont="0" applyFill="0" applyAlignment="0" applyProtection="0">
      <protection locked="0"/>
    </xf>
    <xf numFmtId="0" fontId="63" fillId="59" borderId="28" applyNumberFormat="0" applyFont="0" applyFill="0" applyAlignment="0" applyProtection="0">
      <protection locked="0"/>
    </xf>
    <xf numFmtId="0" fontId="18" fillId="0" borderId="0" applyFill="0" applyBorder="0" applyProtection="0">
      <alignment horizontal="right"/>
    </xf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4" fontId="27" fillId="37" borderId="115" applyNumberFormat="0" applyProtection="0">
      <alignment vertical="center"/>
    </xf>
    <xf numFmtId="4" fontId="27" fillId="37" borderId="115" applyNumberFormat="0" applyProtection="0">
      <alignment vertical="center"/>
    </xf>
    <xf numFmtId="4" fontId="27" fillId="37" borderId="115" applyNumberFormat="0" applyProtection="0">
      <alignment vertical="center"/>
    </xf>
    <xf numFmtId="4" fontId="27" fillId="37" borderId="115" applyNumberFormat="0" applyProtection="0">
      <alignment vertical="center"/>
    </xf>
    <xf numFmtId="4" fontId="27" fillId="37" borderId="115" applyNumberFormat="0" applyProtection="0">
      <alignment vertical="center"/>
    </xf>
    <xf numFmtId="4" fontId="27" fillId="37" borderId="115" applyNumberFormat="0" applyProtection="0">
      <alignment vertical="center"/>
    </xf>
    <xf numFmtId="4" fontId="27" fillId="37" borderId="115" applyNumberFormat="0" applyProtection="0">
      <alignment vertical="center"/>
    </xf>
    <xf numFmtId="4" fontId="27" fillId="37" borderId="115" applyNumberFormat="0" applyProtection="0">
      <alignment vertical="center"/>
    </xf>
    <xf numFmtId="4" fontId="27" fillId="37" borderId="115" applyNumberFormat="0" applyProtection="0">
      <alignment vertical="center"/>
    </xf>
    <xf numFmtId="4" fontId="46" fillId="38" borderId="115" applyNumberFormat="0" applyProtection="0">
      <alignment vertical="center"/>
    </xf>
    <xf numFmtId="4" fontId="46" fillId="38" borderId="115" applyNumberFormat="0" applyProtection="0">
      <alignment vertical="center"/>
    </xf>
    <xf numFmtId="4" fontId="46" fillId="38" borderId="115" applyNumberFormat="0" applyProtection="0">
      <alignment vertical="center"/>
    </xf>
    <xf numFmtId="4" fontId="46" fillId="38" borderId="115" applyNumberFormat="0" applyProtection="0">
      <alignment vertical="center"/>
    </xf>
    <xf numFmtId="4" fontId="46" fillId="38" borderId="115" applyNumberFormat="0" applyProtection="0">
      <alignment vertical="center"/>
    </xf>
    <xf numFmtId="4" fontId="46" fillId="38" borderId="115" applyNumberFormat="0" applyProtection="0">
      <alignment vertical="center"/>
    </xf>
    <xf numFmtId="4" fontId="46" fillId="38" borderId="115" applyNumberFormat="0" applyProtection="0">
      <alignment vertical="center"/>
    </xf>
    <xf numFmtId="4" fontId="46" fillId="38" borderId="115" applyNumberFormat="0" applyProtection="0">
      <alignment vertical="center"/>
    </xf>
    <xf numFmtId="4" fontId="46" fillId="38" borderId="115" applyNumberFormat="0" applyProtection="0">
      <alignment vertical="center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vertical="center"/>
    </xf>
    <xf numFmtId="4" fontId="27" fillId="38" borderId="115" applyNumberFormat="0" applyProtection="0">
      <alignment vertical="center"/>
    </xf>
    <xf numFmtId="4" fontId="27" fillId="38" borderId="115" applyNumberFormat="0" applyProtection="0">
      <alignment vertical="center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0" fontId="27" fillId="38" borderId="115" applyNumberFormat="0" applyProtection="0">
      <alignment horizontal="left" vertical="top" indent="1"/>
    </xf>
    <xf numFmtId="0" fontId="27" fillId="38" borderId="115" applyNumberFormat="0" applyProtection="0">
      <alignment horizontal="left" vertical="top" indent="1"/>
    </xf>
    <xf numFmtId="0" fontId="27" fillId="38" borderId="115" applyNumberFormat="0" applyProtection="0">
      <alignment horizontal="left" vertical="top" indent="1"/>
    </xf>
    <xf numFmtId="0" fontId="27" fillId="38" borderId="115" applyNumberFormat="0" applyProtection="0">
      <alignment horizontal="left" vertical="top" indent="1"/>
    </xf>
    <xf numFmtId="0" fontId="27" fillId="38" borderId="115" applyNumberFormat="0" applyProtection="0">
      <alignment horizontal="left" vertical="top" indent="1"/>
    </xf>
    <xf numFmtId="0" fontId="27" fillId="38" borderId="115" applyNumberFormat="0" applyProtection="0">
      <alignment horizontal="left" vertical="top" indent="1"/>
    </xf>
    <xf numFmtId="0" fontId="27" fillId="38" borderId="115" applyNumberFormat="0" applyProtection="0">
      <alignment horizontal="left" vertical="top" indent="1"/>
    </xf>
    <xf numFmtId="0" fontId="27" fillId="38" borderId="115" applyNumberFormat="0" applyProtection="0">
      <alignment horizontal="left" vertical="top" indent="1"/>
    </xf>
    <xf numFmtId="0" fontId="27" fillId="38" borderId="115" applyNumberFormat="0" applyProtection="0">
      <alignment horizontal="left" vertical="top" indent="1"/>
    </xf>
    <xf numFmtId="4" fontId="27" fillId="34" borderId="115" applyNumberFormat="0" applyProtection="0"/>
    <xf numFmtId="4" fontId="27" fillId="34" borderId="116" applyNumberFormat="0" applyProtection="0">
      <alignment vertical="center"/>
    </xf>
    <xf numFmtId="4" fontId="27" fillId="34" borderId="116" applyNumberFormat="0" applyProtection="0">
      <alignment vertical="center"/>
    </xf>
    <xf numFmtId="4" fontId="27" fillId="34" borderId="116" applyNumberFormat="0" applyProtection="0">
      <alignment vertical="center"/>
    </xf>
    <xf numFmtId="4" fontId="27" fillId="34" borderId="115" applyNumberFormat="0" applyProtection="0"/>
    <xf numFmtId="4" fontId="27" fillId="34" borderId="115" applyNumberFormat="0" applyProtection="0"/>
    <xf numFmtId="4" fontId="27" fillId="34" borderId="115" applyNumberFormat="0" applyProtection="0"/>
    <xf numFmtId="4" fontId="27" fillId="34" borderId="115" applyNumberFormat="0" applyProtection="0"/>
    <xf numFmtId="4" fontId="27" fillId="34" borderId="115" applyNumberFormat="0" applyProtection="0"/>
    <xf numFmtId="4" fontId="27" fillId="34" borderId="115" applyNumberFormat="0" applyProtection="0"/>
    <xf numFmtId="4" fontId="27" fillId="34" borderId="115" applyNumberFormat="0" applyProtection="0"/>
    <xf numFmtId="4" fontId="27" fillId="34" borderId="115" applyNumberFormat="0" applyProtection="0"/>
    <xf numFmtId="4" fontId="27" fillId="34" borderId="115" applyNumberFormat="0" applyProtection="0"/>
    <xf numFmtId="4" fontId="27" fillId="34" borderId="115" applyNumberFormat="0" applyProtection="0"/>
    <xf numFmtId="4" fontId="27" fillId="34" borderId="115" applyNumberFormat="0" applyProtection="0"/>
    <xf numFmtId="4" fontId="27" fillId="34" borderId="115" applyNumberFormat="0" applyProtection="0"/>
    <xf numFmtId="4" fontId="27" fillId="34" borderId="115" applyNumberFormat="0" applyProtection="0"/>
    <xf numFmtId="4" fontId="27" fillId="34" borderId="115" applyNumberFormat="0" applyProtection="0"/>
    <xf numFmtId="4" fontId="27" fillId="34" borderId="116" applyNumberFormat="0" applyProtection="0">
      <alignment vertical="center"/>
    </xf>
    <xf numFmtId="4" fontId="27" fillId="34" borderId="116" applyNumberFormat="0" applyProtection="0">
      <alignment vertical="center"/>
    </xf>
    <xf numFmtId="4" fontId="27" fillId="34" borderId="116" applyNumberFormat="0" applyProtection="0">
      <alignment vertical="center"/>
    </xf>
    <xf numFmtId="4" fontId="27" fillId="34" borderId="116" applyNumberFormat="0" applyProtection="0">
      <alignment vertical="center"/>
    </xf>
    <xf numFmtId="4" fontId="27" fillId="34" borderId="116" applyNumberFormat="0" applyProtection="0">
      <alignment vertical="center"/>
    </xf>
    <xf numFmtId="4" fontId="27" fillId="34" borderId="116" applyNumberFormat="0" applyProtection="0">
      <alignment vertical="center"/>
    </xf>
    <xf numFmtId="4" fontId="27" fillId="34" borderId="116" applyNumberFormat="0" applyProtection="0">
      <alignment vertical="center"/>
    </xf>
    <xf numFmtId="4" fontId="47" fillId="39" borderId="115" applyNumberFormat="0" applyProtection="0">
      <alignment horizontal="right" vertical="center"/>
    </xf>
    <xf numFmtId="4" fontId="47" fillId="39" borderId="115" applyNumberFormat="0" applyProtection="0">
      <alignment horizontal="right" vertical="center"/>
    </xf>
    <xf numFmtId="4" fontId="47" fillId="39" borderId="115" applyNumberFormat="0" applyProtection="0">
      <alignment horizontal="right" vertical="center"/>
    </xf>
    <xf numFmtId="4" fontId="47" fillId="39" borderId="115" applyNumberFormat="0" applyProtection="0">
      <alignment horizontal="right" vertical="center"/>
    </xf>
    <xf numFmtId="4" fontId="47" fillId="39" borderId="115" applyNumberFormat="0" applyProtection="0">
      <alignment horizontal="right" vertical="center"/>
    </xf>
    <xf numFmtId="4" fontId="47" fillId="39" borderId="115" applyNumberFormat="0" applyProtection="0">
      <alignment horizontal="right" vertical="center"/>
    </xf>
    <xf numFmtId="4" fontId="47" fillId="39" borderId="115" applyNumberFormat="0" applyProtection="0">
      <alignment horizontal="right" vertical="center"/>
    </xf>
    <xf numFmtId="4" fontId="47" fillId="39" borderId="115" applyNumberFormat="0" applyProtection="0">
      <alignment horizontal="right" vertical="center"/>
    </xf>
    <xf numFmtId="4" fontId="47" fillId="39" borderId="115" applyNumberFormat="0" applyProtection="0">
      <alignment horizontal="right" vertical="center"/>
    </xf>
    <xf numFmtId="4" fontId="47" fillId="40" borderId="115" applyNumberFormat="0" applyProtection="0">
      <alignment horizontal="right" vertical="center"/>
    </xf>
    <xf numFmtId="4" fontId="47" fillId="40" borderId="115" applyNumberFormat="0" applyProtection="0">
      <alignment horizontal="right" vertical="center"/>
    </xf>
    <xf numFmtId="4" fontId="47" fillId="40" borderId="115" applyNumberFormat="0" applyProtection="0">
      <alignment horizontal="right" vertical="center"/>
    </xf>
    <xf numFmtId="4" fontId="47" fillId="40" borderId="115" applyNumberFormat="0" applyProtection="0">
      <alignment horizontal="right" vertical="center"/>
    </xf>
    <xf numFmtId="4" fontId="47" fillId="40" borderId="115" applyNumberFormat="0" applyProtection="0">
      <alignment horizontal="right" vertical="center"/>
    </xf>
    <xf numFmtId="4" fontId="47" fillId="40" borderId="115" applyNumberFormat="0" applyProtection="0">
      <alignment horizontal="right" vertical="center"/>
    </xf>
    <xf numFmtId="4" fontId="47" fillId="40" borderId="115" applyNumberFormat="0" applyProtection="0">
      <alignment horizontal="right" vertical="center"/>
    </xf>
    <xf numFmtId="4" fontId="47" fillId="40" borderId="115" applyNumberFormat="0" applyProtection="0">
      <alignment horizontal="right" vertical="center"/>
    </xf>
    <xf numFmtId="4" fontId="47" fillId="40" borderId="115" applyNumberFormat="0" applyProtection="0">
      <alignment horizontal="right" vertical="center"/>
    </xf>
    <xf numFmtId="4" fontId="47" fillId="41" borderId="115" applyNumberFormat="0" applyProtection="0">
      <alignment horizontal="right" vertical="center"/>
    </xf>
    <xf numFmtId="4" fontId="47" fillId="41" borderId="115" applyNumberFormat="0" applyProtection="0">
      <alignment horizontal="right" vertical="center"/>
    </xf>
    <xf numFmtId="4" fontId="47" fillId="41" borderId="115" applyNumberFormat="0" applyProtection="0">
      <alignment horizontal="right" vertical="center"/>
    </xf>
    <xf numFmtId="4" fontId="47" fillId="41" borderId="115" applyNumberFormat="0" applyProtection="0">
      <alignment horizontal="right" vertical="center"/>
    </xf>
    <xf numFmtId="4" fontId="47" fillId="41" borderId="115" applyNumberFormat="0" applyProtection="0">
      <alignment horizontal="right" vertical="center"/>
    </xf>
    <xf numFmtId="4" fontId="47" fillId="41" borderId="115" applyNumberFormat="0" applyProtection="0">
      <alignment horizontal="right" vertical="center"/>
    </xf>
    <xf numFmtId="4" fontId="47" fillId="41" borderId="115" applyNumberFormat="0" applyProtection="0">
      <alignment horizontal="right" vertical="center"/>
    </xf>
    <xf numFmtId="4" fontId="47" fillId="41" borderId="115" applyNumberFormat="0" applyProtection="0">
      <alignment horizontal="right" vertical="center"/>
    </xf>
    <xf numFmtId="4" fontId="47" fillId="41" borderId="115" applyNumberFormat="0" applyProtection="0">
      <alignment horizontal="right" vertical="center"/>
    </xf>
    <xf numFmtId="4" fontId="47" fillId="42" borderId="115" applyNumberFormat="0" applyProtection="0">
      <alignment horizontal="right" vertical="center"/>
    </xf>
    <xf numFmtId="4" fontId="47" fillId="42" borderId="115" applyNumberFormat="0" applyProtection="0">
      <alignment horizontal="right" vertical="center"/>
    </xf>
    <xf numFmtId="4" fontId="47" fillId="42" borderId="115" applyNumberFormat="0" applyProtection="0">
      <alignment horizontal="right" vertical="center"/>
    </xf>
    <xf numFmtId="4" fontId="47" fillId="42" borderId="115" applyNumberFormat="0" applyProtection="0">
      <alignment horizontal="right" vertical="center"/>
    </xf>
    <xf numFmtId="4" fontId="47" fillId="42" borderId="115" applyNumberFormat="0" applyProtection="0">
      <alignment horizontal="right" vertical="center"/>
    </xf>
    <xf numFmtId="4" fontId="47" fillId="42" borderId="115" applyNumberFormat="0" applyProtection="0">
      <alignment horizontal="right" vertical="center"/>
    </xf>
    <xf numFmtId="4" fontId="47" fillId="42" borderId="115" applyNumberFormat="0" applyProtection="0">
      <alignment horizontal="right" vertical="center"/>
    </xf>
    <xf numFmtId="4" fontId="47" fillId="42" borderId="115" applyNumberFormat="0" applyProtection="0">
      <alignment horizontal="right" vertical="center"/>
    </xf>
    <xf numFmtId="4" fontId="47" fillId="42" borderId="115" applyNumberFormat="0" applyProtection="0">
      <alignment horizontal="right" vertical="center"/>
    </xf>
    <xf numFmtId="4" fontId="47" fillId="43" borderId="115" applyNumberFormat="0" applyProtection="0">
      <alignment horizontal="right" vertical="center"/>
    </xf>
    <xf numFmtId="4" fontId="47" fillId="43" borderId="115" applyNumberFormat="0" applyProtection="0">
      <alignment horizontal="right" vertical="center"/>
    </xf>
    <xf numFmtId="4" fontId="47" fillId="43" borderId="115" applyNumberFormat="0" applyProtection="0">
      <alignment horizontal="right" vertical="center"/>
    </xf>
    <xf numFmtId="4" fontId="47" fillId="43" borderId="115" applyNumberFormat="0" applyProtection="0">
      <alignment horizontal="right" vertical="center"/>
    </xf>
    <xf numFmtId="4" fontId="47" fillId="43" borderId="115" applyNumberFormat="0" applyProtection="0">
      <alignment horizontal="right" vertical="center"/>
    </xf>
    <xf numFmtId="4" fontId="47" fillId="43" borderId="115" applyNumberFormat="0" applyProtection="0">
      <alignment horizontal="right" vertical="center"/>
    </xf>
    <xf numFmtId="4" fontId="47" fillId="43" borderId="115" applyNumberFormat="0" applyProtection="0">
      <alignment horizontal="right" vertical="center"/>
    </xf>
    <xf numFmtId="4" fontId="47" fillId="43" borderId="115" applyNumberFormat="0" applyProtection="0">
      <alignment horizontal="right" vertical="center"/>
    </xf>
    <xf numFmtId="4" fontId="47" fillId="43" borderId="115" applyNumberFormat="0" applyProtection="0">
      <alignment horizontal="right" vertical="center"/>
    </xf>
    <xf numFmtId="4" fontId="47" fillId="44" borderId="115" applyNumberFormat="0" applyProtection="0">
      <alignment horizontal="right" vertical="center"/>
    </xf>
    <xf numFmtId="4" fontId="47" fillId="44" borderId="115" applyNumberFormat="0" applyProtection="0">
      <alignment horizontal="right" vertical="center"/>
    </xf>
    <xf numFmtId="4" fontId="47" fillId="44" borderId="115" applyNumberFormat="0" applyProtection="0">
      <alignment horizontal="right" vertical="center"/>
    </xf>
    <xf numFmtId="4" fontId="47" fillId="44" borderId="115" applyNumberFormat="0" applyProtection="0">
      <alignment horizontal="right" vertical="center"/>
    </xf>
    <xf numFmtId="4" fontId="47" fillId="44" borderId="115" applyNumberFormat="0" applyProtection="0">
      <alignment horizontal="right" vertical="center"/>
    </xf>
    <xf numFmtId="4" fontId="47" fillId="44" borderId="115" applyNumberFormat="0" applyProtection="0">
      <alignment horizontal="right" vertical="center"/>
    </xf>
    <xf numFmtId="4" fontId="47" fillId="44" borderId="115" applyNumberFormat="0" applyProtection="0">
      <alignment horizontal="right" vertical="center"/>
    </xf>
    <xf numFmtId="4" fontId="47" fillId="44" borderId="115" applyNumberFormat="0" applyProtection="0">
      <alignment horizontal="right" vertical="center"/>
    </xf>
    <xf numFmtId="4" fontId="47" fillId="44" borderId="115" applyNumberFormat="0" applyProtection="0">
      <alignment horizontal="right" vertical="center"/>
    </xf>
    <xf numFmtId="4" fontId="47" fillId="45" borderId="115" applyNumberFormat="0" applyProtection="0">
      <alignment horizontal="right" vertical="center"/>
    </xf>
    <xf numFmtId="4" fontId="47" fillId="45" borderId="115" applyNumberFormat="0" applyProtection="0">
      <alignment horizontal="right" vertical="center"/>
    </xf>
    <xf numFmtId="4" fontId="47" fillId="45" borderId="115" applyNumberFormat="0" applyProtection="0">
      <alignment horizontal="right" vertical="center"/>
    </xf>
    <xf numFmtId="4" fontId="47" fillId="45" borderId="115" applyNumberFormat="0" applyProtection="0">
      <alignment horizontal="right" vertical="center"/>
    </xf>
    <xf numFmtId="4" fontId="47" fillId="45" borderId="115" applyNumberFormat="0" applyProtection="0">
      <alignment horizontal="right" vertical="center"/>
    </xf>
    <xf numFmtId="4" fontId="47" fillId="45" borderId="115" applyNumberFormat="0" applyProtection="0">
      <alignment horizontal="right" vertical="center"/>
    </xf>
    <xf numFmtId="4" fontId="47" fillId="45" borderId="115" applyNumberFormat="0" applyProtection="0">
      <alignment horizontal="right" vertical="center"/>
    </xf>
    <xf numFmtId="4" fontId="47" fillId="45" borderId="115" applyNumberFormat="0" applyProtection="0">
      <alignment horizontal="right" vertical="center"/>
    </xf>
    <xf numFmtId="4" fontId="47" fillId="45" borderId="115" applyNumberFormat="0" applyProtection="0">
      <alignment horizontal="right" vertical="center"/>
    </xf>
    <xf numFmtId="4" fontId="47" fillId="46" borderId="115" applyNumberFormat="0" applyProtection="0">
      <alignment horizontal="right" vertical="center"/>
    </xf>
    <xf numFmtId="4" fontId="47" fillId="46" borderId="115" applyNumberFormat="0" applyProtection="0">
      <alignment horizontal="right" vertical="center"/>
    </xf>
    <xf numFmtId="4" fontId="47" fillId="46" borderId="115" applyNumberFormat="0" applyProtection="0">
      <alignment horizontal="right" vertical="center"/>
    </xf>
    <xf numFmtId="4" fontId="47" fillId="46" borderId="115" applyNumberFormat="0" applyProtection="0">
      <alignment horizontal="right" vertical="center"/>
    </xf>
    <xf numFmtId="4" fontId="47" fillId="46" borderId="115" applyNumberFormat="0" applyProtection="0">
      <alignment horizontal="right" vertical="center"/>
    </xf>
    <xf numFmtId="4" fontId="47" fillId="46" borderId="115" applyNumberFormat="0" applyProtection="0">
      <alignment horizontal="right" vertical="center"/>
    </xf>
    <xf numFmtId="4" fontId="47" fillId="46" borderId="115" applyNumberFormat="0" applyProtection="0">
      <alignment horizontal="right" vertical="center"/>
    </xf>
    <xf numFmtId="4" fontId="47" fillId="46" borderId="115" applyNumberFormat="0" applyProtection="0">
      <alignment horizontal="right" vertical="center"/>
    </xf>
    <xf numFmtId="4" fontId="47" fillId="46" borderId="115" applyNumberFormat="0" applyProtection="0">
      <alignment horizontal="right" vertical="center"/>
    </xf>
    <xf numFmtId="4" fontId="47" fillId="47" borderId="115" applyNumberFormat="0" applyProtection="0">
      <alignment horizontal="right" vertical="center"/>
    </xf>
    <xf numFmtId="4" fontId="47" fillId="47" borderId="115" applyNumberFormat="0" applyProtection="0">
      <alignment horizontal="right" vertical="center"/>
    </xf>
    <xf numFmtId="4" fontId="47" fillId="47" borderId="115" applyNumberFormat="0" applyProtection="0">
      <alignment horizontal="right" vertical="center"/>
    </xf>
    <xf numFmtId="4" fontId="47" fillId="47" borderId="115" applyNumberFormat="0" applyProtection="0">
      <alignment horizontal="right" vertical="center"/>
    </xf>
    <xf numFmtId="4" fontId="47" fillId="47" borderId="115" applyNumberFormat="0" applyProtection="0">
      <alignment horizontal="right" vertical="center"/>
    </xf>
    <xf numFmtId="4" fontId="47" fillId="47" borderId="115" applyNumberFormat="0" applyProtection="0">
      <alignment horizontal="right" vertical="center"/>
    </xf>
    <xf numFmtId="4" fontId="47" fillId="47" borderId="115" applyNumberFormat="0" applyProtection="0">
      <alignment horizontal="right" vertical="center"/>
    </xf>
    <xf numFmtId="4" fontId="47" fillId="47" borderId="115" applyNumberFormat="0" applyProtection="0">
      <alignment horizontal="right" vertical="center"/>
    </xf>
    <xf numFmtId="4" fontId="47" fillId="47" borderId="115" applyNumberFormat="0" applyProtection="0">
      <alignment horizontal="right" vertical="center"/>
    </xf>
    <xf numFmtId="4" fontId="47" fillId="51" borderId="115" applyNumberFormat="0" applyProtection="0">
      <alignment horizontal="right" vertical="center"/>
    </xf>
    <xf numFmtId="4" fontId="47" fillId="51" borderId="115" applyNumberFormat="0" applyProtection="0">
      <alignment horizontal="right" vertical="center"/>
    </xf>
    <xf numFmtId="4" fontId="47" fillId="51" borderId="115" applyNumberFormat="0" applyProtection="0">
      <alignment horizontal="right" vertical="center"/>
    </xf>
    <xf numFmtId="4" fontId="47" fillId="51" borderId="115" applyNumberFormat="0" applyProtection="0">
      <alignment horizontal="right" vertical="center"/>
    </xf>
    <xf numFmtId="4" fontId="47" fillId="51" borderId="115" applyNumberFormat="0" applyProtection="0">
      <alignment horizontal="right" vertical="center"/>
    </xf>
    <xf numFmtId="4" fontId="47" fillId="51" borderId="115" applyNumberFormat="0" applyProtection="0">
      <alignment horizontal="right" vertical="center"/>
    </xf>
    <xf numFmtId="4" fontId="47" fillId="51" borderId="115" applyNumberFormat="0" applyProtection="0">
      <alignment horizontal="right" vertical="center"/>
    </xf>
    <xf numFmtId="4" fontId="47" fillId="51" borderId="115" applyNumberFormat="0" applyProtection="0">
      <alignment horizontal="right" vertical="center"/>
    </xf>
    <xf numFmtId="4" fontId="47" fillId="51" borderId="115" applyNumberFormat="0" applyProtection="0">
      <alignment horizontal="right" vertical="center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4" fontId="47" fillId="35" borderId="115" applyNumberFormat="0" applyProtection="0">
      <alignment vertical="center"/>
    </xf>
    <xf numFmtId="4" fontId="47" fillId="35" borderId="115" applyNumberFormat="0" applyProtection="0">
      <alignment vertical="center"/>
    </xf>
    <xf numFmtId="4" fontId="47" fillId="35" borderId="115" applyNumberFormat="0" applyProtection="0">
      <alignment vertical="center"/>
    </xf>
    <xf numFmtId="4" fontId="47" fillId="35" borderId="115" applyNumberFormat="0" applyProtection="0">
      <alignment vertical="center"/>
    </xf>
    <xf numFmtId="4" fontId="47" fillId="35" borderId="115" applyNumberFormat="0" applyProtection="0">
      <alignment vertical="center"/>
    </xf>
    <xf numFmtId="4" fontId="47" fillId="35" borderId="115" applyNumberFormat="0" applyProtection="0">
      <alignment vertical="center"/>
    </xf>
    <xf numFmtId="4" fontId="47" fillId="35" borderId="115" applyNumberFormat="0" applyProtection="0">
      <alignment vertical="center"/>
    </xf>
    <xf numFmtId="4" fontId="47" fillId="35" borderId="115" applyNumberFormat="0" applyProtection="0">
      <alignment vertical="center"/>
    </xf>
    <xf numFmtId="4" fontId="47" fillId="35" borderId="115" applyNumberFormat="0" applyProtection="0">
      <alignment vertical="center"/>
    </xf>
    <xf numFmtId="4" fontId="51" fillId="35" borderId="115" applyNumberFormat="0" applyProtection="0">
      <alignment vertical="center"/>
    </xf>
    <xf numFmtId="4" fontId="51" fillId="35" borderId="115" applyNumberFormat="0" applyProtection="0">
      <alignment vertical="center"/>
    </xf>
    <xf numFmtId="4" fontId="51" fillId="35" borderId="115" applyNumberFormat="0" applyProtection="0">
      <alignment vertical="center"/>
    </xf>
    <xf numFmtId="4" fontId="51" fillId="35" borderId="115" applyNumberFormat="0" applyProtection="0">
      <alignment vertical="center"/>
    </xf>
    <xf numFmtId="4" fontId="51" fillId="35" borderId="115" applyNumberFormat="0" applyProtection="0">
      <alignment vertical="center"/>
    </xf>
    <xf numFmtId="4" fontId="51" fillId="35" borderId="115" applyNumberFormat="0" applyProtection="0">
      <alignment vertical="center"/>
    </xf>
    <xf numFmtId="4" fontId="51" fillId="35" borderId="115" applyNumberFormat="0" applyProtection="0">
      <alignment vertical="center"/>
    </xf>
    <xf numFmtId="4" fontId="51" fillId="35" borderId="115" applyNumberFormat="0" applyProtection="0">
      <alignment vertical="center"/>
    </xf>
    <xf numFmtId="4" fontId="51" fillId="35" borderId="115" applyNumberFormat="0" applyProtection="0">
      <alignment vertical="center"/>
    </xf>
    <xf numFmtId="4" fontId="47" fillId="35" borderId="115" applyNumberFormat="0" applyProtection="0">
      <alignment horizontal="left" vertical="center" indent="1"/>
    </xf>
    <xf numFmtId="4" fontId="47" fillId="35" borderId="115" applyNumberFormat="0" applyProtection="0">
      <alignment horizontal="left" vertical="center" indent="1"/>
    </xf>
    <xf numFmtId="4" fontId="47" fillId="35" borderId="115" applyNumberFormat="0" applyProtection="0">
      <alignment horizontal="left" vertical="center" indent="1"/>
    </xf>
    <xf numFmtId="4" fontId="47" fillId="35" borderId="115" applyNumberFormat="0" applyProtection="0">
      <alignment horizontal="left" vertical="center" indent="1"/>
    </xf>
    <xf numFmtId="4" fontId="47" fillId="35" borderId="115" applyNumberFormat="0" applyProtection="0">
      <alignment horizontal="left" vertical="center" indent="1"/>
    </xf>
    <xf numFmtId="4" fontId="47" fillId="35" borderId="115" applyNumberFormat="0" applyProtection="0">
      <alignment horizontal="left" vertical="center" indent="1"/>
    </xf>
    <xf numFmtId="4" fontId="47" fillId="35" borderId="115" applyNumberFormat="0" applyProtection="0">
      <alignment horizontal="left" vertical="center" indent="1"/>
    </xf>
    <xf numFmtId="4" fontId="47" fillId="35" borderId="115" applyNumberFormat="0" applyProtection="0">
      <alignment horizontal="left" vertical="center" indent="1"/>
    </xf>
    <xf numFmtId="4" fontId="47" fillId="35" borderId="115" applyNumberFormat="0" applyProtection="0">
      <alignment horizontal="left" vertical="center" indent="1"/>
    </xf>
    <xf numFmtId="0" fontId="47" fillId="35" borderId="115" applyNumberFormat="0" applyProtection="0">
      <alignment horizontal="left" vertical="top" indent="1"/>
    </xf>
    <xf numFmtId="0" fontId="47" fillId="35" borderId="115" applyNumberFormat="0" applyProtection="0">
      <alignment horizontal="left" vertical="top" indent="1"/>
    </xf>
    <xf numFmtId="0" fontId="47" fillId="35" borderId="115" applyNumberFormat="0" applyProtection="0">
      <alignment horizontal="left" vertical="top" indent="1"/>
    </xf>
    <xf numFmtId="0" fontId="47" fillId="35" borderId="115" applyNumberFormat="0" applyProtection="0">
      <alignment horizontal="left" vertical="top" indent="1"/>
    </xf>
    <xf numFmtId="0" fontId="47" fillId="35" borderId="115" applyNumberFormat="0" applyProtection="0">
      <alignment horizontal="left" vertical="top" indent="1"/>
    </xf>
    <xf numFmtId="0" fontId="47" fillId="35" borderId="115" applyNumberFormat="0" applyProtection="0">
      <alignment horizontal="left" vertical="top" indent="1"/>
    </xf>
    <xf numFmtId="0" fontId="47" fillId="35" borderId="115" applyNumberFormat="0" applyProtection="0">
      <alignment horizontal="left" vertical="top" indent="1"/>
    </xf>
    <xf numFmtId="0" fontId="47" fillId="35" borderId="115" applyNumberFormat="0" applyProtection="0">
      <alignment horizontal="left" vertical="top" indent="1"/>
    </xf>
    <xf numFmtId="0" fontId="47" fillId="35" borderId="115" applyNumberFormat="0" applyProtection="0">
      <alignment horizontal="left" vertical="top" indent="1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59" borderId="117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51" fillId="49" borderId="115" applyNumberFormat="0" applyProtection="0">
      <alignment horizontal="right" vertical="center"/>
    </xf>
    <xf numFmtId="4" fontId="51" fillId="49" borderId="115" applyNumberFormat="0" applyProtection="0">
      <alignment horizontal="right" vertical="center"/>
    </xf>
    <xf numFmtId="4" fontId="51" fillId="49" borderId="115" applyNumberFormat="0" applyProtection="0">
      <alignment horizontal="right" vertical="center"/>
    </xf>
    <xf numFmtId="4" fontId="51" fillId="49" borderId="115" applyNumberFormat="0" applyProtection="0">
      <alignment horizontal="right" vertical="center"/>
    </xf>
    <xf numFmtId="4" fontId="51" fillId="49" borderId="115" applyNumberFormat="0" applyProtection="0">
      <alignment horizontal="right" vertical="center"/>
    </xf>
    <xf numFmtId="4" fontId="51" fillId="49" borderId="115" applyNumberFormat="0" applyProtection="0">
      <alignment horizontal="right" vertical="center"/>
    </xf>
    <xf numFmtId="4" fontId="51" fillId="49" borderId="115" applyNumberFormat="0" applyProtection="0">
      <alignment horizontal="right" vertical="center"/>
    </xf>
    <xf numFmtId="4" fontId="51" fillId="49" borderId="115" applyNumberFormat="0" applyProtection="0">
      <alignment horizontal="right" vertical="center"/>
    </xf>
    <xf numFmtId="4" fontId="51" fillId="49" borderId="115" applyNumberFormat="0" applyProtection="0">
      <alignment horizontal="right" vertical="center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59" borderId="115" applyNumberFormat="0" applyProtection="0">
      <alignment horizontal="left" vertical="center" indent="1"/>
    </xf>
    <xf numFmtId="4" fontId="47" fillId="59" borderId="115" applyNumberFormat="0" applyProtection="0">
      <alignment horizontal="left" vertical="center" indent="1"/>
    </xf>
    <xf numFmtId="4" fontId="47" fillId="59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51" borderId="115" applyNumberFormat="0" applyProtection="0">
      <alignment horizontal="left" vertical="center" indent="1"/>
    </xf>
    <xf numFmtId="4" fontId="47" fillId="51" borderId="115" applyNumberFormat="0" applyProtection="0">
      <alignment horizontal="left" vertical="center" indent="1"/>
    </xf>
    <xf numFmtId="4" fontId="47" fillId="51" borderId="115" applyNumberFormat="0" applyProtection="0">
      <alignment horizontal="left" vertical="center" indent="1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center" vertical="top"/>
    </xf>
    <xf numFmtId="0" fontId="47" fillId="34" borderId="115" applyNumberFormat="0" applyProtection="0">
      <alignment horizontal="center" vertical="top"/>
    </xf>
    <xf numFmtId="0" fontId="47" fillId="34" borderId="115" applyNumberFormat="0" applyProtection="0">
      <alignment horizontal="center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4" fontId="25" fillId="49" borderId="115" applyNumberFormat="0" applyProtection="0">
      <alignment horizontal="right" vertical="center"/>
    </xf>
    <xf numFmtId="4" fontId="25" fillId="49" borderId="115" applyNumberFormat="0" applyProtection="0">
      <alignment horizontal="right" vertical="center"/>
    </xf>
    <xf numFmtId="4" fontId="25" fillId="49" borderId="115" applyNumberFormat="0" applyProtection="0">
      <alignment horizontal="right" vertical="center"/>
    </xf>
    <xf numFmtId="4" fontId="25" fillId="49" borderId="115" applyNumberFormat="0" applyProtection="0">
      <alignment horizontal="right" vertical="center"/>
    </xf>
    <xf numFmtId="4" fontId="25" fillId="49" borderId="115" applyNumberFormat="0" applyProtection="0">
      <alignment horizontal="right" vertical="center"/>
    </xf>
    <xf numFmtId="4" fontId="25" fillId="49" borderId="115" applyNumberFormat="0" applyProtection="0">
      <alignment horizontal="right" vertical="center"/>
    </xf>
    <xf numFmtId="4" fontId="25" fillId="49" borderId="115" applyNumberFormat="0" applyProtection="0">
      <alignment horizontal="right" vertical="center"/>
    </xf>
    <xf numFmtId="4" fontId="25" fillId="49" borderId="115" applyNumberFormat="0" applyProtection="0">
      <alignment horizontal="right" vertical="center"/>
    </xf>
    <xf numFmtId="4" fontId="25" fillId="49" borderId="115" applyNumberFormat="0" applyProtection="0">
      <alignment horizontal="right" vertical="center"/>
    </xf>
    <xf numFmtId="175" fontId="18" fillId="0" borderId="118">
      <alignment horizontal="justify" vertical="top" wrapText="1"/>
    </xf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35" fillId="0" borderId="120"/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47" fillId="0" borderId="0">
      <alignment vertical="top"/>
    </xf>
    <xf numFmtId="0" fontId="123" fillId="0" borderId="0"/>
    <xf numFmtId="43" fontId="123" fillId="0" borderId="0" applyFont="0" applyFill="0" applyBorder="0" applyAlignment="0" applyProtection="0"/>
    <xf numFmtId="0" fontId="18" fillId="0" borderId="0" applyFill="0" applyBorder="0" applyProtection="0">
      <alignment horizontal="right"/>
    </xf>
    <xf numFmtId="4" fontId="27" fillId="37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0" fontId="27" fillId="38" borderId="126" applyNumberFormat="0" applyProtection="0">
      <alignment horizontal="left" vertical="top" indent="1"/>
    </xf>
    <xf numFmtId="4" fontId="27" fillId="34" borderId="126" applyNumberFormat="0" applyProtection="0"/>
    <xf numFmtId="4" fontId="47" fillId="39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4" fontId="47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47" fillId="35" borderId="126" applyNumberFormat="0" applyProtection="0">
      <alignment horizontal="left" vertical="center" indent="1"/>
    </xf>
    <xf numFmtId="0" fontId="47" fillId="3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4" fontId="25" fillId="49" borderId="126" applyNumberFormat="0" applyProtection="0">
      <alignment horizontal="right" vertical="center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vertical="center"/>
    </xf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59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center" vertical="top"/>
    </xf>
    <xf numFmtId="4" fontId="47" fillId="51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24" fillId="59" borderId="131" applyNumberFormat="0" applyFont="0" applyAlignment="0" applyProtection="0">
      <protection locked="0"/>
    </xf>
    <xf numFmtId="0" fontId="63" fillId="59" borderId="131" applyNumberFormat="0" applyFont="0" applyFill="0" applyAlignment="0" applyProtection="0">
      <protection locked="0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4" fontId="25" fillId="49" borderId="126" applyNumberFormat="0" applyProtection="0">
      <alignment horizontal="right" vertical="center"/>
    </xf>
    <xf numFmtId="0" fontId="47" fillId="34" borderId="126" applyNumberFormat="0" applyProtection="0">
      <alignment horizontal="left" vertical="top"/>
    </xf>
    <xf numFmtId="4" fontId="47" fillId="0" borderId="126" applyNumberFormat="0" applyProtection="0">
      <alignment horizontal="left" vertical="center" indent="1"/>
    </xf>
    <xf numFmtId="4" fontId="51" fillId="49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0" fontId="47" fillId="35" borderId="126" applyNumberFormat="0" applyProtection="0">
      <alignment horizontal="left" vertical="top" indent="1"/>
    </xf>
    <xf numFmtId="4" fontId="47" fillId="35" borderId="126" applyNumberFormat="0" applyProtection="0">
      <alignment horizontal="left" vertical="center" indent="1"/>
    </xf>
    <xf numFmtId="4" fontId="51" fillId="35" borderId="126" applyNumberFormat="0" applyProtection="0">
      <alignment vertical="center"/>
    </xf>
    <xf numFmtId="4" fontId="47" fillId="35" borderId="126" applyNumberFormat="0" applyProtection="0">
      <alignment vertical="center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4" fontId="47" fillId="51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39" borderId="126" applyNumberFormat="0" applyProtection="0">
      <alignment horizontal="right" vertical="center"/>
    </xf>
    <xf numFmtId="0" fontId="27" fillId="38" borderId="126" applyNumberFormat="0" applyProtection="0">
      <alignment horizontal="left" vertical="top" indent="1"/>
    </xf>
    <xf numFmtId="4" fontId="27" fillId="38" borderId="126" applyNumberFormat="0" applyProtection="0">
      <alignment horizontal="left" vertical="center" indent="1"/>
    </xf>
    <xf numFmtId="4" fontId="46" fillId="38" borderId="126" applyNumberFormat="0" applyProtection="0">
      <alignment vertical="center"/>
    </xf>
    <xf numFmtId="4" fontId="27" fillId="37" borderId="126" applyNumberFormat="0" applyProtection="0">
      <alignment vertical="center"/>
    </xf>
    <xf numFmtId="0" fontId="63" fillId="59" borderId="131" applyNumberFormat="0" applyFont="0" applyFill="0" applyAlignment="0" applyProtection="0">
      <protection locked="0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24" fillId="59" borderId="131" applyNumberFormat="0" applyFont="0" applyAlignment="0" applyProtection="0">
      <protection locked="0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4" fontId="27" fillId="37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27" fillId="38" borderId="126" applyNumberFormat="0" applyProtection="0">
      <alignment horizontal="left" vertical="center" indent="1"/>
    </xf>
    <xf numFmtId="0" fontId="27" fillId="38" borderId="126" applyNumberFormat="0" applyProtection="0">
      <alignment horizontal="left" vertical="top" indent="1"/>
    </xf>
    <xf numFmtId="4" fontId="47" fillId="39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0" fontId="18" fillId="50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4" fontId="47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47" fillId="35" borderId="126" applyNumberFormat="0" applyProtection="0">
      <alignment horizontal="left" vertical="center" indent="1"/>
    </xf>
    <xf numFmtId="0" fontId="47" fillId="3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4" fontId="25" fillId="49" borderId="126" applyNumberFormat="0" applyProtection="0">
      <alignment horizontal="right" vertical="center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26" fillId="0" borderId="27">
      <alignment horizontal="left" vertical="center"/>
    </xf>
    <xf numFmtId="4" fontId="27" fillId="34" borderId="29" applyNumberFormat="0" applyProtection="0">
      <alignment vertical="center"/>
    </xf>
    <xf numFmtId="4" fontId="47" fillId="0" borderId="126" applyNumberFormat="0" applyProtection="0">
      <alignment horizontal="right" vertical="center"/>
    </xf>
    <xf numFmtId="0" fontId="18" fillId="51" borderId="126" applyNumberFormat="0" applyProtection="0">
      <alignment horizontal="left" vertical="center" indent="1"/>
    </xf>
    <xf numFmtId="4" fontId="27" fillId="37" borderId="126" applyNumberFormat="0" applyProtection="0">
      <alignment vertical="center"/>
    </xf>
    <xf numFmtId="0" fontId="110" fillId="77" borderId="127" applyNumberFormat="0" applyAlignment="0" applyProtection="0"/>
    <xf numFmtId="0" fontId="24" fillId="59" borderId="131" applyNumberFormat="0" applyFont="0" applyAlignment="0" applyProtection="0">
      <protection locked="0"/>
    </xf>
    <xf numFmtId="0" fontId="102" fillId="79" borderId="127" applyNumberFormat="0" applyAlignment="0" applyProtection="0"/>
    <xf numFmtId="4" fontId="47" fillId="42" borderId="126" applyNumberFormat="0" applyProtection="0">
      <alignment horizontal="right" vertical="center"/>
    </xf>
    <xf numFmtId="0" fontId="18" fillId="51" borderId="126" applyNumberFormat="0" applyProtection="0">
      <alignment horizontal="left" vertical="top" indent="1"/>
    </xf>
    <xf numFmtId="4" fontId="25" fillId="49" borderId="126" applyNumberFormat="0" applyProtection="0">
      <alignment horizontal="right" vertical="center"/>
    </xf>
    <xf numFmtId="0" fontId="114" fillId="79" borderId="129" applyNumberFormat="0" applyAlignment="0" applyProtection="0"/>
    <xf numFmtId="0" fontId="47" fillId="35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02" fillId="79" borderId="127" applyNumberFormat="0" applyAlignment="0" applyProtection="0"/>
    <xf numFmtId="4" fontId="47" fillId="43" borderId="126" applyNumberFormat="0" applyProtection="0">
      <alignment horizontal="right" vertical="center"/>
    </xf>
    <xf numFmtId="0" fontId="18" fillId="54" borderId="126" applyNumberFormat="0" applyProtection="0">
      <alignment horizontal="left" vertical="center" indent="1"/>
    </xf>
    <xf numFmtId="0" fontId="114" fillId="79" borderId="129" applyNumberFormat="0" applyAlignment="0" applyProtection="0"/>
    <xf numFmtId="4" fontId="25" fillId="49" borderId="126" applyNumberFormat="0" applyProtection="0">
      <alignment horizontal="right" vertical="center"/>
    </xf>
    <xf numFmtId="0" fontId="18" fillId="51" borderId="126" applyNumberFormat="0" applyProtection="0">
      <alignment horizontal="left" vertical="top" indent="1"/>
    </xf>
    <xf numFmtId="4" fontId="47" fillId="39" borderId="126" applyNumberFormat="0" applyProtection="0">
      <alignment horizontal="right" vertical="center"/>
    </xf>
    <xf numFmtId="0" fontId="18" fillId="76" borderId="128" applyNumberFormat="0" applyFont="0" applyAlignment="0" applyProtection="0"/>
    <xf numFmtId="0" fontId="105" fillId="0" borderId="130" applyNumberFormat="0" applyFill="0" applyAlignment="0" applyProtection="0"/>
    <xf numFmtId="0" fontId="27" fillId="38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center" indent="1"/>
    </xf>
    <xf numFmtId="4" fontId="47" fillId="0" borderId="126" applyNumberFormat="0" applyProtection="0">
      <alignment horizontal="right" vertical="center"/>
    </xf>
    <xf numFmtId="0" fontId="105" fillId="0" borderId="130" applyNumberFormat="0" applyFill="0" applyAlignment="0" applyProtection="0"/>
    <xf numFmtId="0" fontId="18" fillId="76" borderId="128" applyNumberFormat="0" applyFont="0" applyAlignment="0" applyProtection="0"/>
    <xf numFmtId="0" fontId="18" fillId="49" borderId="126" applyNumberFormat="0" applyProtection="0">
      <alignment horizontal="left" vertical="center" indent="1"/>
    </xf>
    <xf numFmtId="4" fontId="47" fillId="51" borderId="126" applyNumberFormat="0" applyProtection="0">
      <alignment horizontal="right" vertical="center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49" borderId="126" applyNumberFormat="0" applyProtection="0">
      <alignment horizontal="left" vertical="center" indent="1"/>
    </xf>
    <xf numFmtId="0" fontId="105" fillId="0" borderId="130" applyNumberFormat="0" applyFill="0" applyAlignment="0" applyProtection="0"/>
    <xf numFmtId="0" fontId="18" fillId="85" borderId="126" applyNumberFormat="0" applyProtection="0">
      <alignment horizontal="left" vertical="center" indent="1"/>
    </xf>
    <xf numFmtId="4" fontId="47" fillId="41" borderId="126" applyNumberFormat="0" applyProtection="0">
      <alignment horizontal="right" vertical="center"/>
    </xf>
    <xf numFmtId="0" fontId="18" fillId="76" borderId="128" applyNumberFormat="0" applyFont="0" applyAlignment="0" applyProtection="0"/>
    <xf numFmtId="4" fontId="46" fillId="38" borderId="126" applyNumberFormat="0" applyProtection="0">
      <alignment vertical="center"/>
    </xf>
    <xf numFmtId="0" fontId="18" fillId="84" borderId="126" applyNumberFormat="0" applyProtection="0">
      <alignment horizontal="left" vertical="top" indent="1"/>
    </xf>
    <xf numFmtId="4" fontId="47" fillId="35" borderId="126" applyNumberFormat="0" applyProtection="0">
      <alignment horizontal="left" vertical="center" indent="1"/>
    </xf>
    <xf numFmtId="0" fontId="105" fillId="0" borderId="130" applyNumberFormat="0" applyFill="0" applyAlignment="0" applyProtection="0"/>
    <xf numFmtId="0" fontId="18" fillId="76" borderId="128" applyNumberFormat="0" applyFont="0" applyAlignment="0" applyProtection="0"/>
    <xf numFmtId="0" fontId="18" fillId="49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center" indent="1"/>
    </xf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14" fillId="79" borderId="129" applyNumberFormat="0" applyAlignment="0" applyProtection="0"/>
    <xf numFmtId="4" fontId="47" fillId="51" borderId="126" applyNumberFormat="0" applyProtection="0">
      <alignment horizontal="right" vertical="center"/>
    </xf>
    <xf numFmtId="0" fontId="18" fillId="85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24" fillId="59" borderId="131" applyNumberFormat="0" applyFont="0" applyAlignment="0" applyProtection="0">
      <protection locked="0"/>
    </xf>
    <xf numFmtId="4" fontId="47" fillId="43" borderId="126" applyNumberFormat="0" applyProtection="0">
      <alignment horizontal="right" vertical="center"/>
    </xf>
    <xf numFmtId="0" fontId="18" fillId="54" borderId="126" applyNumberFormat="0" applyProtection="0">
      <alignment horizontal="left" vertical="top" indent="1"/>
    </xf>
    <xf numFmtId="0" fontId="18" fillId="76" borderId="128" applyNumberFormat="0" applyFont="0" applyAlignment="0" applyProtection="0"/>
    <xf numFmtId="0" fontId="105" fillId="0" borderId="130" applyNumberFormat="0" applyFill="0" applyAlignment="0" applyProtection="0"/>
    <xf numFmtId="0" fontId="18" fillId="50" borderId="126" applyNumberFormat="0" applyProtection="0">
      <alignment horizontal="left" vertical="top" indent="1"/>
    </xf>
    <xf numFmtId="4" fontId="47" fillId="35" borderId="126" applyNumberFormat="0" applyProtection="0">
      <alignment vertical="center"/>
    </xf>
    <xf numFmtId="0" fontId="105" fillId="0" borderId="130" applyNumberFormat="0" applyFill="0" applyAlignment="0" applyProtection="0"/>
    <xf numFmtId="0" fontId="18" fillId="76" borderId="128" applyNumberFormat="0" applyFont="0" applyAlignment="0" applyProtection="0"/>
    <xf numFmtId="4" fontId="47" fillId="35" borderId="126" applyNumberFormat="0" applyProtection="0">
      <alignment vertical="center"/>
    </xf>
    <xf numFmtId="0" fontId="18" fillId="50" borderId="126" applyNumberFormat="0" applyProtection="0">
      <alignment horizontal="left" vertical="top" indent="1"/>
    </xf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14" fillId="79" borderId="129" applyNumberFormat="0" applyAlignment="0" applyProtection="0"/>
    <xf numFmtId="4" fontId="47" fillId="46" borderId="126" applyNumberFormat="0" applyProtection="0">
      <alignment horizontal="right" vertical="center"/>
    </xf>
    <xf numFmtId="0" fontId="18" fillId="54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63" fillId="59" borderId="131" applyNumberFormat="0" applyFont="0" applyFill="0" applyAlignment="0" applyProtection="0">
      <protection locked="0"/>
    </xf>
    <xf numFmtId="0" fontId="105" fillId="0" borderId="130" applyNumberFormat="0" applyFill="0" applyAlignment="0" applyProtection="0"/>
    <xf numFmtId="0" fontId="18" fillId="85" borderId="126" applyNumberFormat="0" applyProtection="0">
      <alignment horizontal="left" vertical="top" indent="1"/>
    </xf>
    <xf numFmtId="4" fontId="47" fillId="45" borderId="126" applyNumberFormat="0" applyProtection="0">
      <alignment horizontal="right" vertical="center"/>
    </xf>
    <xf numFmtId="0" fontId="110" fillId="77" borderId="127" applyNumberFormat="0" applyAlignment="0" applyProtection="0"/>
    <xf numFmtId="0" fontId="18" fillId="84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top" indent="1"/>
    </xf>
    <xf numFmtId="4" fontId="47" fillId="35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top" indent="1"/>
    </xf>
    <xf numFmtId="0" fontId="102" fillId="79" borderId="127" applyNumberFormat="0" applyAlignment="0" applyProtection="0"/>
    <xf numFmtId="4" fontId="47" fillId="44" borderId="126" applyNumberFormat="0" applyProtection="0">
      <alignment horizontal="right" vertical="center"/>
    </xf>
    <xf numFmtId="0" fontId="18" fillId="85" borderId="126" applyNumberFormat="0" applyProtection="0">
      <alignment horizontal="left" vertical="center" indent="1"/>
    </xf>
    <xf numFmtId="0" fontId="114" fillId="79" borderId="129" applyNumberFormat="0" applyAlignment="0" applyProtection="0"/>
    <xf numFmtId="4" fontId="51" fillId="49" borderId="126" applyNumberFormat="0" applyProtection="0">
      <alignment horizontal="right" vertical="center"/>
    </xf>
    <xf numFmtId="0" fontId="18" fillId="51" borderId="126" applyNumberFormat="0" applyProtection="0">
      <alignment horizontal="left" vertical="center" indent="1"/>
    </xf>
    <xf numFmtId="4" fontId="46" fillId="38" borderId="126" applyNumberFormat="0" applyProtection="0">
      <alignment vertical="center"/>
    </xf>
    <xf numFmtId="0" fontId="110" fillId="77" borderId="127" applyNumberFormat="0" applyAlignment="0" applyProtection="0"/>
    <xf numFmtId="0" fontId="102" fillId="79" borderId="127" applyNumberFormat="0" applyAlignment="0" applyProtection="0"/>
    <xf numFmtId="4" fontId="47" fillId="41" borderId="126" applyNumberFormat="0" applyProtection="0">
      <alignment horizontal="right" vertical="center"/>
    </xf>
    <xf numFmtId="0" fontId="18" fillId="51" borderId="126" applyNumberFormat="0" applyProtection="0">
      <alignment horizontal="left" vertical="top" indent="1"/>
    </xf>
    <xf numFmtId="0" fontId="47" fillId="34" borderId="126" applyNumberFormat="0" applyProtection="0">
      <alignment horizontal="left" vertical="top"/>
    </xf>
    <xf numFmtId="0" fontId="114" fillId="79" borderId="129" applyNumberFormat="0" applyAlignment="0" applyProtection="0"/>
    <xf numFmtId="0" fontId="26" fillId="0" borderId="27">
      <alignment horizontal="left" vertical="center"/>
    </xf>
    <xf numFmtId="4" fontId="27" fillId="34" borderId="29" applyNumberFormat="0" applyProtection="0">
      <alignment vertical="center"/>
    </xf>
    <xf numFmtId="0" fontId="26" fillId="0" borderId="27">
      <alignment horizontal="left" vertical="center"/>
    </xf>
    <xf numFmtId="4" fontId="27" fillId="34" borderId="29" applyNumberFormat="0" applyProtection="0">
      <alignment vertical="center"/>
    </xf>
    <xf numFmtId="4" fontId="27" fillId="34" borderId="29" applyNumberFormat="0" applyProtection="0">
      <alignment vertical="center"/>
    </xf>
    <xf numFmtId="4" fontId="47" fillId="0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4" fontId="27" fillId="38" borderId="126" applyNumberFormat="0" applyProtection="0">
      <alignment horizontal="left" vertical="center" indent="1"/>
    </xf>
    <xf numFmtId="0" fontId="110" fillId="77" borderId="127" applyNumberFormat="0" applyAlignment="0" applyProtection="0"/>
    <xf numFmtId="4" fontId="47" fillId="40" borderId="126" applyNumberFormat="0" applyProtection="0">
      <alignment horizontal="right" vertical="center"/>
    </xf>
    <xf numFmtId="0" fontId="18" fillId="34" borderId="126" applyNumberFormat="0" applyProtection="0">
      <alignment horizontal="left" vertical="top" indent="1"/>
    </xf>
    <xf numFmtId="4" fontId="47" fillId="0" borderId="126" applyNumberFormat="0" applyProtection="0">
      <alignment horizontal="left" vertical="center" indent="1"/>
    </xf>
    <xf numFmtId="0" fontId="114" fillId="79" borderId="129" applyNumberFormat="0" applyAlignment="0" applyProtection="0"/>
    <xf numFmtId="0" fontId="105" fillId="0" borderId="130" applyNumberFormat="0" applyFill="0" applyAlignment="0" applyProtection="0"/>
    <xf numFmtId="0" fontId="18" fillId="55" borderId="126" applyNumberFormat="0" applyProtection="0">
      <alignment horizontal="left" vertical="center" indent="1"/>
    </xf>
    <xf numFmtId="4" fontId="47" fillId="46" borderId="126" applyNumberFormat="0" applyProtection="0">
      <alignment horizontal="right" vertical="center"/>
    </xf>
    <xf numFmtId="0" fontId="110" fillId="77" borderId="127" applyNumberFormat="0" applyAlignment="0" applyProtection="0"/>
    <xf numFmtId="0" fontId="18" fillId="50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0" fontId="47" fillId="34" borderId="126" applyNumberFormat="0" applyProtection="0">
      <alignment horizontal="left" vertical="top"/>
    </xf>
    <xf numFmtId="0" fontId="18" fillId="51" borderId="126" applyNumberFormat="0" applyProtection="0">
      <alignment horizontal="left" vertical="top" indent="1"/>
    </xf>
    <xf numFmtId="0" fontId="27" fillId="38" borderId="126" applyNumberFormat="0" applyProtection="0">
      <alignment horizontal="left" vertical="top" indent="1"/>
    </xf>
    <xf numFmtId="0" fontId="18" fillId="76" borderId="128" applyNumberFormat="0" applyFont="0" applyAlignment="0" applyProtection="0"/>
    <xf numFmtId="0" fontId="110" fillId="77" borderId="127" applyNumberFormat="0" applyAlignment="0" applyProtection="0"/>
    <xf numFmtId="0" fontId="105" fillId="0" borderId="130" applyNumberFormat="0" applyFill="0" applyAlignment="0" applyProtection="0"/>
    <xf numFmtId="4" fontId="47" fillId="39" borderId="126" applyNumberFormat="0" applyProtection="0">
      <alignment horizontal="right" vertical="center"/>
    </xf>
    <xf numFmtId="0" fontId="18" fillId="51" borderId="126" applyNumberFormat="0" applyProtection="0">
      <alignment horizontal="left" vertical="center" indent="1"/>
    </xf>
    <xf numFmtId="4" fontId="51" fillId="49" borderId="126" applyNumberFormat="0" applyProtection="0">
      <alignment horizontal="right" vertical="center"/>
    </xf>
    <xf numFmtId="0" fontId="18" fillId="49" borderId="126" applyNumberFormat="0" applyProtection="0">
      <alignment horizontal="left" vertical="center" indent="1"/>
    </xf>
    <xf numFmtId="4" fontId="47" fillId="47" borderId="126" applyNumberFormat="0" applyProtection="0">
      <alignment horizontal="right" vertical="center"/>
    </xf>
    <xf numFmtId="0" fontId="110" fillId="77" borderId="127" applyNumberFormat="0" applyAlignment="0" applyProtection="0"/>
    <xf numFmtId="0" fontId="18" fillId="49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4" fontId="47" fillId="40" borderId="126" applyNumberFormat="0" applyProtection="0">
      <alignment horizontal="right" vertical="center"/>
    </xf>
    <xf numFmtId="0" fontId="18" fillId="76" borderId="128" applyNumberFormat="0" applyFont="0" applyAlignment="0" applyProtection="0"/>
    <xf numFmtId="4" fontId="27" fillId="38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47" fillId="35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18" fillId="76" borderId="128" applyNumberFormat="0" applyFont="0" applyAlignment="0" applyProtection="0"/>
    <xf numFmtId="0" fontId="18" fillId="55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center" indent="1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55" borderId="126" applyNumberFormat="0" applyProtection="0">
      <alignment horizontal="left" vertical="center" indent="1"/>
    </xf>
    <xf numFmtId="4" fontId="47" fillId="42" borderId="126" applyNumberFormat="0" applyProtection="0">
      <alignment horizontal="right" vertical="center"/>
    </xf>
    <xf numFmtId="0" fontId="18" fillId="85" borderId="126" applyNumberFormat="0" applyProtection="0">
      <alignment horizontal="left" vertical="center" indent="1"/>
    </xf>
    <xf numFmtId="0" fontId="18" fillId="76" borderId="128" applyNumberFormat="0" applyFont="0" applyAlignment="0" applyProtection="0"/>
    <xf numFmtId="0" fontId="105" fillId="0" borderId="130" applyNumberFormat="0" applyFill="0" applyAlignment="0" applyProtection="0"/>
    <xf numFmtId="4" fontId="27" fillId="37" borderId="126" applyNumberFormat="0" applyProtection="0">
      <alignment vertical="center"/>
    </xf>
    <xf numFmtId="0" fontId="18" fillId="84" borderId="126" applyNumberFormat="0" applyProtection="0">
      <alignment horizontal="left" vertical="top" indent="1"/>
    </xf>
    <xf numFmtId="4" fontId="51" fillId="35" borderId="126" applyNumberFormat="0" applyProtection="0">
      <alignment vertical="center"/>
    </xf>
    <xf numFmtId="0" fontId="105" fillId="0" borderId="130" applyNumberFormat="0" applyFill="0" applyAlignment="0" applyProtection="0"/>
    <xf numFmtId="0" fontId="18" fillId="76" borderId="128" applyNumberFormat="0" applyFont="0" applyAlignment="0" applyProtection="0"/>
    <xf numFmtId="0" fontId="18" fillId="49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center" indent="1"/>
    </xf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14" fillId="79" borderId="129" applyNumberFormat="0" applyAlignment="0" applyProtection="0"/>
    <xf numFmtId="4" fontId="47" fillId="47" borderId="126" applyNumberFormat="0" applyProtection="0">
      <alignment horizontal="right" vertical="center"/>
    </xf>
    <xf numFmtId="0" fontId="18" fillId="85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8" fillId="85" borderId="126" applyNumberFormat="0" applyProtection="0">
      <alignment horizontal="left" vertical="top" indent="1"/>
    </xf>
    <xf numFmtId="4" fontId="47" fillId="44" borderId="126" applyNumberFormat="0" applyProtection="0">
      <alignment horizontal="right" vertical="center"/>
    </xf>
    <xf numFmtId="0" fontId="110" fillId="77" borderId="127" applyNumberFormat="0" applyAlignment="0" applyProtection="0"/>
    <xf numFmtId="0" fontId="63" fillId="59" borderId="131" applyNumberFormat="0" applyFont="0" applyFill="0" applyAlignment="0" applyProtection="0">
      <protection locked="0"/>
    </xf>
    <xf numFmtId="0" fontId="18" fillId="84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18" fillId="76" borderId="128" applyNumberFormat="0" applyFont="0" applyAlignment="0" applyProtection="0"/>
    <xf numFmtId="4" fontId="51" fillId="35" borderId="126" applyNumberFormat="0" applyProtection="0">
      <alignment vertical="center"/>
    </xf>
    <xf numFmtId="0" fontId="18" fillId="84" borderId="126" applyNumberFormat="0" applyProtection="0">
      <alignment horizontal="left" vertical="top" indent="1"/>
    </xf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14" fillId="79" borderId="129" applyNumberFormat="0" applyAlignment="0" applyProtection="0"/>
    <xf numFmtId="4" fontId="47" fillId="45" borderId="126" applyNumberFormat="0" applyProtection="0">
      <alignment horizontal="right" vertical="center"/>
    </xf>
    <xf numFmtId="0" fontId="18" fillId="85" borderId="126" applyNumberFormat="0" applyProtection="0">
      <alignment horizontal="left" vertical="center" indent="1"/>
    </xf>
    <xf numFmtId="0" fontId="105" fillId="0" borderId="130" applyNumberFormat="0" applyFill="0" applyAlignment="0" applyProtection="0"/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24" fillId="59" borderId="131" applyNumberFormat="0" applyFont="0" applyAlignment="0" applyProtection="0">
      <protection locked="0"/>
    </xf>
    <xf numFmtId="0" fontId="63" fillId="59" borderId="131" applyNumberFormat="0" applyFont="0" applyFill="0" applyAlignment="0" applyProtection="0">
      <protection locked="0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63" fillId="59" borderId="131" applyNumberFormat="0" applyFont="0" applyFill="0" applyAlignment="0" applyProtection="0">
      <protection locked="0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24" fillId="59" borderId="131" applyNumberFormat="0" applyFont="0" applyAlignment="0" applyProtection="0">
      <protection locked="0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4" fontId="27" fillId="37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27" fillId="38" borderId="126" applyNumberFormat="0" applyProtection="0">
      <alignment horizontal="left" vertical="center" indent="1"/>
    </xf>
    <xf numFmtId="0" fontId="27" fillId="38" borderId="126" applyNumberFormat="0" applyProtection="0">
      <alignment horizontal="left" vertical="top" indent="1"/>
    </xf>
    <xf numFmtId="4" fontId="47" fillId="39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0" fontId="18" fillId="50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4" fontId="47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47" fillId="35" borderId="126" applyNumberFormat="0" applyProtection="0">
      <alignment horizontal="left" vertical="center" indent="1"/>
    </xf>
    <xf numFmtId="0" fontId="47" fillId="3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4" fontId="25" fillId="49" borderId="126" applyNumberFormat="0" applyProtection="0">
      <alignment horizontal="right" vertical="center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24" fillId="59" borderId="131" applyNumberFormat="0" applyFont="0" applyAlignment="0" applyProtection="0">
      <protection locked="0"/>
    </xf>
    <xf numFmtId="4" fontId="27" fillId="37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0" fontId="27" fillId="38" borderId="126" applyNumberFormat="0" applyProtection="0">
      <alignment horizontal="left" vertical="top" indent="1"/>
    </xf>
    <xf numFmtId="4" fontId="27" fillId="34" borderId="126" applyNumberFormat="0" applyProtection="0"/>
    <xf numFmtId="4" fontId="47" fillId="39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27" fillId="48" borderId="132" applyNumberFormat="0" applyProtection="0">
      <alignment horizontal="left" vertical="center" indent="1"/>
    </xf>
    <xf numFmtId="4" fontId="47" fillId="51" borderId="126" applyNumberFormat="0" applyProtection="0">
      <alignment horizontal="right" vertical="center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4" fontId="47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47" fillId="35" borderId="126" applyNumberFormat="0" applyProtection="0">
      <alignment horizontal="left" vertical="center" indent="1"/>
    </xf>
    <xf numFmtId="0" fontId="47" fillId="3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4" fontId="25" fillId="49" borderId="126" applyNumberFormat="0" applyProtection="0">
      <alignment horizontal="right" vertical="center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vertical="center"/>
    </xf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29" applyNumberFormat="0" applyProtection="0">
      <alignment vertical="center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59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center" vertical="top"/>
    </xf>
    <xf numFmtId="4" fontId="47" fillId="51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4" fontId="27" fillId="34" borderId="29" applyNumberFormat="0" applyProtection="0">
      <alignment vertical="center"/>
    </xf>
    <xf numFmtId="0" fontId="102" fillId="79" borderId="127" applyNumberFormat="0" applyAlignment="0" applyProtection="0"/>
    <xf numFmtId="4" fontId="27" fillId="34" borderId="29" applyNumberFormat="0" applyProtection="0">
      <alignment vertical="center"/>
    </xf>
    <xf numFmtId="0" fontId="63" fillId="59" borderId="131" applyNumberFormat="0" applyFont="0" applyFill="0" applyAlignment="0" applyProtection="0">
      <protection locked="0"/>
    </xf>
    <xf numFmtId="0" fontId="18" fillId="51" borderId="115" applyNumberFormat="0" applyProtection="0">
      <alignment horizontal="left" vertical="center" indent="1"/>
    </xf>
    <xf numFmtId="0" fontId="110" fillId="77" borderId="127" applyNumberFormat="0" applyAlignment="0" applyProtection="0"/>
    <xf numFmtId="0" fontId="18" fillId="0" borderId="112" applyNumberFormat="0" applyFill="0" applyAlignment="0" applyProtection="0"/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top" indent="1"/>
    </xf>
    <xf numFmtId="4" fontId="27" fillId="38" borderId="115" applyNumberFormat="0" applyProtection="0">
      <alignment horizontal="left" vertical="center" indent="1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47" fillId="34" borderId="115" applyNumberFormat="0" applyProtection="0">
      <alignment horizontal="left" vertical="top"/>
    </xf>
    <xf numFmtId="4" fontId="47" fillId="35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top" indent="1"/>
    </xf>
    <xf numFmtId="0" fontId="21" fillId="35" borderId="113" applyNumberFormat="0" applyFont="0" applyAlignment="0" applyProtection="0">
      <alignment horizontal="center"/>
      <protection locked="0"/>
    </xf>
    <xf numFmtId="4" fontId="47" fillId="44" borderId="115" applyNumberFormat="0" applyProtection="0">
      <alignment horizontal="right" vertical="center"/>
    </xf>
    <xf numFmtId="0" fontId="18" fillId="34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top" indent="1"/>
    </xf>
    <xf numFmtId="4" fontId="47" fillId="43" borderId="115" applyNumberFormat="0" applyProtection="0">
      <alignment horizontal="right" vertical="center"/>
    </xf>
    <xf numFmtId="0" fontId="18" fillId="54" borderId="115" applyNumberFormat="0" applyProtection="0">
      <alignment horizontal="left" vertical="center" indent="1"/>
    </xf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4" fontId="47" fillId="45" borderId="115" applyNumberFormat="0" applyProtection="0">
      <alignment horizontal="right" vertical="center"/>
    </xf>
    <xf numFmtId="0" fontId="102" fillId="79" borderId="122" applyNumberFormat="0" applyAlignment="0" applyProtection="0"/>
    <xf numFmtId="4" fontId="47" fillId="0" borderId="115" applyNumberFormat="0" applyProtection="0">
      <alignment horizontal="right" vertical="center"/>
    </xf>
    <xf numFmtId="0" fontId="18" fillId="3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top" indent="1"/>
    </xf>
    <xf numFmtId="0" fontId="110" fillId="77" borderId="122" applyNumberFormat="0" applyAlignment="0" applyProtection="0"/>
    <xf numFmtId="4" fontId="47" fillId="41" borderId="115" applyNumberFormat="0" applyProtection="0">
      <alignment horizontal="right" vertical="center"/>
    </xf>
    <xf numFmtId="0" fontId="105" fillId="0" borderId="119" applyNumberFormat="0" applyFill="0" applyAlignment="0" applyProtection="0"/>
    <xf numFmtId="0" fontId="18" fillId="50" borderId="115" applyNumberFormat="0" applyProtection="0">
      <alignment horizontal="left" vertical="center" indent="1"/>
    </xf>
    <xf numFmtId="4" fontId="27" fillId="37" borderId="115" applyNumberFormat="0" applyProtection="0">
      <alignment vertical="center"/>
    </xf>
    <xf numFmtId="0" fontId="18" fillId="85" borderId="115" applyNumberFormat="0" applyProtection="0">
      <alignment horizontal="left" vertical="center" indent="1"/>
    </xf>
    <xf numFmtId="4" fontId="47" fillId="51" borderId="115" applyNumberFormat="0" applyProtection="0">
      <alignment horizontal="right" vertical="center"/>
    </xf>
    <xf numFmtId="4" fontId="47" fillId="35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top" indent="1"/>
    </xf>
    <xf numFmtId="0" fontId="114" fillId="79" borderId="114" applyNumberFormat="0" applyAlignment="0" applyProtection="0"/>
    <xf numFmtId="0" fontId="24" fillId="59" borderId="121" applyNumberFormat="0" applyFont="0" applyAlignment="0" applyProtection="0">
      <protection locked="0"/>
    </xf>
    <xf numFmtId="4" fontId="47" fillId="40" borderId="115" applyNumberFormat="0" applyProtection="0">
      <alignment horizontal="right" vertical="center"/>
    </xf>
    <xf numFmtId="0" fontId="18" fillId="54" borderId="115" applyNumberFormat="0" applyProtection="0">
      <alignment horizontal="left" vertical="center" indent="1"/>
    </xf>
    <xf numFmtId="0" fontId="105" fillId="0" borderId="119" applyNumberFormat="0" applyFill="0" applyAlignment="0" applyProtection="0"/>
    <xf numFmtId="0" fontId="18" fillId="51" borderId="115" applyNumberFormat="0" applyProtection="0">
      <alignment horizontal="left" vertical="top" indent="1"/>
    </xf>
    <xf numFmtId="0" fontId="110" fillId="77" borderId="122" applyNumberFormat="0" applyAlignment="0" applyProtection="0"/>
    <xf numFmtId="4" fontId="47" fillId="0" borderId="115" applyNumberFormat="0" applyProtection="0">
      <alignment horizontal="right" vertical="center"/>
    </xf>
    <xf numFmtId="0" fontId="47" fillId="34" borderId="115" applyNumberFormat="0" applyProtection="0">
      <alignment horizontal="left" vertical="top"/>
    </xf>
    <xf numFmtId="0" fontId="18" fillId="54" borderId="115" applyNumberFormat="0" applyProtection="0">
      <alignment horizontal="left" vertical="center" indent="1"/>
    </xf>
    <xf numFmtId="4" fontId="47" fillId="44" borderId="115" applyNumberFormat="0" applyProtection="0">
      <alignment horizontal="right" vertical="center"/>
    </xf>
    <xf numFmtId="0" fontId="114" fillId="79" borderId="114" applyNumberFormat="0" applyAlignment="0" applyProtection="0"/>
    <xf numFmtId="0" fontId="18" fillId="49" borderId="115" applyNumberFormat="0" applyProtection="0">
      <alignment horizontal="left" vertical="top" indent="1"/>
    </xf>
    <xf numFmtId="4" fontId="47" fillId="40" borderId="115" applyNumberFormat="0" applyProtection="0">
      <alignment horizontal="right" vertical="center"/>
    </xf>
    <xf numFmtId="0" fontId="114" fillId="79" borderId="114" applyNumberFormat="0" applyAlignment="0" applyProtection="0"/>
    <xf numFmtId="4" fontId="51" fillId="49" borderId="115" applyNumberFormat="0" applyProtection="0">
      <alignment horizontal="right" vertical="center"/>
    </xf>
    <xf numFmtId="4" fontId="47" fillId="35" borderId="115" applyNumberFormat="0" applyProtection="0">
      <alignment vertical="center"/>
    </xf>
    <xf numFmtId="0" fontId="18" fillId="84" borderId="115" applyNumberFormat="0" applyProtection="0">
      <alignment horizontal="left" vertical="top" indent="1"/>
    </xf>
    <xf numFmtId="4" fontId="25" fillId="49" borderId="115" applyNumberFormat="0" applyProtection="0">
      <alignment horizontal="right" vertical="center"/>
    </xf>
    <xf numFmtId="4" fontId="47" fillId="35" borderId="115" applyNumberFormat="0" applyProtection="0">
      <alignment vertical="center"/>
    </xf>
    <xf numFmtId="0" fontId="18" fillId="50" borderId="115" applyNumberFormat="0" applyProtection="0">
      <alignment horizontal="left" vertical="top" indent="1"/>
    </xf>
    <xf numFmtId="0" fontId="114" fillId="79" borderId="114" applyNumberFormat="0" applyAlignment="0" applyProtection="0"/>
    <xf numFmtId="0" fontId="114" fillId="79" borderId="114" applyNumberFormat="0" applyAlignment="0" applyProtection="0"/>
    <xf numFmtId="4" fontId="47" fillId="46" borderId="115" applyNumberFormat="0" applyProtection="0">
      <alignment horizontal="right" vertical="center"/>
    </xf>
    <xf numFmtId="0" fontId="18" fillId="54" borderId="115" applyNumberFormat="0" applyProtection="0">
      <alignment horizontal="left" vertical="top" indent="1"/>
    </xf>
    <xf numFmtId="0" fontId="105" fillId="0" borderId="119" applyNumberFormat="0" applyFill="0" applyAlignment="0" applyProtection="0"/>
    <xf numFmtId="0" fontId="18" fillId="85" borderId="115" applyNumberFormat="0" applyProtection="0">
      <alignment horizontal="left" vertical="top" indent="1"/>
    </xf>
    <xf numFmtId="4" fontId="47" fillId="0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4" fontId="47" fillId="47" borderId="115" applyNumberFormat="0" applyProtection="0">
      <alignment horizontal="right" vertical="center"/>
    </xf>
    <xf numFmtId="0" fontId="102" fillId="79" borderId="122" applyNumberFormat="0" applyAlignment="0" applyProtection="0"/>
    <xf numFmtId="0" fontId="18" fillId="49" borderId="115" applyNumberFormat="0" applyProtection="0">
      <alignment horizontal="left" vertical="center" indent="1"/>
    </xf>
    <xf numFmtId="0" fontId="105" fillId="0" borderId="119" applyNumberFormat="0" applyFill="0" applyAlignment="0" applyProtection="0"/>
    <xf numFmtId="0" fontId="18" fillId="54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top" indent="1"/>
    </xf>
    <xf numFmtId="0" fontId="114" fillId="79" borderId="114" applyNumberFormat="0" applyAlignment="0" applyProtection="0"/>
    <xf numFmtId="4" fontId="47" fillId="0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76" borderId="124" applyNumberFormat="0" applyFont="0" applyAlignment="0" applyProtection="0"/>
    <xf numFmtId="0" fontId="18" fillId="34" borderId="115" applyNumberFormat="0" applyProtection="0">
      <alignment horizontal="left" vertical="center" indent="1"/>
    </xf>
    <xf numFmtId="0" fontId="27" fillId="38" borderId="115" applyNumberFormat="0" applyProtection="0">
      <alignment horizontal="left" vertical="top" indent="1"/>
    </xf>
    <xf numFmtId="0" fontId="18" fillId="76" borderId="124" applyNumberFormat="0" applyFont="0" applyAlignment="0" applyProtection="0"/>
    <xf numFmtId="0" fontId="18" fillId="51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14" fillId="79" borderId="114" applyNumberFormat="0" applyAlignment="0" applyProtection="0"/>
    <xf numFmtId="0" fontId="105" fillId="0" borderId="119" applyNumberFormat="0" applyFill="0" applyAlignment="0" applyProtection="0"/>
    <xf numFmtId="0" fontId="18" fillId="85" borderId="115" applyNumberFormat="0" applyProtection="0">
      <alignment horizontal="left" vertical="top" indent="1"/>
    </xf>
    <xf numFmtId="4" fontId="47" fillId="45" borderId="115" applyNumberFormat="0" applyProtection="0">
      <alignment horizontal="right" vertical="center"/>
    </xf>
    <xf numFmtId="0" fontId="110" fillId="77" borderId="122" applyNumberFormat="0" applyAlignment="0" applyProtection="0"/>
    <xf numFmtId="0" fontId="18" fillId="84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center" indent="1"/>
    </xf>
    <xf numFmtId="0" fontId="47" fillId="34" borderId="115" applyNumberFormat="0" applyProtection="0">
      <alignment horizontal="left" vertical="top"/>
    </xf>
    <xf numFmtId="0" fontId="18" fillId="54" borderId="115" applyNumberFormat="0" applyProtection="0">
      <alignment horizontal="left" vertical="top" indent="1"/>
    </xf>
    <xf numFmtId="4" fontId="47" fillId="44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0" fontId="18" fillId="51" borderId="115" applyNumberFormat="0" applyProtection="0">
      <alignment horizontal="left" vertical="center" indent="1"/>
    </xf>
    <xf numFmtId="4" fontId="27" fillId="37" borderId="115" applyNumberFormat="0" applyProtection="0">
      <alignment vertical="center"/>
    </xf>
    <xf numFmtId="0" fontId="105" fillId="0" borderId="119" applyNumberFormat="0" applyFill="0" applyAlignment="0" applyProtection="0"/>
    <xf numFmtId="0" fontId="27" fillId="38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47" fillId="34" borderId="115" applyNumberFormat="0" applyProtection="0">
      <alignment horizontal="left" vertical="top"/>
    </xf>
    <xf numFmtId="0" fontId="18" fillId="85" borderId="115" applyNumberFormat="0" applyProtection="0">
      <alignment horizontal="left" vertical="center" indent="1"/>
    </xf>
    <xf numFmtId="0" fontId="110" fillId="77" borderId="122" applyNumberFormat="0" applyAlignment="0" applyProtection="0"/>
    <xf numFmtId="4" fontId="47" fillId="0" borderId="115" applyNumberFormat="0" applyProtection="0">
      <alignment horizontal="left" vertical="center" indent="1"/>
    </xf>
    <xf numFmtId="4" fontId="25" fillId="49" borderId="115" applyNumberFormat="0" applyProtection="0">
      <alignment horizontal="right" vertical="center"/>
    </xf>
    <xf numFmtId="0" fontId="18" fillId="54" borderId="115" applyNumberFormat="0" applyProtection="0">
      <alignment horizontal="left" vertical="center" indent="1"/>
    </xf>
    <xf numFmtId="4" fontId="47" fillId="46" borderId="115" applyNumberFormat="0" applyProtection="0">
      <alignment horizontal="right" vertical="center"/>
    </xf>
    <xf numFmtId="0" fontId="18" fillId="85" borderId="115" applyNumberFormat="0" applyProtection="0">
      <alignment horizontal="left" vertical="center" indent="1"/>
    </xf>
    <xf numFmtId="0" fontId="114" fillId="79" borderId="114" applyNumberFormat="0" applyAlignment="0" applyProtection="0"/>
    <xf numFmtId="4" fontId="27" fillId="38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4" fontId="46" fillId="38" borderId="115" applyNumberFormat="0" applyProtection="0">
      <alignment vertical="center"/>
    </xf>
    <xf numFmtId="0" fontId="114" fillId="79" borderId="114" applyNumberFormat="0" applyAlignment="0" applyProtection="0"/>
    <xf numFmtId="0" fontId="105" fillId="0" borderId="119" applyNumberFormat="0" applyFill="0" applyAlignment="0" applyProtection="0"/>
    <xf numFmtId="4" fontId="47" fillId="39" borderId="115" applyNumberFormat="0" applyProtection="0">
      <alignment horizontal="right" vertical="center"/>
    </xf>
    <xf numFmtId="4" fontId="27" fillId="34" borderId="116" applyNumberFormat="0" applyProtection="0">
      <alignment vertical="center"/>
    </xf>
    <xf numFmtId="4" fontId="47" fillId="35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14" fillId="79" borderId="114" applyNumberFormat="0" applyAlignment="0" applyProtection="0"/>
    <xf numFmtId="0" fontId="102" fillId="79" borderId="122" applyNumberFormat="0" applyAlignment="0" applyProtection="0"/>
    <xf numFmtId="0" fontId="18" fillId="76" borderId="124" applyNumberFormat="0" applyFont="0" applyAlignment="0" applyProtection="0"/>
    <xf numFmtId="0" fontId="102" fillId="79" borderId="122" applyNumberFormat="0" applyAlignment="0" applyProtection="0"/>
    <xf numFmtId="4" fontId="27" fillId="37" borderId="115" applyNumberFormat="0" applyProtection="0">
      <alignment vertical="center"/>
    </xf>
    <xf numFmtId="4" fontId="27" fillId="38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top" indent="1"/>
    </xf>
    <xf numFmtId="4" fontId="47" fillId="51" borderId="115" applyNumberFormat="0" applyProtection="0">
      <alignment horizontal="left" vertical="center" indent="1"/>
    </xf>
    <xf numFmtId="4" fontId="27" fillId="38" borderId="115" applyNumberFormat="0" applyProtection="0">
      <alignment vertical="center"/>
    </xf>
    <xf numFmtId="0" fontId="24" fillId="59" borderId="121" applyNumberFormat="0" applyFont="0" applyAlignment="0" applyProtection="0">
      <protection locked="0"/>
    </xf>
    <xf numFmtId="0" fontId="18" fillId="34" borderId="115" applyNumberFormat="0" applyProtection="0">
      <alignment horizontal="left" vertical="top" indent="1"/>
    </xf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8" fillId="50" borderId="115" applyNumberFormat="0" applyProtection="0">
      <alignment horizontal="left" vertical="top" indent="1"/>
    </xf>
    <xf numFmtId="4" fontId="27" fillId="34" borderId="115" applyNumberForma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50" borderId="115" applyNumberFormat="0" applyProtection="0">
      <alignment horizontal="left" vertical="center" indent="1"/>
    </xf>
    <xf numFmtId="0" fontId="18" fillId="76" borderId="128" applyNumberFormat="0" applyFont="0" applyAlignment="0" applyProtection="0"/>
    <xf numFmtId="4" fontId="51" fillId="35" borderId="115" applyNumberFormat="0" applyProtection="0">
      <alignment vertical="center"/>
    </xf>
    <xf numFmtId="0" fontId="18" fillId="50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top" indent="1"/>
    </xf>
    <xf numFmtId="0" fontId="21" fillId="35" borderId="113" applyNumberFormat="0" applyFont="0" applyAlignment="0" applyProtection="0">
      <alignment horizontal="center"/>
      <protection locked="0"/>
    </xf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05" fillId="0" borderId="119" applyNumberFormat="0" applyFill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4" fontId="47" fillId="45" borderId="115" applyNumberFormat="0" applyProtection="0">
      <alignment horizontal="right" vertical="center"/>
    </xf>
    <xf numFmtId="0" fontId="18" fillId="54" borderId="115" applyNumberFormat="0" applyProtection="0">
      <alignment horizontal="left" vertical="top" indent="1"/>
    </xf>
    <xf numFmtId="0" fontId="110" fillId="77" borderId="122" applyNumberFormat="0" applyAlignment="0" applyProtection="0"/>
    <xf numFmtId="0" fontId="18" fillId="51" borderId="115" applyNumberFormat="0" applyProtection="0">
      <alignment horizontal="left" vertical="center" indent="1"/>
    </xf>
    <xf numFmtId="0" fontId="18" fillId="76" borderId="124" applyNumberFormat="0" applyFont="0" applyAlignment="0" applyProtection="0"/>
    <xf numFmtId="4" fontId="47" fillId="40" borderId="115" applyNumberFormat="0" applyProtection="0">
      <alignment horizontal="right" vertical="center"/>
    </xf>
    <xf numFmtId="0" fontId="27" fillId="38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4" fontId="46" fillId="38" borderId="115" applyNumberFormat="0" applyProtection="0">
      <alignment vertical="center"/>
    </xf>
    <xf numFmtId="0" fontId="18" fillId="51" borderId="115" applyNumberFormat="0" applyProtection="0">
      <alignment horizontal="left" vertical="top" indent="1"/>
    </xf>
    <xf numFmtId="4" fontId="47" fillId="59" borderId="115" applyNumberFormat="0" applyProtection="0">
      <alignment horizontal="left" vertical="center" indent="1"/>
    </xf>
    <xf numFmtId="4" fontId="47" fillId="44" borderId="115" applyNumberFormat="0" applyProtection="0">
      <alignment horizontal="right" vertical="center"/>
    </xf>
    <xf numFmtId="0" fontId="105" fillId="0" borderId="119" applyNumberFormat="0" applyFill="0" applyAlignment="0" applyProtection="0"/>
    <xf numFmtId="0" fontId="18" fillId="84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top" indent="1"/>
    </xf>
    <xf numFmtId="4" fontId="47" fillId="45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84" borderId="115" applyNumberFormat="0" applyProtection="0">
      <alignment horizontal="left" vertical="top" indent="1"/>
    </xf>
    <xf numFmtId="0" fontId="18" fillId="76" borderId="124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34" borderId="115" applyNumberFormat="0" applyProtection="0">
      <alignment horizontal="left" vertical="center" indent="1"/>
    </xf>
    <xf numFmtId="4" fontId="47" fillId="40" borderId="115" applyNumberFormat="0" applyProtection="0">
      <alignment horizontal="right" vertical="center"/>
    </xf>
    <xf numFmtId="4" fontId="47" fillId="35" borderId="115" applyNumberFormat="0" applyProtection="0">
      <alignment horizontal="left" vertical="center" indent="1"/>
    </xf>
    <xf numFmtId="0" fontId="105" fillId="0" borderId="119" applyNumberFormat="0" applyFill="0" applyAlignment="0" applyProtection="0"/>
    <xf numFmtId="0" fontId="18" fillId="84" borderId="115" applyNumberFormat="0" applyProtection="0">
      <alignment horizontal="left" vertical="top" indent="1"/>
    </xf>
    <xf numFmtId="4" fontId="47" fillId="0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top" indent="1"/>
    </xf>
    <xf numFmtId="4" fontId="51" fillId="35" borderId="115" applyNumberFormat="0" applyProtection="0">
      <alignment vertical="center"/>
    </xf>
    <xf numFmtId="4" fontId="47" fillId="45" borderId="115" applyNumberFormat="0" applyProtection="0">
      <alignment horizontal="right" vertical="center"/>
    </xf>
    <xf numFmtId="0" fontId="18" fillId="55" borderId="115" applyNumberFormat="0" applyProtection="0">
      <alignment horizontal="left" vertical="top" indent="1"/>
    </xf>
    <xf numFmtId="0" fontId="102" fillId="79" borderId="122" applyNumberFormat="0" applyAlignment="0" applyProtection="0"/>
    <xf numFmtId="0" fontId="63" fillId="59" borderId="121" applyNumberFormat="0" applyFont="0" applyFill="0" applyAlignment="0" applyProtection="0">
      <protection locked="0"/>
    </xf>
    <xf numFmtId="0" fontId="18" fillId="49" borderId="115" applyNumberFormat="0" applyProtection="0">
      <alignment horizontal="left" vertical="center" indent="1"/>
    </xf>
    <xf numFmtId="0" fontId="105" fillId="0" borderId="119" applyNumberFormat="0" applyFill="0" applyAlignment="0" applyProtection="0"/>
    <xf numFmtId="0" fontId="47" fillId="34" borderId="115" applyNumberFormat="0" applyProtection="0">
      <alignment horizontal="left" vertical="top"/>
    </xf>
    <xf numFmtId="4" fontId="27" fillId="34" borderId="115" applyNumberFormat="0" applyProtection="0"/>
    <xf numFmtId="4" fontId="27" fillId="34" borderId="115" applyNumberFormat="0" applyProtection="0"/>
    <xf numFmtId="0" fontId="114" fillId="79" borderId="114" applyNumberFormat="0" applyAlignment="0" applyProtection="0"/>
    <xf numFmtId="0" fontId="18" fillId="5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10" fillId="77" borderId="122" applyNumberFormat="0" applyAlignment="0" applyProtection="0"/>
    <xf numFmtId="4" fontId="47" fillId="0" borderId="115" applyNumberFormat="0" applyProtection="0">
      <alignment horizontal="right" vertical="center"/>
    </xf>
    <xf numFmtId="0" fontId="47" fillId="34" borderId="115" applyNumberFormat="0" applyProtection="0">
      <alignment horizontal="center" vertical="top"/>
    </xf>
    <xf numFmtId="4" fontId="47" fillId="41" borderId="115" applyNumberFormat="0" applyProtection="0">
      <alignment horizontal="right" vertical="center"/>
    </xf>
    <xf numFmtId="4" fontId="47" fillId="35" borderId="115" applyNumberFormat="0" applyProtection="0">
      <alignment horizontal="left" vertical="center" indent="1"/>
    </xf>
    <xf numFmtId="0" fontId="18" fillId="76" borderId="124" applyNumberFormat="0" applyFont="0" applyAlignment="0" applyProtection="0"/>
    <xf numFmtId="0" fontId="18" fillId="50" borderId="115" applyNumberFormat="0" applyProtection="0">
      <alignment horizontal="left" vertical="top" indent="1"/>
    </xf>
    <xf numFmtId="0" fontId="114" fillId="79" borderId="114" applyNumberFormat="0" applyAlignment="0" applyProtection="0"/>
    <xf numFmtId="4" fontId="27" fillId="38" borderId="115" applyNumberFormat="0" applyProtection="0">
      <alignment horizontal="left" vertical="center" indent="1"/>
    </xf>
    <xf numFmtId="0" fontId="105" fillId="0" borderId="119" applyNumberFormat="0" applyFill="0" applyAlignment="0" applyProtection="0"/>
    <xf numFmtId="4" fontId="27" fillId="38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4" fontId="27" fillId="34" borderId="115" applyNumberForma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02" fillId="79" borderId="122" applyNumberFormat="0" applyAlignment="0" applyProtection="0"/>
    <xf numFmtId="0" fontId="18" fillId="76" borderId="128" applyNumberFormat="0" applyFont="0" applyAlignment="0" applyProtection="0"/>
    <xf numFmtId="0" fontId="18" fillId="55" borderId="115" applyNumberFormat="0" applyProtection="0">
      <alignment horizontal="left" vertical="center" indent="1"/>
    </xf>
    <xf numFmtId="0" fontId="63" fillId="59" borderId="121" applyNumberFormat="0" applyFont="0" applyFill="0" applyAlignment="0" applyProtection="0">
      <protection locked="0"/>
    </xf>
    <xf numFmtId="0" fontId="18" fillId="50" borderId="115" applyNumberFormat="0" applyProtection="0">
      <alignment horizontal="left" vertical="top" indent="1"/>
    </xf>
    <xf numFmtId="0" fontId="18" fillId="76" borderId="124" applyNumberFormat="0" applyFont="0" applyAlignment="0" applyProtection="0"/>
    <xf numFmtId="0" fontId="102" fillId="79" borderId="122" applyNumberFormat="0" applyAlignment="0" applyProtection="0"/>
    <xf numFmtId="0" fontId="18" fillId="49" borderId="115" applyNumberFormat="0" applyProtection="0">
      <alignment horizontal="left" vertical="center" indent="1"/>
    </xf>
    <xf numFmtId="0" fontId="110" fillId="77" borderId="122" applyNumberFormat="0" applyAlignment="0" applyProtection="0"/>
    <xf numFmtId="0" fontId="18" fillId="84" borderId="115" applyNumberFormat="0" applyProtection="0">
      <alignment horizontal="left" vertical="top" indent="1"/>
    </xf>
    <xf numFmtId="4" fontId="47" fillId="35" borderId="115" applyNumberFormat="0" applyProtection="0">
      <alignment horizontal="left" vertical="center" indent="1"/>
    </xf>
    <xf numFmtId="4" fontId="27" fillId="34" borderId="115" applyNumberFormat="0" applyProtection="0"/>
    <xf numFmtId="0" fontId="18" fillId="34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4" fontId="47" fillId="0" borderId="115" applyNumberFormat="0" applyProtection="0">
      <alignment horizontal="right" vertical="center"/>
    </xf>
    <xf numFmtId="0" fontId="18" fillId="51" borderId="115" applyNumberFormat="0" applyProtection="0">
      <alignment horizontal="left" vertical="top" indent="1"/>
    </xf>
    <xf numFmtId="0" fontId="110" fillId="77" borderId="122" applyNumberFormat="0" applyAlignment="0" applyProtection="0"/>
    <xf numFmtId="0" fontId="18" fillId="76" borderId="124" applyNumberFormat="0" applyFont="0" applyAlignment="0" applyProtection="0"/>
    <xf numFmtId="0" fontId="105" fillId="0" borderId="119" applyNumberFormat="0" applyFill="0" applyAlignment="0" applyProtection="0"/>
    <xf numFmtId="0" fontId="18" fillId="50" borderId="115" applyNumberFormat="0" applyProtection="0">
      <alignment horizontal="left" vertical="center" indent="1"/>
    </xf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8" fillId="34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4" fontId="27" fillId="38" borderId="115" applyNumberFormat="0" applyProtection="0">
      <alignment horizontal="left" vertical="center" indent="1"/>
    </xf>
    <xf numFmtId="0" fontId="110" fillId="77" borderId="122" applyNumberFormat="0" applyAlignment="0" applyProtection="0"/>
    <xf numFmtId="0" fontId="18" fillId="51" borderId="115" applyNumberFormat="0" applyProtection="0">
      <alignment horizontal="left" vertical="top" indent="1"/>
    </xf>
    <xf numFmtId="4" fontId="51" fillId="49" borderId="115" applyNumberFormat="0" applyProtection="0">
      <alignment horizontal="right" vertical="center"/>
    </xf>
    <xf numFmtId="0" fontId="18" fillId="76" borderId="128" applyNumberFormat="0" applyFont="0" applyAlignment="0" applyProtection="0"/>
    <xf numFmtId="0" fontId="18" fillId="3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top" indent="1"/>
    </xf>
    <xf numFmtId="4" fontId="27" fillId="34" borderId="115" applyNumberFormat="0" applyProtection="0"/>
    <xf numFmtId="0" fontId="26" fillId="0" borderId="123">
      <alignment horizontal="left" vertical="center"/>
    </xf>
    <xf numFmtId="0" fontId="26" fillId="0" borderId="27">
      <alignment horizontal="left" vertical="center"/>
    </xf>
    <xf numFmtId="0" fontId="114" fillId="79" borderId="114" applyNumberFormat="0" applyAlignment="0" applyProtection="0"/>
    <xf numFmtId="4" fontId="27" fillId="38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center" indent="1"/>
    </xf>
    <xf numFmtId="4" fontId="47" fillId="47" borderId="115" applyNumberFormat="0" applyProtection="0">
      <alignment horizontal="right" vertical="center"/>
    </xf>
    <xf numFmtId="0" fontId="110" fillId="77" borderId="122" applyNumberFormat="0" applyAlignment="0" applyProtection="0"/>
    <xf numFmtId="4" fontId="47" fillId="44" borderId="115" applyNumberFormat="0" applyProtection="0">
      <alignment horizontal="right" vertical="center"/>
    </xf>
    <xf numFmtId="0" fontId="18" fillId="51" borderId="115" applyNumberFormat="0" applyProtection="0">
      <alignment horizontal="left" vertical="top" indent="1"/>
    </xf>
    <xf numFmtId="0" fontId="18" fillId="76" borderId="124" applyNumberFormat="0" applyFont="0" applyAlignment="0" applyProtection="0"/>
    <xf numFmtId="4" fontId="47" fillId="39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0" fontId="18" fillId="76" borderId="124" applyNumberFormat="0" applyFont="0" applyAlignment="0" applyProtection="0"/>
    <xf numFmtId="4" fontId="47" fillId="0" borderId="115" applyNumberFormat="0" applyProtection="0">
      <alignment horizontal="right" vertical="center"/>
    </xf>
    <xf numFmtId="4" fontId="47" fillId="35" borderId="115" applyNumberFormat="0" applyProtection="0">
      <alignment vertical="center"/>
    </xf>
    <xf numFmtId="4" fontId="47" fillId="39" borderId="115" applyNumberFormat="0" applyProtection="0">
      <alignment horizontal="right" vertical="center"/>
    </xf>
    <xf numFmtId="0" fontId="18" fillId="84" borderId="115" applyNumberFormat="0" applyProtection="0">
      <alignment horizontal="left" vertical="top" indent="1"/>
    </xf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4" fontId="46" fillId="38" borderId="115" applyNumberFormat="0" applyProtection="0">
      <alignment vertical="center"/>
    </xf>
    <xf numFmtId="0" fontId="18" fillId="54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63" fillId="59" borderId="121" applyNumberFormat="0" applyFont="0" applyFill="0" applyAlignment="0" applyProtection="0">
      <protection locked="0"/>
    </xf>
    <xf numFmtId="0" fontId="105" fillId="0" borderId="119" applyNumberFormat="0" applyFill="0" applyAlignment="0" applyProtection="0"/>
    <xf numFmtId="4" fontId="27" fillId="37" borderId="115" applyNumberFormat="0" applyProtection="0">
      <alignment vertical="center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18" fillId="76" borderId="128" applyNumberFormat="0" applyFont="0" applyAlignment="0" applyProtection="0"/>
    <xf numFmtId="0" fontId="18" fillId="55" borderId="115" applyNumberFormat="0" applyProtection="0">
      <alignment horizontal="left" vertical="top" indent="1"/>
    </xf>
    <xf numFmtId="4" fontId="47" fillId="39" borderId="115" applyNumberFormat="0" applyProtection="0">
      <alignment horizontal="right" vertical="center"/>
    </xf>
    <xf numFmtId="0" fontId="114" fillId="79" borderId="114" applyNumberFormat="0" applyAlignment="0" applyProtection="0"/>
    <xf numFmtId="0" fontId="18" fillId="85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top" indent="1"/>
    </xf>
    <xf numFmtId="0" fontId="102" fillId="79" borderId="122" applyNumberFormat="0" applyAlignment="0" applyProtection="0"/>
    <xf numFmtId="0" fontId="18" fillId="54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center" indent="1"/>
    </xf>
    <xf numFmtId="0" fontId="18" fillId="76" borderId="124" applyNumberFormat="0" applyFont="0" applyAlignment="0" applyProtection="0"/>
    <xf numFmtId="0" fontId="102" fillId="79" borderId="122" applyNumberFormat="0" applyAlignment="0" applyProtection="0"/>
    <xf numFmtId="0" fontId="18" fillId="55" borderId="115" applyNumberFormat="0" applyProtection="0">
      <alignment horizontal="left" vertical="top" indent="1"/>
    </xf>
    <xf numFmtId="0" fontId="102" fillId="79" borderId="122" applyNumberFormat="0" applyAlignment="0" applyProtection="0"/>
    <xf numFmtId="4" fontId="27" fillId="37" borderId="115" applyNumberFormat="0" applyProtection="0">
      <alignment vertical="center"/>
    </xf>
    <xf numFmtId="0" fontId="102" fillId="79" borderId="122" applyNumberFormat="0" applyAlignment="0" applyProtection="0"/>
    <xf numFmtId="0" fontId="18" fillId="51" borderId="115" applyNumberFormat="0" applyProtection="0">
      <alignment horizontal="left" vertical="top" indent="1"/>
    </xf>
    <xf numFmtId="0" fontId="105" fillId="0" borderId="119" applyNumberFormat="0" applyFill="0" applyAlignment="0" applyProtection="0"/>
    <xf numFmtId="4" fontId="47" fillId="43" borderId="115" applyNumberFormat="0" applyProtection="0">
      <alignment horizontal="right" vertical="center"/>
    </xf>
    <xf numFmtId="0" fontId="18" fillId="85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center" indent="1"/>
    </xf>
    <xf numFmtId="4" fontId="47" fillId="47" borderId="115" applyNumberFormat="0" applyProtection="0">
      <alignment horizontal="right" vertical="center"/>
    </xf>
    <xf numFmtId="0" fontId="18" fillId="55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center" indent="1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54" borderId="115" applyNumberFormat="0" applyProtection="0">
      <alignment horizontal="left" vertical="center" indent="1"/>
    </xf>
    <xf numFmtId="4" fontId="27" fillId="34" borderId="115" applyNumberFormat="0" applyProtection="0"/>
    <xf numFmtId="0" fontId="114" fillId="79" borderId="129" applyNumberFormat="0" applyAlignment="0" applyProtection="0"/>
    <xf numFmtId="4" fontId="47" fillId="39" borderId="115" applyNumberFormat="0" applyProtection="0">
      <alignment horizontal="right" vertical="center"/>
    </xf>
    <xf numFmtId="0" fontId="18" fillId="34" borderId="115" applyNumberFormat="0" applyProtection="0">
      <alignment horizontal="left" vertical="top" indent="1"/>
    </xf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34" borderId="115" applyNumberFormat="0" applyProtection="0">
      <alignment horizontal="left" vertical="top" indent="1"/>
    </xf>
    <xf numFmtId="0" fontId="47" fillId="34" borderId="115" applyNumberFormat="0" applyProtection="0">
      <alignment horizontal="left" vertical="top"/>
    </xf>
    <xf numFmtId="4" fontId="27" fillId="38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76" borderId="124" applyNumberFormat="0" applyFont="0" applyAlignment="0" applyProtection="0"/>
    <xf numFmtId="0" fontId="18" fillId="55" borderId="115" applyNumberFormat="0" applyProtection="0">
      <alignment horizontal="left" vertical="top" indent="1"/>
    </xf>
    <xf numFmtId="0" fontId="105" fillId="0" borderId="119" applyNumberFormat="0" applyFill="0" applyAlignment="0" applyProtection="0"/>
    <xf numFmtId="0" fontId="18" fillId="55" borderId="115" applyNumberFormat="0" applyProtection="0">
      <alignment horizontal="left" vertical="top" indent="1"/>
    </xf>
    <xf numFmtId="4" fontId="47" fillId="35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0" fontId="114" fillId="79" borderId="114" applyNumberFormat="0" applyAlignment="0" applyProtection="0"/>
    <xf numFmtId="0" fontId="18" fillId="55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top" indent="1"/>
    </xf>
    <xf numFmtId="4" fontId="51" fillId="35" borderId="115" applyNumberFormat="0" applyProtection="0">
      <alignment vertical="center"/>
    </xf>
    <xf numFmtId="4" fontId="25" fillId="49" borderId="115" applyNumberFormat="0" applyProtection="0">
      <alignment horizontal="right" vertical="center"/>
    </xf>
    <xf numFmtId="0" fontId="27" fillId="38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center" indent="1"/>
    </xf>
    <xf numFmtId="0" fontId="114" fillId="79" borderId="114" applyNumberFormat="0" applyAlignment="0" applyProtection="0"/>
    <xf numFmtId="4" fontId="47" fillId="0" borderId="115" applyNumberFormat="0" applyProtection="0">
      <alignment horizontal="right" vertical="center"/>
    </xf>
    <xf numFmtId="0" fontId="18" fillId="3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center" indent="1"/>
    </xf>
    <xf numFmtId="0" fontId="105" fillId="0" borderId="119" applyNumberFormat="0" applyFill="0" applyAlignment="0" applyProtection="0"/>
    <xf numFmtId="0" fontId="18" fillId="50" borderId="115" applyNumberFormat="0" applyProtection="0">
      <alignment horizontal="left" vertical="top" indent="1"/>
    </xf>
    <xf numFmtId="0" fontId="110" fillId="77" borderId="122" applyNumberFormat="0" applyAlignment="0" applyProtection="0"/>
    <xf numFmtId="4" fontId="27" fillId="38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55" borderId="115" applyNumberFormat="0" applyProtection="0">
      <alignment horizontal="left" vertical="top" indent="1"/>
    </xf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55" borderId="115" applyNumberFormat="0" applyProtection="0">
      <alignment horizontal="left" vertical="top" indent="1"/>
    </xf>
    <xf numFmtId="4" fontId="25" fillId="49" borderId="115" applyNumberFormat="0" applyProtection="0">
      <alignment horizontal="right" vertical="center"/>
    </xf>
    <xf numFmtId="0" fontId="110" fillId="77" borderId="122" applyNumberFormat="0" applyAlignment="0" applyProtection="0"/>
    <xf numFmtId="0" fontId="18" fillId="49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4" fontId="47" fillId="41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0" fontId="114" fillId="79" borderId="114" applyNumberFormat="0" applyAlignment="0" applyProtection="0"/>
    <xf numFmtId="0" fontId="105" fillId="0" borderId="119" applyNumberFormat="0" applyFill="0" applyAlignment="0" applyProtection="0"/>
    <xf numFmtId="4" fontId="47" fillId="46" borderId="115" applyNumberFormat="0" applyProtection="0">
      <alignment horizontal="right" vertical="center"/>
    </xf>
    <xf numFmtId="0" fontId="18" fillId="76" borderId="124" applyNumberFormat="0" applyFont="0" applyAlignment="0" applyProtection="0"/>
    <xf numFmtId="0" fontId="47" fillId="34" borderId="115" applyNumberFormat="0" applyProtection="0">
      <alignment horizontal="left" vertical="top"/>
    </xf>
    <xf numFmtId="4" fontId="47" fillId="46" borderId="115" applyNumberFormat="0" applyProtection="0">
      <alignment horizontal="right" vertical="center"/>
    </xf>
    <xf numFmtId="0" fontId="18" fillId="55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center" indent="1"/>
    </xf>
    <xf numFmtId="4" fontId="27" fillId="34" borderId="115" applyNumberFormat="0" applyProtection="0"/>
    <xf numFmtId="4" fontId="47" fillId="47" borderId="115" applyNumberFormat="0" applyProtection="0">
      <alignment horizontal="right" vertical="center"/>
    </xf>
    <xf numFmtId="0" fontId="27" fillId="38" borderId="115" applyNumberFormat="0" applyProtection="0">
      <alignment horizontal="left" vertical="top" indent="1"/>
    </xf>
    <xf numFmtId="0" fontId="114" fillId="79" borderId="114" applyNumberFormat="0" applyAlignment="0" applyProtection="0"/>
    <xf numFmtId="0" fontId="114" fillId="79" borderId="114" applyNumberFormat="0" applyAlignment="0" applyProtection="0"/>
    <xf numFmtId="0" fontId="47" fillId="34" borderId="115" applyNumberFormat="0" applyProtection="0">
      <alignment horizontal="left" vertical="top"/>
    </xf>
    <xf numFmtId="0" fontId="27" fillId="38" borderId="115" applyNumberFormat="0" applyProtection="0">
      <alignment horizontal="left" vertical="top" indent="1"/>
    </xf>
    <xf numFmtId="0" fontId="114" fillId="79" borderId="114" applyNumberFormat="0" applyAlignment="0" applyProtection="0"/>
    <xf numFmtId="0" fontId="18" fillId="55" borderId="115" applyNumberFormat="0" applyProtection="0">
      <alignment horizontal="left" vertical="center" indent="1"/>
    </xf>
    <xf numFmtId="4" fontId="27" fillId="34" borderId="116" applyNumberFormat="0" applyProtection="0">
      <alignment vertical="center"/>
    </xf>
    <xf numFmtId="4" fontId="47" fillId="0" borderId="115" applyNumberFormat="0" applyProtection="0">
      <alignment horizontal="right" vertical="center"/>
    </xf>
    <xf numFmtId="0" fontId="18" fillId="76" borderId="124" applyNumberFormat="0" applyFont="0" applyAlignment="0" applyProtection="0"/>
    <xf numFmtId="4" fontId="47" fillId="42" borderId="115" applyNumberFormat="0" applyProtection="0">
      <alignment horizontal="right" vertical="center"/>
    </xf>
    <xf numFmtId="0" fontId="18" fillId="84" borderId="115" applyNumberFormat="0" applyProtection="0">
      <alignment horizontal="left" vertical="center" indent="1"/>
    </xf>
    <xf numFmtId="0" fontId="114" fillId="79" borderId="129" applyNumberFormat="0" applyAlignment="0" applyProtection="0"/>
    <xf numFmtId="4" fontId="27" fillId="34" borderId="115" applyNumberForma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34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40" borderId="115" applyNumberFormat="0" applyProtection="0">
      <alignment horizontal="right" vertical="center"/>
    </xf>
    <xf numFmtId="4" fontId="46" fillId="38" borderId="115" applyNumberFormat="0" applyProtection="0">
      <alignment vertical="center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right" vertical="center"/>
    </xf>
    <xf numFmtId="4" fontId="47" fillId="44" borderId="115" applyNumberFormat="0" applyProtection="0">
      <alignment horizontal="right" vertical="center"/>
    </xf>
    <xf numFmtId="0" fontId="18" fillId="49" borderId="115" applyNumberFormat="0" applyProtection="0">
      <alignment horizontal="left" vertical="top" indent="1"/>
    </xf>
    <xf numFmtId="0" fontId="18" fillId="76" borderId="124" applyNumberFormat="0" applyFont="0" applyAlignment="0" applyProtection="0"/>
    <xf numFmtId="0" fontId="18" fillId="34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51" fillId="49" borderId="115" applyNumberFormat="0" applyProtection="0">
      <alignment horizontal="right" vertical="center"/>
    </xf>
    <xf numFmtId="0" fontId="18" fillId="76" borderId="124" applyNumberFormat="0" applyFont="0" applyAlignment="0" applyProtection="0"/>
    <xf numFmtId="0" fontId="18" fillId="3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14" fillId="79" borderId="114" applyNumberFormat="0" applyAlignment="0" applyProtection="0"/>
    <xf numFmtId="0" fontId="18" fillId="49" borderId="115" applyNumberFormat="0" applyProtection="0">
      <alignment horizontal="left" vertical="top" indent="1"/>
    </xf>
    <xf numFmtId="4" fontId="47" fillId="59" borderId="115" applyNumberFormat="0" applyProtection="0">
      <alignment horizontal="left" vertical="center" indent="1"/>
    </xf>
    <xf numFmtId="4" fontId="46" fillId="38" borderId="115" applyNumberFormat="0" applyProtection="0">
      <alignment vertical="center"/>
    </xf>
    <xf numFmtId="0" fontId="102" fillId="79" borderId="122" applyNumberFormat="0" applyAlignment="0" applyProtection="0"/>
    <xf numFmtId="0" fontId="114" fillId="79" borderId="114" applyNumberFormat="0" applyAlignment="0" applyProtection="0"/>
    <xf numFmtId="0" fontId="18" fillId="34" borderId="115" applyNumberFormat="0" applyProtection="0">
      <alignment horizontal="left" vertical="top" indent="1"/>
    </xf>
    <xf numFmtId="4" fontId="47" fillId="42" borderId="115" applyNumberFormat="0" applyProtection="0">
      <alignment horizontal="right" vertical="center"/>
    </xf>
    <xf numFmtId="0" fontId="18" fillId="50" borderId="115" applyNumberFormat="0" applyProtection="0">
      <alignment horizontal="left" vertical="top" indent="1"/>
    </xf>
    <xf numFmtId="4" fontId="47" fillId="0" borderId="115" applyNumberFormat="0" applyProtection="0">
      <alignment horizontal="right" vertical="center"/>
    </xf>
    <xf numFmtId="0" fontId="110" fillId="77" borderId="122" applyNumberFormat="0" applyAlignment="0" applyProtection="0"/>
    <xf numFmtId="0" fontId="24" fillId="59" borderId="121" applyNumberFormat="0" applyFont="0" applyAlignment="0" applyProtection="0">
      <protection locked="0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center" indent="1"/>
    </xf>
    <xf numFmtId="0" fontId="18" fillId="76" borderId="124" applyNumberFormat="0" applyFont="0" applyAlignment="0" applyProtection="0"/>
    <xf numFmtId="4" fontId="27" fillId="37" borderId="115" applyNumberFormat="0" applyProtection="0">
      <alignment vertical="center"/>
    </xf>
    <xf numFmtId="4" fontId="47" fillId="0" borderId="115" applyNumberFormat="0" applyProtection="0">
      <alignment horizontal="right" vertical="center"/>
    </xf>
    <xf numFmtId="0" fontId="18" fillId="76" borderId="124" applyNumberFormat="0" applyFon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05" fillId="0" borderId="119" applyNumberFormat="0" applyFill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4" fontId="47" fillId="35" borderId="115" applyNumberFormat="0" applyProtection="0">
      <alignment vertical="center"/>
    </xf>
    <xf numFmtId="0" fontId="18" fillId="50" borderId="115" applyNumberFormat="0" applyProtection="0">
      <alignment horizontal="left" vertical="center" indent="1"/>
    </xf>
    <xf numFmtId="4" fontId="46" fillId="38" borderId="115" applyNumberFormat="0" applyProtection="0">
      <alignment vertical="center"/>
    </xf>
    <xf numFmtId="0" fontId="114" fillId="79" borderId="114" applyNumberFormat="0" applyAlignment="0" applyProtection="0"/>
    <xf numFmtId="0" fontId="114" fillId="79" borderId="114" applyNumberFormat="0" applyAlignment="0" applyProtection="0"/>
    <xf numFmtId="4" fontId="47" fillId="0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top" indent="1"/>
    </xf>
    <xf numFmtId="4" fontId="47" fillId="47" borderId="115" applyNumberFormat="0" applyProtection="0">
      <alignment horizontal="right" vertical="center"/>
    </xf>
    <xf numFmtId="4" fontId="47" fillId="45" borderId="115" applyNumberFormat="0" applyProtection="0">
      <alignment horizontal="right" vertical="center"/>
    </xf>
    <xf numFmtId="4" fontId="47" fillId="35" borderId="115" applyNumberFormat="0" applyProtection="0">
      <alignment vertical="center"/>
    </xf>
    <xf numFmtId="0" fontId="105" fillId="0" borderId="119" applyNumberFormat="0" applyFill="0" applyAlignment="0" applyProtection="0"/>
    <xf numFmtId="0" fontId="18" fillId="76" borderId="124" applyNumberFormat="0" applyFont="0" applyAlignment="0" applyProtection="0"/>
    <xf numFmtId="4" fontId="51" fillId="35" borderId="115" applyNumberFormat="0" applyProtection="0">
      <alignment vertical="center"/>
    </xf>
    <xf numFmtId="0" fontId="47" fillId="34" borderId="115" applyNumberFormat="0" applyProtection="0">
      <alignment horizontal="left" vertical="top"/>
    </xf>
    <xf numFmtId="4" fontId="27" fillId="37" borderId="115" applyNumberFormat="0" applyProtection="0">
      <alignment vertical="center"/>
    </xf>
    <xf numFmtId="0" fontId="114" fillId="79" borderId="114" applyNumberFormat="0" applyAlignment="0" applyProtection="0"/>
    <xf numFmtId="0" fontId="105" fillId="0" borderId="119" applyNumberFormat="0" applyFill="0" applyAlignment="0" applyProtection="0"/>
    <xf numFmtId="0" fontId="18" fillId="85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8" fillId="51" borderId="115" applyNumberFormat="0" applyProtection="0">
      <alignment horizontal="left" vertical="center" indent="1"/>
    </xf>
    <xf numFmtId="0" fontId="114" fillId="79" borderId="114" applyNumberFormat="0" applyAlignment="0" applyProtection="0"/>
    <xf numFmtId="0" fontId="18" fillId="85" borderId="115" applyNumberFormat="0" applyProtection="0">
      <alignment horizontal="left" vertical="top" indent="1"/>
    </xf>
    <xf numFmtId="4" fontId="47" fillId="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05" fillId="0" borderId="119" applyNumberFormat="0" applyFill="0" applyAlignment="0" applyProtection="0"/>
    <xf numFmtId="0" fontId="27" fillId="38" borderId="115" applyNumberFormat="0" applyProtection="0">
      <alignment horizontal="left" vertical="top" indent="1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76" borderId="124" applyNumberFormat="0" applyFont="0" applyAlignment="0" applyProtection="0"/>
    <xf numFmtId="0" fontId="18" fillId="50" borderId="115" applyNumberFormat="0" applyProtection="0">
      <alignment horizontal="left" vertical="top" indent="1"/>
    </xf>
    <xf numFmtId="0" fontId="27" fillId="38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center" indent="1"/>
    </xf>
    <xf numFmtId="4" fontId="47" fillId="41" borderId="115" applyNumberFormat="0" applyProtection="0">
      <alignment horizontal="right" vertical="center"/>
    </xf>
    <xf numFmtId="0" fontId="18" fillId="55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47" fillId="34" borderId="115" applyNumberFormat="0" applyProtection="0">
      <alignment horizontal="left" vertical="top"/>
    </xf>
    <xf numFmtId="0" fontId="102" fillId="79" borderId="122" applyNumberFormat="0" applyAlignment="0" applyProtection="0"/>
    <xf numFmtId="0" fontId="18" fillId="54" borderId="115" applyNumberFormat="0" applyProtection="0">
      <alignment horizontal="left" vertical="top" indent="1"/>
    </xf>
    <xf numFmtId="0" fontId="110" fillId="77" borderId="122" applyNumberFormat="0" applyAlignment="0" applyProtection="0"/>
    <xf numFmtId="0" fontId="18" fillId="55" borderId="115" applyNumberFormat="0" applyProtection="0">
      <alignment horizontal="left" vertical="top" indent="1"/>
    </xf>
    <xf numFmtId="4" fontId="47" fillId="46" borderId="115" applyNumberFormat="0" applyProtection="0">
      <alignment horizontal="right" vertical="center"/>
    </xf>
    <xf numFmtId="4" fontId="51" fillId="35" borderId="115" applyNumberFormat="0" applyProtection="0">
      <alignment vertical="center"/>
    </xf>
    <xf numFmtId="0" fontId="18" fillId="55" borderId="115" applyNumberFormat="0" applyProtection="0">
      <alignment horizontal="left" vertical="center" indent="1"/>
    </xf>
    <xf numFmtId="4" fontId="47" fillId="35" borderId="115" applyNumberFormat="0" applyProtection="0">
      <alignment vertical="center"/>
    </xf>
    <xf numFmtId="0" fontId="18" fillId="55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top" indent="1"/>
    </xf>
    <xf numFmtId="0" fontId="110" fillId="77" borderId="122" applyNumberFormat="0" applyAlignment="0" applyProtection="0"/>
    <xf numFmtId="4" fontId="47" fillId="42" borderId="115" applyNumberFormat="0" applyProtection="0">
      <alignment horizontal="right" vertical="center"/>
    </xf>
    <xf numFmtId="0" fontId="105" fillId="0" borderId="119" applyNumberFormat="0" applyFill="0" applyAlignment="0" applyProtection="0"/>
    <xf numFmtId="0" fontId="18" fillId="50" borderId="115" applyNumberFormat="0" applyProtection="0">
      <alignment horizontal="left" vertical="center" indent="1"/>
    </xf>
    <xf numFmtId="0" fontId="24" fillId="59" borderId="121" applyNumberFormat="0" applyFont="0" applyAlignment="0" applyProtection="0">
      <protection locked="0"/>
    </xf>
    <xf numFmtId="0" fontId="18" fillId="50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10" fillId="77" borderId="127" applyNumberFormat="0" applyAlignment="0" applyProtection="0"/>
    <xf numFmtId="4" fontId="27" fillId="38" borderId="115" applyNumberFormat="0" applyProtection="0">
      <alignment vertical="center"/>
    </xf>
    <xf numFmtId="0" fontId="18" fillId="55" borderId="115" applyNumberFormat="0" applyProtection="0">
      <alignment horizontal="left" vertical="top" indent="1"/>
    </xf>
    <xf numFmtId="4" fontId="27" fillId="37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0" fontId="27" fillId="38" borderId="126" applyNumberFormat="0" applyProtection="0">
      <alignment horizontal="left" vertical="top" indent="1"/>
    </xf>
    <xf numFmtId="4" fontId="27" fillId="34" borderId="126" applyNumberFormat="0" applyProtection="0"/>
    <xf numFmtId="4" fontId="47" fillId="39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4" fontId="47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47" fillId="35" borderId="126" applyNumberFormat="0" applyProtection="0">
      <alignment horizontal="left" vertical="center" indent="1"/>
    </xf>
    <xf numFmtId="0" fontId="47" fillId="3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4" fontId="25" fillId="49" borderId="126" applyNumberFormat="0" applyProtection="0">
      <alignment horizontal="right" vertical="center"/>
    </xf>
    <xf numFmtId="0" fontId="102" fillId="79" borderId="127" applyNumberFormat="0" applyAlignment="0" applyProtection="0"/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vertical="center"/>
    </xf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29" applyNumberFormat="0" applyProtection="0">
      <alignment vertical="center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59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center" vertical="top"/>
    </xf>
    <xf numFmtId="0" fontId="110" fillId="77" borderId="127" applyNumberFormat="0" applyAlignment="0" applyProtection="0"/>
    <xf numFmtId="4" fontId="47" fillId="51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0" fontId="105" fillId="0" borderId="119" applyNumberFormat="0" applyFill="0" applyAlignment="0" applyProtection="0"/>
    <xf numFmtId="0" fontId="110" fillId="77" borderId="127" applyNumberFormat="0" applyAlignment="0" applyProtection="0"/>
    <xf numFmtId="4" fontId="27" fillId="38" borderId="115" applyNumberFormat="0" applyProtection="0">
      <alignment vertical="center"/>
    </xf>
    <xf numFmtId="4" fontId="27" fillId="34" borderId="29" applyNumberFormat="0" applyProtection="0">
      <alignment vertical="center"/>
    </xf>
    <xf numFmtId="0" fontId="102" fillId="79" borderId="127" applyNumberFormat="0" applyAlignment="0" applyProtection="0"/>
    <xf numFmtId="4" fontId="27" fillId="34" borderId="29" applyNumberFormat="0" applyProtection="0">
      <alignment vertical="center"/>
    </xf>
    <xf numFmtId="0" fontId="110" fillId="77" borderId="127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49" borderId="115" applyNumberFormat="0" applyProtection="0">
      <alignment horizontal="left" vertical="center" indent="1"/>
    </xf>
    <xf numFmtId="0" fontId="102" fillId="79" borderId="122" applyNumberFormat="0" applyAlignment="0" applyProtection="0"/>
    <xf numFmtId="0" fontId="18" fillId="76" borderId="128" applyNumberFormat="0" applyFont="0" applyAlignment="0" applyProtection="0"/>
    <xf numFmtId="0" fontId="18" fillId="50" borderId="115" applyNumberFormat="0" applyProtection="0">
      <alignment horizontal="left" vertical="top" indent="1"/>
    </xf>
    <xf numFmtId="0" fontId="18" fillId="76" borderId="124" applyNumberFormat="0" applyFont="0" applyAlignment="0" applyProtection="0"/>
    <xf numFmtId="4" fontId="27" fillId="38" borderId="115" applyNumberFormat="0" applyProtection="0">
      <alignment horizontal="left" vertical="center" indent="1"/>
    </xf>
    <xf numFmtId="0" fontId="110" fillId="77" borderId="122" applyNumberFormat="0" applyAlignment="0" applyProtection="0"/>
    <xf numFmtId="4" fontId="27" fillId="34" borderId="116" applyNumberFormat="0" applyProtection="0">
      <alignment vertical="center"/>
    </xf>
    <xf numFmtId="4" fontId="47" fillId="0" borderId="115" applyNumberFormat="0" applyProtection="0">
      <alignment horizontal="left" vertical="center" indent="1"/>
    </xf>
    <xf numFmtId="0" fontId="114" fillId="79" borderId="114" applyNumberFormat="0" applyAlignment="0" applyProtection="0"/>
    <xf numFmtId="0" fontId="105" fillId="0" borderId="119" applyNumberFormat="0" applyFill="0" applyAlignment="0" applyProtection="0"/>
    <xf numFmtId="4" fontId="47" fillId="51" borderId="115" applyNumberFormat="0" applyProtection="0">
      <alignment horizontal="right" vertical="center"/>
    </xf>
    <xf numFmtId="4" fontId="25" fillId="49" borderId="115" applyNumberFormat="0" applyProtection="0">
      <alignment horizontal="right" vertical="center"/>
    </xf>
    <xf numFmtId="4" fontId="47" fillId="46" borderId="115" applyNumberFormat="0" applyProtection="0">
      <alignment horizontal="right" vertical="center"/>
    </xf>
    <xf numFmtId="0" fontId="102" fillId="79" borderId="122" applyNumberFormat="0" applyAlignment="0" applyProtection="0"/>
    <xf numFmtId="0" fontId="114" fillId="79" borderId="114" applyNumberFormat="0" applyAlignment="0" applyProtection="0"/>
    <xf numFmtId="4" fontId="47" fillId="41" borderId="115" applyNumberFormat="0" applyProtection="0">
      <alignment horizontal="right" vertical="center"/>
    </xf>
    <xf numFmtId="0" fontId="18" fillId="50" borderId="115" applyNumberFormat="0" applyProtection="0">
      <alignment horizontal="left" vertical="center" indent="1"/>
    </xf>
    <xf numFmtId="4" fontId="27" fillId="34" borderId="115" applyNumberFormat="0" applyProtection="0"/>
    <xf numFmtId="0" fontId="18" fillId="76" borderId="124" applyNumberFormat="0" applyFont="0" applyAlignment="0" applyProtection="0"/>
    <xf numFmtId="4" fontId="47" fillId="44" borderId="115" applyNumberFormat="0" applyProtection="0">
      <alignment horizontal="right" vertical="center"/>
    </xf>
    <xf numFmtId="0" fontId="18" fillId="55" borderId="115" applyNumberFormat="0" applyProtection="0">
      <alignment horizontal="left" vertical="center" indent="1"/>
    </xf>
    <xf numFmtId="0" fontId="110" fillId="77" borderId="122" applyNumberFormat="0" applyAlignment="0" applyProtection="0"/>
    <xf numFmtId="0" fontId="18" fillId="8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center" indent="1"/>
    </xf>
    <xf numFmtId="0" fontId="110" fillId="77" borderId="122" applyNumberFormat="0" applyAlignment="0" applyProtection="0"/>
    <xf numFmtId="4" fontId="47" fillId="0" borderId="115" applyNumberFormat="0" applyProtection="0">
      <alignment horizontal="left" vertical="center" indent="1"/>
    </xf>
    <xf numFmtId="4" fontId="47" fillId="35" borderId="115" applyNumberFormat="0" applyProtection="0">
      <alignment vertical="center"/>
    </xf>
    <xf numFmtId="0" fontId="102" fillId="79" borderId="127" applyNumberFormat="0" applyAlignment="0" applyProtection="0"/>
    <xf numFmtId="0" fontId="110" fillId="77" borderId="127" applyNumberFormat="0" applyAlignment="0" applyProtection="0"/>
    <xf numFmtId="4" fontId="27" fillId="34" borderId="115" applyNumberFormat="0" applyProtection="0"/>
    <xf numFmtId="0" fontId="114" fillId="79" borderId="129" applyNumberFormat="0" applyAlignment="0" applyProtection="0"/>
    <xf numFmtId="4" fontId="47" fillId="42" borderId="115" applyNumberFormat="0" applyProtection="0">
      <alignment horizontal="right" vertical="center"/>
    </xf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55" borderId="115" applyNumberFormat="0" applyProtection="0">
      <alignment horizontal="left" vertical="center" indent="1"/>
    </xf>
    <xf numFmtId="0" fontId="47" fillId="35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10" fillId="77" borderId="122" applyNumberFormat="0" applyAlignment="0" applyProtection="0"/>
    <xf numFmtId="0" fontId="18" fillId="54" borderId="115" applyNumberFormat="0" applyProtection="0">
      <alignment horizontal="left" vertical="center" indent="1"/>
    </xf>
    <xf numFmtId="0" fontId="114" fillId="79" borderId="114" applyNumberFormat="0" applyAlignment="0" applyProtection="0"/>
    <xf numFmtId="0" fontId="18" fillId="85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center" indent="1"/>
    </xf>
    <xf numFmtId="0" fontId="47" fillId="35" borderId="115" applyNumberFormat="0" applyProtection="0">
      <alignment horizontal="left" vertical="top" indent="1"/>
    </xf>
    <xf numFmtId="0" fontId="26" fillId="0" borderId="123">
      <alignment horizontal="left" vertical="center"/>
    </xf>
    <xf numFmtId="4" fontId="47" fillId="0" borderId="115" applyNumberFormat="0" applyProtection="0">
      <alignment horizontal="left" vertical="center" indent="1"/>
    </xf>
    <xf numFmtId="0" fontId="105" fillId="0" borderId="119" applyNumberFormat="0" applyFill="0" applyAlignment="0" applyProtection="0"/>
    <xf numFmtId="0" fontId="18" fillId="85" borderId="115" applyNumberFormat="0" applyProtection="0">
      <alignment horizontal="left" vertical="center" indent="1"/>
    </xf>
    <xf numFmtId="0" fontId="47" fillId="35" borderId="115" applyNumberFormat="0" applyProtection="0">
      <alignment horizontal="left" vertical="top" indent="1"/>
    </xf>
    <xf numFmtId="4" fontId="47" fillId="43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0" fontId="18" fillId="76" borderId="124" applyNumberFormat="0" applyFont="0" applyAlignment="0" applyProtection="0"/>
    <xf numFmtId="0" fontId="18" fillId="51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02" fillId="79" borderId="122" applyNumberFormat="0" applyAlignment="0" applyProtection="0"/>
    <xf numFmtId="4" fontId="47" fillId="43" borderId="115" applyNumberFormat="0" applyProtection="0">
      <alignment horizontal="right" vertical="center"/>
    </xf>
    <xf numFmtId="0" fontId="18" fillId="54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47" fillId="43" borderId="115" applyNumberFormat="0" applyProtection="0">
      <alignment horizontal="right" vertical="center"/>
    </xf>
    <xf numFmtId="4" fontId="47" fillId="35" borderId="115" applyNumberFormat="0" applyProtection="0">
      <alignment vertical="center"/>
    </xf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4" fontId="46" fillId="38" borderId="115" applyNumberFormat="0" applyProtection="0">
      <alignment vertical="center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4" fontId="47" fillId="35" borderId="115" applyNumberFormat="0" applyProtection="0">
      <alignment horizontal="left" vertical="center" indent="1"/>
    </xf>
    <xf numFmtId="0" fontId="18" fillId="76" borderId="128" applyNumberFormat="0" applyFont="0" applyAlignment="0" applyProtection="0"/>
    <xf numFmtId="4" fontId="25" fillId="49" borderId="115" applyNumberFormat="0" applyProtection="0">
      <alignment horizontal="right" vertical="center"/>
    </xf>
    <xf numFmtId="0" fontId="18" fillId="50" borderId="115" applyNumberFormat="0" applyProtection="0">
      <alignment horizontal="left" vertical="top" indent="1"/>
    </xf>
    <xf numFmtId="4" fontId="47" fillId="39" borderId="115" applyNumberFormat="0" applyProtection="0">
      <alignment horizontal="right" vertical="center"/>
    </xf>
    <xf numFmtId="0" fontId="18" fillId="85" borderId="115" applyNumberFormat="0" applyProtection="0">
      <alignment horizontal="left" vertical="top" indent="1"/>
    </xf>
    <xf numFmtId="0" fontId="63" fillId="59" borderId="121" applyNumberFormat="0" applyFont="0" applyFill="0" applyAlignment="0" applyProtection="0">
      <protection locked="0"/>
    </xf>
    <xf numFmtId="0" fontId="18" fillId="34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14" fillId="79" borderId="114" applyNumberFormat="0" applyAlignment="0" applyProtection="0"/>
    <xf numFmtId="4" fontId="27" fillId="38" borderId="115" applyNumberFormat="0" applyProtection="0">
      <alignment horizontal="left" vertical="center" indent="1"/>
    </xf>
    <xf numFmtId="4" fontId="47" fillId="39" borderId="115" applyNumberFormat="0" applyProtection="0">
      <alignment horizontal="right" vertical="center"/>
    </xf>
    <xf numFmtId="0" fontId="110" fillId="77" borderId="122" applyNumberFormat="0" applyAlignment="0" applyProtection="0"/>
    <xf numFmtId="0" fontId="18" fillId="84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center" indent="1"/>
    </xf>
    <xf numFmtId="0" fontId="114" fillId="79" borderId="114" applyNumberFormat="0" applyAlignment="0" applyProtection="0"/>
    <xf numFmtId="4" fontId="47" fillId="46" borderId="115" applyNumberFormat="0" applyProtection="0">
      <alignment horizontal="right" vertical="center"/>
    </xf>
    <xf numFmtId="0" fontId="18" fillId="34" borderId="115" applyNumberFormat="0" applyProtection="0">
      <alignment horizontal="left" vertical="center" indent="1"/>
    </xf>
    <xf numFmtId="0" fontId="102" fillId="79" borderId="122" applyNumberFormat="0" applyAlignment="0" applyProtection="0"/>
    <xf numFmtId="0" fontId="18" fillId="84" borderId="115" applyNumberFormat="0" applyProtection="0">
      <alignment horizontal="left" vertical="top" indent="1"/>
    </xf>
    <xf numFmtId="4" fontId="47" fillId="51" borderId="115" applyNumberFormat="0" applyProtection="0">
      <alignment horizontal="right" vertical="center"/>
    </xf>
    <xf numFmtId="0" fontId="18" fillId="49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4" fontId="27" fillId="34" borderId="115" applyNumberFormat="0" applyProtection="0"/>
    <xf numFmtId="0" fontId="18" fillId="55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0" fontId="47" fillId="34" borderId="115" applyNumberFormat="0" applyProtection="0">
      <alignment horizontal="left" vertical="top"/>
    </xf>
    <xf numFmtId="4" fontId="47" fillId="40" borderId="115" applyNumberFormat="0" applyProtection="0">
      <alignment horizontal="right" vertical="center"/>
    </xf>
    <xf numFmtId="0" fontId="47" fillId="35" borderId="115" applyNumberFormat="0" applyProtection="0">
      <alignment horizontal="left" vertical="top" indent="1"/>
    </xf>
    <xf numFmtId="0" fontId="18" fillId="76" borderId="124" applyNumberFormat="0" applyFont="0" applyAlignment="0" applyProtection="0"/>
    <xf numFmtId="4" fontId="47" fillId="40" borderId="115" applyNumberFormat="0" applyProtection="0">
      <alignment horizontal="right" vertical="center"/>
    </xf>
    <xf numFmtId="0" fontId="18" fillId="50" borderId="115" applyNumberFormat="0" applyProtection="0">
      <alignment horizontal="left" vertical="center" indent="1"/>
    </xf>
    <xf numFmtId="0" fontId="18" fillId="76" borderId="124" applyNumberFormat="0" applyFont="0" applyAlignment="0" applyProtection="0"/>
    <xf numFmtId="0" fontId="114" fillId="79" borderId="114" applyNumberFormat="0" applyAlignment="0" applyProtection="0"/>
    <xf numFmtId="4" fontId="47" fillId="51" borderId="115" applyNumberFormat="0" applyProtection="0">
      <alignment horizontal="right" vertical="center"/>
    </xf>
    <xf numFmtId="4" fontId="27" fillId="34" borderId="116" applyNumberFormat="0" applyProtection="0">
      <alignment vertical="center"/>
    </xf>
    <xf numFmtId="0" fontId="18" fillId="55" borderId="115" applyNumberFormat="0" applyProtection="0">
      <alignment horizontal="left" vertical="center" indent="1"/>
    </xf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4" fillId="79" borderId="129" applyNumberFormat="0" applyAlignment="0" applyProtection="0"/>
    <xf numFmtId="4" fontId="47" fillId="0" borderId="115" applyNumberFormat="0" applyProtection="0">
      <alignment horizontal="right" vertical="center"/>
    </xf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55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top" indent="1"/>
    </xf>
    <xf numFmtId="0" fontId="18" fillId="76" borderId="124" applyNumberFormat="0" applyFont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63" fillId="59" borderId="121" applyNumberFormat="0" applyFont="0" applyFill="0" applyAlignment="0" applyProtection="0">
      <protection locked="0"/>
    </xf>
    <xf numFmtId="0" fontId="18" fillId="51" borderId="115" applyNumberFormat="0" applyProtection="0">
      <alignment horizontal="left" vertical="top" indent="1"/>
    </xf>
    <xf numFmtId="0" fontId="105" fillId="0" borderId="119" applyNumberFormat="0" applyFill="0" applyAlignment="0" applyProtection="0"/>
    <xf numFmtId="4" fontId="47" fillId="0" borderId="115" applyNumberFormat="0" applyProtection="0">
      <alignment horizontal="left" vertical="center" indent="1"/>
    </xf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8" fillId="85" borderId="115" applyNumberFormat="0" applyProtection="0">
      <alignment horizontal="left" vertical="top" indent="1"/>
    </xf>
    <xf numFmtId="4" fontId="51" fillId="49" borderId="115" applyNumberFormat="0" applyProtection="0">
      <alignment horizontal="right" vertical="center"/>
    </xf>
    <xf numFmtId="0" fontId="47" fillId="34" borderId="115" applyNumberFormat="0" applyProtection="0">
      <alignment horizontal="left" vertical="top"/>
    </xf>
    <xf numFmtId="4" fontId="47" fillId="0" borderId="115" applyNumberFormat="0" applyProtection="0">
      <alignment horizontal="left" vertical="center" indent="1"/>
    </xf>
    <xf numFmtId="4" fontId="25" fillId="49" borderId="115" applyNumberFormat="0" applyProtection="0">
      <alignment horizontal="right" vertical="center"/>
    </xf>
    <xf numFmtId="0" fontId="18" fillId="84" borderId="115" applyNumberFormat="0" applyProtection="0">
      <alignment horizontal="left" vertical="top" indent="1"/>
    </xf>
    <xf numFmtId="0" fontId="114" fillId="79" borderId="114" applyNumberFormat="0" applyAlignment="0" applyProtection="0"/>
    <xf numFmtId="0" fontId="18" fillId="54" borderId="115" applyNumberFormat="0" applyProtection="0">
      <alignment horizontal="left" vertical="top" indent="1"/>
    </xf>
    <xf numFmtId="4" fontId="51" fillId="49" borderId="115" applyNumberFormat="0" applyProtection="0">
      <alignment horizontal="right" vertical="center"/>
    </xf>
    <xf numFmtId="0" fontId="105" fillId="0" borderId="119" applyNumberFormat="0" applyFill="0" applyAlignment="0" applyProtection="0"/>
    <xf numFmtId="0" fontId="114" fillId="79" borderId="114" applyNumberFormat="0" applyAlignment="0" applyProtection="0"/>
    <xf numFmtId="0" fontId="18" fillId="54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4" fontId="47" fillId="39" borderId="115" applyNumberFormat="0" applyProtection="0">
      <alignment horizontal="right" vertical="center"/>
    </xf>
    <xf numFmtId="0" fontId="102" fillId="79" borderId="122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4" fontId="47" fillId="46" borderId="115" applyNumberFormat="0" applyProtection="0">
      <alignment horizontal="right" vertical="center"/>
    </xf>
    <xf numFmtId="0" fontId="114" fillId="79" borderId="114" applyNumberFormat="0" applyAlignment="0" applyProtection="0"/>
    <xf numFmtId="0" fontId="27" fillId="38" borderId="115" applyNumberFormat="0" applyProtection="0">
      <alignment horizontal="left" vertical="top" indent="1"/>
    </xf>
    <xf numFmtId="0" fontId="18" fillId="76" borderId="128" applyNumberFormat="0" applyFont="0" applyAlignment="0" applyProtection="0"/>
    <xf numFmtId="0" fontId="18" fillId="34" borderId="115" applyNumberFormat="0" applyProtection="0">
      <alignment horizontal="left" vertical="center" indent="1"/>
    </xf>
    <xf numFmtId="4" fontId="47" fillId="41" borderId="115" applyNumberFormat="0" applyProtection="0">
      <alignment horizontal="right" vertical="center"/>
    </xf>
    <xf numFmtId="0" fontId="18" fillId="50" borderId="115" applyNumberFormat="0" applyProtection="0">
      <alignment horizontal="left" vertical="center" indent="1"/>
    </xf>
    <xf numFmtId="0" fontId="102" fillId="79" borderId="122" applyNumberFormat="0" applyAlignment="0" applyProtection="0"/>
    <xf numFmtId="0" fontId="110" fillId="77" borderId="122" applyNumberFormat="0" applyAlignment="0" applyProtection="0"/>
    <xf numFmtId="4" fontId="47" fillId="45" borderId="115" applyNumberFormat="0" applyProtection="0">
      <alignment horizontal="right" vertical="center"/>
    </xf>
    <xf numFmtId="4" fontId="51" fillId="35" borderId="115" applyNumberFormat="0" applyProtection="0">
      <alignment vertical="center"/>
    </xf>
    <xf numFmtId="0" fontId="18" fillId="84" borderId="115" applyNumberFormat="0" applyProtection="0">
      <alignment horizontal="left" vertical="center" indent="1"/>
    </xf>
    <xf numFmtId="4" fontId="25" fillId="49" borderId="115" applyNumberFormat="0" applyProtection="0">
      <alignment horizontal="right" vertical="center"/>
    </xf>
    <xf numFmtId="0" fontId="114" fillId="79" borderId="114" applyNumberFormat="0" applyAlignment="0" applyProtection="0"/>
    <xf numFmtId="0" fontId="47" fillId="35" borderId="115" applyNumberFormat="0" applyProtection="0">
      <alignment horizontal="left" vertical="top" indent="1"/>
    </xf>
    <xf numFmtId="0" fontId="105" fillId="0" borderId="119" applyNumberFormat="0" applyFill="0" applyAlignment="0" applyProtection="0"/>
    <xf numFmtId="0" fontId="18" fillId="85" borderId="115" applyNumberFormat="0" applyProtection="0">
      <alignment horizontal="left" vertical="top" indent="1"/>
    </xf>
    <xf numFmtId="0" fontId="114" fillId="79" borderId="114" applyNumberFormat="0" applyAlignment="0" applyProtection="0"/>
    <xf numFmtId="4" fontId="47" fillId="47" borderId="115" applyNumberFormat="0" applyProtection="0">
      <alignment horizontal="right" vertical="center"/>
    </xf>
    <xf numFmtId="0" fontId="47" fillId="34" borderId="115" applyNumberFormat="0" applyProtection="0">
      <alignment horizontal="left" vertical="top"/>
    </xf>
    <xf numFmtId="0" fontId="18" fillId="76" borderId="124" applyNumberFormat="0" applyFont="0" applyAlignment="0" applyProtection="0"/>
    <xf numFmtId="0" fontId="18" fillId="34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4" fontId="27" fillId="38" borderId="115" applyNumberFormat="0" applyProtection="0">
      <alignment horizontal="left" vertical="center" indent="1"/>
    </xf>
    <xf numFmtId="4" fontId="51" fillId="35" borderId="115" applyNumberFormat="0" applyProtection="0">
      <alignment vertical="center"/>
    </xf>
    <xf numFmtId="0" fontId="114" fillId="79" borderId="114" applyNumberFormat="0" applyAlignment="0" applyProtection="0"/>
    <xf numFmtId="0" fontId="18" fillId="85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top" indent="1"/>
    </xf>
    <xf numFmtId="4" fontId="47" fillId="35" borderId="115" applyNumberFormat="0" applyProtection="0">
      <alignment vertical="center"/>
    </xf>
    <xf numFmtId="4" fontId="47" fillId="0" borderId="115" applyNumberFormat="0" applyProtection="0">
      <alignment horizontal="right" vertical="center"/>
    </xf>
    <xf numFmtId="4" fontId="47" fillId="42" borderId="115" applyNumberFormat="0" applyProtection="0">
      <alignment horizontal="right" vertical="center"/>
    </xf>
    <xf numFmtId="0" fontId="105" fillId="0" borderId="119" applyNumberFormat="0" applyFill="0" applyAlignment="0" applyProtection="0"/>
    <xf numFmtId="0" fontId="47" fillId="34" borderId="115" applyNumberFormat="0" applyProtection="0">
      <alignment horizontal="left" vertical="top"/>
    </xf>
    <xf numFmtId="0" fontId="102" fillId="79" borderId="127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05" fillId="0" borderId="119" applyNumberFormat="0" applyFill="0" applyAlignment="0" applyProtection="0"/>
    <xf numFmtId="0" fontId="18" fillId="76" borderId="128" applyNumberFormat="0" applyFont="0" applyAlignment="0" applyProtection="0"/>
    <xf numFmtId="0" fontId="18" fillId="55" borderId="115" applyNumberFormat="0" applyProtection="0">
      <alignment horizontal="left" vertical="center" indent="1"/>
    </xf>
    <xf numFmtId="0" fontId="102" fillId="79" borderId="122" applyNumberFormat="0" applyAlignment="0" applyProtection="0"/>
    <xf numFmtId="4" fontId="47" fillId="51" borderId="115" applyNumberFormat="0" applyProtection="0">
      <alignment horizontal="left" vertical="center" indent="1"/>
    </xf>
    <xf numFmtId="4" fontId="47" fillId="42" borderId="115" applyNumberFormat="0" applyProtection="0">
      <alignment horizontal="right" vertical="center"/>
    </xf>
    <xf numFmtId="4" fontId="47" fillId="43" borderId="115" applyNumberFormat="0" applyProtection="0">
      <alignment horizontal="right" vertical="center"/>
    </xf>
    <xf numFmtId="0" fontId="65" fillId="0" borderId="42" applyNumberFormat="0" applyFont="0" applyFill="0" applyAlignment="0" applyProtection="0"/>
    <xf numFmtId="4" fontId="47" fillId="51" borderId="115" applyNumberFormat="0" applyProtection="0">
      <alignment horizontal="right" vertical="center"/>
    </xf>
    <xf numFmtId="4" fontId="47" fillId="43" borderId="115" applyNumberFormat="0" applyProtection="0">
      <alignment horizontal="right" vertical="center"/>
    </xf>
    <xf numFmtId="0" fontId="18" fillId="50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center" indent="1"/>
    </xf>
    <xf numFmtId="4" fontId="47" fillId="41" borderId="115" applyNumberFormat="0" applyProtection="0">
      <alignment horizontal="right" vertical="center"/>
    </xf>
    <xf numFmtId="4" fontId="47" fillId="51" borderId="115" applyNumberFormat="0" applyProtection="0">
      <alignment horizontal="right" vertical="center"/>
    </xf>
    <xf numFmtId="0" fontId="18" fillId="54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center" indent="1"/>
    </xf>
    <xf numFmtId="4" fontId="47" fillId="42" borderId="115" applyNumberFormat="0" applyProtection="0">
      <alignment horizontal="right" vertical="center"/>
    </xf>
    <xf numFmtId="0" fontId="18" fillId="55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4" fontId="51" fillId="35" borderId="115" applyNumberFormat="0" applyProtection="0">
      <alignment vertical="center"/>
    </xf>
    <xf numFmtId="0" fontId="18" fillId="34" borderId="115" applyNumberFormat="0" applyProtection="0">
      <alignment horizontal="left" vertical="top" indent="1"/>
    </xf>
    <xf numFmtId="4" fontId="47" fillId="45" borderId="115" applyNumberFormat="0" applyProtection="0">
      <alignment horizontal="right" vertical="center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4" fontId="47" fillId="40" borderId="115" applyNumberFormat="0" applyProtection="0">
      <alignment horizontal="right" vertical="center"/>
    </xf>
    <xf numFmtId="0" fontId="47" fillId="34" borderId="115" applyNumberFormat="0" applyProtection="0">
      <alignment horizontal="left" vertical="top"/>
    </xf>
    <xf numFmtId="0" fontId="114" fillId="79" borderId="129" applyNumberFormat="0" applyAlignment="0" applyProtection="0"/>
    <xf numFmtId="0" fontId="18" fillId="51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0" fontId="47" fillId="34" borderId="115" applyNumberFormat="0" applyProtection="0">
      <alignment horizontal="left" vertical="top"/>
    </xf>
    <xf numFmtId="0" fontId="110" fillId="77" borderId="122" applyNumberFormat="0" applyAlignment="0" applyProtection="0"/>
    <xf numFmtId="4" fontId="46" fillId="38" borderId="115" applyNumberFormat="0" applyProtection="0">
      <alignment vertical="center"/>
    </xf>
    <xf numFmtId="0" fontId="18" fillId="34" borderId="115" applyNumberFormat="0" applyProtection="0">
      <alignment horizontal="left" vertical="center" indent="1"/>
    </xf>
    <xf numFmtId="4" fontId="47" fillId="39" borderId="115" applyNumberFormat="0" applyProtection="0">
      <alignment horizontal="right" vertical="center"/>
    </xf>
    <xf numFmtId="0" fontId="18" fillId="50" borderId="115" applyNumberFormat="0" applyProtection="0">
      <alignment horizontal="left" vertical="top" indent="1"/>
    </xf>
    <xf numFmtId="0" fontId="18" fillId="76" borderId="124" applyNumberFormat="0" applyFont="0" applyAlignment="0" applyProtection="0"/>
    <xf numFmtId="4" fontId="47" fillId="51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10" fillId="77" borderId="122" applyNumberFormat="0" applyAlignment="0" applyProtection="0"/>
    <xf numFmtId="0" fontId="105" fillId="0" borderId="119" applyNumberFormat="0" applyFill="0" applyAlignment="0" applyProtection="0"/>
    <xf numFmtId="4" fontId="47" fillId="47" borderId="115" applyNumberFormat="0" applyProtection="0">
      <alignment horizontal="right" vertical="center"/>
    </xf>
    <xf numFmtId="0" fontId="18" fillId="50" borderId="115" applyNumberFormat="0" applyProtection="0">
      <alignment horizontal="left" vertical="center" indent="1"/>
    </xf>
    <xf numFmtId="0" fontId="102" fillId="79" borderId="122" applyNumberFormat="0" applyAlignment="0" applyProtection="0"/>
    <xf numFmtId="0" fontId="47" fillId="34" borderId="115" applyNumberFormat="0" applyProtection="0">
      <alignment horizontal="left" vertical="top"/>
    </xf>
    <xf numFmtId="0" fontId="18" fillId="49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center" indent="1"/>
    </xf>
    <xf numFmtId="4" fontId="47" fillId="41" borderId="115" applyNumberFormat="0" applyProtection="0">
      <alignment horizontal="right" vertical="center"/>
    </xf>
    <xf numFmtId="0" fontId="18" fillId="49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center" indent="1"/>
    </xf>
    <xf numFmtId="0" fontId="18" fillId="76" borderId="124" applyNumberFormat="0" applyFont="0" applyAlignment="0" applyProtection="0"/>
    <xf numFmtId="0" fontId="105" fillId="0" borderId="119" applyNumberFormat="0" applyFill="0" applyAlignment="0" applyProtection="0"/>
    <xf numFmtId="4" fontId="27" fillId="38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top" indent="1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47" fillId="34" borderId="115" applyNumberFormat="0" applyProtection="0">
      <alignment horizontal="left" vertical="top"/>
    </xf>
    <xf numFmtId="0" fontId="18" fillId="76" borderId="128" applyNumberFormat="0" applyFont="0" applyAlignment="0" applyProtection="0"/>
    <xf numFmtId="0" fontId="18" fillId="55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4" fontId="51" fillId="35" borderId="115" applyNumberFormat="0" applyProtection="0">
      <alignment vertical="center"/>
    </xf>
    <xf numFmtId="4" fontId="47" fillId="0" borderId="115" applyNumberFormat="0" applyProtection="0">
      <alignment horizontal="left" vertical="center" indent="1"/>
    </xf>
    <xf numFmtId="0" fontId="18" fillId="76" borderId="124" applyNumberFormat="0" applyFont="0" applyAlignment="0" applyProtection="0"/>
    <xf numFmtId="0" fontId="47" fillId="34" borderId="115" applyNumberFormat="0" applyProtection="0">
      <alignment horizontal="left" vertical="top"/>
    </xf>
    <xf numFmtId="0" fontId="105" fillId="0" borderId="119" applyNumberFormat="0" applyFill="0" applyAlignment="0" applyProtection="0"/>
    <xf numFmtId="0" fontId="18" fillId="49" borderId="115" applyNumberFormat="0" applyProtection="0">
      <alignment horizontal="left" vertical="center" indent="1"/>
    </xf>
    <xf numFmtId="4" fontId="46" fillId="38" borderId="115" applyNumberFormat="0" applyProtection="0">
      <alignment vertical="center"/>
    </xf>
    <xf numFmtId="0" fontId="110" fillId="77" borderId="122" applyNumberFormat="0" applyAlignment="0" applyProtection="0"/>
    <xf numFmtId="0" fontId="102" fillId="79" borderId="122" applyNumberFormat="0" applyAlignment="0" applyProtection="0"/>
    <xf numFmtId="0" fontId="105" fillId="0" borderId="119" applyNumberFormat="0" applyFill="0" applyAlignment="0" applyProtection="0"/>
    <xf numFmtId="0" fontId="26" fillId="0" borderId="27">
      <alignment horizontal="left" vertical="center"/>
    </xf>
    <xf numFmtId="0" fontId="26" fillId="0" borderId="123">
      <alignment horizontal="left" vertical="center"/>
    </xf>
    <xf numFmtId="0" fontId="110" fillId="77" borderId="122" applyNumberFormat="0" applyAlignment="0" applyProtection="0"/>
    <xf numFmtId="0" fontId="18" fillId="85" borderId="115" applyNumberFormat="0" applyProtection="0">
      <alignment horizontal="left" vertical="top" indent="1"/>
    </xf>
    <xf numFmtId="4" fontId="47" fillId="0" borderId="115" applyNumberFormat="0" applyProtection="0">
      <alignment horizontal="left" vertical="center" indent="1"/>
    </xf>
    <xf numFmtId="0" fontId="114" fillId="79" borderId="114" applyNumberFormat="0" applyAlignment="0" applyProtection="0"/>
    <xf numFmtId="0" fontId="18" fillId="49" borderId="115" applyNumberFormat="0" applyProtection="0">
      <alignment horizontal="left" vertical="center" indent="1"/>
    </xf>
    <xf numFmtId="0" fontId="102" fillId="79" borderId="122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4" fontId="27" fillId="34" borderId="115" applyNumberFormat="0" applyProtection="0"/>
    <xf numFmtId="0" fontId="105" fillId="0" borderId="119" applyNumberFormat="0" applyFill="0" applyAlignment="0" applyProtection="0"/>
    <xf numFmtId="0" fontId="47" fillId="35" borderId="115" applyNumberFormat="0" applyProtection="0">
      <alignment horizontal="left" vertical="top" indent="1"/>
    </xf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34" borderId="115" applyNumberFormat="0" applyProtection="0">
      <alignment horizontal="left" vertical="top" indent="1"/>
    </xf>
    <xf numFmtId="4" fontId="47" fillId="51" borderId="115" applyNumberFormat="0" applyProtection="0">
      <alignment horizontal="right" vertical="center"/>
    </xf>
    <xf numFmtId="0" fontId="18" fillId="76" borderId="124" applyNumberFormat="0" applyFont="0" applyAlignment="0" applyProtection="0"/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14" fillId="79" borderId="114" applyNumberFormat="0" applyAlignment="0" applyProtection="0"/>
    <xf numFmtId="0" fontId="110" fillId="77" borderId="122" applyNumberFormat="0" applyAlignment="0" applyProtection="0"/>
    <xf numFmtId="0" fontId="114" fillId="79" borderId="114" applyNumberFormat="0" applyAlignment="0" applyProtection="0"/>
    <xf numFmtId="0" fontId="18" fillId="34" borderId="115" applyNumberFormat="0" applyProtection="0">
      <alignment horizontal="left" vertical="top" indent="1"/>
    </xf>
    <xf numFmtId="0" fontId="114" fillId="79" borderId="114" applyNumberFormat="0" applyAlignment="0" applyProtection="0"/>
    <xf numFmtId="0" fontId="18" fillId="34" borderId="115" applyNumberFormat="0" applyProtection="0">
      <alignment horizontal="left" vertical="top" indent="1"/>
    </xf>
    <xf numFmtId="4" fontId="47" fillId="0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top" indent="1"/>
    </xf>
    <xf numFmtId="0" fontId="47" fillId="34" borderId="115" applyNumberFormat="0" applyProtection="0">
      <alignment horizontal="center" vertical="top"/>
    </xf>
    <xf numFmtId="0" fontId="110" fillId="77" borderId="122" applyNumberFormat="0" applyAlignment="0" applyProtection="0"/>
    <xf numFmtId="4" fontId="51" fillId="49" borderId="115" applyNumberFormat="0" applyProtection="0">
      <alignment horizontal="right" vertical="center"/>
    </xf>
    <xf numFmtId="0" fontId="114" fillId="79" borderId="114" applyNumberFormat="0" applyAlignment="0" applyProtection="0"/>
    <xf numFmtId="0" fontId="18" fillId="8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05" fillId="0" borderId="119" applyNumberFormat="0" applyFill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55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center" indent="1"/>
    </xf>
    <xf numFmtId="4" fontId="27" fillId="37" borderId="115" applyNumberFormat="0" applyProtection="0">
      <alignment vertical="center"/>
    </xf>
    <xf numFmtId="0" fontId="18" fillId="51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4" fontId="27" fillId="37" borderId="115" applyNumberFormat="0" applyProtection="0">
      <alignment vertical="center"/>
    </xf>
    <xf numFmtId="0" fontId="18" fillId="54" borderId="115" applyNumberFormat="0" applyProtection="0">
      <alignment horizontal="left" vertical="center" indent="1"/>
    </xf>
    <xf numFmtId="0" fontId="110" fillId="77" borderId="122" applyNumberFormat="0" applyAlignment="0" applyProtection="0"/>
    <xf numFmtId="0" fontId="18" fillId="84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4" fontId="51" fillId="49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59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63" fillId="59" borderId="121" applyNumberFormat="0" applyFont="0" applyFill="0" applyAlignment="0" applyProtection="0">
      <protection locked="0"/>
    </xf>
    <xf numFmtId="0" fontId="47" fillId="34" borderId="115" applyNumberFormat="0" applyProtection="0">
      <alignment horizontal="center" vertical="top"/>
    </xf>
    <xf numFmtId="0" fontId="114" fillId="79" borderId="114" applyNumberFormat="0" applyAlignment="0" applyProtection="0"/>
    <xf numFmtId="0" fontId="18" fillId="84" borderId="115" applyNumberFormat="0" applyProtection="0">
      <alignment horizontal="left" vertical="center" indent="1"/>
    </xf>
    <xf numFmtId="0" fontId="18" fillId="76" borderId="124" applyNumberFormat="0" applyFont="0" applyAlignment="0" applyProtection="0"/>
    <xf numFmtId="0" fontId="102" fillId="79" borderId="122" applyNumberFormat="0" applyAlignment="0" applyProtection="0"/>
    <xf numFmtId="4" fontId="47" fillId="45" borderId="115" applyNumberFormat="0" applyProtection="0">
      <alignment horizontal="right" vertical="center"/>
    </xf>
    <xf numFmtId="0" fontId="18" fillId="54" borderId="115" applyNumberFormat="0" applyProtection="0">
      <alignment horizontal="left" vertical="center" indent="1"/>
    </xf>
    <xf numFmtId="0" fontId="24" fillId="59" borderId="121" applyNumberFormat="0" applyFont="0" applyAlignment="0" applyProtection="0">
      <protection locked="0"/>
    </xf>
    <xf numFmtId="0" fontId="110" fillId="77" borderId="122" applyNumberFormat="0" applyAlignment="0" applyProtection="0"/>
    <xf numFmtId="0" fontId="18" fillId="51" borderId="115" applyNumberFormat="0" applyProtection="0">
      <alignment horizontal="left" vertical="top" indent="1"/>
    </xf>
    <xf numFmtId="0" fontId="63" fillId="59" borderId="131" applyNumberFormat="0" applyFont="0" applyFill="0" applyAlignment="0" applyProtection="0">
      <protection locked="0"/>
    </xf>
    <xf numFmtId="0" fontId="18" fillId="55" borderId="115" applyNumberFormat="0" applyProtection="0">
      <alignment horizontal="left" vertical="center" indent="1"/>
    </xf>
    <xf numFmtId="4" fontId="47" fillId="35" borderId="115" applyNumberFormat="0" applyProtection="0">
      <alignment horizontal="left" vertical="center" indent="1"/>
    </xf>
    <xf numFmtId="0" fontId="105" fillId="0" borderId="119" applyNumberFormat="0" applyFill="0" applyAlignment="0" applyProtection="0"/>
    <xf numFmtId="0" fontId="18" fillId="0" borderId="112" applyNumberFormat="0" applyFill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4" fontId="47" fillId="47" borderId="115" applyNumberFormat="0" applyProtection="0">
      <alignment horizontal="right" vertical="center"/>
    </xf>
    <xf numFmtId="0" fontId="18" fillId="49" borderId="115" applyNumberFormat="0" applyProtection="0">
      <alignment horizontal="left" vertical="top" indent="1"/>
    </xf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4" fontId="47" fillId="44" borderId="115" applyNumberFormat="0" applyProtection="0">
      <alignment horizontal="right" vertical="center"/>
    </xf>
    <xf numFmtId="0" fontId="102" fillId="79" borderId="122" applyNumberFormat="0" applyAlignment="0" applyProtection="0"/>
    <xf numFmtId="0" fontId="18" fillId="54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top" indent="1"/>
    </xf>
    <xf numFmtId="0" fontId="114" fillId="79" borderId="114" applyNumberFormat="0" applyAlignment="0" applyProtection="0"/>
    <xf numFmtId="0" fontId="18" fillId="51" borderId="115" applyNumberFormat="0" applyProtection="0">
      <alignment horizontal="left" vertical="top" indent="1"/>
    </xf>
    <xf numFmtId="0" fontId="114" fillId="79" borderId="114" applyNumberForma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50" borderId="115" applyNumberFormat="0" applyProtection="0">
      <alignment horizontal="left" vertical="top" indent="1"/>
    </xf>
    <xf numFmtId="0" fontId="102" fillId="79" borderId="127" applyNumberFormat="0" applyAlignment="0" applyProtection="0"/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10" fillId="77" borderId="127" applyNumberFormat="0" applyAlignment="0" applyProtection="0"/>
    <xf numFmtId="0" fontId="18" fillId="50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4" fontId="47" fillId="40" borderId="115" applyNumberFormat="0" applyProtection="0">
      <alignment horizontal="right" vertical="center"/>
    </xf>
    <xf numFmtId="0" fontId="102" fillId="79" borderId="122" applyNumberFormat="0" applyAlignment="0" applyProtection="0"/>
    <xf numFmtId="0" fontId="110" fillId="77" borderId="122" applyNumberFormat="0" applyAlignment="0" applyProtection="0"/>
    <xf numFmtId="4" fontId="27" fillId="38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top" indent="1"/>
    </xf>
    <xf numFmtId="4" fontId="27" fillId="34" borderId="115" applyNumberFormat="0" applyProtection="0"/>
    <xf numFmtId="0" fontId="24" fillId="59" borderId="131" applyNumberFormat="0" applyFont="0" applyAlignment="0" applyProtection="0">
      <protection locked="0"/>
    </xf>
    <xf numFmtId="0" fontId="63" fillId="59" borderId="131" applyNumberFormat="0" applyFont="0" applyFill="0" applyAlignment="0" applyProtection="0">
      <protection locked="0"/>
    </xf>
    <xf numFmtId="4" fontId="27" fillId="34" borderId="115" applyNumberFormat="0" applyProtection="0"/>
    <xf numFmtId="4" fontId="47" fillId="43" borderId="115" applyNumberFormat="0" applyProtection="0">
      <alignment horizontal="right" vertical="center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4" fontId="25" fillId="49" borderId="126" applyNumberFormat="0" applyProtection="0">
      <alignment horizontal="right" vertical="center"/>
    </xf>
    <xf numFmtId="0" fontId="47" fillId="34" borderId="126" applyNumberFormat="0" applyProtection="0">
      <alignment horizontal="left" vertical="top"/>
    </xf>
    <xf numFmtId="4" fontId="47" fillId="0" borderId="126" applyNumberFormat="0" applyProtection="0">
      <alignment horizontal="left" vertical="center" indent="1"/>
    </xf>
    <xf numFmtId="4" fontId="51" fillId="49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0" fontId="47" fillId="35" borderId="126" applyNumberFormat="0" applyProtection="0">
      <alignment horizontal="left" vertical="top" indent="1"/>
    </xf>
    <xf numFmtId="4" fontId="47" fillId="35" borderId="126" applyNumberFormat="0" applyProtection="0">
      <alignment horizontal="left" vertical="center" indent="1"/>
    </xf>
    <xf numFmtId="4" fontId="51" fillId="35" borderId="126" applyNumberFormat="0" applyProtection="0">
      <alignment vertical="center"/>
    </xf>
    <xf numFmtId="4" fontId="47" fillId="35" borderId="126" applyNumberFormat="0" applyProtection="0">
      <alignment vertical="center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4" fontId="47" fillId="51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39" borderId="126" applyNumberFormat="0" applyProtection="0">
      <alignment horizontal="right" vertical="center"/>
    </xf>
    <xf numFmtId="0" fontId="27" fillId="38" borderId="126" applyNumberFormat="0" applyProtection="0">
      <alignment horizontal="left" vertical="top" indent="1"/>
    </xf>
    <xf numFmtId="4" fontId="27" fillId="38" borderId="126" applyNumberFormat="0" applyProtection="0">
      <alignment horizontal="left" vertical="center" indent="1"/>
    </xf>
    <xf numFmtId="4" fontId="46" fillId="38" borderId="126" applyNumberFormat="0" applyProtection="0">
      <alignment vertical="center"/>
    </xf>
    <xf numFmtId="4" fontId="27" fillId="37" borderId="126" applyNumberFormat="0" applyProtection="0">
      <alignment vertical="center"/>
    </xf>
    <xf numFmtId="0" fontId="63" fillId="59" borderId="131" applyNumberFormat="0" applyFont="0" applyFill="0" applyAlignment="0" applyProtection="0">
      <protection locked="0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4" fontId="47" fillId="46" borderId="115" applyNumberFormat="0" applyProtection="0">
      <alignment horizontal="right" vertical="center"/>
    </xf>
    <xf numFmtId="4" fontId="51" fillId="49" borderId="115" applyNumberFormat="0" applyProtection="0">
      <alignment horizontal="right" vertical="center"/>
    </xf>
    <xf numFmtId="0" fontId="105" fillId="0" borderId="119" applyNumberFormat="0" applyFill="0" applyAlignment="0" applyProtection="0"/>
    <xf numFmtId="0" fontId="114" fillId="79" borderId="114" applyNumberFormat="0" applyAlignment="0" applyProtection="0"/>
    <xf numFmtId="4" fontId="47" fillId="0" borderId="115" applyNumberFormat="0" applyProtection="0">
      <alignment horizontal="right" vertical="center"/>
    </xf>
    <xf numFmtId="4" fontId="25" fillId="49" borderId="115" applyNumberFormat="0" applyProtection="0">
      <alignment horizontal="right" vertical="center"/>
    </xf>
    <xf numFmtId="0" fontId="102" fillId="79" borderId="122" applyNumberFormat="0" applyAlignment="0" applyProtection="0"/>
    <xf numFmtId="0" fontId="24" fillId="59" borderId="131" applyNumberFormat="0" applyFont="0" applyAlignment="0" applyProtection="0">
      <protection locked="0"/>
    </xf>
    <xf numFmtId="0" fontId="24" fillId="59" borderId="131" applyNumberFormat="0" applyFont="0" applyAlignment="0" applyProtection="0">
      <protection locked="0"/>
    </xf>
    <xf numFmtId="4" fontId="47" fillId="41" borderId="115" applyNumberFormat="0" applyProtection="0">
      <alignment horizontal="right" vertical="center"/>
    </xf>
    <xf numFmtId="0" fontId="26" fillId="0" borderId="27">
      <alignment horizontal="left" vertical="center"/>
    </xf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8" fillId="54" borderId="115" applyNumberFormat="0" applyProtection="0">
      <alignment horizontal="left" vertical="top" indent="1"/>
    </xf>
    <xf numFmtId="0" fontId="24" fillId="59" borderId="121" applyNumberFormat="0" applyFont="0" applyAlignment="0" applyProtection="0">
      <protection locked="0"/>
    </xf>
    <xf numFmtId="0" fontId="102" fillId="79" borderId="122" applyNumberFormat="0" applyAlignment="0" applyProtection="0"/>
    <xf numFmtId="0" fontId="110" fillId="77" borderId="122" applyNumberFormat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8" fillId="54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center" indent="1"/>
    </xf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8" fillId="85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center" indent="1"/>
    </xf>
    <xf numFmtId="0" fontId="47" fillId="35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center" indent="1"/>
    </xf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4" fontId="27" fillId="37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27" fillId="38" borderId="126" applyNumberFormat="0" applyProtection="0">
      <alignment horizontal="left" vertical="center" indent="1"/>
    </xf>
    <xf numFmtId="0" fontId="27" fillId="38" borderId="126" applyNumberFormat="0" applyProtection="0">
      <alignment horizontal="left" vertical="top" indent="1"/>
    </xf>
    <xf numFmtId="4" fontId="47" fillId="39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0" fontId="18" fillId="50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4" fontId="47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47" fillId="35" borderId="126" applyNumberFormat="0" applyProtection="0">
      <alignment horizontal="left" vertical="center" indent="1"/>
    </xf>
    <xf numFmtId="0" fontId="47" fillId="3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4" fontId="25" fillId="49" borderId="126" applyNumberFormat="0" applyProtection="0">
      <alignment horizontal="right" vertical="center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10" fillId="77" borderId="122" applyNumberFormat="0" applyAlignment="0" applyProtection="0"/>
    <xf numFmtId="0" fontId="114" fillId="79" borderId="114" applyNumberFormat="0" applyAlignment="0" applyProtection="0"/>
    <xf numFmtId="4" fontId="47" fillId="51" borderId="115" applyNumberFormat="0" applyProtection="0">
      <alignment horizontal="right" vertical="center"/>
    </xf>
    <xf numFmtId="4" fontId="47" fillId="42" borderId="115" applyNumberFormat="0" applyProtection="0">
      <alignment horizontal="right" vertical="center"/>
    </xf>
    <xf numFmtId="0" fontId="26" fillId="0" borderId="27">
      <alignment horizontal="left" vertical="center"/>
    </xf>
    <xf numFmtId="4" fontId="27" fillId="34" borderId="29" applyNumberFormat="0" applyProtection="0">
      <alignment vertical="center"/>
    </xf>
    <xf numFmtId="4" fontId="47" fillId="0" borderId="126" applyNumberFormat="0" applyProtection="0">
      <alignment horizontal="right" vertical="center"/>
    </xf>
    <xf numFmtId="0" fontId="18" fillId="51" borderId="126" applyNumberFormat="0" applyProtection="0">
      <alignment horizontal="left" vertical="center" indent="1"/>
    </xf>
    <xf numFmtId="4" fontId="27" fillId="37" borderId="126" applyNumberFormat="0" applyProtection="0">
      <alignment vertical="center"/>
    </xf>
    <xf numFmtId="0" fontId="110" fillId="77" borderId="127" applyNumberFormat="0" applyAlignment="0" applyProtection="0"/>
    <xf numFmtId="0" fontId="24" fillId="59" borderId="131" applyNumberFormat="0" applyFont="0" applyAlignment="0" applyProtection="0">
      <protection locked="0"/>
    </xf>
    <xf numFmtId="0" fontId="102" fillId="79" borderId="127" applyNumberFormat="0" applyAlignment="0" applyProtection="0"/>
    <xf numFmtId="4" fontId="47" fillId="42" borderId="126" applyNumberFormat="0" applyProtection="0">
      <alignment horizontal="right" vertical="center"/>
    </xf>
    <xf numFmtId="0" fontId="18" fillId="51" borderId="126" applyNumberFormat="0" applyProtection="0">
      <alignment horizontal="left" vertical="top" indent="1"/>
    </xf>
    <xf numFmtId="4" fontId="25" fillId="49" borderId="126" applyNumberFormat="0" applyProtection="0">
      <alignment horizontal="right" vertical="center"/>
    </xf>
    <xf numFmtId="0" fontId="114" fillId="79" borderId="129" applyNumberFormat="0" applyAlignment="0" applyProtection="0"/>
    <xf numFmtId="0" fontId="47" fillId="35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02" fillId="79" borderId="127" applyNumberFormat="0" applyAlignment="0" applyProtection="0"/>
    <xf numFmtId="4" fontId="47" fillId="43" borderId="126" applyNumberFormat="0" applyProtection="0">
      <alignment horizontal="right" vertical="center"/>
    </xf>
    <xf numFmtId="0" fontId="18" fillId="54" borderId="126" applyNumberFormat="0" applyProtection="0">
      <alignment horizontal="left" vertical="center" indent="1"/>
    </xf>
    <xf numFmtId="0" fontId="114" fillId="79" borderId="129" applyNumberFormat="0" applyAlignment="0" applyProtection="0"/>
    <xf numFmtId="4" fontId="25" fillId="49" borderId="126" applyNumberFormat="0" applyProtection="0">
      <alignment horizontal="right" vertical="center"/>
    </xf>
    <xf numFmtId="0" fontId="18" fillId="51" borderId="126" applyNumberFormat="0" applyProtection="0">
      <alignment horizontal="left" vertical="top" indent="1"/>
    </xf>
    <xf numFmtId="4" fontId="47" fillId="39" borderId="126" applyNumberFormat="0" applyProtection="0">
      <alignment horizontal="right" vertical="center"/>
    </xf>
    <xf numFmtId="0" fontId="18" fillId="76" borderId="128" applyNumberFormat="0" applyFont="0" applyAlignment="0" applyProtection="0"/>
    <xf numFmtId="0" fontId="105" fillId="0" borderId="130" applyNumberFormat="0" applyFill="0" applyAlignment="0" applyProtection="0"/>
    <xf numFmtId="0" fontId="27" fillId="38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center" indent="1"/>
    </xf>
    <xf numFmtId="4" fontId="47" fillId="0" borderId="126" applyNumberFormat="0" applyProtection="0">
      <alignment horizontal="right" vertical="center"/>
    </xf>
    <xf numFmtId="0" fontId="105" fillId="0" borderId="130" applyNumberFormat="0" applyFill="0" applyAlignment="0" applyProtection="0"/>
    <xf numFmtId="0" fontId="18" fillId="76" borderId="128" applyNumberFormat="0" applyFont="0" applyAlignment="0" applyProtection="0"/>
    <xf numFmtId="0" fontId="18" fillId="49" borderId="126" applyNumberFormat="0" applyProtection="0">
      <alignment horizontal="left" vertical="center" indent="1"/>
    </xf>
    <xf numFmtId="4" fontId="47" fillId="51" borderId="126" applyNumberFormat="0" applyProtection="0">
      <alignment horizontal="right" vertical="center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49" borderId="126" applyNumberFormat="0" applyProtection="0">
      <alignment horizontal="left" vertical="center" indent="1"/>
    </xf>
    <xf numFmtId="0" fontId="105" fillId="0" borderId="130" applyNumberFormat="0" applyFill="0" applyAlignment="0" applyProtection="0"/>
    <xf numFmtId="0" fontId="18" fillId="85" borderId="126" applyNumberFormat="0" applyProtection="0">
      <alignment horizontal="left" vertical="center" indent="1"/>
    </xf>
    <xf numFmtId="4" fontId="47" fillId="41" borderId="126" applyNumberFormat="0" applyProtection="0">
      <alignment horizontal="right" vertical="center"/>
    </xf>
    <xf numFmtId="0" fontId="18" fillId="76" borderId="128" applyNumberFormat="0" applyFont="0" applyAlignment="0" applyProtection="0"/>
    <xf numFmtId="4" fontId="46" fillId="38" borderId="126" applyNumberFormat="0" applyProtection="0">
      <alignment vertical="center"/>
    </xf>
    <xf numFmtId="0" fontId="18" fillId="84" borderId="126" applyNumberFormat="0" applyProtection="0">
      <alignment horizontal="left" vertical="top" indent="1"/>
    </xf>
    <xf numFmtId="4" fontId="47" fillId="35" borderId="126" applyNumberFormat="0" applyProtection="0">
      <alignment horizontal="left" vertical="center" indent="1"/>
    </xf>
    <xf numFmtId="0" fontId="105" fillId="0" borderId="130" applyNumberFormat="0" applyFill="0" applyAlignment="0" applyProtection="0"/>
    <xf numFmtId="0" fontId="18" fillId="76" borderId="128" applyNumberFormat="0" applyFont="0" applyAlignment="0" applyProtection="0"/>
    <xf numFmtId="0" fontId="18" fillId="49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center" indent="1"/>
    </xf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14" fillId="79" borderId="129" applyNumberFormat="0" applyAlignment="0" applyProtection="0"/>
    <xf numFmtId="4" fontId="47" fillId="51" borderId="126" applyNumberFormat="0" applyProtection="0">
      <alignment horizontal="right" vertical="center"/>
    </xf>
    <xf numFmtId="0" fontId="18" fillId="85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24" fillId="59" borderId="131" applyNumberFormat="0" applyFont="0" applyAlignment="0" applyProtection="0">
      <protection locked="0"/>
    </xf>
    <xf numFmtId="4" fontId="47" fillId="43" borderId="126" applyNumberFormat="0" applyProtection="0">
      <alignment horizontal="right" vertical="center"/>
    </xf>
    <xf numFmtId="0" fontId="18" fillId="54" borderId="126" applyNumberFormat="0" applyProtection="0">
      <alignment horizontal="left" vertical="top" indent="1"/>
    </xf>
    <xf numFmtId="0" fontId="18" fillId="76" borderId="128" applyNumberFormat="0" applyFont="0" applyAlignment="0" applyProtection="0"/>
    <xf numFmtId="0" fontId="105" fillId="0" borderId="130" applyNumberFormat="0" applyFill="0" applyAlignment="0" applyProtection="0"/>
    <xf numFmtId="0" fontId="18" fillId="50" borderId="126" applyNumberFormat="0" applyProtection="0">
      <alignment horizontal="left" vertical="top" indent="1"/>
    </xf>
    <xf numFmtId="4" fontId="47" fillId="35" borderId="126" applyNumberFormat="0" applyProtection="0">
      <alignment vertical="center"/>
    </xf>
    <xf numFmtId="0" fontId="105" fillId="0" borderId="130" applyNumberFormat="0" applyFill="0" applyAlignment="0" applyProtection="0"/>
    <xf numFmtId="0" fontId="18" fillId="76" borderId="128" applyNumberFormat="0" applyFont="0" applyAlignment="0" applyProtection="0"/>
    <xf numFmtId="4" fontId="47" fillId="35" borderId="126" applyNumberFormat="0" applyProtection="0">
      <alignment vertical="center"/>
    </xf>
    <xf numFmtId="0" fontId="18" fillId="50" borderId="126" applyNumberFormat="0" applyProtection="0">
      <alignment horizontal="left" vertical="top" indent="1"/>
    </xf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14" fillId="79" borderId="129" applyNumberFormat="0" applyAlignment="0" applyProtection="0"/>
    <xf numFmtId="4" fontId="47" fillId="46" borderId="126" applyNumberFormat="0" applyProtection="0">
      <alignment horizontal="right" vertical="center"/>
    </xf>
    <xf numFmtId="0" fontId="18" fillId="54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63" fillId="59" borderId="131" applyNumberFormat="0" applyFont="0" applyFill="0" applyAlignment="0" applyProtection="0">
      <protection locked="0"/>
    </xf>
    <xf numFmtId="0" fontId="105" fillId="0" borderId="130" applyNumberFormat="0" applyFill="0" applyAlignment="0" applyProtection="0"/>
    <xf numFmtId="0" fontId="18" fillId="85" borderId="126" applyNumberFormat="0" applyProtection="0">
      <alignment horizontal="left" vertical="top" indent="1"/>
    </xf>
    <xf numFmtId="4" fontId="47" fillId="45" borderId="126" applyNumberFormat="0" applyProtection="0">
      <alignment horizontal="right" vertical="center"/>
    </xf>
    <xf numFmtId="0" fontId="110" fillId="77" borderId="127" applyNumberFormat="0" applyAlignment="0" applyProtection="0"/>
    <xf numFmtId="0" fontId="18" fillId="84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top" indent="1"/>
    </xf>
    <xf numFmtId="4" fontId="47" fillId="35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top" indent="1"/>
    </xf>
    <xf numFmtId="0" fontId="102" fillId="79" borderId="127" applyNumberFormat="0" applyAlignment="0" applyProtection="0"/>
    <xf numFmtId="4" fontId="47" fillId="44" borderId="126" applyNumberFormat="0" applyProtection="0">
      <alignment horizontal="right" vertical="center"/>
    </xf>
    <xf numFmtId="0" fontId="18" fillId="85" borderId="126" applyNumberFormat="0" applyProtection="0">
      <alignment horizontal="left" vertical="center" indent="1"/>
    </xf>
    <xf numFmtId="0" fontId="114" fillId="79" borderId="129" applyNumberFormat="0" applyAlignment="0" applyProtection="0"/>
    <xf numFmtId="4" fontId="51" fillId="49" borderId="126" applyNumberFormat="0" applyProtection="0">
      <alignment horizontal="right" vertical="center"/>
    </xf>
    <xf numFmtId="0" fontId="18" fillId="51" borderId="126" applyNumberFormat="0" applyProtection="0">
      <alignment horizontal="left" vertical="center" indent="1"/>
    </xf>
    <xf numFmtId="4" fontId="46" fillId="38" borderId="126" applyNumberFormat="0" applyProtection="0">
      <alignment vertical="center"/>
    </xf>
    <xf numFmtId="0" fontId="110" fillId="77" borderId="127" applyNumberFormat="0" applyAlignment="0" applyProtection="0"/>
    <xf numFmtId="0" fontId="102" fillId="79" borderId="127" applyNumberFormat="0" applyAlignment="0" applyProtection="0"/>
    <xf numFmtId="4" fontId="47" fillId="41" borderId="126" applyNumberFormat="0" applyProtection="0">
      <alignment horizontal="right" vertical="center"/>
    </xf>
    <xf numFmtId="0" fontId="18" fillId="51" borderId="126" applyNumberFormat="0" applyProtection="0">
      <alignment horizontal="left" vertical="top" indent="1"/>
    </xf>
    <xf numFmtId="0" fontId="47" fillId="34" borderId="126" applyNumberFormat="0" applyProtection="0">
      <alignment horizontal="left" vertical="top"/>
    </xf>
    <xf numFmtId="0" fontId="114" fillId="79" borderId="129" applyNumberFormat="0" applyAlignment="0" applyProtection="0"/>
    <xf numFmtId="0" fontId="26" fillId="0" borderId="27">
      <alignment horizontal="left" vertical="center"/>
    </xf>
    <xf numFmtId="4" fontId="27" fillId="34" borderId="29" applyNumberFormat="0" applyProtection="0">
      <alignment vertical="center"/>
    </xf>
    <xf numFmtId="0" fontId="26" fillId="0" borderId="27">
      <alignment horizontal="left" vertical="center"/>
    </xf>
    <xf numFmtId="4" fontId="27" fillId="34" borderId="29" applyNumberFormat="0" applyProtection="0">
      <alignment vertical="center"/>
    </xf>
    <xf numFmtId="4" fontId="27" fillId="34" borderId="29" applyNumberFormat="0" applyProtection="0">
      <alignment vertical="center"/>
    </xf>
    <xf numFmtId="4" fontId="47" fillId="0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4" fontId="27" fillId="38" borderId="126" applyNumberFormat="0" applyProtection="0">
      <alignment horizontal="left" vertical="center" indent="1"/>
    </xf>
    <xf numFmtId="0" fontId="110" fillId="77" borderId="127" applyNumberFormat="0" applyAlignment="0" applyProtection="0"/>
    <xf numFmtId="4" fontId="47" fillId="40" borderId="126" applyNumberFormat="0" applyProtection="0">
      <alignment horizontal="right" vertical="center"/>
    </xf>
    <xf numFmtId="0" fontId="18" fillId="34" borderId="126" applyNumberFormat="0" applyProtection="0">
      <alignment horizontal="left" vertical="top" indent="1"/>
    </xf>
    <xf numFmtId="4" fontId="47" fillId="0" borderId="126" applyNumberFormat="0" applyProtection="0">
      <alignment horizontal="left" vertical="center" indent="1"/>
    </xf>
    <xf numFmtId="0" fontId="114" fillId="79" borderId="129" applyNumberFormat="0" applyAlignment="0" applyProtection="0"/>
    <xf numFmtId="0" fontId="105" fillId="0" borderId="130" applyNumberFormat="0" applyFill="0" applyAlignment="0" applyProtection="0"/>
    <xf numFmtId="0" fontId="18" fillId="55" borderId="126" applyNumberFormat="0" applyProtection="0">
      <alignment horizontal="left" vertical="center" indent="1"/>
    </xf>
    <xf numFmtId="4" fontId="47" fillId="46" borderId="126" applyNumberFormat="0" applyProtection="0">
      <alignment horizontal="right" vertical="center"/>
    </xf>
    <xf numFmtId="0" fontId="110" fillId="77" borderId="127" applyNumberFormat="0" applyAlignment="0" applyProtection="0"/>
    <xf numFmtId="0" fontId="18" fillId="50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0" fontId="47" fillId="34" borderId="126" applyNumberFormat="0" applyProtection="0">
      <alignment horizontal="left" vertical="top"/>
    </xf>
    <xf numFmtId="0" fontId="18" fillId="51" borderId="126" applyNumberFormat="0" applyProtection="0">
      <alignment horizontal="left" vertical="top" indent="1"/>
    </xf>
    <xf numFmtId="0" fontId="27" fillId="38" borderId="126" applyNumberFormat="0" applyProtection="0">
      <alignment horizontal="left" vertical="top" indent="1"/>
    </xf>
    <xf numFmtId="0" fontId="18" fillId="76" borderId="128" applyNumberFormat="0" applyFont="0" applyAlignment="0" applyProtection="0"/>
    <xf numFmtId="0" fontId="110" fillId="77" borderId="127" applyNumberFormat="0" applyAlignment="0" applyProtection="0"/>
    <xf numFmtId="0" fontId="105" fillId="0" borderId="130" applyNumberFormat="0" applyFill="0" applyAlignment="0" applyProtection="0"/>
    <xf numFmtId="4" fontId="47" fillId="39" borderId="126" applyNumberFormat="0" applyProtection="0">
      <alignment horizontal="right" vertical="center"/>
    </xf>
    <xf numFmtId="0" fontId="18" fillId="51" borderId="126" applyNumberFormat="0" applyProtection="0">
      <alignment horizontal="left" vertical="center" indent="1"/>
    </xf>
    <xf numFmtId="4" fontId="51" fillId="49" borderId="126" applyNumberFormat="0" applyProtection="0">
      <alignment horizontal="right" vertical="center"/>
    </xf>
    <xf numFmtId="0" fontId="18" fillId="49" borderId="126" applyNumberFormat="0" applyProtection="0">
      <alignment horizontal="left" vertical="center" indent="1"/>
    </xf>
    <xf numFmtId="4" fontId="47" fillId="47" borderId="126" applyNumberFormat="0" applyProtection="0">
      <alignment horizontal="right" vertical="center"/>
    </xf>
    <xf numFmtId="0" fontId="110" fillId="77" borderId="127" applyNumberFormat="0" applyAlignment="0" applyProtection="0"/>
    <xf numFmtId="0" fontId="18" fillId="49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4" fontId="47" fillId="40" borderId="126" applyNumberFormat="0" applyProtection="0">
      <alignment horizontal="right" vertical="center"/>
    </xf>
    <xf numFmtId="0" fontId="18" fillId="76" borderId="128" applyNumberFormat="0" applyFont="0" applyAlignment="0" applyProtection="0"/>
    <xf numFmtId="4" fontId="27" fillId="38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47" fillId="35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18" fillId="76" borderId="128" applyNumberFormat="0" applyFont="0" applyAlignment="0" applyProtection="0"/>
    <xf numFmtId="0" fontId="18" fillId="55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center" indent="1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55" borderId="126" applyNumberFormat="0" applyProtection="0">
      <alignment horizontal="left" vertical="center" indent="1"/>
    </xf>
    <xf numFmtId="4" fontId="47" fillId="42" borderId="126" applyNumberFormat="0" applyProtection="0">
      <alignment horizontal="right" vertical="center"/>
    </xf>
    <xf numFmtId="0" fontId="18" fillId="85" borderId="126" applyNumberFormat="0" applyProtection="0">
      <alignment horizontal="left" vertical="center" indent="1"/>
    </xf>
    <xf numFmtId="0" fontId="18" fillId="76" borderId="128" applyNumberFormat="0" applyFont="0" applyAlignment="0" applyProtection="0"/>
    <xf numFmtId="0" fontId="105" fillId="0" borderId="130" applyNumberFormat="0" applyFill="0" applyAlignment="0" applyProtection="0"/>
    <xf numFmtId="4" fontId="27" fillId="37" borderId="126" applyNumberFormat="0" applyProtection="0">
      <alignment vertical="center"/>
    </xf>
    <xf numFmtId="0" fontId="18" fillId="84" borderId="126" applyNumberFormat="0" applyProtection="0">
      <alignment horizontal="left" vertical="top" indent="1"/>
    </xf>
    <xf numFmtId="4" fontId="51" fillId="35" borderId="126" applyNumberFormat="0" applyProtection="0">
      <alignment vertical="center"/>
    </xf>
    <xf numFmtId="0" fontId="105" fillId="0" borderId="130" applyNumberFormat="0" applyFill="0" applyAlignment="0" applyProtection="0"/>
    <xf numFmtId="0" fontId="18" fillId="76" borderId="128" applyNumberFormat="0" applyFont="0" applyAlignment="0" applyProtection="0"/>
    <xf numFmtId="0" fontId="18" fillId="49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center" indent="1"/>
    </xf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14" fillId="79" borderId="129" applyNumberFormat="0" applyAlignment="0" applyProtection="0"/>
    <xf numFmtId="4" fontId="47" fillId="47" borderId="126" applyNumberFormat="0" applyProtection="0">
      <alignment horizontal="right" vertical="center"/>
    </xf>
    <xf numFmtId="0" fontId="18" fillId="85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8" fillId="85" borderId="126" applyNumberFormat="0" applyProtection="0">
      <alignment horizontal="left" vertical="top" indent="1"/>
    </xf>
    <xf numFmtId="4" fontId="47" fillId="44" borderId="126" applyNumberFormat="0" applyProtection="0">
      <alignment horizontal="right" vertical="center"/>
    </xf>
    <xf numFmtId="0" fontId="110" fillId="77" borderId="127" applyNumberFormat="0" applyAlignment="0" applyProtection="0"/>
    <xf numFmtId="0" fontId="63" fillId="59" borderId="131" applyNumberFormat="0" applyFont="0" applyFill="0" applyAlignment="0" applyProtection="0">
      <protection locked="0"/>
    </xf>
    <xf numFmtId="0" fontId="18" fillId="84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18" fillId="76" borderId="128" applyNumberFormat="0" applyFont="0" applyAlignment="0" applyProtection="0"/>
    <xf numFmtId="4" fontId="51" fillId="35" borderId="126" applyNumberFormat="0" applyProtection="0">
      <alignment vertical="center"/>
    </xf>
    <xf numFmtId="0" fontId="18" fillId="84" borderId="126" applyNumberFormat="0" applyProtection="0">
      <alignment horizontal="left" vertical="top" indent="1"/>
    </xf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14" fillId="79" borderId="129" applyNumberFormat="0" applyAlignment="0" applyProtection="0"/>
    <xf numFmtId="4" fontId="47" fillId="45" borderId="126" applyNumberFormat="0" applyProtection="0">
      <alignment horizontal="right" vertical="center"/>
    </xf>
    <xf numFmtId="0" fontId="18" fillId="85" borderId="126" applyNumberFormat="0" applyProtection="0">
      <alignment horizontal="left" vertical="center" indent="1"/>
    </xf>
    <xf numFmtId="0" fontId="105" fillId="0" borderId="130" applyNumberFormat="0" applyFill="0" applyAlignment="0" applyProtection="0"/>
    <xf numFmtId="0" fontId="114" fillId="79" borderId="129" applyNumberFormat="0" applyAlignment="0" applyProtection="0"/>
    <xf numFmtId="4" fontId="27" fillId="37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0" fontId="27" fillId="38" borderId="126" applyNumberFormat="0" applyProtection="0">
      <alignment horizontal="left" vertical="top" indent="1"/>
    </xf>
    <xf numFmtId="4" fontId="27" fillId="34" borderId="126" applyNumberFormat="0" applyProtection="0"/>
    <xf numFmtId="4" fontId="47" fillId="39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4" fontId="47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47" fillId="35" borderId="126" applyNumberFormat="0" applyProtection="0">
      <alignment horizontal="left" vertical="center" indent="1"/>
    </xf>
    <xf numFmtId="0" fontId="47" fillId="3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4" fontId="25" fillId="49" borderId="126" applyNumberFormat="0" applyProtection="0">
      <alignment horizontal="right" vertical="center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vertical="center"/>
    </xf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59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center" vertical="top"/>
    </xf>
    <xf numFmtId="4" fontId="47" fillId="51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24" fillId="59" borderId="131" applyNumberFormat="0" applyFont="0" applyAlignment="0" applyProtection="0">
      <protection locked="0"/>
    </xf>
    <xf numFmtId="0" fontId="63" fillId="59" borderId="131" applyNumberFormat="0" applyFont="0" applyFill="0" applyAlignment="0" applyProtection="0">
      <protection locked="0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4" fontId="25" fillId="49" borderId="126" applyNumberFormat="0" applyProtection="0">
      <alignment horizontal="right" vertical="center"/>
    </xf>
    <xf numFmtId="0" fontId="47" fillId="34" borderId="126" applyNumberFormat="0" applyProtection="0">
      <alignment horizontal="left" vertical="top"/>
    </xf>
    <xf numFmtId="4" fontId="47" fillId="0" borderId="126" applyNumberFormat="0" applyProtection="0">
      <alignment horizontal="left" vertical="center" indent="1"/>
    </xf>
    <xf numFmtId="4" fontId="51" fillId="49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0" fontId="47" fillId="35" borderId="126" applyNumberFormat="0" applyProtection="0">
      <alignment horizontal="left" vertical="top" indent="1"/>
    </xf>
    <xf numFmtId="4" fontId="47" fillId="35" borderId="126" applyNumberFormat="0" applyProtection="0">
      <alignment horizontal="left" vertical="center" indent="1"/>
    </xf>
    <xf numFmtId="4" fontId="51" fillId="35" borderId="126" applyNumberFormat="0" applyProtection="0">
      <alignment vertical="center"/>
    </xf>
    <xf numFmtId="4" fontId="47" fillId="35" borderId="126" applyNumberFormat="0" applyProtection="0">
      <alignment vertical="center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4" fontId="47" fillId="51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39" borderId="126" applyNumberFormat="0" applyProtection="0">
      <alignment horizontal="right" vertical="center"/>
    </xf>
    <xf numFmtId="0" fontId="27" fillId="38" borderId="126" applyNumberFormat="0" applyProtection="0">
      <alignment horizontal="left" vertical="top" indent="1"/>
    </xf>
    <xf numFmtId="4" fontId="27" fillId="38" borderId="126" applyNumberFormat="0" applyProtection="0">
      <alignment horizontal="left" vertical="center" indent="1"/>
    </xf>
    <xf numFmtId="4" fontId="46" fillId="38" borderId="126" applyNumberFormat="0" applyProtection="0">
      <alignment vertical="center"/>
    </xf>
    <xf numFmtId="4" fontId="27" fillId="37" borderId="126" applyNumberFormat="0" applyProtection="0">
      <alignment vertical="center"/>
    </xf>
    <xf numFmtId="0" fontId="63" fillId="59" borderId="131" applyNumberFormat="0" applyFont="0" applyFill="0" applyAlignment="0" applyProtection="0">
      <protection locked="0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24" fillId="59" borderId="131" applyNumberFormat="0" applyFont="0" applyAlignment="0" applyProtection="0">
      <protection locked="0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4" fontId="27" fillId="37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27" fillId="38" borderId="126" applyNumberFormat="0" applyProtection="0">
      <alignment horizontal="left" vertical="center" indent="1"/>
    </xf>
    <xf numFmtId="0" fontId="27" fillId="38" borderId="126" applyNumberFormat="0" applyProtection="0">
      <alignment horizontal="left" vertical="top" indent="1"/>
    </xf>
    <xf numFmtId="4" fontId="47" fillId="39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0" fontId="18" fillId="50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4" fontId="47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47" fillId="35" borderId="126" applyNumberFormat="0" applyProtection="0">
      <alignment horizontal="left" vertical="center" indent="1"/>
    </xf>
    <xf numFmtId="0" fontId="47" fillId="3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4" fontId="25" fillId="49" borderId="126" applyNumberFormat="0" applyProtection="0">
      <alignment horizontal="right" vertical="center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12" fontId="26" fillId="36" borderId="42">
      <alignment horizontal="left"/>
    </xf>
    <xf numFmtId="0" fontId="18" fillId="54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top" indent="1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left" vertical="center" indent="1"/>
    </xf>
    <xf numFmtId="0" fontId="47" fillId="34" borderId="115" applyNumberFormat="0" applyProtection="0">
      <alignment horizontal="left" vertical="top"/>
    </xf>
    <xf numFmtId="4" fontId="27" fillId="37" borderId="126" applyNumberFormat="0" applyProtection="0">
      <alignment vertical="center"/>
    </xf>
    <xf numFmtId="4" fontId="27" fillId="37" borderId="126" applyNumberFormat="0" applyProtection="0">
      <alignment vertical="center"/>
    </xf>
    <xf numFmtId="4" fontId="27" fillId="37" borderId="126" applyNumberFormat="0" applyProtection="0">
      <alignment vertical="center"/>
    </xf>
    <xf numFmtId="4" fontId="27" fillId="37" borderId="126" applyNumberFormat="0" applyProtection="0">
      <alignment vertical="center"/>
    </xf>
    <xf numFmtId="4" fontId="27" fillId="37" borderId="126" applyNumberFormat="0" applyProtection="0">
      <alignment vertical="center"/>
    </xf>
    <xf numFmtId="4" fontId="27" fillId="37" borderId="126" applyNumberFormat="0" applyProtection="0">
      <alignment vertical="center"/>
    </xf>
    <xf numFmtId="4" fontId="27" fillId="37" borderId="126" applyNumberFormat="0" applyProtection="0">
      <alignment vertical="center"/>
    </xf>
    <xf numFmtId="4" fontId="27" fillId="37" borderId="126" applyNumberFormat="0" applyProtection="0">
      <alignment vertical="center"/>
    </xf>
    <xf numFmtId="4" fontId="27" fillId="37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vertical="center"/>
    </xf>
    <xf numFmtId="4" fontId="27" fillId="38" borderId="126" applyNumberFormat="0" applyProtection="0">
      <alignment vertical="center"/>
    </xf>
    <xf numFmtId="4" fontId="27" fillId="38" borderId="126" applyNumberFormat="0" applyProtection="0">
      <alignment vertical="center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0" fontId="27" fillId="38" borderId="126" applyNumberFormat="0" applyProtection="0">
      <alignment horizontal="left" vertical="top" indent="1"/>
    </xf>
    <xf numFmtId="0" fontId="27" fillId="38" borderId="126" applyNumberFormat="0" applyProtection="0">
      <alignment horizontal="left" vertical="top" indent="1"/>
    </xf>
    <xf numFmtId="0" fontId="27" fillId="38" borderId="126" applyNumberFormat="0" applyProtection="0">
      <alignment horizontal="left" vertical="top" indent="1"/>
    </xf>
    <xf numFmtId="0" fontId="27" fillId="38" borderId="126" applyNumberFormat="0" applyProtection="0">
      <alignment horizontal="left" vertical="top" indent="1"/>
    </xf>
    <xf numFmtId="0" fontId="27" fillId="38" borderId="126" applyNumberFormat="0" applyProtection="0">
      <alignment horizontal="left" vertical="top" indent="1"/>
    </xf>
    <xf numFmtId="0" fontId="27" fillId="38" borderId="126" applyNumberFormat="0" applyProtection="0">
      <alignment horizontal="left" vertical="top" indent="1"/>
    </xf>
    <xf numFmtId="0" fontId="27" fillId="38" borderId="126" applyNumberFormat="0" applyProtection="0">
      <alignment horizontal="left" vertical="top" indent="1"/>
    </xf>
    <xf numFmtId="0" fontId="27" fillId="38" borderId="126" applyNumberFormat="0" applyProtection="0">
      <alignment horizontal="left" vertical="top" indent="1"/>
    </xf>
    <xf numFmtId="0" fontId="27" fillId="38" borderId="126" applyNumberFormat="0" applyProtection="0">
      <alignment horizontal="left" vertical="top" indent="1"/>
    </xf>
    <xf numFmtId="4" fontId="27" fillId="34" borderId="126" applyNumberFormat="0" applyProtection="0"/>
    <xf numFmtId="4" fontId="27" fillId="34" borderId="29" applyNumberFormat="0" applyProtection="0">
      <alignment vertical="center"/>
    </xf>
    <xf numFmtId="4" fontId="27" fillId="34" borderId="29" applyNumberFormat="0" applyProtection="0">
      <alignment vertical="center"/>
    </xf>
    <xf numFmtId="4" fontId="27" fillId="34" borderId="29" applyNumberFormat="0" applyProtection="0">
      <alignment vertical="center"/>
    </xf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29" applyNumberFormat="0" applyProtection="0">
      <alignment vertical="center"/>
    </xf>
    <xf numFmtId="4" fontId="27" fillId="34" borderId="29" applyNumberFormat="0" applyProtection="0">
      <alignment vertical="center"/>
    </xf>
    <xf numFmtId="4" fontId="27" fillId="34" borderId="29" applyNumberFormat="0" applyProtection="0">
      <alignment vertical="center"/>
    </xf>
    <xf numFmtId="4" fontId="27" fillId="34" borderId="29" applyNumberFormat="0" applyProtection="0">
      <alignment vertical="center"/>
    </xf>
    <xf numFmtId="4" fontId="27" fillId="34" borderId="29" applyNumberFormat="0" applyProtection="0">
      <alignment vertical="center"/>
    </xf>
    <xf numFmtId="4" fontId="27" fillId="34" borderId="29" applyNumberFormat="0" applyProtection="0">
      <alignment vertical="center"/>
    </xf>
    <xf numFmtId="4" fontId="27" fillId="34" borderId="29" applyNumberFormat="0" applyProtection="0">
      <alignment vertical="center"/>
    </xf>
    <xf numFmtId="4" fontId="47" fillId="39" borderId="126" applyNumberFormat="0" applyProtection="0">
      <alignment horizontal="right" vertical="center"/>
    </xf>
    <xf numFmtId="4" fontId="47" fillId="39" borderId="126" applyNumberFormat="0" applyProtection="0">
      <alignment horizontal="right" vertical="center"/>
    </xf>
    <xf numFmtId="4" fontId="47" fillId="39" borderId="126" applyNumberFormat="0" applyProtection="0">
      <alignment horizontal="right" vertical="center"/>
    </xf>
    <xf numFmtId="4" fontId="47" fillId="39" borderId="126" applyNumberFormat="0" applyProtection="0">
      <alignment horizontal="right" vertical="center"/>
    </xf>
    <xf numFmtId="4" fontId="47" fillId="39" borderId="126" applyNumberFormat="0" applyProtection="0">
      <alignment horizontal="right" vertical="center"/>
    </xf>
    <xf numFmtId="4" fontId="47" fillId="39" borderId="126" applyNumberFormat="0" applyProtection="0">
      <alignment horizontal="right" vertical="center"/>
    </xf>
    <xf numFmtId="4" fontId="47" fillId="39" borderId="126" applyNumberFormat="0" applyProtection="0">
      <alignment horizontal="right" vertical="center"/>
    </xf>
    <xf numFmtId="4" fontId="47" fillId="39" borderId="126" applyNumberFormat="0" applyProtection="0">
      <alignment horizontal="right" vertical="center"/>
    </xf>
    <xf numFmtId="4" fontId="47" fillId="39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4" fontId="47" fillId="35" borderId="126" applyNumberFormat="0" applyProtection="0">
      <alignment vertical="center"/>
    </xf>
    <xf numFmtId="4" fontId="47" fillId="35" borderId="126" applyNumberFormat="0" applyProtection="0">
      <alignment vertical="center"/>
    </xf>
    <xf numFmtId="4" fontId="47" fillId="35" borderId="126" applyNumberFormat="0" applyProtection="0">
      <alignment vertical="center"/>
    </xf>
    <xf numFmtId="4" fontId="47" fillId="35" borderId="126" applyNumberFormat="0" applyProtection="0">
      <alignment vertical="center"/>
    </xf>
    <xf numFmtId="4" fontId="47" fillId="35" borderId="126" applyNumberFormat="0" applyProtection="0">
      <alignment vertical="center"/>
    </xf>
    <xf numFmtId="4" fontId="47" fillId="35" borderId="126" applyNumberFormat="0" applyProtection="0">
      <alignment vertical="center"/>
    </xf>
    <xf numFmtId="4" fontId="47" fillId="35" borderId="126" applyNumberFormat="0" applyProtection="0">
      <alignment vertical="center"/>
    </xf>
    <xf numFmtId="4" fontId="47" fillId="35" borderId="126" applyNumberFormat="0" applyProtection="0">
      <alignment vertical="center"/>
    </xf>
    <xf numFmtId="4" fontId="47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47" fillId="35" borderId="126" applyNumberFormat="0" applyProtection="0">
      <alignment horizontal="left" vertical="center" indent="1"/>
    </xf>
    <xf numFmtId="4" fontId="47" fillId="35" borderId="126" applyNumberFormat="0" applyProtection="0">
      <alignment horizontal="left" vertical="center" indent="1"/>
    </xf>
    <xf numFmtId="4" fontId="47" fillId="35" borderId="126" applyNumberFormat="0" applyProtection="0">
      <alignment horizontal="left" vertical="center" indent="1"/>
    </xf>
    <xf numFmtId="4" fontId="47" fillId="35" borderId="126" applyNumberFormat="0" applyProtection="0">
      <alignment horizontal="left" vertical="center" indent="1"/>
    </xf>
    <xf numFmtId="4" fontId="47" fillId="35" borderId="126" applyNumberFormat="0" applyProtection="0">
      <alignment horizontal="left" vertical="center" indent="1"/>
    </xf>
    <xf numFmtId="4" fontId="47" fillId="35" borderId="126" applyNumberFormat="0" applyProtection="0">
      <alignment horizontal="left" vertical="center" indent="1"/>
    </xf>
    <xf numFmtId="4" fontId="47" fillId="35" borderId="126" applyNumberFormat="0" applyProtection="0">
      <alignment horizontal="left" vertical="center" indent="1"/>
    </xf>
    <xf numFmtId="4" fontId="47" fillId="35" borderId="126" applyNumberFormat="0" applyProtection="0">
      <alignment horizontal="left" vertical="center" indent="1"/>
    </xf>
    <xf numFmtId="4" fontId="47" fillId="35" borderId="126" applyNumberFormat="0" applyProtection="0">
      <alignment horizontal="left" vertical="center" indent="1"/>
    </xf>
    <xf numFmtId="0" fontId="47" fillId="35" borderId="126" applyNumberFormat="0" applyProtection="0">
      <alignment horizontal="left" vertical="top" indent="1"/>
    </xf>
    <xf numFmtId="0" fontId="47" fillId="35" borderId="126" applyNumberFormat="0" applyProtection="0">
      <alignment horizontal="left" vertical="top" indent="1"/>
    </xf>
    <xf numFmtId="0" fontId="47" fillId="35" borderId="126" applyNumberFormat="0" applyProtection="0">
      <alignment horizontal="left" vertical="top" indent="1"/>
    </xf>
    <xf numFmtId="0" fontId="47" fillId="35" borderId="126" applyNumberFormat="0" applyProtection="0">
      <alignment horizontal="left" vertical="top" indent="1"/>
    </xf>
    <xf numFmtId="0" fontId="47" fillId="35" borderId="126" applyNumberFormat="0" applyProtection="0">
      <alignment horizontal="left" vertical="top" indent="1"/>
    </xf>
    <xf numFmtId="0" fontId="47" fillId="35" borderId="126" applyNumberFormat="0" applyProtection="0">
      <alignment horizontal="left" vertical="top" indent="1"/>
    </xf>
    <xf numFmtId="0" fontId="47" fillId="35" borderId="126" applyNumberFormat="0" applyProtection="0">
      <alignment horizontal="left" vertical="top" indent="1"/>
    </xf>
    <xf numFmtId="0" fontId="47" fillId="35" borderId="126" applyNumberFormat="0" applyProtection="0">
      <alignment horizontal="left" vertical="top" indent="1"/>
    </xf>
    <xf numFmtId="0" fontId="47" fillId="3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59" borderId="126" applyNumberFormat="0" applyProtection="0">
      <alignment horizontal="left" vertical="center" indent="1"/>
    </xf>
    <xf numFmtId="4" fontId="47" fillId="59" borderId="126" applyNumberFormat="0" applyProtection="0">
      <alignment horizontal="left" vertical="center" indent="1"/>
    </xf>
    <xf numFmtId="4" fontId="47" fillId="59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51" borderId="126" applyNumberFormat="0" applyProtection="0">
      <alignment horizontal="left" vertical="center" indent="1"/>
    </xf>
    <xf numFmtId="4" fontId="47" fillId="51" borderId="126" applyNumberFormat="0" applyProtection="0">
      <alignment horizontal="left" vertical="center" indent="1"/>
    </xf>
    <xf numFmtId="4" fontId="47" fillId="51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center" vertical="top"/>
    </xf>
    <xf numFmtId="0" fontId="47" fillId="34" borderId="126" applyNumberFormat="0" applyProtection="0">
      <alignment horizontal="center" vertical="top"/>
    </xf>
    <xf numFmtId="0" fontId="47" fillId="34" borderId="126" applyNumberFormat="0" applyProtection="0">
      <alignment horizontal="center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4" fontId="25" fillId="49" borderId="126" applyNumberFormat="0" applyProtection="0">
      <alignment horizontal="right" vertical="center"/>
    </xf>
    <xf numFmtId="4" fontId="25" fillId="49" borderId="126" applyNumberFormat="0" applyProtection="0">
      <alignment horizontal="right" vertical="center"/>
    </xf>
    <xf numFmtId="4" fontId="25" fillId="49" borderId="126" applyNumberFormat="0" applyProtection="0">
      <alignment horizontal="right" vertical="center"/>
    </xf>
    <xf numFmtId="4" fontId="25" fillId="49" borderId="126" applyNumberFormat="0" applyProtection="0">
      <alignment horizontal="right" vertical="center"/>
    </xf>
    <xf numFmtId="4" fontId="25" fillId="49" borderId="126" applyNumberFormat="0" applyProtection="0">
      <alignment horizontal="right" vertical="center"/>
    </xf>
    <xf numFmtId="4" fontId="25" fillId="49" borderId="126" applyNumberFormat="0" applyProtection="0">
      <alignment horizontal="right" vertical="center"/>
    </xf>
    <xf numFmtId="4" fontId="25" fillId="49" borderId="126" applyNumberFormat="0" applyProtection="0">
      <alignment horizontal="right" vertical="center"/>
    </xf>
    <xf numFmtId="4" fontId="25" fillId="49" borderId="126" applyNumberFormat="0" applyProtection="0">
      <alignment horizontal="right" vertical="center"/>
    </xf>
    <xf numFmtId="4" fontId="25" fillId="49" borderId="126" applyNumberFormat="0" applyProtection="0">
      <alignment horizontal="right" vertical="center"/>
    </xf>
    <xf numFmtId="175" fontId="18" fillId="0" borderId="118">
      <alignment horizontal="justify" vertical="top" wrapText="1"/>
    </xf>
    <xf numFmtId="4" fontId="47" fillId="42" borderId="115" applyNumberFormat="0" applyProtection="0">
      <alignment horizontal="right" vertical="center"/>
    </xf>
    <xf numFmtId="4" fontId="47" fillId="43" borderId="115" applyNumberFormat="0" applyProtection="0">
      <alignment horizontal="right" vertical="center"/>
    </xf>
    <xf numFmtId="4" fontId="47" fillId="44" borderId="115" applyNumberFormat="0" applyProtection="0">
      <alignment horizontal="right" vertical="center"/>
    </xf>
    <xf numFmtId="4" fontId="47" fillId="47" borderId="115" applyNumberFormat="0" applyProtection="0">
      <alignment horizontal="right" vertical="center"/>
    </xf>
    <xf numFmtId="4" fontId="27" fillId="38" borderId="115" applyNumberFormat="0" applyProtection="0">
      <alignment horizontal="left" vertical="center" indent="1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8" fillId="54" borderId="115" applyNumberFormat="0" applyProtection="0">
      <alignment horizontal="left" vertical="center" indent="1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4" fontId="27" fillId="38" borderId="115" applyNumberFormat="0" applyProtection="0">
      <alignment horizontal="left" vertical="center" indent="1"/>
    </xf>
    <xf numFmtId="4" fontId="47" fillId="0" borderId="115" applyNumberFormat="0" applyProtection="0">
      <alignment horizontal="right" vertical="center"/>
    </xf>
    <xf numFmtId="0" fontId="18" fillId="54" borderId="115" applyNumberFormat="0" applyProtection="0">
      <alignment horizontal="left" vertical="center" indent="1"/>
    </xf>
    <xf numFmtId="0" fontId="47" fillId="35" borderId="115" applyNumberFormat="0" applyProtection="0">
      <alignment horizontal="left" vertical="top" indent="1"/>
    </xf>
    <xf numFmtId="4" fontId="47" fillId="51" borderId="115" applyNumberFormat="0" applyProtection="0">
      <alignment horizontal="right" vertical="center"/>
    </xf>
    <xf numFmtId="0" fontId="26" fillId="0" borderId="27">
      <alignment horizontal="left" vertical="center"/>
    </xf>
    <xf numFmtId="0" fontId="110" fillId="77" borderId="127" applyNumberFormat="0" applyAlignment="0" applyProtection="0"/>
    <xf numFmtId="0" fontId="24" fillId="59" borderId="131" applyNumberFormat="0" applyFont="0" applyAlignment="0" applyProtection="0">
      <protection locked="0"/>
    </xf>
    <xf numFmtId="0" fontId="102" fillId="79" borderId="127" applyNumberFormat="0" applyAlignment="0" applyProtection="0"/>
    <xf numFmtId="0" fontId="18" fillId="50" borderId="115" applyNumberFormat="0" applyProtection="0">
      <alignment horizontal="left" vertical="center" indent="1"/>
    </xf>
    <xf numFmtId="0" fontId="102" fillId="79" borderId="127" applyNumberFormat="0" applyAlignment="0" applyProtection="0"/>
    <xf numFmtId="0" fontId="18" fillId="54" borderId="115" applyNumberFormat="0" applyProtection="0">
      <alignment horizontal="left" vertical="center" indent="1"/>
    </xf>
    <xf numFmtId="0" fontId="102" fillId="79" borderId="127" applyNumberFormat="0" applyAlignment="0" applyProtection="0"/>
    <xf numFmtId="0" fontId="24" fillId="59" borderId="131" applyNumberFormat="0" applyFont="0" applyAlignment="0" applyProtection="0">
      <protection locked="0"/>
    </xf>
    <xf numFmtId="0" fontId="47" fillId="34" borderId="115" applyNumberFormat="0" applyProtection="0">
      <alignment horizontal="left" vertical="top"/>
    </xf>
    <xf numFmtId="0" fontId="102" fillId="79" borderId="127" applyNumberFormat="0" applyAlignment="0" applyProtection="0"/>
    <xf numFmtId="0" fontId="63" fillId="59" borderId="131" applyNumberFormat="0" applyFont="0" applyFill="0" applyAlignment="0" applyProtection="0">
      <protection locked="0"/>
    </xf>
    <xf numFmtId="4" fontId="47" fillId="0" borderId="115" applyNumberFormat="0" applyProtection="0">
      <alignment horizontal="right" vertical="center"/>
    </xf>
    <xf numFmtId="0" fontId="110" fillId="77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02" fillId="79" borderId="127" applyNumberFormat="0" applyAlignment="0" applyProtection="0"/>
    <xf numFmtId="0" fontId="26" fillId="0" borderId="27">
      <alignment horizontal="left" vertical="center"/>
    </xf>
    <xf numFmtId="0" fontId="26" fillId="0" borderId="27">
      <alignment horizontal="left" vertical="center"/>
    </xf>
    <xf numFmtId="0" fontId="110" fillId="77" borderId="127" applyNumberFormat="0" applyAlignment="0" applyProtection="0"/>
    <xf numFmtId="0" fontId="18" fillId="54" borderId="115" applyNumberFormat="0" applyProtection="0">
      <alignment horizontal="left" vertical="center" indent="1"/>
    </xf>
    <xf numFmtId="0" fontId="110" fillId="77" borderId="127" applyNumberFormat="0" applyAlignment="0" applyProtection="0"/>
    <xf numFmtId="0" fontId="110" fillId="77" borderId="127" applyNumberFormat="0" applyAlignment="0" applyProtection="0"/>
    <xf numFmtId="4" fontId="47" fillId="0" borderId="115" applyNumberFormat="0" applyProtection="0">
      <alignment horizontal="left" vertical="center" indent="1"/>
    </xf>
    <xf numFmtId="0" fontId="110" fillId="77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63" fillId="59" borderId="131" applyNumberFormat="0" applyFont="0" applyFill="0" applyAlignment="0" applyProtection="0">
      <protection locked="0"/>
    </xf>
    <xf numFmtId="0" fontId="18" fillId="54" borderId="115" applyNumberFormat="0" applyProtection="0">
      <alignment horizontal="left" vertical="top" indent="1"/>
    </xf>
    <xf numFmtId="0" fontId="102" fillId="79" borderId="127" applyNumberFormat="0" applyAlignment="0" applyProtection="0"/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4" fontId="47" fillId="0" borderId="115" applyNumberFormat="0" applyProtection="0">
      <alignment horizontal="left" vertical="center" indent="1"/>
    </xf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47" fillId="34" borderId="115" applyNumberFormat="0" applyProtection="0">
      <alignment horizontal="left" vertical="top"/>
    </xf>
    <xf numFmtId="0" fontId="18" fillId="54" borderId="115" applyNumberFormat="0" applyProtection="0">
      <alignment horizontal="left" vertical="top" indent="1"/>
    </xf>
    <xf numFmtId="0" fontId="24" fillId="59" borderId="131" applyNumberFormat="0" applyFont="0" applyAlignment="0" applyProtection="0">
      <protection locked="0"/>
    </xf>
    <xf numFmtId="0" fontId="63" fillId="59" borderId="131" applyNumberFormat="0" applyFont="0" applyFill="0" applyAlignment="0" applyProtection="0">
      <protection locked="0"/>
    </xf>
    <xf numFmtId="0" fontId="63" fillId="59" borderId="131" applyNumberFormat="0" applyFont="0" applyFill="0" applyAlignment="0" applyProtection="0">
      <protection locked="0"/>
    </xf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24" fillId="59" borderId="131" applyNumberFormat="0" applyFont="0" applyAlignment="0" applyProtection="0">
      <protection locked="0"/>
    </xf>
    <xf numFmtId="4" fontId="51" fillId="49" borderId="115" applyNumberFormat="0" applyProtection="0">
      <alignment horizontal="right" vertical="center"/>
    </xf>
    <xf numFmtId="0" fontId="18" fillId="54" borderId="115" applyNumberFormat="0" applyProtection="0">
      <alignment horizontal="left" vertical="center" indent="1"/>
    </xf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47" fillId="35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8" fillId="0" borderId="133" applyNumberFormat="0" applyFill="0" applyAlignment="0" applyProtection="0"/>
    <xf numFmtId="0" fontId="18" fillId="0" borderId="133" applyNumberFormat="0" applyFill="0" applyAlignment="0" applyProtection="0"/>
    <xf numFmtId="0" fontId="26" fillId="0" borderId="123">
      <alignment horizontal="left" vertical="center"/>
    </xf>
    <xf numFmtId="0" fontId="21" fillId="35" borderId="134" applyNumberFormat="0" applyFont="0" applyAlignment="0" applyProtection="0">
      <alignment horizontal="center"/>
      <protection locked="0"/>
    </xf>
    <xf numFmtId="0" fontId="21" fillId="35" borderId="134" applyNumberFormat="0" applyFont="0" applyAlignment="0" applyProtection="0">
      <alignment horizontal="center"/>
      <protection locked="0"/>
    </xf>
    <xf numFmtId="0" fontId="21" fillId="35" borderId="134" applyNumberFormat="0" applyFont="0" applyAlignment="0" applyProtection="0">
      <alignment horizontal="center"/>
      <protection locked="0"/>
    </xf>
    <xf numFmtId="0" fontId="21" fillId="35" borderId="134" applyNumberFormat="0" applyFont="0" applyAlignment="0" applyProtection="0">
      <alignment horizontal="center"/>
      <protection locked="0"/>
    </xf>
    <xf numFmtId="175" fontId="18" fillId="0" borderId="135">
      <alignment horizontal="justify" vertical="top" wrapText="1"/>
    </xf>
    <xf numFmtId="0" fontId="35" fillId="0" borderId="136"/>
    <xf numFmtId="0" fontId="129" fillId="0" borderId="0"/>
    <xf numFmtId="0" fontId="138" fillId="0" borderId="0" applyNumberFormat="0" applyFill="0" applyBorder="0" applyAlignment="0" applyProtection="0"/>
    <xf numFmtId="0" fontId="17" fillId="0" borderId="0"/>
    <xf numFmtId="0" fontId="139" fillId="0" borderId="0" applyNumberFormat="0" applyFill="0" applyAlignment="0" applyProtection="0"/>
    <xf numFmtId="0" fontId="140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Protection="0">
      <alignment vertical="top"/>
    </xf>
    <xf numFmtId="0" fontId="1" fillId="0" borderId="0" applyNumberFormat="0" applyFill="0" applyProtection="0">
      <alignment horizontal="right" indent="1"/>
    </xf>
    <xf numFmtId="203" fontId="1" fillId="0" borderId="137">
      <alignment horizontal="center" vertical="center"/>
    </xf>
    <xf numFmtId="0" fontId="1" fillId="0" borderId="138" applyFill="0">
      <alignment horizontal="center" vertical="center"/>
    </xf>
    <xf numFmtId="0" fontId="1" fillId="0" borderId="138" applyFill="0">
      <alignment horizontal="left" vertical="center" indent="2"/>
    </xf>
    <xf numFmtId="204" fontId="1" fillId="0" borderId="138" applyFill="0">
      <alignment horizontal="center" vertical="center"/>
    </xf>
    <xf numFmtId="0" fontId="57" fillId="0" borderId="0"/>
    <xf numFmtId="0" fontId="145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32" fillId="0" borderId="0"/>
    <xf numFmtId="0" fontId="146" fillId="0" borderId="0"/>
    <xf numFmtId="189" fontId="147" fillId="59" borderId="0">
      <alignment horizontal="left" vertical="center"/>
    </xf>
    <xf numFmtId="0" fontId="20" fillId="59" borderId="0">
      <alignment horizontal="left" wrapText="1"/>
    </xf>
    <xf numFmtId="0" fontId="20" fillId="59" borderId="151" applyNumberFormat="0">
      <alignment horizontal="center" vertical="center" wrapText="1"/>
    </xf>
    <xf numFmtId="42" fontId="18" fillId="59" borderId="0"/>
    <xf numFmtId="42" fontId="18" fillId="59" borderId="66">
      <alignment vertical="center"/>
    </xf>
    <xf numFmtId="42" fontId="18" fillId="59" borderId="152">
      <alignment horizontal="left"/>
    </xf>
    <xf numFmtId="0" fontId="148" fillId="0" borderId="0">
      <alignment horizontal="left" vertical="center"/>
    </xf>
    <xf numFmtId="41" fontId="18" fillId="59" borderId="0"/>
    <xf numFmtId="215" fontId="18" fillId="59" borderId="0"/>
    <xf numFmtId="0" fontId="18" fillId="0" borderId="0"/>
    <xf numFmtId="0" fontId="18" fillId="0" borderId="0"/>
    <xf numFmtId="0" fontId="149" fillId="0" borderId="0"/>
    <xf numFmtId="43" fontId="149" fillId="0" borderId="0" applyFont="0" applyFill="0" applyBorder="0" applyAlignment="0" applyProtection="0"/>
    <xf numFmtId="44" fontId="149" fillId="0" borderId="0" applyFont="0" applyFill="0" applyBorder="0" applyAlignment="0" applyProtection="0"/>
    <xf numFmtId="9" fontId="149" fillId="0" borderId="0" applyFont="0" applyFill="0" applyBorder="0" applyAlignment="0" applyProtection="0"/>
    <xf numFmtId="0" fontId="18" fillId="0" borderId="0"/>
    <xf numFmtId="44" fontId="52" fillId="0" borderId="0" applyFont="0" applyFill="0" applyBorder="0" applyAlignment="0" applyProtection="0"/>
    <xf numFmtId="44" fontId="57" fillId="0" borderId="0" applyFont="0" applyFill="0" applyBorder="0" applyAlignment="0" applyProtection="0"/>
    <xf numFmtId="0" fontId="52" fillId="0" borderId="0"/>
    <xf numFmtId="9" fontId="52" fillId="0" borderId="0" applyFont="0" applyFill="0" applyBorder="0" applyAlignment="0" applyProtection="0"/>
    <xf numFmtId="177" fontId="30" fillId="0" borderId="0"/>
    <xf numFmtId="43" fontId="30" fillId="0" borderId="0" applyFont="0" applyFill="0" applyBorder="0" applyAlignment="0" applyProtection="0"/>
    <xf numFmtId="0" fontId="142" fillId="0" borderId="0"/>
    <xf numFmtId="44" fontId="142" fillId="0" borderId="0" applyFont="0" applyFill="0" applyBorder="0" applyAlignment="0" applyProtection="0"/>
  </cellStyleXfs>
  <cellXfs count="1579">
    <xf numFmtId="0" fontId="0" fillId="0" borderId="0" xfId="0"/>
    <xf numFmtId="0" fontId="122" fillId="0" borderId="0" xfId="0" applyFont="1"/>
    <xf numFmtId="0" fontId="122" fillId="0" borderId="0" xfId="0" applyFont="1" applyAlignment="1">
      <alignment horizontal="center"/>
    </xf>
    <xf numFmtId="44" fontId="122" fillId="0" borderId="0" xfId="25745" applyFont="1" applyFill="1"/>
    <xf numFmtId="0" fontId="16" fillId="0" borderId="0" xfId="0" applyFont="1"/>
    <xf numFmtId="0" fontId="14" fillId="0" borderId="0" xfId="0" applyFont="1"/>
    <xf numFmtId="165" fontId="122" fillId="0" borderId="0" xfId="0" applyNumberFormat="1" applyFont="1"/>
    <xf numFmtId="10" fontId="122" fillId="0" borderId="0" xfId="25793" applyNumberFormat="1" applyFont="1"/>
    <xf numFmtId="0" fontId="122" fillId="0" borderId="0" xfId="0" applyFont="1" applyAlignment="1">
      <alignment horizontal="left" indent="1"/>
    </xf>
    <xf numFmtId="200" fontId="122" fillId="0" borderId="0" xfId="0" applyNumberFormat="1" applyFont="1"/>
    <xf numFmtId="0" fontId="126" fillId="0" borderId="0" xfId="0" applyFont="1" applyAlignment="1">
      <alignment horizontal="right"/>
    </xf>
    <xf numFmtId="0" fontId="126" fillId="0" borderId="0" xfId="0" applyFont="1"/>
    <xf numFmtId="0" fontId="122" fillId="0" borderId="0" xfId="0" applyFont="1" applyAlignment="1">
      <alignment horizontal="right"/>
    </xf>
    <xf numFmtId="0" fontId="131" fillId="0" borderId="0" xfId="0" applyFont="1"/>
    <xf numFmtId="0" fontId="132" fillId="0" borderId="0" xfId="0" applyFont="1" applyAlignment="1">
      <alignment horizontal="center"/>
    </xf>
    <xf numFmtId="0" fontId="17" fillId="0" borderId="0" xfId="0" applyFont="1"/>
    <xf numFmtId="0" fontId="122" fillId="0" borderId="11" xfId="0" applyFont="1" applyBorder="1" applyAlignment="1">
      <alignment horizontal="center"/>
    </xf>
    <xf numFmtId="0" fontId="17" fillId="0" borderId="0" xfId="0" applyFont="1" applyAlignment="1">
      <alignment horizontal="left"/>
    </xf>
    <xf numFmtId="0" fontId="122" fillId="0" borderId="0" xfId="0" applyFont="1" applyAlignment="1">
      <alignment horizontal="left"/>
    </xf>
    <xf numFmtId="202" fontId="133" fillId="0" borderId="0" xfId="0" applyNumberFormat="1" applyFont="1" applyAlignment="1">
      <alignment horizontal="right"/>
    </xf>
    <xf numFmtId="0" fontId="122" fillId="0" borderId="0" xfId="0" applyFont="1" applyAlignment="1">
      <alignment horizontal="left" vertical="center"/>
    </xf>
    <xf numFmtId="6" fontId="134" fillId="0" borderId="0" xfId="0" applyNumberFormat="1" applyFont="1" applyAlignment="1">
      <alignment horizontal="right" vertical="center"/>
    </xf>
    <xf numFmtId="0" fontId="122" fillId="0" borderId="0" xfId="0" applyFont="1" applyAlignment="1">
      <alignment vertical="center"/>
    </xf>
    <xf numFmtId="10" fontId="134" fillId="0" borderId="0" xfId="0" applyNumberFormat="1" applyFont="1" applyAlignment="1">
      <alignment horizontal="right" vertical="center"/>
    </xf>
    <xf numFmtId="0" fontId="134" fillId="0" borderId="0" xfId="0" applyFont="1" applyAlignment="1">
      <alignment horizontal="right"/>
    </xf>
    <xf numFmtId="0" fontId="135" fillId="0" borderId="0" xfId="0" applyFont="1"/>
    <xf numFmtId="0" fontId="136" fillId="0" borderId="0" xfId="0" applyFont="1" applyAlignment="1">
      <alignment horizontal="left" vertical="center"/>
    </xf>
    <xf numFmtId="0" fontId="137" fillId="0" borderId="0" xfId="0" applyFont="1" applyAlignment="1">
      <alignment horizontal="right" vertical="center" wrapText="1"/>
    </xf>
    <xf numFmtId="0" fontId="122" fillId="0" borderId="0" xfId="0" applyFont="1" applyAlignment="1">
      <alignment horizontal="left" vertical="center" wrapText="1" indent="1"/>
    </xf>
    <xf numFmtId="10" fontId="134" fillId="0" borderId="0" xfId="0" applyNumberFormat="1" applyFont="1" applyAlignment="1">
      <alignment horizontal="right" vertical="center" wrapText="1"/>
    </xf>
    <xf numFmtId="189" fontId="134" fillId="0" borderId="0" xfId="0" applyNumberFormat="1" applyFont="1" applyAlignment="1">
      <alignment horizontal="right" vertical="center" wrapText="1"/>
    </xf>
    <xf numFmtId="165" fontId="134" fillId="0" borderId="0" xfId="25742" applyNumberFormat="1" applyFont="1" applyAlignment="1">
      <alignment horizontal="center" vertical="center" wrapText="1"/>
    </xf>
    <xf numFmtId="44" fontId="122" fillId="0" borderId="0" xfId="0" applyNumberFormat="1" applyFont="1"/>
    <xf numFmtId="0" fontId="122" fillId="0" borderId="0" xfId="28781" applyFont="1"/>
    <xf numFmtId="0" fontId="122" fillId="0" borderId="0" xfId="30158" applyFont="1"/>
    <xf numFmtId="37" fontId="122" fillId="0" borderId="0" xfId="0" applyNumberFormat="1" applyFont="1"/>
    <xf numFmtId="44" fontId="122" fillId="0" borderId="0" xfId="25745" applyFont="1"/>
    <xf numFmtId="165" fontId="122" fillId="0" borderId="0" xfId="25742" applyNumberFormat="1" applyFont="1"/>
    <xf numFmtId="44" fontId="122" fillId="0" borderId="0" xfId="25745" applyFont="1" applyAlignment="1">
      <alignment horizontal="center"/>
    </xf>
    <xf numFmtId="43" fontId="122" fillId="0" borderId="0" xfId="25742" applyFont="1"/>
    <xf numFmtId="0" fontId="122" fillId="0" borderId="0" xfId="0" applyFont="1" applyAlignment="1">
      <alignment vertical="top"/>
    </xf>
    <xf numFmtId="17" fontId="122" fillId="0" borderId="0" xfId="30158" applyNumberFormat="1" applyFont="1"/>
    <xf numFmtId="0" fontId="122" fillId="0" borderId="0" xfId="30158" applyFont="1" applyAlignment="1">
      <alignment horizontal="center"/>
    </xf>
    <xf numFmtId="0" fontId="122" fillId="98" borderId="13" xfId="0" applyFont="1" applyFill="1" applyBorder="1" applyAlignment="1">
      <alignment horizontal="center"/>
    </xf>
    <xf numFmtId="0" fontId="122" fillId="98" borderId="140" xfId="0" applyFont="1" applyFill="1" applyBorder="1" applyAlignment="1">
      <alignment horizontal="center"/>
    </xf>
    <xf numFmtId="0" fontId="122" fillId="0" borderId="13" xfId="0" applyFont="1" applyBorder="1" applyAlignment="1">
      <alignment horizontal="left"/>
    </xf>
    <xf numFmtId="165" fontId="122" fillId="0" borderId="13" xfId="25742" applyNumberFormat="1" applyFont="1" applyBorder="1"/>
    <xf numFmtId="165" fontId="122" fillId="0" borderId="140" xfId="25742" applyNumberFormat="1" applyFont="1" applyBorder="1"/>
    <xf numFmtId="0" fontId="126" fillId="0" borderId="13" xfId="0" applyFont="1" applyBorder="1" applyAlignment="1">
      <alignment horizontal="left"/>
    </xf>
    <xf numFmtId="43" fontId="126" fillId="0" borderId="13" xfId="25742" applyFont="1" applyBorder="1"/>
    <xf numFmtId="43" fontId="126" fillId="0" borderId="140" xfId="25742" applyFont="1" applyBorder="1"/>
    <xf numFmtId="0" fontId="122" fillId="99" borderId="13" xfId="0" applyFont="1" applyFill="1" applyBorder="1" applyAlignment="1">
      <alignment horizontal="left"/>
    </xf>
    <xf numFmtId="165" fontId="122" fillId="99" borderId="13" xfId="25742" applyNumberFormat="1" applyFont="1" applyFill="1" applyBorder="1"/>
    <xf numFmtId="165" fontId="122" fillId="99" borderId="140" xfId="25742" applyNumberFormat="1" applyFont="1" applyFill="1" applyBorder="1"/>
    <xf numFmtId="0" fontId="122" fillId="0" borderId="13" xfId="0" applyFont="1" applyBorder="1"/>
    <xf numFmtId="165" fontId="126" fillId="0" borderId="13" xfId="25742" applyNumberFormat="1" applyFont="1" applyBorder="1"/>
    <xf numFmtId="0" fontId="143" fillId="0" borderId="0" xfId="0" applyFont="1"/>
    <xf numFmtId="0" fontId="144" fillId="0" borderId="0" xfId="0" applyFont="1"/>
    <xf numFmtId="0" fontId="141" fillId="0" borderId="0" xfId="0" applyFont="1"/>
    <xf numFmtId="0" fontId="126" fillId="99" borderId="13" xfId="0" applyFont="1" applyFill="1" applyBorder="1" applyAlignment="1">
      <alignment horizontal="left"/>
    </xf>
    <xf numFmtId="165" fontId="122" fillId="99" borderId="67" xfId="25742" applyNumberFormat="1" applyFont="1" applyFill="1" applyBorder="1"/>
    <xf numFmtId="165" fontId="14" fillId="0" borderId="0" xfId="0" applyNumberFormat="1" applyFont="1"/>
    <xf numFmtId="43" fontId="126" fillId="99" borderId="13" xfId="25742" applyFont="1" applyFill="1" applyBorder="1"/>
    <xf numFmtId="165" fontId="141" fillId="0" borderId="0" xfId="0" applyNumberFormat="1" applyFont="1"/>
    <xf numFmtId="165" fontId="122" fillId="99" borderId="13" xfId="0" applyNumberFormat="1" applyFont="1" applyFill="1" applyBorder="1"/>
    <xf numFmtId="0" fontId="126" fillId="0" borderId="14" xfId="0" applyFont="1" applyBorder="1" applyAlignment="1">
      <alignment horizontal="left"/>
    </xf>
    <xf numFmtId="2" fontId="122" fillId="0" borderId="13" xfId="0" applyNumberFormat="1" applyFont="1" applyBorder="1"/>
    <xf numFmtId="2" fontId="122" fillId="0" borderId="13" xfId="25742" applyNumberFormat="1" applyFont="1" applyBorder="1"/>
    <xf numFmtId="2" fontId="122" fillId="0" borderId="143" xfId="0" applyNumberFormat="1" applyFont="1" applyBorder="1"/>
    <xf numFmtId="1" fontId="122" fillId="0" borderId="13" xfId="0" applyNumberFormat="1" applyFont="1" applyBorder="1"/>
    <xf numFmtId="0" fontId="16" fillId="0" borderId="13" xfId="0" applyFont="1" applyBorder="1" applyAlignment="1">
      <alignment horizontal="left"/>
    </xf>
    <xf numFmtId="165" fontId="16" fillId="0" borderId="13" xfId="25742" applyNumberFormat="1" applyFont="1" applyBorder="1"/>
    <xf numFmtId="165" fontId="16" fillId="0" borderId="0" xfId="0" applyNumberFormat="1" applyFont="1"/>
    <xf numFmtId="41" fontId="16" fillId="0" borderId="0" xfId="0" applyNumberFormat="1" applyFont="1"/>
    <xf numFmtId="0" fontId="122" fillId="99" borderId="13" xfId="0" applyFont="1" applyFill="1" applyBorder="1"/>
    <xf numFmtId="0" fontId="122" fillId="0" borderId="0" xfId="28781" applyFont="1" applyAlignment="1">
      <alignment horizontal="left"/>
    </xf>
    <xf numFmtId="0" fontId="128" fillId="0" borderId="0" xfId="28781" quotePrefix="1" applyFont="1"/>
    <xf numFmtId="17" fontId="122" fillId="0" borderId="0" xfId="28781" applyNumberFormat="1" applyFont="1"/>
    <xf numFmtId="0" fontId="122" fillId="0" borderId="0" xfId="28781" applyFont="1" applyAlignment="1">
      <alignment horizontal="center"/>
    </xf>
    <xf numFmtId="43" fontId="122" fillId="0" borderId="0" xfId="28781" applyNumberFormat="1" applyFont="1"/>
    <xf numFmtId="212" fontId="122" fillId="0" borderId="0" xfId="28781" applyNumberFormat="1" applyFont="1"/>
    <xf numFmtId="4" fontId="122" fillId="0" borderId="0" xfId="28781" applyNumberFormat="1" applyFont="1"/>
    <xf numFmtId="0" fontId="126" fillId="0" borderId="0" xfId="0" applyFont="1" applyAlignment="1">
      <alignment horizontal="left"/>
    </xf>
    <xf numFmtId="43" fontId="122" fillId="0" borderId="0" xfId="0" applyNumberFormat="1" applyFont="1"/>
    <xf numFmtId="165" fontId="122" fillId="0" borderId="0" xfId="25742" applyNumberFormat="1" applyFont="1" applyFill="1" applyAlignment="1">
      <alignment horizontal="right"/>
    </xf>
    <xf numFmtId="165" fontId="122" fillId="0" borderId="0" xfId="25742" applyNumberFormat="1" applyFont="1" applyFill="1" applyAlignment="1">
      <alignment horizontal="center"/>
    </xf>
    <xf numFmtId="198" fontId="122" fillId="0" borderId="0" xfId="25745" applyNumberFormat="1" applyFont="1" applyFill="1" applyAlignment="1">
      <alignment horizontal="right"/>
    </xf>
    <xf numFmtId="189" fontId="122" fillId="0" borderId="0" xfId="25742" applyNumberFormat="1" applyFont="1" applyFill="1" applyAlignment="1">
      <alignment horizontal="right"/>
    </xf>
    <xf numFmtId="201" fontId="122" fillId="0" borderId="0" xfId="25745" applyNumberFormat="1" applyFont="1" applyFill="1" applyAlignment="1">
      <alignment horizontal="right"/>
    </xf>
    <xf numFmtId="43" fontId="122" fillId="0" borderId="0" xfId="25742" applyFont="1" applyFill="1" applyAlignment="1">
      <alignment horizontal="right"/>
    </xf>
    <xf numFmtId="44" fontId="122" fillId="0" borderId="0" xfId="25745" applyFont="1" applyFill="1" applyAlignment="1">
      <alignment horizontal="right"/>
    </xf>
    <xf numFmtId="201" fontId="122" fillId="0" borderId="0" xfId="25745" applyNumberFormat="1" applyFont="1" applyFill="1"/>
    <xf numFmtId="189" fontId="122" fillId="0" borderId="0" xfId="25745" applyNumberFormat="1" applyFont="1" applyFill="1" applyAlignment="1">
      <alignment horizontal="right"/>
    </xf>
    <xf numFmtId="37" fontId="122" fillId="0" borderId="0" xfId="25745" applyNumberFormat="1" applyFont="1" applyFill="1" applyAlignment="1">
      <alignment horizontal="right"/>
    </xf>
    <xf numFmtId="39" fontId="122" fillId="0" borderId="0" xfId="25745" applyNumberFormat="1" applyFont="1" applyFill="1" applyAlignment="1">
      <alignment horizontal="right"/>
    </xf>
    <xf numFmtId="187" fontId="122" fillId="0" borderId="0" xfId="25745" applyNumberFormat="1" applyFont="1" applyFill="1" applyAlignment="1">
      <alignment horizontal="right"/>
    </xf>
    <xf numFmtId="165" fontId="122" fillId="0" borderId="0" xfId="25742" applyNumberFormat="1" applyFont="1" applyFill="1"/>
    <xf numFmtId="207" fontId="122" fillId="0" borderId="0" xfId="25745" applyNumberFormat="1" applyFont="1" applyFill="1" applyAlignment="1">
      <alignment horizontal="right"/>
    </xf>
    <xf numFmtId="208" fontId="122" fillId="0" borderId="0" xfId="25745" applyNumberFormat="1" applyFont="1" applyFill="1" applyAlignment="1">
      <alignment horizontal="right"/>
    </xf>
    <xf numFmtId="3" fontId="122" fillId="0" borderId="0" xfId="25742" applyNumberFormat="1" applyFont="1" applyFill="1" applyAlignment="1">
      <alignment horizontal="right"/>
    </xf>
    <xf numFmtId="165" fontId="122" fillId="0" borderId="0" xfId="25742" applyNumberFormat="1" applyFont="1" applyFill="1" applyAlignment="1">
      <alignment horizontal="left"/>
    </xf>
    <xf numFmtId="9" fontId="122" fillId="0" borderId="0" xfId="25793" applyFont="1" applyBorder="1" applyAlignment="1">
      <alignment horizontal="center"/>
    </xf>
    <xf numFmtId="165" fontId="122" fillId="0" borderId="0" xfId="25742" applyNumberFormat="1" applyFont="1" applyBorder="1"/>
    <xf numFmtId="189" fontId="122" fillId="0" borderId="0" xfId="25742" applyNumberFormat="1" applyFont="1" applyBorder="1"/>
    <xf numFmtId="198" fontId="122" fillId="0" borderId="0" xfId="25745" applyNumberFormat="1" applyFont="1" applyBorder="1"/>
    <xf numFmtId="200" fontId="122" fillId="0" borderId="0" xfId="25742" applyNumberFormat="1" applyFont="1" applyBorder="1"/>
    <xf numFmtId="189" fontId="122" fillId="0" borderId="0" xfId="25745" applyNumberFormat="1" applyFont="1" applyBorder="1"/>
    <xf numFmtId="200" fontId="122" fillId="0" borderId="0" xfId="25745" applyNumberFormat="1" applyFont="1" applyBorder="1"/>
    <xf numFmtId="43" fontId="122" fillId="0" borderId="0" xfId="25742" applyFont="1" applyBorder="1"/>
    <xf numFmtId="0" fontId="125" fillId="0" borderId="0" xfId="0" applyFont="1" applyAlignment="1">
      <alignment horizontal="left"/>
    </xf>
    <xf numFmtId="0" fontId="125" fillId="0" borderId="0" xfId="0" applyFont="1"/>
    <xf numFmtId="165" fontId="122" fillId="0" borderId="0" xfId="25742" applyNumberFormat="1" applyFont="1" applyAlignment="1">
      <alignment horizontal="center"/>
    </xf>
    <xf numFmtId="38" fontId="122" fillId="0" borderId="0" xfId="2" applyNumberFormat="1" applyFont="1" applyFill="1" applyBorder="1" applyProtection="1"/>
    <xf numFmtId="0" fontId="1" fillId="0" borderId="0" xfId="0" applyFont="1"/>
    <xf numFmtId="0" fontId="1" fillId="0" borderId="0" xfId="0" applyFont="1" applyAlignment="1">
      <alignment horizontal="center" wrapText="1"/>
    </xf>
    <xf numFmtId="10" fontId="122" fillId="0" borderId="0" xfId="25793" applyNumberFormat="1" applyFont="1" applyFill="1"/>
    <xf numFmtId="38" fontId="1" fillId="0" borderId="0" xfId="0" applyNumberFormat="1" applyFont="1"/>
    <xf numFmtId="10" fontId="1" fillId="0" borderId="0" xfId="0" applyNumberFormat="1" applyFont="1"/>
    <xf numFmtId="0" fontId="150" fillId="0" borderId="0" xfId="0" applyFont="1"/>
    <xf numFmtId="0" fontId="1" fillId="0" borderId="0" xfId="0" quotePrefix="1" applyFont="1"/>
    <xf numFmtId="38" fontId="1" fillId="0" borderId="0" xfId="0" applyNumberFormat="1" applyFont="1" applyAlignment="1">
      <alignment horizontal="left"/>
    </xf>
    <xf numFmtId="0" fontId="1" fillId="0" borderId="151" xfId="0" applyFont="1" applyBorder="1" applyAlignment="1">
      <alignment horizontal="center"/>
    </xf>
    <xf numFmtId="0" fontId="16" fillId="0" borderId="0" xfId="0" applyFont="1" applyAlignment="1">
      <alignment horizontal="right"/>
    </xf>
    <xf numFmtId="43" fontId="16" fillId="0" borderId="0" xfId="25766" applyFont="1" applyFill="1" applyBorder="1"/>
    <xf numFmtId="43" fontId="126" fillId="0" borderId="0" xfId="25766" applyFont="1" applyFill="1" applyBorder="1"/>
    <xf numFmtId="17" fontId="122" fillId="0" borderId="151" xfId="24138" applyNumberFormat="1" applyFont="1" applyBorder="1" applyAlignment="1">
      <alignment horizontal="center" vertical="center"/>
    </xf>
    <xf numFmtId="3" fontId="16" fillId="0" borderId="0" xfId="0" applyNumberFormat="1" applyFont="1"/>
    <xf numFmtId="10" fontId="16" fillId="0" borderId="0" xfId="0" applyNumberFormat="1" applyFont="1"/>
    <xf numFmtId="165" fontId="122" fillId="0" borderId="0" xfId="25742" applyNumberFormat="1" applyFont="1" applyFill="1" applyBorder="1"/>
    <xf numFmtId="3" fontId="16" fillId="0" borderId="155" xfId="0" applyNumberFormat="1" applyFont="1" applyBorder="1"/>
    <xf numFmtId="10" fontId="16" fillId="0" borderId="155" xfId="0" applyNumberFormat="1" applyFont="1" applyBorder="1"/>
    <xf numFmtId="0" fontId="16" fillId="0" borderId="155" xfId="0" applyFont="1" applyBorder="1"/>
    <xf numFmtId="3" fontId="16" fillId="0" borderId="66" xfId="0" applyNumberFormat="1" applyFont="1" applyBorder="1"/>
    <xf numFmtId="10" fontId="16" fillId="0" borderId="66" xfId="0" applyNumberFormat="1" applyFont="1" applyBorder="1"/>
    <xf numFmtId="0" fontId="16" fillId="0" borderId="155" xfId="0" applyFont="1" applyBorder="1" applyAlignment="1">
      <alignment horizontal="left" indent="1"/>
    </xf>
    <xf numFmtId="0" fontId="16" fillId="0" borderId="66" xfId="0" applyFont="1" applyBorder="1" applyAlignment="1">
      <alignment horizontal="left" indent="1"/>
    </xf>
    <xf numFmtId="0" fontId="16" fillId="0" borderId="0" xfId="0" applyFont="1" applyAlignment="1">
      <alignment horizontal="left" indent="1"/>
    </xf>
    <xf numFmtId="3" fontId="154" fillId="0" borderId="66" xfId="0" applyNumberFormat="1" applyFont="1" applyBorder="1"/>
    <xf numFmtId="0" fontId="16" fillId="0" borderId="0" xfId="0" applyFont="1" applyAlignment="1">
      <alignment horizontal="left"/>
    </xf>
    <xf numFmtId="0" fontId="16" fillId="0" borderId="155" xfId="0" applyFont="1" applyBorder="1" applyAlignment="1">
      <alignment horizontal="center"/>
    </xf>
    <xf numFmtId="183" fontId="16" fillId="0" borderId="155" xfId="0" applyNumberFormat="1" applyFont="1" applyBorder="1"/>
    <xf numFmtId="10" fontId="16" fillId="0" borderId="155" xfId="25793" applyNumberFormat="1" applyFont="1" applyFill="1" applyBorder="1"/>
    <xf numFmtId="10" fontId="16" fillId="0" borderId="0" xfId="25793" applyNumberFormat="1" applyFont="1" applyFill="1" applyBorder="1"/>
    <xf numFmtId="10" fontId="16" fillId="0" borderId="66" xfId="25793" applyNumberFormat="1" applyFont="1" applyFill="1" applyBorder="1"/>
    <xf numFmtId="0" fontId="150" fillId="0" borderId="0" xfId="0" applyFont="1" applyAlignment="1">
      <alignment wrapText="1"/>
    </xf>
    <xf numFmtId="0" fontId="132" fillId="0" borderId="0" xfId="0" applyFont="1" applyAlignment="1">
      <alignment horizontal="center" wrapText="1"/>
    </xf>
    <xf numFmtId="165" fontId="122" fillId="0" borderId="155" xfId="0" applyNumberFormat="1" applyFont="1" applyBorder="1"/>
    <xf numFmtId="44" fontId="122" fillId="0" borderId="155" xfId="25745" applyFont="1" applyBorder="1"/>
    <xf numFmtId="165" fontId="122" fillId="0" borderId="66" xfId="25742" applyNumberFormat="1" applyFont="1" applyBorder="1" applyAlignment="1">
      <alignment horizontal="center"/>
    </xf>
    <xf numFmtId="44" fontId="122" fillId="0" borderId="66" xfId="0" applyNumberFormat="1" applyFont="1" applyBorder="1"/>
    <xf numFmtId="10" fontId="122" fillId="0" borderId="66" xfId="25793" applyNumberFormat="1" applyFont="1" applyBorder="1"/>
    <xf numFmtId="0" fontId="122" fillId="0" borderId="151" xfId="0" applyFont="1" applyBorder="1" applyAlignment="1">
      <alignment horizontal="center" wrapText="1"/>
    </xf>
    <xf numFmtId="199" fontId="122" fillId="0" borderId="0" xfId="25793" applyNumberFormat="1" applyFont="1" applyBorder="1" applyAlignment="1">
      <alignment horizontal="center"/>
    </xf>
    <xf numFmtId="199" fontId="122" fillId="0" borderId="0" xfId="0" applyNumberFormat="1" applyFont="1" applyAlignment="1">
      <alignment horizontal="center"/>
    </xf>
    <xf numFmtId="198" fontId="122" fillId="0" borderId="155" xfId="25745" applyNumberFormat="1" applyFont="1" applyBorder="1"/>
    <xf numFmtId="0" fontId="122" fillId="0" borderId="151" xfId="0" applyFont="1" applyBorder="1" applyAlignment="1">
      <alignment horizontal="centerContinuous"/>
    </xf>
    <xf numFmtId="0" fontId="122" fillId="0" borderId="151" xfId="0" applyFont="1" applyBorder="1" applyAlignment="1">
      <alignment wrapText="1"/>
    </xf>
    <xf numFmtId="0" fontId="122" fillId="0" borderId="0" xfId="0" applyFont="1" applyAlignment="1">
      <alignment horizontal="left" indent="2"/>
    </xf>
    <xf numFmtId="0" fontId="122" fillId="0" borderId="0" xfId="0" applyFont="1" applyAlignment="1">
      <alignment horizontal="centerContinuous"/>
    </xf>
    <xf numFmtId="0" fontId="122" fillId="0" borderId="155" xfId="0" applyFont="1" applyBorder="1" applyAlignment="1">
      <alignment wrapText="1"/>
    </xf>
    <xf numFmtId="0" fontId="122" fillId="0" borderId="155" xfId="0" applyFont="1" applyBorder="1" applyAlignment="1">
      <alignment horizontal="centerContinuous"/>
    </xf>
    <xf numFmtId="3" fontId="122" fillId="0" borderId="0" xfId="0" applyNumberFormat="1" applyFont="1"/>
    <xf numFmtId="189" fontId="122" fillId="0" borderId="0" xfId="25745" applyNumberFormat="1" applyFont="1" applyBorder="1" applyAlignment="1">
      <alignment horizontal="center"/>
    </xf>
    <xf numFmtId="10" fontId="122" fillId="0" borderId="0" xfId="25793" applyNumberFormat="1" applyFont="1" applyBorder="1" applyAlignment="1">
      <alignment horizontal="center"/>
    </xf>
    <xf numFmtId="189" fontId="122" fillId="0" borderId="0" xfId="0" applyNumberFormat="1" applyFont="1"/>
    <xf numFmtId="10" fontId="122" fillId="0" borderId="0" xfId="25793" applyNumberFormat="1" applyFont="1" applyBorder="1"/>
    <xf numFmtId="3" fontId="122" fillId="0" borderId="0" xfId="0" applyNumberFormat="1" applyFont="1" applyAlignment="1">
      <alignment horizontal="center"/>
    </xf>
    <xf numFmtId="0" fontId="155" fillId="0" borderId="0" xfId="0" applyFont="1" applyAlignment="1">
      <alignment horizontal="left"/>
    </xf>
    <xf numFmtId="3" fontId="155" fillId="0" borderId="0" xfId="0" applyNumberFormat="1" applyFont="1" applyAlignment="1">
      <alignment horizontal="left"/>
    </xf>
    <xf numFmtId="0" fontId="155" fillId="0" borderId="0" xfId="0" applyFont="1"/>
    <xf numFmtId="3" fontId="122" fillId="0" borderId="0" xfId="25742" applyNumberFormat="1" applyFont="1" applyFill="1" applyBorder="1"/>
    <xf numFmtId="165" fontId="122" fillId="0" borderId="0" xfId="25742" applyNumberFormat="1" applyFont="1" applyBorder="1" applyAlignment="1">
      <alignment horizontal="center"/>
    </xf>
    <xf numFmtId="165" fontId="122" fillId="0" borderId="0" xfId="25742" applyNumberFormat="1" applyFont="1" applyBorder="1" applyAlignment="1"/>
    <xf numFmtId="165" fontId="122" fillId="0" borderId="155" xfId="25742" applyNumberFormat="1" applyFont="1" applyBorder="1" applyAlignment="1"/>
    <xf numFmtId="189" fontId="122" fillId="0" borderId="155" xfId="25745" applyNumberFormat="1" applyFont="1" applyBorder="1" applyAlignment="1">
      <alignment horizontal="center"/>
    </xf>
    <xf numFmtId="10" fontId="122" fillId="0" borderId="155" xfId="25793" applyNumberFormat="1" applyFont="1" applyBorder="1" applyAlignment="1">
      <alignment horizontal="center"/>
    </xf>
    <xf numFmtId="0" fontId="122" fillId="0" borderId="66" xfId="0" applyFont="1" applyBorder="1"/>
    <xf numFmtId="198" fontId="122" fillId="0" borderId="0" xfId="0" applyNumberFormat="1" applyFont="1"/>
    <xf numFmtId="0" fontId="122" fillId="0" borderId="0" xfId="0" applyFont="1" applyAlignment="1">
      <alignment horizontal="right" wrapText="1"/>
    </xf>
    <xf numFmtId="10" fontId="122" fillId="0" borderId="0" xfId="0" applyNumberFormat="1" applyFont="1"/>
    <xf numFmtId="43" fontId="143" fillId="0" borderId="0" xfId="25742" applyFont="1" applyBorder="1"/>
    <xf numFmtId="199" fontId="122" fillId="0" borderId="0" xfId="25793" applyNumberFormat="1" applyFont="1" applyBorder="1"/>
    <xf numFmtId="166" fontId="122" fillId="0" borderId="0" xfId="25793" applyNumberFormat="1" applyFont="1" applyBorder="1"/>
    <xf numFmtId="0" fontId="122" fillId="0" borderId="155" xfId="0" applyFont="1" applyBorder="1" applyAlignment="1">
      <alignment horizontal="left" indent="2"/>
    </xf>
    <xf numFmtId="43" fontId="122" fillId="0" borderId="155" xfId="25742" applyFont="1" applyBorder="1"/>
    <xf numFmtId="0" fontId="122" fillId="0" borderId="155" xfId="0" applyFont="1" applyBorder="1" applyAlignment="1">
      <alignment horizontal="left" indent="1"/>
    </xf>
    <xf numFmtId="198" fontId="122" fillId="0" borderId="66" xfId="0" applyNumberFormat="1" applyFont="1" applyBorder="1"/>
    <xf numFmtId="0" fontId="122" fillId="0" borderId="154" xfId="0" applyFont="1" applyBorder="1" applyAlignment="1">
      <alignment horizontal="center" wrapText="1"/>
    </xf>
    <xf numFmtId="0" fontId="122" fillId="0" borderId="66" xfId="0" applyFont="1" applyBorder="1" applyAlignment="1">
      <alignment horizontal="left" indent="1"/>
    </xf>
    <xf numFmtId="189" fontId="156" fillId="97" borderId="0" xfId="25742" applyNumberFormat="1" applyFont="1" applyFill="1" applyBorder="1"/>
    <xf numFmtId="200" fontId="156" fillId="97" borderId="0" xfId="25742" applyNumberFormat="1" applyFont="1" applyFill="1" applyBorder="1"/>
    <xf numFmtId="0" fontId="122" fillId="0" borderId="151" xfId="24138" applyFont="1" applyBorder="1" applyAlignment="1">
      <alignment horizontal="center" vertical="center"/>
    </xf>
    <xf numFmtId="0" fontId="122" fillId="0" borderId="151" xfId="24138" applyFont="1" applyBorder="1" applyAlignment="1">
      <alignment horizontal="center" wrapText="1"/>
    </xf>
    <xf numFmtId="17" fontId="122" fillId="0" borderId="151" xfId="24138" applyNumberFormat="1" applyFont="1" applyBorder="1" applyAlignment="1">
      <alignment horizontal="center" wrapText="1"/>
    </xf>
    <xf numFmtId="165" fontId="1" fillId="0" borderId="66" xfId="25742" applyNumberFormat="1" applyFont="1" applyFill="1" applyBorder="1"/>
    <xf numFmtId="37" fontId="122" fillId="0" borderId="0" xfId="25795" applyFont="1" applyAlignment="1">
      <alignment horizontal="centerContinuous"/>
    </xf>
    <xf numFmtId="37" fontId="122" fillId="0" borderId="0" xfId="25795" applyFont="1"/>
    <xf numFmtId="165" fontId="122" fillId="0" borderId="0" xfId="25766" applyNumberFormat="1" applyFont="1" applyFill="1" applyBorder="1" applyAlignment="1" applyProtection="1">
      <alignment horizontal="center"/>
    </xf>
    <xf numFmtId="37" fontId="122" fillId="0" borderId="0" xfId="25795" applyFont="1" applyAlignment="1">
      <alignment horizontal="center"/>
    </xf>
    <xf numFmtId="10" fontId="122" fillId="0" borderId="0" xfId="25795" applyNumberFormat="1" applyFont="1" applyAlignment="1">
      <alignment horizontal="center"/>
    </xf>
    <xf numFmtId="10" fontId="122" fillId="0" borderId="0" xfId="25795" applyNumberFormat="1" applyFont="1" applyAlignment="1">
      <alignment horizontal="fill"/>
    </xf>
    <xf numFmtId="10" fontId="122" fillId="0" borderId="0" xfId="25795" applyNumberFormat="1" applyFont="1"/>
    <xf numFmtId="192" fontId="122" fillId="0" borderId="0" xfId="25795" applyNumberFormat="1" applyFont="1"/>
    <xf numFmtId="165" fontId="158" fillId="0" borderId="0" xfId="25766" applyNumberFormat="1" applyFont="1" applyFill="1" applyBorder="1" applyProtection="1">
      <protection locked="0"/>
    </xf>
    <xf numFmtId="193" fontId="122" fillId="0" borderId="0" xfId="25795" applyNumberFormat="1" applyFont="1" applyAlignment="1">
      <alignment horizontal="center"/>
    </xf>
    <xf numFmtId="37" fontId="122" fillId="0" borderId="0" xfId="25795" applyFont="1" applyAlignment="1">
      <alignment horizontal="right"/>
    </xf>
    <xf numFmtId="165" fontId="122" fillId="0" borderId="0" xfId="25766" applyNumberFormat="1" applyFont="1" applyFill="1" applyBorder="1" applyProtection="1"/>
    <xf numFmtId="10" fontId="122" fillId="0" borderId="0" xfId="25795" applyNumberFormat="1" applyFont="1" applyAlignment="1">
      <alignment horizontal="right"/>
    </xf>
    <xf numFmtId="10" fontId="122" fillId="0" borderId="66" xfId="25795" applyNumberFormat="1" applyFont="1" applyBorder="1"/>
    <xf numFmtId="0" fontId="126" fillId="0" borderId="0" xfId="24690" applyFont="1"/>
    <xf numFmtId="37" fontId="122" fillId="0" borderId="0" xfId="25795" applyFont="1" applyAlignment="1">
      <alignment horizontal="center" wrapText="1"/>
    </xf>
    <xf numFmtId="37" fontId="122" fillId="0" borderId="151" xfId="25795" applyFont="1" applyBorder="1" applyAlignment="1">
      <alignment horizontal="center" wrapText="1"/>
    </xf>
    <xf numFmtId="37" fontId="122" fillId="0" borderId="151" xfId="25795" applyFont="1" applyBorder="1"/>
    <xf numFmtId="37" fontId="122" fillId="0" borderId="151" xfId="25795" applyFont="1" applyBorder="1" applyAlignment="1">
      <alignment horizontal="center"/>
    </xf>
    <xf numFmtId="10" fontId="122" fillId="0" borderId="0" xfId="25795" applyNumberFormat="1" applyFont="1" applyAlignment="1">
      <alignment horizontal="center" wrapText="1"/>
    </xf>
    <xf numFmtId="37" fontId="155" fillId="0" borderId="0" xfId="25795" applyFont="1" applyAlignment="1">
      <alignment horizontal="left"/>
    </xf>
    <xf numFmtId="10" fontId="122" fillId="0" borderId="155" xfId="25795" applyNumberFormat="1" applyFont="1" applyBorder="1" applyAlignment="1">
      <alignment horizontal="left"/>
    </xf>
    <xf numFmtId="10" fontId="122" fillId="0" borderId="155" xfId="25795" applyNumberFormat="1" applyFont="1" applyBorder="1"/>
    <xf numFmtId="10" fontId="122" fillId="0" borderId="155" xfId="25795" applyNumberFormat="1" applyFont="1" applyBorder="1" applyAlignment="1">
      <alignment horizontal="right"/>
    </xf>
    <xf numFmtId="165" fontId="158" fillId="0" borderId="151" xfId="25766" applyNumberFormat="1" applyFont="1" applyFill="1" applyBorder="1" applyProtection="1">
      <protection locked="0"/>
    </xf>
    <xf numFmtId="10" fontId="155" fillId="0" borderId="0" xfId="25795" applyNumberFormat="1" applyFont="1" applyAlignment="1">
      <alignment horizontal="left"/>
    </xf>
    <xf numFmtId="165" fontId="156" fillId="0" borderId="0" xfId="25742" applyNumberFormat="1" applyFont="1" applyFill="1" applyBorder="1"/>
    <xf numFmtId="165" fontId="122" fillId="0" borderId="0" xfId="25742" applyNumberFormat="1" applyFont="1" applyFill="1" applyBorder="1" applyAlignment="1">
      <alignment horizontal="center"/>
    </xf>
    <xf numFmtId="165" fontId="159" fillId="0" borderId="0" xfId="25766" applyNumberFormat="1" applyFont="1" applyFill="1" applyBorder="1" applyProtection="1">
      <protection locked="0"/>
    </xf>
    <xf numFmtId="165" fontId="159" fillId="0" borderId="0" xfId="25742" applyNumberFormat="1" applyFont="1" applyFill="1" applyBorder="1"/>
    <xf numFmtId="37" fontId="159" fillId="0" borderId="0" xfId="25795" applyFont="1"/>
    <xf numFmtId="37" fontId="159" fillId="0" borderId="151" xfId="25795" applyFont="1" applyBorder="1"/>
    <xf numFmtId="165" fontId="122" fillId="0" borderId="151" xfId="25742" applyNumberFormat="1" applyFont="1" applyFill="1" applyBorder="1" applyAlignment="1">
      <alignment horizontal="center"/>
    </xf>
    <xf numFmtId="10" fontId="122" fillId="0" borderId="66" xfId="25795" applyNumberFormat="1" applyFont="1" applyBorder="1" applyAlignment="1">
      <alignment horizontal="left"/>
    </xf>
    <xf numFmtId="37" fontId="122" fillId="0" borderId="0" xfId="25795" applyFont="1" applyAlignment="1">
      <alignment horizontal="center" vertical="center"/>
    </xf>
    <xf numFmtId="10" fontId="122" fillId="0" borderId="155" xfId="25795" applyNumberFormat="1" applyFont="1" applyBorder="1" applyAlignment="1">
      <alignment horizontal="center"/>
    </xf>
    <xf numFmtId="165" fontId="159" fillId="0" borderId="66" xfId="25742" applyNumberFormat="1" applyFont="1" applyFill="1" applyBorder="1"/>
    <xf numFmtId="165" fontId="159" fillId="0" borderId="0" xfId="25742" applyNumberFormat="1" applyFont="1"/>
    <xf numFmtId="165" fontId="16" fillId="0" borderId="66" xfId="25742" applyNumberFormat="1" applyFont="1" applyBorder="1"/>
    <xf numFmtId="43" fontId="159" fillId="0" borderId="0" xfId="25742" applyFont="1" applyFill="1"/>
    <xf numFmtId="43" fontId="122" fillId="0" borderId="155" xfId="25742" applyFont="1" applyFill="1" applyBorder="1"/>
    <xf numFmtId="43" fontId="122" fillId="0" borderId="0" xfId="25742" applyFont="1" applyFill="1" applyBorder="1"/>
    <xf numFmtId="43" fontId="122" fillId="0" borderId="151" xfId="25742" applyFont="1" applyFill="1" applyBorder="1" applyAlignment="1">
      <alignment horizontal="center" wrapText="1"/>
    </xf>
    <xf numFmtId="0" fontId="122" fillId="0" borderId="0" xfId="25794" applyFont="1"/>
    <xf numFmtId="39" fontId="122" fillId="0" borderId="0" xfId="25794" applyNumberFormat="1" applyFont="1"/>
    <xf numFmtId="39" fontId="122" fillId="0" borderId="0" xfId="0" applyNumberFormat="1" applyFont="1"/>
    <xf numFmtId="14" fontId="122" fillId="0" borderId="0" xfId="0" applyNumberFormat="1" applyFont="1"/>
    <xf numFmtId="199" fontId="122" fillId="0" borderId="0" xfId="25793" applyNumberFormat="1" applyFont="1" applyFill="1" applyBorder="1"/>
    <xf numFmtId="10" fontId="122" fillId="0" borderId="0" xfId="25793" applyNumberFormat="1" applyFont="1" applyFill="1" applyBorder="1"/>
    <xf numFmtId="44" fontId="122" fillId="0" borderId="0" xfId="25745" applyFont="1" applyFill="1" applyBorder="1"/>
    <xf numFmtId="0" fontId="1" fillId="0" borderId="155" xfId="0" applyFont="1" applyBorder="1" applyAlignment="1">
      <alignment horizontal="center"/>
    </xf>
    <xf numFmtId="189" fontId="1" fillId="0" borderId="0" xfId="0" applyNumberFormat="1" applyFont="1" applyAlignment="1">
      <alignment horizontal="right" vertical="center" wrapText="1"/>
    </xf>
    <xf numFmtId="10" fontId="1" fillId="0" borderId="0" xfId="0" applyNumberFormat="1" applyFont="1" applyAlignment="1">
      <alignment horizontal="center" vertical="center" wrapText="1"/>
    </xf>
    <xf numFmtId="189" fontId="1" fillId="0" borderId="0" xfId="0" applyNumberFormat="1" applyFont="1"/>
    <xf numFmtId="0" fontId="1" fillId="0" borderId="0" xfId="0" applyFont="1" applyAlignment="1">
      <alignment horizontal="left" vertical="center" wrapText="1" indent="1"/>
    </xf>
    <xf numFmtId="0" fontId="1" fillId="0" borderId="0" xfId="0" applyFont="1" applyAlignment="1">
      <alignment vertical="center"/>
    </xf>
    <xf numFmtId="43" fontId="122" fillId="0" borderId="11" xfId="28781" applyNumberFormat="1" applyFont="1" applyBorder="1"/>
    <xf numFmtId="43" fontId="122" fillId="0" borderId="11" xfId="0" applyNumberFormat="1" applyFont="1" applyBorder="1"/>
    <xf numFmtId="43" fontId="122" fillId="0" borderId="68" xfId="28781" applyNumberFormat="1" applyFont="1" applyBorder="1"/>
    <xf numFmtId="43" fontId="122" fillId="0" borderId="11" xfId="25742" applyFont="1" applyBorder="1"/>
    <xf numFmtId="39" fontId="122" fillId="0" borderId="11" xfId="28781" applyNumberFormat="1" applyFont="1" applyBorder="1"/>
    <xf numFmtId="43" fontId="122" fillId="0" borderId="69" xfId="28781" applyNumberFormat="1" applyFont="1" applyBorder="1"/>
    <xf numFmtId="0" fontId="122" fillId="0" borderId="0" xfId="1" applyFont="1"/>
    <xf numFmtId="0" fontId="122" fillId="0" borderId="151" xfId="1" applyFont="1" applyBorder="1" applyAlignment="1">
      <alignment horizontal="center" wrapText="1"/>
    </xf>
    <xf numFmtId="44" fontId="1" fillId="0" borderId="0" xfId="0" applyNumberFormat="1" applyFont="1"/>
    <xf numFmtId="9" fontId="1" fillId="0" borderId="0" xfId="0" applyNumberFormat="1" applyFont="1"/>
    <xf numFmtId="0" fontId="122" fillId="0" borderId="155" xfId="1" applyFont="1" applyBorder="1"/>
    <xf numFmtId="49" fontId="122" fillId="0" borderId="155" xfId="1" applyNumberFormat="1" applyFont="1" applyBorder="1" applyAlignment="1">
      <alignment horizontal="center"/>
    </xf>
    <xf numFmtId="0" fontId="122" fillId="0" borderId="0" xfId="1" applyFont="1" applyAlignment="1">
      <alignment horizontal="center"/>
    </xf>
    <xf numFmtId="0" fontId="126" fillId="0" borderId="0" xfId="1" applyFont="1"/>
    <xf numFmtId="0" fontId="1" fillId="0" borderId="0" xfId="1" applyFont="1" applyAlignment="1">
      <alignment horizontal="center"/>
    </xf>
    <xf numFmtId="0" fontId="126" fillId="0" borderId="0" xfId="1" applyFont="1" applyAlignment="1">
      <alignment horizontal="left" indent="1"/>
    </xf>
    <xf numFmtId="0" fontId="122" fillId="0" borderId="0" xfId="1" applyFont="1" applyAlignment="1">
      <alignment horizontal="left"/>
    </xf>
    <xf numFmtId="0" fontId="122" fillId="0" borderId="0" xfId="24545" applyFont="1" applyAlignment="1">
      <alignment horizontal="left"/>
    </xf>
    <xf numFmtId="167" fontId="1" fillId="0" borderId="0" xfId="25793" applyNumberFormat="1" applyFont="1" applyBorder="1"/>
    <xf numFmtId="9" fontId="122" fillId="0" borderId="0" xfId="25793" applyFont="1" applyFill="1" applyBorder="1" applyProtection="1"/>
    <xf numFmtId="43" fontId="1" fillId="0" borderId="0" xfId="0" applyNumberFormat="1" applyFont="1"/>
    <xf numFmtId="38" fontId="122" fillId="0" borderId="0" xfId="25796" applyNumberFormat="1" applyFont="1" applyBorder="1"/>
    <xf numFmtId="166" fontId="1" fillId="0" borderId="0" xfId="25793" applyNumberFormat="1" applyFont="1" applyBorder="1"/>
    <xf numFmtId="5" fontId="1" fillId="0" borderId="0" xfId="0" applyNumberFormat="1" applyFont="1"/>
    <xf numFmtId="0" fontId="1" fillId="0" borderId="0" xfId="0" applyFont="1" applyAlignment="1">
      <alignment horizontal="center"/>
    </xf>
    <xf numFmtId="0" fontId="122" fillId="0" borderId="151" xfId="25455" applyFont="1" applyBorder="1" applyAlignment="1">
      <alignment horizontal="center" wrapText="1"/>
    </xf>
    <xf numFmtId="0" fontId="126" fillId="0" borderId="151" xfId="25455" applyFont="1" applyBorder="1" applyAlignment="1">
      <alignment horizontal="center" wrapText="1"/>
    </xf>
    <xf numFmtId="0" fontId="122" fillId="0" borderId="0" xfId="25455" applyFont="1"/>
    <xf numFmtId="0" fontId="122" fillId="0" borderId="0" xfId="25455" applyFont="1" applyAlignment="1">
      <alignment wrapText="1"/>
    </xf>
    <xf numFmtId="43" fontId="122" fillId="0" borderId="151" xfId="25455" applyNumberFormat="1" applyFont="1" applyBorder="1" applyAlignment="1">
      <alignment horizontal="center"/>
    </xf>
    <xf numFmtId="0" fontId="122" fillId="0" borderId="151" xfId="25455" applyFont="1" applyBorder="1"/>
    <xf numFmtId="43" fontId="122" fillId="0" borderId="155" xfId="25455" applyNumberFormat="1" applyFont="1" applyBorder="1" applyAlignment="1">
      <alignment horizontal="center"/>
    </xf>
    <xf numFmtId="0" fontId="122" fillId="0" borderId="155" xfId="25455" applyFont="1" applyBorder="1"/>
    <xf numFmtId="0" fontId="122" fillId="0" borderId="0" xfId="25455" applyFont="1" applyAlignment="1">
      <alignment horizontal="center"/>
    </xf>
    <xf numFmtId="219" fontId="122" fillId="0" borderId="0" xfId="25455" applyNumberFormat="1" applyFont="1"/>
    <xf numFmtId="165" fontId="1" fillId="0" borderId="0" xfId="25742" applyNumberFormat="1" applyFont="1" applyBorder="1"/>
    <xf numFmtId="219" fontId="122" fillId="0" borderId="0" xfId="25457" applyNumberFormat="1" applyFont="1" applyFill="1" applyBorder="1">
      <alignment horizontal="right"/>
    </xf>
    <xf numFmtId="219" fontId="126" fillId="0" borderId="0" xfId="25456" applyNumberFormat="1" applyFont="1" applyFill="1" applyBorder="1"/>
    <xf numFmtId="165" fontId="1" fillId="0" borderId="0" xfId="0" applyNumberFormat="1" applyFont="1"/>
    <xf numFmtId="219" fontId="122" fillId="0" borderId="0" xfId="25456" applyNumberFormat="1" applyFont="1" applyFill="1" applyBorder="1"/>
    <xf numFmtId="0" fontId="1" fillId="0" borderId="0" xfId="25455" applyFont="1" applyAlignment="1">
      <alignment horizontal="center"/>
    </xf>
    <xf numFmtId="219" fontId="122" fillId="0" borderId="151" xfId="25457" applyNumberFormat="1" applyFont="1" applyFill="1" applyBorder="1">
      <alignment horizontal="right"/>
    </xf>
    <xf numFmtId="219" fontId="126" fillId="0" borderId="151" xfId="25456" applyNumberFormat="1" applyFont="1" applyFill="1" applyBorder="1"/>
    <xf numFmtId="219" fontId="126" fillId="0" borderId="0" xfId="25457" applyNumberFormat="1" applyFont="1" applyFill="1" applyBorder="1">
      <alignment horizontal="right"/>
    </xf>
    <xf numFmtId="10" fontId="1" fillId="0" borderId="0" xfId="25793" applyNumberFormat="1" applyFont="1" applyBorder="1"/>
    <xf numFmtId="10" fontId="14" fillId="0" borderId="0" xfId="25793" applyNumberFormat="1" applyFont="1" applyBorder="1"/>
    <xf numFmtId="219" fontId="126" fillId="0" borderId="151" xfId="25457" applyNumberFormat="1" applyFont="1" applyFill="1" applyBorder="1">
      <alignment horizontal="right"/>
    </xf>
    <xf numFmtId="37" fontId="1" fillId="0" borderId="0" xfId="0" applyNumberFormat="1" applyFont="1"/>
    <xf numFmtId="39" fontId="1" fillId="0" borderId="0" xfId="0" applyNumberFormat="1" applyFont="1"/>
    <xf numFmtId="219" fontId="122" fillId="0" borderId="66" xfId="25457" applyNumberFormat="1" applyFont="1" applyFill="1" applyBorder="1">
      <alignment horizontal="right"/>
    </xf>
    <xf numFmtId="219" fontId="126" fillId="0" borderId="66" xfId="25457" applyNumberFormat="1" applyFont="1" applyFill="1" applyBorder="1">
      <alignment horizontal="right"/>
    </xf>
    <xf numFmtId="219" fontId="122" fillId="0" borderId="66" xfId="25456" applyNumberFormat="1" applyFont="1" applyFill="1" applyBorder="1"/>
    <xf numFmtId="219" fontId="126" fillId="0" borderId="66" xfId="25456" applyNumberFormat="1" applyFont="1" applyFill="1" applyBorder="1"/>
    <xf numFmtId="0" fontId="126" fillId="0" borderId="0" xfId="25455" applyFont="1"/>
    <xf numFmtId="5" fontId="126" fillId="0" borderId="0" xfId="25457" applyNumberFormat="1" applyFont="1" applyFill="1" applyBorder="1">
      <alignment horizontal="right"/>
    </xf>
    <xf numFmtId="5" fontId="122" fillId="0" borderId="0" xfId="25457" applyNumberFormat="1" applyFont="1" applyFill="1" applyBorder="1">
      <alignment horizontal="right"/>
    </xf>
    <xf numFmtId="181" fontId="122" fillId="0" borderId="0" xfId="25457" applyNumberFormat="1" applyFont="1" applyFill="1" applyBorder="1">
      <alignment horizontal="right"/>
    </xf>
    <xf numFmtId="5" fontId="122" fillId="0" borderId="0" xfId="25456" applyNumberFormat="1" applyFont="1" applyFill="1" applyBorder="1"/>
    <xf numFmtId="43" fontId="14" fillId="0" borderId="0" xfId="0" applyNumberFormat="1" applyFont="1"/>
    <xf numFmtId="0" fontId="126" fillId="0" borderId="0" xfId="25455" applyFont="1" applyAlignment="1">
      <alignment horizontal="left" vertical="top" wrapText="1"/>
    </xf>
    <xf numFmtId="5" fontId="126" fillId="0" borderId="0" xfId="25455" applyNumberFormat="1" applyFont="1"/>
    <xf numFmtId="6" fontId="122" fillId="0" borderId="0" xfId="25455" applyNumberFormat="1" applyFont="1"/>
    <xf numFmtId="6" fontId="1" fillId="0" borderId="0" xfId="0" applyNumberFormat="1" applyFont="1"/>
    <xf numFmtId="0" fontId="122" fillId="0" borderId="151" xfId="25276" applyFont="1" applyBorder="1" applyAlignment="1">
      <alignment horizontal="center"/>
    </xf>
    <xf numFmtId="183" fontId="122" fillId="0" borderId="151" xfId="25276" applyNumberFormat="1" applyFont="1" applyBorder="1" applyAlignment="1">
      <alignment horizontal="center"/>
    </xf>
    <xf numFmtId="0" fontId="122" fillId="0" borderId="155" xfId="25276" applyFont="1" applyBorder="1" applyAlignment="1">
      <alignment horizontal="center"/>
    </xf>
    <xf numFmtId="183" fontId="122" fillId="0" borderId="155" xfId="25276" applyNumberFormat="1" applyFont="1" applyBorder="1" applyAlignment="1">
      <alignment horizontal="center"/>
    </xf>
    <xf numFmtId="0" fontId="122" fillId="0" borderId="0" xfId="25276" applyFont="1" applyAlignment="1">
      <alignment horizontal="center"/>
    </xf>
    <xf numFmtId="0" fontId="122" fillId="0" borderId="0" xfId="25276" applyFont="1"/>
    <xf numFmtId="183" fontId="122" fillId="0" borderId="0" xfId="25276" applyNumberFormat="1" applyFont="1"/>
    <xf numFmtId="0" fontId="122" fillId="0" borderId="0" xfId="25276" quotePrefix="1" applyFont="1" applyAlignment="1">
      <alignment horizontal="center"/>
    </xf>
    <xf numFmtId="0" fontId="122" fillId="0" borderId="0" xfId="25276" quotePrefix="1" applyFont="1" applyAlignment="1">
      <alignment horizontal="left"/>
    </xf>
    <xf numFmtId="0" fontId="122" fillId="0" borderId="0" xfId="25276" quotePrefix="1" applyFont="1" applyAlignment="1">
      <alignment horizontal="left" indent="1"/>
    </xf>
    <xf numFmtId="183" fontId="122" fillId="0" borderId="0" xfId="24767" applyNumberFormat="1" applyFont="1"/>
    <xf numFmtId="0" fontId="1" fillId="0" borderId="0" xfId="25276" applyFont="1" applyAlignment="1">
      <alignment horizontal="center"/>
    </xf>
    <xf numFmtId="183" fontId="1" fillId="0" borderId="0" xfId="0" applyNumberFormat="1" applyFont="1"/>
    <xf numFmtId="183" fontId="122" fillId="0" borderId="151" xfId="25276" applyNumberFormat="1" applyFont="1" applyBorder="1"/>
    <xf numFmtId="0" fontId="126" fillId="0" borderId="0" xfId="25276" quotePrefix="1" applyFont="1" applyAlignment="1">
      <alignment horizontal="left" indent="2"/>
    </xf>
    <xf numFmtId="0" fontId="122" fillId="0" borderId="0" xfId="25276" applyFont="1" applyAlignment="1">
      <alignment horizontal="left" indent="1"/>
    </xf>
    <xf numFmtId="0" fontId="122" fillId="0" borderId="0" xfId="25276" applyFont="1" applyAlignment="1">
      <alignment horizontal="left"/>
    </xf>
    <xf numFmtId="183" fontId="126" fillId="0" borderId="0" xfId="25276" applyNumberFormat="1" applyFont="1"/>
    <xf numFmtId="0" fontId="136" fillId="0" borderId="0" xfId="0" applyFont="1" applyAlignment="1">
      <alignment horizontal="left"/>
    </xf>
    <xf numFmtId="186" fontId="122" fillId="0" borderId="0" xfId="0" applyNumberFormat="1" applyFont="1"/>
    <xf numFmtId="0" fontId="1" fillId="0" borderId="151" xfId="0" applyFont="1" applyBorder="1" applyAlignment="1">
      <alignment horizontal="center" wrapText="1"/>
    </xf>
    <xf numFmtId="187" fontId="1" fillId="0" borderId="0" xfId="0" applyNumberFormat="1" applyFont="1"/>
    <xf numFmtId="187" fontId="16" fillId="0" borderId="65" xfId="0" applyNumberFormat="1" applyFont="1" applyBorder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49" fontId="126" fillId="0" borderId="0" xfId="25764" applyNumberFormat="1" applyFont="1"/>
    <xf numFmtId="49" fontId="122" fillId="0" borderId="0" xfId="27901" applyNumberFormat="1" applyFont="1" applyAlignment="1">
      <alignment horizontal="center"/>
    </xf>
    <xf numFmtId="165" fontId="1" fillId="0" borderId="0" xfId="25742" applyNumberFormat="1" applyFont="1" applyFill="1"/>
    <xf numFmtId="43" fontId="1" fillId="0" borderId="0" xfId="25742" applyFont="1" applyFill="1"/>
    <xf numFmtId="49" fontId="122" fillId="0" borderId="0" xfId="33385" applyNumberFormat="1" applyFont="1" applyAlignment="1">
      <alignment horizontal="center"/>
    </xf>
    <xf numFmtId="43" fontId="1" fillId="0" borderId="0" xfId="25793" applyNumberFormat="1" applyFont="1" applyFill="1"/>
    <xf numFmtId="10" fontId="1" fillId="0" borderId="0" xfId="25793" applyNumberFormat="1" applyFont="1" applyFill="1"/>
    <xf numFmtId="49" fontId="122" fillId="0" borderId="0" xfId="27901" applyNumberFormat="1" applyFont="1" applyAlignment="1">
      <alignment horizontal="right"/>
    </xf>
    <xf numFmtId="49" fontId="160" fillId="0" borderId="0" xfId="27901" applyNumberFormat="1" applyFont="1" applyAlignment="1">
      <alignment horizontal="center"/>
    </xf>
    <xf numFmtId="165" fontId="16" fillId="0" borderId="0" xfId="25742" applyNumberFormat="1" applyFont="1" applyFill="1" applyAlignment="1">
      <alignment horizontal="center"/>
    </xf>
    <xf numFmtId="43" fontId="16" fillId="0" borderId="0" xfId="25742" applyFont="1" applyFill="1" applyAlignment="1">
      <alignment horizontal="center"/>
    </xf>
    <xf numFmtId="49" fontId="126" fillId="0" borderId="0" xfId="27901" quotePrefix="1" applyNumberFormat="1" applyFont="1" applyAlignment="1">
      <alignment horizontal="center"/>
    </xf>
    <xf numFmtId="17" fontId="16" fillId="0" borderId="0" xfId="0" quotePrefix="1" applyNumberFormat="1" applyFont="1"/>
    <xf numFmtId="165" fontId="126" fillId="0" borderId="0" xfId="25742" applyNumberFormat="1" applyFont="1" applyFill="1" applyBorder="1" applyAlignment="1">
      <alignment horizontal="center"/>
    </xf>
    <xf numFmtId="165" fontId="16" fillId="0" borderId="0" xfId="25742" applyNumberFormat="1" applyFont="1" applyFill="1" applyBorder="1" applyAlignment="1">
      <alignment horizontal="center"/>
    </xf>
    <xf numFmtId="43" fontId="16" fillId="0" borderId="0" xfId="25742" applyFont="1" applyFill="1" applyBorder="1" applyAlignment="1">
      <alignment horizontal="center"/>
    </xf>
    <xf numFmtId="43" fontId="122" fillId="0" borderId="0" xfId="27902" applyFont="1" applyFill="1"/>
    <xf numFmtId="43" fontId="122" fillId="0" borderId="0" xfId="27903" applyFont="1" applyFill="1"/>
    <xf numFmtId="43" fontId="122" fillId="0" borderId="0" xfId="25742" applyFont="1" applyFill="1"/>
    <xf numFmtId="165" fontId="1" fillId="0" borderId="0" xfId="25742" applyNumberFormat="1" applyFont="1" applyFill="1" applyBorder="1"/>
    <xf numFmtId="43" fontId="1" fillId="0" borderId="0" xfId="25742" applyFont="1" applyFill="1" applyBorder="1"/>
    <xf numFmtId="43" fontId="1" fillId="0" borderId="11" xfId="25742" applyFont="1" applyFill="1" applyBorder="1"/>
    <xf numFmtId="0" fontId="1" fillId="0" borderId="0" xfId="0" quotePrefix="1" applyFont="1" applyAlignment="1">
      <alignment horizontal="left"/>
    </xf>
    <xf numFmtId="49" fontId="122" fillId="0" borderId="0" xfId="166" applyNumberFormat="1" applyFont="1"/>
    <xf numFmtId="49" fontId="1" fillId="0" borderId="0" xfId="3264" applyNumberFormat="1"/>
    <xf numFmtId="49" fontId="1" fillId="0" borderId="0" xfId="451" applyNumberFormat="1"/>
    <xf numFmtId="49" fontId="122" fillId="0" borderId="0" xfId="52" applyNumberFormat="1" applyFont="1"/>
    <xf numFmtId="49" fontId="1" fillId="0" borderId="0" xfId="419" applyNumberFormat="1"/>
    <xf numFmtId="49" fontId="1" fillId="0" borderId="0" xfId="370" applyNumberFormat="1"/>
    <xf numFmtId="49" fontId="122" fillId="0" borderId="0" xfId="27904" applyNumberFormat="1" applyFont="1"/>
    <xf numFmtId="49" fontId="122" fillId="0" borderId="0" xfId="27905" applyNumberFormat="1" applyFont="1"/>
    <xf numFmtId="49" fontId="1" fillId="0" borderId="0" xfId="0" applyNumberFormat="1" applyFont="1"/>
    <xf numFmtId="49" fontId="122" fillId="0" borderId="0" xfId="27906" applyNumberFormat="1" applyFont="1"/>
    <xf numFmtId="49" fontId="122" fillId="0" borderId="0" xfId="27907" applyNumberFormat="1" applyFont="1"/>
    <xf numFmtId="43" fontId="1" fillId="0" borderId="0" xfId="25766" applyFont="1" applyFill="1"/>
    <xf numFmtId="49" fontId="1" fillId="0" borderId="0" xfId="409" applyNumberFormat="1"/>
    <xf numFmtId="0" fontId="122" fillId="0" borderId="0" xfId="166" applyFont="1"/>
    <xf numFmtId="0" fontId="1" fillId="0" borderId="0" xfId="3264"/>
    <xf numFmtId="0" fontId="1" fillId="0" borderId="0" xfId="451"/>
    <xf numFmtId="0" fontId="122" fillId="0" borderId="0" xfId="52" applyFont="1"/>
    <xf numFmtId="0" fontId="1" fillId="0" borderId="0" xfId="419"/>
    <xf numFmtId="0" fontId="1" fillId="0" borderId="0" xfId="370"/>
    <xf numFmtId="0" fontId="122" fillId="0" borderId="0" xfId="27904" applyFont="1"/>
    <xf numFmtId="0" fontId="122" fillId="0" borderId="0" xfId="27905" applyFont="1"/>
    <xf numFmtId="0" fontId="122" fillId="0" borderId="0" xfId="27906" applyFont="1"/>
    <xf numFmtId="0" fontId="122" fillId="0" borderId="0" xfId="27907" applyFont="1"/>
    <xf numFmtId="43" fontId="122" fillId="0" borderId="0" xfId="166" applyNumberFormat="1" applyFont="1"/>
    <xf numFmtId="43" fontId="122" fillId="0" borderId="0" xfId="27908" applyFont="1" applyFill="1"/>
    <xf numFmtId="43" fontId="122" fillId="0" borderId="0" xfId="27909" applyFont="1" applyFill="1"/>
    <xf numFmtId="43" fontId="122" fillId="0" borderId="0" xfId="27910" applyFont="1" applyFill="1"/>
    <xf numFmtId="43" fontId="122" fillId="0" borderId="0" xfId="27911" applyFont="1" applyFill="1"/>
    <xf numFmtId="43" fontId="122" fillId="0" borderId="0" xfId="27912" applyFont="1" applyFill="1"/>
    <xf numFmtId="43" fontId="122" fillId="0" borderId="0" xfId="27913" applyFont="1" applyFill="1"/>
    <xf numFmtId="43" fontId="122" fillId="0" borderId="0" xfId="27914" applyFont="1" applyFill="1"/>
    <xf numFmtId="43" fontId="122" fillId="0" borderId="0" xfId="27915" applyFont="1" applyFill="1"/>
    <xf numFmtId="43" fontId="122" fillId="0" borderId="0" xfId="27916" applyFont="1" applyFill="1"/>
    <xf numFmtId="0" fontId="122" fillId="0" borderId="0" xfId="0" quotePrefix="1" applyFont="1"/>
    <xf numFmtId="43" fontId="122" fillId="0" borderId="0" xfId="27903" applyFont="1" applyFill="1" applyBorder="1"/>
    <xf numFmtId="43" fontId="1" fillId="0" borderId="0" xfId="25766" applyFont="1" applyFill="1" applyBorder="1"/>
    <xf numFmtId="43" fontId="122" fillId="0" borderId="0" xfId="183" applyFont="1" applyFill="1"/>
    <xf numFmtId="43" fontId="122" fillId="0" borderId="0" xfId="27917" applyFont="1" applyFill="1"/>
    <xf numFmtId="43" fontId="122" fillId="0" borderId="0" xfId="27918" applyFont="1" applyFill="1"/>
    <xf numFmtId="43" fontId="122" fillId="0" borderId="0" xfId="25766" applyFont="1" applyFill="1"/>
    <xf numFmtId="43" fontId="122" fillId="0" borderId="0" xfId="27900" applyFont="1" applyFill="1"/>
    <xf numFmtId="49" fontId="122" fillId="0" borderId="0" xfId="27919" applyNumberFormat="1" applyFont="1"/>
    <xf numFmtId="49" fontId="122" fillId="0" borderId="0" xfId="27920" applyNumberFormat="1" applyFont="1"/>
    <xf numFmtId="49" fontId="122" fillId="0" borderId="0" xfId="27921" applyNumberFormat="1" applyFont="1"/>
    <xf numFmtId="43" fontId="122" fillId="0" borderId="0" xfId="27922" applyFont="1" applyFill="1"/>
    <xf numFmtId="49" fontId="1" fillId="0" borderId="0" xfId="3265" applyNumberFormat="1"/>
    <xf numFmtId="49" fontId="1" fillId="0" borderId="0" xfId="3262" applyNumberFormat="1"/>
    <xf numFmtId="43" fontId="126" fillId="0" borderId="0" xfId="27902" applyFont="1" applyFill="1"/>
    <xf numFmtId="43" fontId="126" fillId="0" borderId="65" xfId="27903" applyFont="1" applyFill="1" applyBorder="1"/>
    <xf numFmtId="165" fontId="16" fillId="0" borderId="0" xfId="25742" applyNumberFormat="1" applyFont="1" applyFill="1" applyBorder="1"/>
    <xf numFmtId="43" fontId="16" fillId="0" borderId="0" xfId="25742" applyFont="1" applyFill="1" applyBorder="1"/>
    <xf numFmtId="43" fontId="16" fillId="0" borderId="11" xfId="25742" applyFont="1" applyFill="1" applyBorder="1"/>
    <xf numFmtId="43" fontId="122" fillId="0" borderId="0" xfId="27917" applyFont="1" applyFill="1" applyBorder="1"/>
    <xf numFmtId="43" fontId="122" fillId="0" borderId="0" xfId="27909" applyFont="1" applyFill="1" applyBorder="1"/>
    <xf numFmtId="43" fontId="122" fillId="0" borderId="0" xfId="27910" applyFont="1" applyFill="1" applyBorder="1"/>
    <xf numFmtId="43" fontId="122" fillId="0" borderId="0" xfId="27911" applyFont="1" applyFill="1" applyBorder="1"/>
    <xf numFmtId="43" fontId="122" fillId="0" borderId="0" xfId="27912" applyFont="1" applyFill="1" applyBorder="1"/>
    <xf numFmtId="43" fontId="122" fillId="0" borderId="0" xfId="27913" applyFont="1" applyFill="1" applyBorder="1"/>
    <xf numFmtId="43" fontId="122" fillId="0" borderId="0" xfId="27914" applyFont="1" applyFill="1" applyBorder="1"/>
    <xf numFmtId="43" fontId="122" fillId="0" borderId="0" xfId="27915" applyFont="1" applyFill="1" applyBorder="1"/>
    <xf numFmtId="43" fontId="122" fillId="0" borderId="0" xfId="27918" applyFont="1" applyFill="1" applyBorder="1"/>
    <xf numFmtId="2" fontId="1" fillId="0" borderId="0" xfId="409" applyNumberFormat="1" applyAlignment="1">
      <alignment wrapText="1"/>
    </xf>
    <xf numFmtId="2" fontId="122" fillId="0" borderId="0" xfId="25764" applyNumberFormat="1" applyFont="1" applyAlignment="1">
      <alignment wrapText="1"/>
    </xf>
    <xf numFmtId="49" fontId="122" fillId="0" borderId="0" xfId="25764" applyNumberFormat="1" applyFont="1"/>
    <xf numFmtId="49" fontId="122" fillId="0" borderId="0" xfId="409" applyNumberFormat="1" applyFont="1"/>
    <xf numFmtId="10" fontId="1" fillId="0" borderId="0" xfId="25793" applyNumberFormat="1" applyFont="1" applyFill="1" applyBorder="1"/>
    <xf numFmtId="49" fontId="16" fillId="0" borderId="0" xfId="409" applyNumberFormat="1" applyFont="1"/>
    <xf numFmtId="165" fontId="16" fillId="0" borderId="0" xfId="25742" applyNumberFormat="1" applyFont="1" applyFill="1"/>
    <xf numFmtId="43" fontId="16" fillId="0" borderId="0" xfId="25742" applyFont="1" applyFill="1"/>
    <xf numFmtId="43" fontId="16" fillId="0" borderId="0" xfId="0" applyNumberFormat="1" applyFont="1"/>
    <xf numFmtId="165" fontId="156" fillId="0" borderId="0" xfId="25742" applyNumberFormat="1" applyFont="1" applyFill="1"/>
    <xf numFmtId="165" fontId="156" fillId="100" borderId="0" xfId="25742" applyNumberFormat="1" applyFont="1" applyFill="1"/>
    <xf numFmtId="165" fontId="156" fillId="100" borderId="0" xfId="25742" applyNumberFormat="1" applyFont="1" applyFill="1" applyBorder="1"/>
    <xf numFmtId="0" fontId="1" fillId="0" borderId="151" xfId="0" applyFont="1" applyBorder="1"/>
    <xf numFmtId="165" fontId="156" fillId="0" borderId="151" xfId="25742" applyNumberFormat="1" applyFont="1" applyFill="1" applyBorder="1"/>
    <xf numFmtId="165" fontId="156" fillId="100" borderId="151" xfId="25742" applyNumberFormat="1" applyFont="1" applyFill="1" applyBorder="1"/>
    <xf numFmtId="165" fontId="1" fillId="0" borderId="151" xfId="25742" applyNumberFormat="1" applyFont="1" applyFill="1" applyBorder="1"/>
    <xf numFmtId="40" fontId="1" fillId="0" borderId="0" xfId="0" applyNumberFormat="1" applyFont="1"/>
    <xf numFmtId="4" fontId="1" fillId="0" borderId="0" xfId="0" applyNumberFormat="1" applyFont="1"/>
    <xf numFmtId="191" fontId="1" fillId="0" borderId="0" xfId="25793" applyNumberFormat="1" applyFont="1" applyFill="1" applyBorder="1" applyAlignment="1"/>
    <xf numFmtId="37" fontId="122" fillId="0" borderId="0" xfId="25741" applyFont="1"/>
    <xf numFmtId="37" fontId="122" fillId="0" borderId="0" xfId="25741" applyFont="1" applyAlignment="1">
      <alignment horizontal="center"/>
    </xf>
    <xf numFmtId="10" fontId="122" fillId="0" borderId="0" xfId="25793" applyNumberFormat="1" applyFont="1" applyFill="1" applyAlignment="1">
      <alignment horizontal="right"/>
    </xf>
    <xf numFmtId="184" fontId="122" fillId="0" borderId="0" xfId="24219" applyNumberFormat="1" applyFont="1" applyFill="1"/>
    <xf numFmtId="167" fontId="122" fillId="0" borderId="0" xfId="25741" applyNumberFormat="1" applyFont="1"/>
    <xf numFmtId="0" fontId="122" fillId="0" borderId="151" xfId="24690" applyFont="1" applyBorder="1" applyAlignment="1">
      <alignment horizontal="center" wrapText="1"/>
    </xf>
    <xf numFmtId="44" fontId="1" fillId="0" borderId="0" xfId="25745" applyFont="1"/>
    <xf numFmtId="0" fontId="1" fillId="0" borderId="0" xfId="0" applyFont="1" applyAlignment="1">
      <alignment horizontal="left" indent="1"/>
    </xf>
    <xf numFmtId="44" fontId="1" fillId="0" borderId="0" xfId="25745" applyFont="1" applyBorder="1"/>
    <xf numFmtId="0" fontId="1" fillId="0" borderId="0" xfId="0" applyFont="1" applyAlignment="1">
      <alignment horizontal="right"/>
    </xf>
    <xf numFmtId="165" fontId="1" fillId="0" borderId="0" xfId="25742" applyNumberFormat="1" applyFont="1"/>
    <xf numFmtId="165" fontId="1" fillId="0" borderId="155" xfId="25742" applyNumberFormat="1" applyFont="1" applyBorder="1"/>
    <xf numFmtId="44" fontId="1" fillId="94" borderId="0" xfId="0" applyNumberFormat="1" applyFont="1" applyFill="1"/>
    <xf numFmtId="0" fontId="1" fillId="94" borderId="0" xfId="0" applyFont="1" applyFill="1"/>
    <xf numFmtId="0" fontId="126" fillId="0" borderId="0" xfId="25295" applyFont="1"/>
    <xf numFmtId="0" fontId="126" fillId="0" borderId="0" xfId="25295" quotePrefix="1" applyFont="1"/>
    <xf numFmtId="40" fontId="126" fillId="0" borderId="0" xfId="25295" quotePrefix="1" applyNumberFormat="1" applyFont="1"/>
    <xf numFmtId="4" fontId="126" fillId="0" borderId="0" xfId="25295" quotePrefix="1" applyNumberFormat="1" applyFont="1"/>
    <xf numFmtId="49" fontId="126" fillId="0" borderId="0" xfId="25293" applyNumberFormat="1" applyFont="1" applyFill="1" applyBorder="1" applyAlignment="1"/>
    <xf numFmtId="8" fontId="1" fillId="0" borderId="0" xfId="0" applyNumberFormat="1" applyFont="1"/>
    <xf numFmtId="8" fontId="130" fillId="0" borderId="0" xfId="0" applyNumberFormat="1" applyFont="1"/>
    <xf numFmtId="8" fontId="16" fillId="0" borderId="65" xfId="0" applyNumberFormat="1" applyFont="1" applyBorder="1"/>
    <xf numFmtId="8" fontId="16" fillId="0" borderId="0" xfId="0" applyNumberFormat="1" applyFont="1"/>
    <xf numFmtId="218" fontId="1" fillId="0" borderId="0" xfId="0" applyNumberFormat="1" applyFont="1"/>
    <xf numFmtId="0" fontId="1" fillId="0" borderId="0" xfId="0" applyFont="1" applyAlignment="1">
      <alignment horizontal="left" vertical="top"/>
    </xf>
    <xf numFmtId="0" fontId="126" fillId="0" borderId="0" xfId="27280" applyFont="1"/>
    <xf numFmtId="39" fontId="1" fillId="0" borderId="0" xfId="25745" applyNumberFormat="1" applyFont="1"/>
    <xf numFmtId="0" fontId="122" fillId="0" borderId="0" xfId="0" applyFont="1" applyAlignment="1">
      <alignment wrapText="1"/>
    </xf>
    <xf numFmtId="10" fontId="122" fillId="0" borderId="0" xfId="0" applyNumberFormat="1" applyFont="1" applyAlignment="1">
      <alignment wrapText="1"/>
    </xf>
    <xf numFmtId="9" fontId="122" fillId="0" borderId="0" xfId="0" applyNumberFormat="1" applyFont="1" applyAlignment="1">
      <alignment horizontal="center"/>
    </xf>
    <xf numFmtId="165" fontId="126" fillId="0" borderId="66" xfId="25742" applyNumberFormat="1" applyFont="1" applyFill="1" applyBorder="1" applyAlignment="1">
      <alignment horizontal="center"/>
    </xf>
    <xf numFmtId="0" fontId="122" fillId="0" borderId="155" xfId="0" applyFont="1" applyBorder="1"/>
    <xf numFmtId="0" fontId="1" fillId="0" borderId="155" xfId="0" applyFont="1" applyBorder="1"/>
    <xf numFmtId="165" fontId="1" fillId="0" borderId="155" xfId="25742" applyNumberFormat="1" applyFont="1" applyFill="1" applyBorder="1"/>
    <xf numFmtId="198" fontId="122" fillId="0" borderId="0" xfId="25745" applyNumberFormat="1" applyFont="1" applyFill="1" applyAlignment="1"/>
    <xf numFmtId="0" fontId="125" fillId="0" borderId="0" xfId="0" quotePrefix="1" applyFont="1"/>
    <xf numFmtId="198" fontId="126" fillId="0" borderId="66" xfId="25745" applyNumberFormat="1" applyFont="1" applyFill="1" applyBorder="1" applyAlignment="1"/>
    <xf numFmtId="37" fontId="1" fillId="0" borderId="0" xfId="25795" applyFont="1" applyAlignment="1">
      <alignment horizontal="center" vertical="center"/>
    </xf>
    <xf numFmtId="9" fontId="1" fillId="0" borderId="0" xfId="25793" applyFont="1"/>
    <xf numFmtId="0" fontId="122" fillId="0" borderId="0" xfId="33380" applyFont="1"/>
    <xf numFmtId="0" fontId="122" fillId="0" borderId="0" xfId="25295" applyFont="1"/>
    <xf numFmtId="164" fontId="122" fillId="0" borderId="0" xfId="25295" applyNumberFormat="1" applyFont="1"/>
    <xf numFmtId="49" fontId="122" fillId="0" borderId="0" xfId="25293" applyNumberFormat="1" applyFont="1" applyFill="1" applyBorder="1" applyAlignment="1"/>
    <xf numFmtId="0" fontId="122" fillId="0" borderId="151" xfId="25295" applyFont="1" applyBorder="1" applyAlignment="1">
      <alignment horizontal="center"/>
    </xf>
    <xf numFmtId="0" fontId="122" fillId="0" borderId="153" xfId="25295" applyFont="1" applyBorder="1" applyAlignment="1">
      <alignment horizontal="center"/>
    </xf>
    <xf numFmtId="0" fontId="1" fillId="0" borderId="67" xfId="0" applyFont="1" applyBorder="1" applyAlignment="1">
      <alignment horizontal="center"/>
    </xf>
    <xf numFmtId="0" fontId="122" fillId="0" borderId="155" xfId="25295" applyFont="1" applyBorder="1" applyAlignment="1">
      <alignment horizontal="center"/>
    </xf>
    <xf numFmtId="0" fontId="122" fillId="0" borderId="0" xfId="25295" applyFont="1" applyAlignment="1">
      <alignment horizontal="left"/>
    </xf>
    <xf numFmtId="10" fontId="159" fillId="0" borderId="0" xfId="25292" applyNumberFormat="1" applyFont="1" applyFill="1" applyBorder="1" applyAlignment="1">
      <alignment horizontal="center"/>
    </xf>
    <xf numFmtId="10" fontId="122" fillId="0" borderId="0" xfId="25292" applyNumberFormat="1" applyFont="1" applyFill="1" applyBorder="1" applyAlignment="1">
      <alignment horizontal="center"/>
    </xf>
    <xf numFmtId="10" fontId="122" fillId="0" borderId="0" xfId="25292" applyNumberFormat="1" applyFont="1" applyBorder="1" applyAlignment="1">
      <alignment horizontal="center"/>
    </xf>
    <xf numFmtId="199" fontId="122" fillId="0" borderId="0" xfId="25295" applyNumberFormat="1" applyFont="1" applyAlignment="1">
      <alignment horizontal="center"/>
    </xf>
    <xf numFmtId="166" fontId="122" fillId="0" borderId="0" xfId="25793" applyNumberFormat="1" applyFont="1"/>
    <xf numFmtId="166" fontId="122" fillId="0" borderId="0" xfId="25295" applyNumberFormat="1" applyFont="1" applyAlignment="1">
      <alignment horizontal="center"/>
    </xf>
    <xf numFmtId="0" fontId="122" fillId="0" borderId="0" xfId="25295" applyFont="1" applyAlignment="1">
      <alignment horizontal="left" indent="1"/>
    </xf>
    <xf numFmtId="10" fontId="122" fillId="0" borderId="155" xfId="25292" applyNumberFormat="1" applyFont="1" applyBorder="1" applyAlignment="1">
      <alignment horizontal="center"/>
    </xf>
    <xf numFmtId="166" fontId="122" fillId="0" borderId="0" xfId="25292" applyNumberFormat="1" applyFont="1" applyBorder="1" applyAlignment="1">
      <alignment horizontal="center"/>
    </xf>
    <xf numFmtId="0" fontId="122" fillId="0" borderId="0" xfId="25295" applyFont="1" applyAlignment="1">
      <alignment horizontal="center"/>
    </xf>
    <xf numFmtId="198" fontId="1" fillId="0" borderId="0" xfId="25745" applyNumberFormat="1" applyFont="1"/>
    <xf numFmtId="198" fontId="1" fillId="0" borderId="0" xfId="0" applyNumberFormat="1" applyFont="1"/>
    <xf numFmtId="10" fontId="1" fillId="0" borderId="151" xfId="0" applyNumberFormat="1" applyFont="1" applyBorder="1"/>
    <xf numFmtId="165" fontId="1" fillId="0" borderId="151" xfId="25742" applyNumberFormat="1" applyFont="1" applyBorder="1"/>
    <xf numFmtId="0" fontId="1" fillId="0" borderId="151" xfId="0" applyFont="1" applyBorder="1" applyAlignment="1">
      <alignment wrapText="1"/>
    </xf>
    <xf numFmtId="0" fontId="122" fillId="0" borderId="151" xfId="28781" applyFont="1" applyBorder="1" applyAlignment="1">
      <alignment horizontal="center" wrapText="1"/>
    </xf>
    <xf numFmtId="0" fontId="122" fillId="0" borderId="0" xfId="25771" applyFont="1"/>
    <xf numFmtId="0" fontId="122" fillId="0" borderId="0" xfId="28786" applyFont="1"/>
    <xf numFmtId="0" fontId="122" fillId="0" borderId="0" xfId="28781" applyFont="1" applyAlignment="1">
      <alignment horizontal="left" indent="1"/>
    </xf>
    <xf numFmtId="0" fontId="126" fillId="0" borderId="0" xfId="28781" applyFont="1"/>
    <xf numFmtId="49" fontId="1" fillId="0" borderId="0" xfId="0" applyNumberFormat="1" applyFont="1" applyAlignment="1">
      <alignment horizontal="center"/>
    </xf>
    <xf numFmtId="49" fontId="1" fillId="0" borderId="74" xfId="0" applyNumberFormat="1" applyFont="1" applyBorder="1" applyAlignment="1">
      <alignment horizontal="center"/>
    </xf>
    <xf numFmtId="49" fontId="1" fillId="0" borderId="75" xfId="0" applyNumberFormat="1" applyFont="1" applyBorder="1" applyAlignment="1">
      <alignment horizontal="center"/>
    </xf>
    <xf numFmtId="0" fontId="1" fillId="87" borderId="74" xfId="0" applyFont="1" applyFill="1" applyBorder="1"/>
    <xf numFmtId="0" fontId="1" fillId="87" borderId="0" xfId="0" applyFont="1" applyFill="1"/>
    <xf numFmtId="0" fontId="1" fillId="87" borderId="75" xfId="0" applyFont="1" applyFill="1" applyBorder="1"/>
    <xf numFmtId="0" fontId="1" fillId="0" borderId="74" xfId="0" applyFont="1" applyBorder="1" applyAlignment="1">
      <alignment wrapText="1"/>
    </xf>
    <xf numFmtId="0" fontId="1" fillId="0" borderId="75" xfId="0" applyFont="1" applyBorder="1" applyAlignment="1">
      <alignment wrapText="1"/>
    </xf>
    <xf numFmtId="165" fontId="1" fillId="0" borderId="74" xfId="25742" applyNumberFormat="1" applyFont="1" applyBorder="1"/>
    <xf numFmtId="165" fontId="1" fillId="0" borderId="75" xfId="25742" applyNumberFormat="1" applyFont="1" applyBorder="1"/>
    <xf numFmtId="0" fontId="1" fillId="0" borderId="74" xfId="0" applyFont="1" applyBorder="1"/>
    <xf numFmtId="165" fontId="1" fillId="89" borderId="74" xfId="25742" applyNumberFormat="1" applyFont="1" applyFill="1" applyBorder="1"/>
    <xf numFmtId="165" fontId="1" fillId="89" borderId="0" xfId="25742" applyNumberFormat="1" applyFont="1" applyFill="1" applyBorder="1"/>
    <xf numFmtId="165" fontId="1" fillId="89" borderId="75" xfId="25742" applyNumberFormat="1" applyFont="1" applyFill="1" applyBorder="1"/>
    <xf numFmtId="6" fontId="1" fillId="0" borderId="76" xfId="0" applyNumberFormat="1" applyFont="1" applyBorder="1"/>
    <xf numFmtId="165" fontId="16" fillId="0" borderId="79" xfId="25742" applyNumberFormat="1" applyFont="1" applyBorder="1"/>
    <xf numFmtId="165" fontId="16" fillId="0" borderId="80" xfId="25742" applyNumberFormat="1" applyFont="1" applyBorder="1"/>
    <xf numFmtId="165" fontId="1" fillId="91" borderId="74" xfId="25742" applyNumberFormat="1" applyFont="1" applyFill="1" applyBorder="1"/>
    <xf numFmtId="165" fontId="1" fillId="91" borderId="0" xfId="25742" applyNumberFormat="1" applyFont="1" applyFill="1" applyBorder="1"/>
    <xf numFmtId="165" fontId="1" fillId="91" borderId="75" xfId="25742" applyNumberFormat="1" applyFont="1" applyFill="1" applyBorder="1"/>
    <xf numFmtId="0" fontId="1" fillId="91" borderId="74" xfId="0" applyFont="1" applyFill="1" applyBorder="1"/>
    <xf numFmtId="49" fontId="1" fillId="91" borderId="0" xfId="0" applyNumberFormat="1" applyFont="1" applyFill="1" applyAlignment="1">
      <alignment horizontal="center"/>
    </xf>
    <xf numFmtId="49" fontId="1" fillId="91" borderId="75" xfId="0" applyNumberFormat="1" applyFont="1" applyFill="1" applyBorder="1" applyAlignment="1">
      <alignment horizontal="center"/>
    </xf>
    <xf numFmtId="165" fontId="1" fillId="86" borderId="74" xfId="25742" applyNumberFormat="1" applyFont="1" applyFill="1" applyBorder="1"/>
    <xf numFmtId="165" fontId="1" fillId="86" borderId="0" xfId="25742" applyNumberFormat="1" applyFont="1" applyFill="1"/>
    <xf numFmtId="165" fontId="1" fillId="86" borderId="75" xfId="25742" applyNumberFormat="1" applyFont="1" applyFill="1" applyBorder="1"/>
    <xf numFmtId="165" fontId="1" fillId="92" borderId="74" xfId="25742" applyNumberFormat="1" applyFont="1" applyFill="1" applyBorder="1"/>
    <xf numFmtId="165" fontId="1" fillId="92" borderId="0" xfId="25742" applyNumberFormat="1" applyFont="1" applyFill="1"/>
    <xf numFmtId="165" fontId="1" fillId="92" borderId="75" xfId="25742" applyNumberFormat="1" applyFont="1" applyFill="1" applyBorder="1"/>
    <xf numFmtId="165" fontId="1" fillId="90" borderId="74" xfId="25742" applyNumberFormat="1" applyFont="1" applyFill="1" applyBorder="1"/>
    <xf numFmtId="165" fontId="1" fillId="90" borderId="0" xfId="25742" applyNumberFormat="1" applyFont="1" applyFill="1"/>
    <xf numFmtId="165" fontId="1" fillId="90" borderId="75" xfId="25742" applyNumberFormat="1" applyFont="1" applyFill="1" applyBorder="1"/>
    <xf numFmtId="6" fontId="1" fillId="88" borderId="0" xfId="0" applyNumberFormat="1" applyFont="1" applyFill="1"/>
    <xf numFmtId="6" fontId="1" fillId="0" borderId="65" xfId="0" applyNumberFormat="1" applyFont="1" applyBorder="1"/>
    <xf numFmtId="38" fontId="161" fillId="0" borderId="0" xfId="0" applyNumberFormat="1" applyFont="1"/>
    <xf numFmtId="1" fontId="1" fillId="0" borderId="0" xfId="0" applyNumberFormat="1" applyFont="1" applyAlignment="1">
      <alignment horizontal="left"/>
    </xf>
    <xf numFmtId="38" fontId="1" fillId="0" borderId="74" xfId="0" applyNumberFormat="1" applyFont="1" applyBorder="1"/>
    <xf numFmtId="38" fontId="1" fillId="0" borderId="75" xfId="0" applyNumberFormat="1" applyFont="1" applyBorder="1"/>
    <xf numFmtId="6" fontId="1" fillId="0" borderId="75" xfId="0" applyNumberFormat="1" applyFont="1" applyBorder="1"/>
    <xf numFmtId="38" fontId="1" fillId="0" borderId="109" xfId="0" applyNumberFormat="1" applyFont="1" applyBorder="1"/>
    <xf numFmtId="6" fontId="1" fillId="0" borderId="109" xfId="0" applyNumberFormat="1" applyFont="1" applyBorder="1"/>
    <xf numFmtId="38" fontId="1" fillId="0" borderId="110" xfId="0" applyNumberFormat="1" applyFont="1" applyBorder="1"/>
    <xf numFmtId="40" fontId="1" fillId="0" borderId="110" xfId="0" applyNumberFormat="1" applyFont="1" applyBorder="1"/>
    <xf numFmtId="38" fontId="1" fillId="0" borderId="111" xfId="0" applyNumberFormat="1" applyFont="1" applyBorder="1"/>
    <xf numFmtId="38" fontId="1" fillId="0" borderId="125" xfId="0" applyNumberFormat="1" applyFont="1" applyBorder="1"/>
    <xf numFmtId="38" fontId="1" fillId="0" borderId="77" xfId="0" applyNumberFormat="1" applyFont="1" applyBorder="1"/>
    <xf numFmtId="3" fontId="1" fillId="0" borderId="0" xfId="0" applyNumberFormat="1" applyFont="1"/>
    <xf numFmtId="0" fontId="151" fillId="0" borderId="0" xfId="0" applyFont="1"/>
    <xf numFmtId="0" fontId="151" fillId="0" borderId="66" xfId="0" applyFont="1" applyBorder="1"/>
    <xf numFmtId="44" fontId="1" fillId="0" borderId="0" xfId="25751" applyFont="1" applyFill="1"/>
    <xf numFmtId="0" fontId="161" fillId="0" borderId="0" xfId="0" applyFont="1"/>
    <xf numFmtId="0" fontId="1" fillId="0" borderId="0" xfId="0" applyFont="1" applyAlignment="1">
      <alignment horizontal="left" indent="2"/>
    </xf>
    <xf numFmtId="6" fontId="16" fillId="0" borderId="66" xfId="0" applyNumberFormat="1" applyFont="1" applyBorder="1"/>
    <xf numFmtId="43" fontId="1" fillId="0" borderId="0" xfId="25745" applyNumberFormat="1" applyFont="1" applyFill="1"/>
    <xf numFmtId="43" fontId="16" fillId="0" borderId="0" xfId="0" applyNumberFormat="1" applyFont="1" applyAlignment="1">
      <alignment horizontal="center"/>
    </xf>
    <xf numFmtId="39" fontId="16" fillId="0" borderId="0" xfId="0" applyNumberFormat="1" applyFont="1" applyAlignment="1">
      <alignment horizontal="center"/>
    </xf>
    <xf numFmtId="0" fontId="122" fillId="0" borderId="0" xfId="25455" applyFont="1" applyAlignment="1">
      <alignment horizontal="center" wrapText="1"/>
    </xf>
    <xf numFmtId="10" fontId="122" fillId="0" borderId="0" xfId="25758" applyNumberFormat="1" applyFont="1" applyFill="1" applyBorder="1" applyAlignment="1" applyProtection="1">
      <alignment horizontal="center"/>
    </xf>
    <xf numFmtId="10" fontId="122" fillId="0" borderId="0" xfId="25758" applyNumberFormat="1" applyFont="1" applyFill="1" applyBorder="1" applyAlignment="1">
      <alignment horizontal="center"/>
    </xf>
    <xf numFmtId="43" fontId="1" fillId="0" borderId="0" xfId="25745" applyNumberFormat="1" applyFont="1" applyFill="1" applyBorder="1"/>
    <xf numFmtId="43" fontId="122" fillId="0" borderId="0" xfId="25455" applyNumberFormat="1" applyFont="1" applyAlignment="1">
      <alignment horizontal="center"/>
    </xf>
    <xf numFmtId="39" fontId="122" fillId="0" borderId="0" xfId="25455" applyNumberFormat="1" applyFont="1" applyAlignment="1">
      <alignment horizontal="center"/>
    </xf>
    <xf numFmtId="43" fontId="122" fillId="0" borderId="0" xfId="25745" applyNumberFormat="1" applyFont="1" applyFill="1" applyBorder="1" applyAlignment="1">
      <alignment horizontal="center"/>
    </xf>
    <xf numFmtId="9" fontId="122" fillId="0" borderId="0" xfId="25793" applyFont="1" applyFill="1" applyBorder="1" applyAlignment="1">
      <alignment horizontal="center"/>
    </xf>
    <xf numFmtId="43" fontId="126" fillId="0" borderId="0" xfId="25743" applyNumberFormat="1" applyFont="1" applyAlignment="1">
      <alignment horizontal="center" wrapText="1"/>
    </xf>
    <xf numFmtId="39" fontId="122" fillId="0" borderId="11" xfId="25743" applyFont="1" applyBorder="1"/>
    <xf numFmtId="0" fontId="122" fillId="0" borderId="11" xfId="0" applyFont="1" applyBorder="1"/>
    <xf numFmtId="39" fontId="122" fillId="0" borderId="11" xfId="25743" applyFont="1" applyBorder="1" applyAlignment="1">
      <alignment horizontal="left"/>
    </xf>
    <xf numFmtId="43" fontId="122" fillId="0" borderId="67" xfId="0" applyNumberFormat="1" applyFont="1" applyBorder="1"/>
    <xf numFmtId="43" fontId="122" fillId="0" borderId="68" xfId="0" applyNumberFormat="1" applyFont="1" applyBorder="1"/>
    <xf numFmtId="39" fontId="122" fillId="0" borderId="68" xfId="0" applyNumberFormat="1" applyFont="1" applyBorder="1"/>
    <xf numFmtId="43" fontId="122" fillId="0" borderId="68" xfId="25745" applyNumberFormat="1" applyFont="1" applyFill="1" applyBorder="1"/>
    <xf numFmtId="196" fontId="1" fillId="0" borderId="0" xfId="0" applyNumberFormat="1" applyFont="1"/>
    <xf numFmtId="7" fontId="1" fillId="0" borderId="0" xfId="0" applyNumberFormat="1" applyFont="1"/>
    <xf numFmtId="39" fontId="122" fillId="0" borderId="11" xfId="0" applyNumberFormat="1" applyFont="1" applyBorder="1"/>
    <xf numFmtId="43" fontId="122" fillId="0" borderId="70" xfId="0" applyNumberFormat="1" applyFont="1" applyBorder="1"/>
    <xf numFmtId="43" fontId="122" fillId="0" borderId="65" xfId="0" applyNumberFormat="1" applyFont="1" applyBorder="1"/>
    <xf numFmtId="43" fontId="122" fillId="0" borderId="69" xfId="0" applyNumberFormat="1" applyFont="1" applyBorder="1"/>
    <xf numFmtId="39" fontId="122" fillId="0" borderId="69" xfId="0" applyNumberFormat="1" applyFont="1" applyBorder="1"/>
    <xf numFmtId="43" fontId="122" fillId="0" borderId="69" xfId="25745" applyNumberFormat="1" applyFont="1" applyFill="1" applyBorder="1"/>
    <xf numFmtId="39" fontId="126" fillId="0" borderId="11" xfId="25743" applyFont="1" applyBorder="1"/>
    <xf numFmtId="39" fontId="122" fillId="0" borderId="67" xfId="0" applyNumberFormat="1" applyFont="1" applyBorder="1"/>
    <xf numFmtId="43" fontId="122" fillId="0" borderId="11" xfId="25745" applyNumberFormat="1" applyFont="1" applyFill="1" applyBorder="1"/>
    <xf numFmtId="39" fontId="122" fillId="0" borderId="65" xfId="0" applyNumberFormat="1" applyFont="1" applyBorder="1"/>
    <xf numFmtId="39" fontId="126" fillId="0" borderId="11" xfId="25743" applyFont="1" applyBorder="1" applyAlignment="1">
      <alignment horizontal="left" indent="2"/>
    </xf>
    <xf numFmtId="8" fontId="122" fillId="0" borderId="68" xfId="0" applyNumberFormat="1" applyFont="1" applyBorder="1"/>
    <xf numFmtId="197" fontId="1" fillId="0" borderId="0" xfId="0" applyNumberFormat="1" applyFont="1"/>
    <xf numFmtId="5" fontId="122" fillId="0" borderId="0" xfId="0" applyNumberFormat="1" applyFont="1"/>
    <xf numFmtId="8" fontId="122" fillId="0" borderId="11" xfId="0" applyNumberFormat="1" applyFont="1" applyBorder="1"/>
    <xf numFmtId="43" fontId="122" fillId="0" borderId="157" xfId="0" applyNumberFormat="1" applyFont="1" applyBorder="1"/>
    <xf numFmtId="39" fontId="122" fillId="0" borderId="157" xfId="0" applyNumberFormat="1" applyFont="1" applyBorder="1"/>
    <xf numFmtId="39" fontId="122" fillId="0" borderId="73" xfId="0" applyNumberFormat="1" applyFont="1" applyBorder="1"/>
    <xf numFmtId="190" fontId="1" fillId="0" borderId="0" xfId="0" applyNumberFormat="1" applyFont="1"/>
    <xf numFmtId="43" fontId="122" fillId="0" borderId="72" xfId="0" applyNumberFormat="1" applyFont="1" applyBorder="1"/>
    <xf numFmtId="43" fontId="122" fillId="0" borderId="66" xfId="0" applyNumberFormat="1" applyFont="1" applyBorder="1"/>
    <xf numFmtId="43" fontId="122" fillId="0" borderId="73" xfId="0" applyNumberFormat="1" applyFont="1" applyBorder="1"/>
    <xf numFmtId="0" fontId="122" fillId="0" borderId="151" xfId="25276" applyFont="1" applyBorder="1" applyAlignment="1">
      <alignment horizontal="center" wrapText="1"/>
    </xf>
    <xf numFmtId="0" fontId="122" fillId="0" borderId="0" xfId="24690" applyFont="1"/>
    <xf numFmtId="0" fontId="122" fillId="0" borderId="0" xfId="25455" quotePrefix="1" applyFont="1"/>
    <xf numFmtId="186" fontId="159" fillId="0" borderId="0" xfId="0" applyNumberFormat="1" applyFont="1"/>
    <xf numFmtId="183" fontId="159" fillId="0" borderId="0" xfId="24767" applyNumberFormat="1" applyFont="1"/>
    <xf numFmtId="0" fontId="122" fillId="0" borderId="151" xfId="25295" applyFont="1" applyBorder="1" applyAlignment="1">
      <alignment horizontal="center" wrapText="1"/>
    </xf>
    <xf numFmtId="165" fontId="1" fillId="0" borderId="66" xfId="25742" applyNumberFormat="1" applyFont="1" applyBorder="1"/>
    <xf numFmtId="0" fontId="159" fillId="0" borderId="0" xfId="0" applyFont="1"/>
    <xf numFmtId="165" fontId="159" fillId="0" borderId="151" xfId="25742" applyNumberFormat="1" applyFont="1" applyBorder="1"/>
    <xf numFmtId="165" fontId="122" fillId="0" borderId="65" xfId="25742" applyNumberFormat="1" applyFont="1" applyFill="1" applyBorder="1" applyAlignment="1">
      <alignment horizontal="right"/>
    </xf>
    <xf numFmtId="0" fontId="126" fillId="0" borderId="0" xfId="25764" applyFont="1"/>
    <xf numFmtId="39" fontId="1" fillId="0" borderId="151" xfId="0" applyNumberFormat="1" applyFont="1" applyBorder="1"/>
    <xf numFmtId="39" fontId="1" fillId="0" borderId="66" xfId="25745" applyNumberFormat="1" applyFont="1" applyFill="1" applyBorder="1"/>
    <xf numFmtId="0" fontId="1" fillId="0" borderId="155" xfId="0" applyFont="1" applyBorder="1" applyAlignment="1">
      <alignment horizontal="center" vertical="center" wrapText="1"/>
    </xf>
    <xf numFmtId="0" fontId="1" fillId="0" borderId="155" xfId="0" applyFont="1" applyBorder="1" applyAlignment="1">
      <alignment horizontal="center" vertical="center"/>
    </xf>
    <xf numFmtId="192" fontId="159" fillId="95" borderId="0" xfId="25795" applyNumberFormat="1" applyFont="1" applyFill="1"/>
    <xf numFmtId="10" fontId="1" fillId="0" borderId="0" xfId="25745" applyNumberFormat="1" applyFont="1" applyFill="1"/>
    <xf numFmtId="0" fontId="1" fillId="96" borderId="0" xfId="0" applyFont="1" applyFill="1"/>
    <xf numFmtId="43" fontId="1" fillId="0" borderId="151" xfId="0" applyNumberFormat="1" applyFont="1" applyBorder="1"/>
    <xf numFmtId="0" fontId="122" fillId="0" borderId="156" xfId="0" applyFont="1" applyBorder="1"/>
    <xf numFmtId="0" fontId="159" fillId="0" borderId="152" xfId="0" quotePrefix="1" applyFont="1" applyBorder="1" applyAlignment="1">
      <alignment horizontal="center"/>
    </xf>
    <xf numFmtId="0" fontId="122" fillId="0" borderId="157" xfId="0" applyFont="1" applyBorder="1"/>
    <xf numFmtId="0" fontId="122" fillId="0" borderId="154" xfId="0" applyFont="1" applyBorder="1"/>
    <xf numFmtId="0" fontId="1" fillId="0" borderId="151" xfId="0" applyFont="1" applyBorder="1" applyAlignment="1">
      <alignment horizontal="center" vertical="center" wrapText="1"/>
    </xf>
    <xf numFmtId="198" fontId="122" fillId="0" borderId="151" xfId="25745" applyNumberFormat="1" applyFont="1" applyFill="1" applyBorder="1" applyAlignment="1">
      <alignment horizontal="right"/>
    </xf>
    <xf numFmtId="165" fontId="122" fillId="0" borderId="151" xfId="25742" applyNumberFormat="1" applyFont="1" applyFill="1" applyBorder="1" applyAlignment="1">
      <alignment horizontal="right"/>
    </xf>
    <xf numFmtId="187" fontId="122" fillId="0" borderId="151" xfId="25742" applyNumberFormat="1" applyFont="1" applyFill="1" applyBorder="1" applyAlignment="1">
      <alignment horizontal="right"/>
    </xf>
    <xf numFmtId="44" fontId="122" fillId="0" borderId="151" xfId="25745" applyFont="1" applyFill="1" applyBorder="1" applyAlignment="1">
      <alignment horizontal="right"/>
    </xf>
    <xf numFmtId="189" fontId="122" fillId="0" borderId="151" xfId="25742" applyNumberFormat="1" applyFont="1" applyFill="1" applyBorder="1" applyAlignment="1">
      <alignment horizontal="right"/>
    </xf>
    <xf numFmtId="165" fontId="122" fillId="0" borderId="155" xfId="25742" applyNumberFormat="1" applyFont="1" applyFill="1" applyBorder="1" applyAlignment="1">
      <alignment horizontal="right"/>
    </xf>
    <xf numFmtId="165" fontId="126" fillId="99" borderId="156" xfId="25742" applyNumberFormat="1" applyFont="1" applyFill="1" applyBorder="1"/>
    <xf numFmtId="165" fontId="16" fillId="0" borderId="151" xfId="0" applyNumberFormat="1" applyFont="1" applyBorder="1"/>
    <xf numFmtId="43" fontId="122" fillId="0" borderId="151" xfId="28781" applyNumberFormat="1" applyFont="1" applyBorder="1"/>
    <xf numFmtId="0" fontId="126" fillId="0" borderId="151" xfId="0" applyFont="1" applyBorder="1"/>
    <xf numFmtId="187" fontId="1" fillId="0" borderId="151" xfId="0" applyNumberFormat="1" applyFont="1" applyBorder="1"/>
    <xf numFmtId="183" fontId="1" fillId="0" borderId="151" xfId="0" applyNumberFormat="1" applyFont="1" applyBorder="1"/>
    <xf numFmtId="43" fontId="16" fillId="0" borderId="151" xfId="0" applyNumberFormat="1" applyFont="1" applyBorder="1" applyAlignment="1">
      <alignment horizontal="center"/>
    </xf>
    <xf numFmtId="0" fontId="126" fillId="0" borderId="156" xfId="0" applyFont="1" applyBorder="1"/>
    <xf numFmtId="0" fontId="122" fillId="0" borderId="152" xfId="0" applyFont="1" applyBorder="1"/>
    <xf numFmtId="0" fontId="122" fillId="0" borderId="152" xfId="0" applyFont="1" applyBorder="1" applyAlignment="1">
      <alignment wrapText="1"/>
    </xf>
    <xf numFmtId="0" fontId="126" fillId="0" borderId="152" xfId="0" applyFont="1" applyBorder="1" applyAlignment="1">
      <alignment horizontal="center" wrapText="1"/>
    </xf>
    <xf numFmtId="188" fontId="126" fillId="0" borderId="154" xfId="25743" applyNumberFormat="1" applyFont="1" applyBorder="1" applyAlignment="1">
      <alignment horizontal="center" wrapText="1"/>
    </xf>
    <xf numFmtId="39" fontId="126" fillId="0" borderId="151" xfId="25743" applyFont="1" applyBorder="1" applyAlignment="1">
      <alignment horizontal="center" wrapText="1"/>
    </xf>
    <xf numFmtId="39" fontId="126" fillId="0" borderId="153" xfId="25743" applyFont="1" applyBorder="1" applyAlignment="1">
      <alignment horizontal="center" wrapText="1"/>
    </xf>
    <xf numFmtId="39" fontId="126" fillId="0" borderId="157" xfId="25743" applyFont="1" applyBorder="1" applyAlignment="1">
      <alignment horizontal="left"/>
    </xf>
    <xf numFmtId="39" fontId="122" fillId="0" borderId="157" xfId="25743" applyFont="1" applyBorder="1" applyAlignment="1">
      <alignment horizontal="center"/>
    </xf>
    <xf numFmtId="39" fontId="122" fillId="0" borderId="155" xfId="0" applyNumberFormat="1" applyFont="1" applyBorder="1"/>
    <xf numFmtId="39" fontId="122" fillId="0" borderId="157" xfId="25743" applyFont="1" applyBorder="1" applyAlignment="1">
      <alignment horizontal="left"/>
    </xf>
    <xf numFmtId="39" fontId="122" fillId="0" borderId="157" xfId="25743" quotePrefix="1" applyFont="1" applyBorder="1" applyAlignment="1">
      <alignment horizontal="center"/>
    </xf>
    <xf numFmtId="195" fontId="122" fillId="0" borderId="157" xfId="25742" applyNumberFormat="1" applyFont="1" applyFill="1" applyBorder="1" applyAlignment="1" applyProtection="1">
      <alignment horizontal="center"/>
    </xf>
    <xf numFmtId="43" fontId="122" fillId="0" borderId="155" xfId="0" applyNumberFormat="1" applyFont="1" applyBorder="1"/>
    <xf numFmtId="39" fontId="122" fillId="0" borderId="157" xfId="25743" applyFont="1" applyBorder="1"/>
    <xf numFmtId="180" fontId="122" fillId="0" borderId="157" xfId="0" applyNumberFormat="1" applyFont="1" applyBorder="1"/>
    <xf numFmtId="43" fontId="122" fillId="0" borderId="154" xfId="0" applyNumberFormat="1" applyFont="1" applyBorder="1"/>
    <xf numFmtId="39" fontId="122" fillId="0" borderId="151" xfId="0" applyNumberFormat="1" applyFont="1" applyBorder="1"/>
    <xf numFmtId="43" fontId="122" fillId="0" borderId="153" xfId="0" applyNumberFormat="1" applyFont="1" applyBorder="1"/>
    <xf numFmtId="39" fontId="122" fillId="0" borderId="153" xfId="0" applyNumberFormat="1" applyFont="1" applyBorder="1"/>
    <xf numFmtId="4" fontId="1" fillId="0" borderId="154" xfId="0" applyNumberFormat="1" applyFont="1" applyBorder="1"/>
    <xf numFmtId="4" fontId="1" fillId="0" borderId="151" xfId="0" applyNumberFormat="1" applyFont="1" applyBorder="1"/>
    <xf numFmtId="49" fontId="122" fillId="0" borderId="157" xfId="25743" applyNumberFormat="1" applyFont="1" applyBorder="1" applyAlignment="1">
      <alignment horizontal="center"/>
    </xf>
    <xf numFmtId="43" fontId="122" fillId="0" borderId="151" xfId="0" applyNumberFormat="1" applyFont="1" applyBorder="1"/>
    <xf numFmtId="8" fontId="122" fillId="0" borderId="153" xfId="0" applyNumberFormat="1" applyFont="1" applyBorder="1"/>
    <xf numFmtId="43" fontId="122" fillId="0" borderId="153" xfId="25745" applyNumberFormat="1" applyFont="1" applyFill="1" applyBorder="1"/>
    <xf numFmtId="180" fontId="122" fillId="0" borderId="157" xfId="25743" applyNumberFormat="1" applyFont="1" applyBorder="1" applyAlignment="1">
      <alignment horizontal="center"/>
    </xf>
    <xf numFmtId="39" fontId="126" fillId="0" borderId="154" xfId="25743" applyFont="1" applyBorder="1" applyAlignment="1">
      <alignment horizontal="left"/>
    </xf>
    <xf numFmtId="39" fontId="122" fillId="0" borderId="153" xfId="25743" applyFont="1" applyBorder="1"/>
    <xf numFmtId="6" fontId="1" fillId="0" borderId="151" xfId="0" applyNumberFormat="1" applyFont="1" applyBorder="1"/>
    <xf numFmtId="0" fontId="151" fillId="0" borderId="155" xfId="0" applyFont="1" applyBorder="1"/>
    <xf numFmtId="49" fontId="1" fillId="0" borderId="158" xfId="0" applyNumberFormat="1" applyFont="1" applyBorder="1" applyAlignment="1">
      <alignment horizontal="center"/>
    </xf>
    <xf numFmtId="49" fontId="1" fillId="0" borderId="159" xfId="0" applyNumberFormat="1" applyFont="1" applyBorder="1" applyAlignment="1">
      <alignment horizontal="center"/>
    </xf>
    <xf numFmtId="49" fontId="1" fillId="0" borderId="160" xfId="0" applyNumberFormat="1" applyFont="1" applyBorder="1" applyAlignment="1">
      <alignment horizontal="center"/>
    </xf>
    <xf numFmtId="0" fontId="16" fillId="0" borderId="151" xfId="0" applyFont="1" applyBorder="1" applyAlignment="1">
      <alignment horizontal="center" wrapText="1"/>
    </xf>
    <xf numFmtId="0" fontId="16" fillId="0" borderId="141" xfId="0" applyFont="1" applyBorder="1" applyAlignment="1">
      <alignment horizontal="center" wrapText="1"/>
    </xf>
    <xf numFmtId="6" fontId="1" fillId="0" borderId="161" xfId="0" applyNumberFormat="1" applyFont="1" applyBorder="1"/>
    <xf numFmtId="38" fontId="1" fillId="0" borderId="158" xfId="0" applyNumberFormat="1" applyFont="1" applyBorder="1"/>
    <xf numFmtId="38" fontId="1" fillId="0" borderId="159" xfId="0" applyNumberFormat="1" applyFont="1" applyBorder="1"/>
    <xf numFmtId="38" fontId="1" fillId="0" borderId="160" xfId="0" applyNumberFormat="1" applyFont="1" applyBorder="1"/>
    <xf numFmtId="6" fontId="1" fillId="0" borderId="160" xfId="0" applyNumberFormat="1" applyFont="1" applyBorder="1"/>
    <xf numFmtId="38" fontId="1" fillId="0" borderId="142" xfId="0" applyNumberFormat="1" applyFont="1" applyBorder="1"/>
    <xf numFmtId="38" fontId="1" fillId="0" borderId="141" xfId="0" applyNumberFormat="1" applyFont="1" applyBorder="1"/>
    <xf numFmtId="38" fontId="1" fillId="0" borderId="151" xfId="0" applyNumberFormat="1" applyFont="1" applyBorder="1"/>
    <xf numFmtId="38" fontId="1" fillId="0" borderId="139" xfId="0" applyNumberFormat="1" applyFont="1" applyBorder="1"/>
    <xf numFmtId="0" fontId="122" fillId="0" borderId="151" xfId="25295" applyFont="1" applyBorder="1"/>
    <xf numFmtId="8" fontId="1" fillId="0" borderId="151" xfId="0" applyNumberFormat="1" applyFont="1" applyBorder="1"/>
    <xf numFmtId="4" fontId="1" fillId="0" borderId="152" xfId="0" applyNumberFormat="1" applyFont="1" applyBorder="1"/>
    <xf numFmtId="43" fontId="16" fillId="0" borderId="151" xfId="25742" applyFont="1" applyFill="1" applyBorder="1"/>
    <xf numFmtId="43" fontId="1" fillId="0" borderId="151" xfId="25742" applyFont="1" applyFill="1" applyBorder="1"/>
    <xf numFmtId="49" fontId="126" fillId="0" borderId="151" xfId="33385" quotePrefix="1" applyNumberFormat="1" applyFont="1" applyBorder="1" applyAlignment="1">
      <alignment horizontal="center"/>
    </xf>
    <xf numFmtId="17" fontId="16" fillId="0" borderId="151" xfId="0" quotePrefix="1" applyNumberFormat="1" applyFont="1" applyBorder="1"/>
    <xf numFmtId="165" fontId="126" fillId="0" borderId="151" xfId="25742" applyNumberFormat="1" applyFont="1" applyFill="1" applyBorder="1" applyAlignment="1">
      <alignment horizontal="center"/>
    </xf>
    <xf numFmtId="43" fontId="122" fillId="0" borderId="152" xfId="27903" applyFont="1" applyFill="1" applyBorder="1"/>
    <xf numFmtId="43" fontId="122" fillId="0" borderId="152" xfId="25742" applyFont="1" applyFill="1" applyBorder="1"/>
    <xf numFmtId="43" fontId="122" fillId="0" borderId="151" xfId="27903" applyFont="1" applyFill="1" applyBorder="1"/>
    <xf numFmtId="43" fontId="122" fillId="0" borderId="155" xfId="27903" applyFont="1" applyFill="1" applyBorder="1"/>
    <xf numFmtId="43" fontId="122" fillId="0" borderId="151" xfId="25742" applyFont="1" applyFill="1" applyBorder="1"/>
    <xf numFmtId="43" fontId="122" fillId="0" borderId="152" xfId="27908" applyFont="1" applyFill="1" applyBorder="1"/>
    <xf numFmtId="43" fontId="122" fillId="0" borderId="152" xfId="27909" applyFont="1" applyFill="1" applyBorder="1"/>
    <xf numFmtId="43" fontId="122" fillId="0" borderId="152" xfId="27910" applyFont="1" applyFill="1" applyBorder="1"/>
    <xf numFmtId="43" fontId="122" fillId="0" borderId="152" xfId="27911" applyFont="1" applyFill="1" applyBorder="1"/>
    <xf numFmtId="43" fontId="122" fillId="0" borderId="152" xfId="27912" applyFont="1" applyFill="1" applyBorder="1"/>
    <xf numFmtId="43" fontId="122" fillId="0" borderId="152" xfId="27913" applyFont="1" applyFill="1" applyBorder="1"/>
    <xf numFmtId="43" fontId="122" fillId="0" borderId="152" xfId="27914" applyFont="1" applyFill="1" applyBorder="1"/>
    <xf numFmtId="43" fontId="1" fillId="0" borderId="152" xfId="25766" applyFont="1" applyFill="1" applyBorder="1"/>
    <xf numFmtId="43" fontId="122" fillId="0" borderId="152" xfId="27915" applyFont="1" applyFill="1" applyBorder="1"/>
    <xf numFmtId="43" fontId="122" fillId="0" borderId="152" xfId="27916" applyFont="1" applyFill="1" applyBorder="1"/>
    <xf numFmtId="43" fontId="1" fillId="0" borderId="157" xfId="25742" applyFont="1" applyFill="1" applyBorder="1"/>
    <xf numFmtId="0" fontId="159" fillId="0" borderId="162" xfId="0" applyFont="1" applyBorder="1" applyAlignment="1">
      <alignment horizontal="center"/>
    </xf>
    <xf numFmtId="165" fontId="122" fillId="0" borderId="155" xfId="25742" applyNumberFormat="1" applyFont="1" applyFill="1" applyBorder="1"/>
    <xf numFmtId="10" fontId="153" fillId="0" borderId="0" xfId="0" applyNumberFormat="1" applyFont="1"/>
    <xf numFmtId="165" fontId="122" fillId="0" borderId="151" xfId="25742" applyNumberFormat="1" applyFont="1" applyFill="1" applyBorder="1"/>
    <xf numFmtId="165" fontId="151" fillId="0" borderId="155" xfId="25742" applyNumberFormat="1" applyFont="1" applyFill="1" applyBorder="1"/>
    <xf numFmtId="165" fontId="151" fillId="0" borderId="0" xfId="25742" applyNumberFormat="1" applyFont="1" applyFill="1" applyBorder="1"/>
    <xf numFmtId="165" fontId="151" fillId="0" borderId="66" xfId="25742" applyNumberFormat="1" applyFont="1" applyFill="1" applyBorder="1"/>
    <xf numFmtId="165" fontId="1" fillId="96" borderId="0" xfId="25742" applyNumberFormat="1" applyFont="1" applyFill="1"/>
    <xf numFmtId="165" fontId="14" fillId="0" borderId="0" xfId="25742" applyNumberFormat="1" applyFont="1" applyFill="1"/>
    <xf numFmtId="0" fontId="151" fillId="0" borderId="0" xfId="0" applyFont="1" applyAlignment="1">
      <alignment horizontal="right"/>
    </xf>
    <xf numFmtId="0" fontId="16" fillId="96" borderId="0" xfId="0" applyFont="1" applyFill="1" applyAlignment="1">
      <alignment horizontal="right"/>
    </xf>
    <xf numFmtId="0" fontId="130" fillId="0" borderId="0" xfId="0" applyFont="1" applyAlignment="1">
      <alignment horizontal="center"/>
    </xf>
    <xf numFmtId="0" fontId="1" fillId="0" borderId="0" xfId="27894" applyNumberFormat="1" applyFont="1" applyFill="1" applyAlignment="1">
      <alignment horizontal="right"/>
    </xf>
    <xf numFmtId="211" fontId="1" fillId="96" borderId="0" xfId="0" applyNumberFormat="1" applyFont="1" applyFill="1" applyAlignment="1">
      <alignment horizontal="right"/>
    </xf>
    <xf numFmtId="165" fontId="1" fillId="96" borderId="0" xfId="25742" applyNumberFormat="1" applyFont="1" applyFill="1" applyAlignment="1">
      <alignment horizontal="center"/>
    </xf>
    <xf numFmtId="165" fontId="1" fillId="0" borderId="0" xfId="25742" applyNumberFormat="1" applyFont="1" applyFill="1" applyAlignment="1">
      <alignment horizontal="right" wrapText="1"/>
    </xf>
    <xf numFmtId="165" fontId="1" fillId="0" borderId="0" xfId="25742" applyNumberFormat="1" applyFont="1" applyFill="1" applyAlignment="1">
      <alignment horizontal="right"/>
    </xf>
    <xf numFmtId="0" fontId="151" fillId="0" borderId="66" xfId="0" applyFont="1" applyBorder="1" applyAlignment="1">
      <alignment horizontal="right"/>
    </xf>
    <xf numFmtId="0" fontId="151" fillId="0" borderId="152" xfId="0" applyFont="1" applyBorder="1"/>
    <xf numFmtId="43" fontId="153" fillId="0" borderId="0" xfId="25742" applyFont="1" applyFill="1"/>
    <xf numFmtId="43" fontId="153" fillId="0" borderId="0" xfId="25742" applyFont="1" applyFill="1" applyBorder="1"/>
    <xf numFmtId="43" fontId="153" fillId="0" borderId="163" xfId="25742" applyFont="1" applyFill="1" applyBorder="1"/>
    <xf numFmtId="0" fontId="14" fillId="101" borderId="0" xfId="24690" applyFont="1" applyFill="1" applyAlignment="1">
      <alignment horizontal="center"/>
    </xf>
    <xf numFmtId="0" fontId="16" fillId="0" borderId="0" xfId="0" applyFont="1" applyAlignment="1">
      <alignment horizontal="center"/>
    </xf>
    <xf numFmtId="38" fontId="1" fillId="0" borderId="66" xfId="0" applyNumberFormat="1" applyFont="1" applyBorder="1"/>
    <xf numFmtId="38" fontId="1" fillId="0" borderId="79" xfId="0" applyNumberFormat="1" applyFont="1" applyBorder="1"/>
    <xf numFmtId="0" fontId="1" fillId="0" borderId="75" xfId="0" applyFont="1" applyBorder="1"/>
    <xf numFmtId="6" fontId="1" fillId="0" borderId="81" xfId="0" applyNumberFormat="1" applyFont="1" applyBorder="1"/>
    <xf numFmtId="41" fontId="1" fillId="0" borderId="0" xfId="0" applyNumberFormat="1" applyFont="1"/>
    <xf numFmtId="6" fontId="1" fillId="0" borderId="74" xfId="0" applyNumberFormat="1" applyFont="1" applyBorder="1"/>
    <xf numFmtId="6" fontId="1" fillId="0" borderId="108" xfId="0" applyNumberFormat="1" applyFont="1" applyBorder="1"/>
    <xf numFmtId="6" fontId="1" fillId="0" borderId="80" xfId="0" applyNumberFormat="1" applyFont="1" applyBorder="1"/>
    <xf numFmtId="6" fontId="1" fillId="0" borderId="164" xfId="0" applyNumberFormat="1" applyFont="1" applyBorder="1"/>
    <xf numFmtId="0" fontId="126" fillId="0" borderId="0" xfId="0" applyFont="1" applyAlignment="1">
      <alignment horizontal="centerContinuous"/>
    </xf>
    <xf numFmtId="0" fontId="122" fillId="0" borderId="155" xfId="0" applyFont="1" applyBorder="1" applyAlignment="1">
      <alignment horizontal="right"/>
    </xf>
    <xf numFmtId="0" fontId="122" fillId="0" borderId="152" xfId="0" applyFont="1" applyBorder="1" applyAlignment="1">
      <alignment horizontal="right"/>
    </xf>
    <xf numFmtId="0" fontId="122" fillId="0" borderId="13" xfId="0" applyFont="1" applyBorder="1" applyAlignment="1">
      <alignment horizontal="center"/>
    </xf>
    <xf numFmtId="0" fontId="122" fillId="0" borderId="13" xfId="0" applyFont="1" applyBorder="1" applyAlignment="1">
      <alignment horizontal="center" wrapText="1"/>
    </xf>
    <xf numFmtId="0" fontId="122" fillId="0" borderId="13" xfId="0" applyFont="1" applyBorder="1" applyAlignment="1">
      <alignment horizontal="right" wrapText="1"/>
    </xf>
    <xf numFmtId="189" fontId="122" fillId="0" borderId="0" xfId="0" applyNumberFormat="1" applyFont="1" applyAlignment="1">
      <alignment horizontal="right"/>
    </xf>
    <xf numFmtId="187" fontId="122" fillId="0" borderId="0" xfId="0" applyNumberFormat="1" applyFont="1" applyAlignment="1">
      <alignment horizontal="right"/>
    </xf>
    <xf numFmtId="3" fontId="122" fillId="0" borderId="0" xfId="0" applyNumberFormat="1" applyFont="1" applyAlignment="1">
      <alignment horizontal="right"/>
    </xf>
    <xf numFmtId="0" fontId="122" fillId="0" borderId="0" xfId="33392" applyFont="1"/>
    <xf numFmtId="201" fontId="122" fillId="0" borderId="0" xfId="0" applyNumberFormat="1" applyFont="1"/>
    <xf numFmtId="200" fontId="122" fillId="0" borderId="0" xfId="0" applyNumberFormat="1" applyFont="1" applyAlignment="1">
      <alignment horizontal="right"/>
    </xf>
    <xf numFmtId="165" fontId="126" fillId="0" borderId="0" xfId="0" applyNumberFormat="1" applyFont="1" applyAlignment="1">
      <alignment horizontal="right"/>
    </xf>
    <xf numFmtId="165" fontId="122" fillId="0" borderId="0" xfId="0" applyNumberFormat="1" applyFont="1" applyAlignment="1">
      <alignment horizontal="right"/>
    </xf>
    <xf numFmtId="5" fontId="122" fillId="0" borderId="0" xfId="0" applyNumberFormat="1" applyFont="1" applyAlignment="1">
      <alignment horizontal="right"/>
    </xf>
    <xf numFmtId="5" fontId="122" fillId="0" borderId="151" xfId="0" applyNumberFormat="1" applyFont="1" applyBorder="1" applyAlignment="1">
      <alignment horizontal="right"/>
    </xf>
    <xf numFmtId="187" fontId="122" fillId="0" borderId="151" xfId="0" applyNumberFormat="1" applyFont="1" applyBorder="1" applyAlignment="1">
      <alignment horizontal="right"/>
    </xf>
    <xf numFmtId="198" fontId="122" fillId="0" borderId="0" xfId="0" applyNumberFormat="1" applyFont="1" applyAlignment="1">
      <alignment horizontal="right"/>
    </xf>
    <xf numFmtId="5" fontId="122" fillId="0" borderId="0" xfId="25745" applyNumberFormat="1" applyFont="1" applyFill="1" applyAlignment="1">
      <alignment horizontal="right"/>
    </xf>
    <xf numFmtId="189" fontId="122" fillId="0" borderId="151" xfId="0" applyNumberFormat="1" applyFont="1" applyBorder="1" applyAlignment="1">
      <alignment horizontal="right"/>
    </xf>
    <xf numFmtId="0" fontId="122" fillId="0" borderId="151" xfId="0" applyFont="1" applyBorder="1" applyAlignment="1">
      <alignment horizontal="right"/>
    </xf>
    <xf numFmtId="200" fontId="122" fillId="0" borderId="151" xfId="0" applyNumberFormat="1" applyFont="1" applyBorder="1" applyAlignment="1">
      <alignment horizontal="right"/>
    </xf>
    <xf numFmtId="43" fontId="122" fillId="0" borderId="0" xfId="0" applyNumberFormat="1" applyFont="1" applyAlignment="1">
      <alignment horizontal="right"/>
    </xf>
    <xf numFmtId="0" fontId="143" fillId="0" borderId="0" xfId="0" applyFont="1" applyAlignment="1">
      <alignment horizontal="right"/>
    </xf>
    <xf numFmtId="0" fontId="122" fillId="0" borderId="0" xfId="30158" quotePrefix="1" applyFont="1"/>
    <xf numFmtId="43" fontId="122" fillId="0" borderId="151" xfId="0" applyNumberFormat="1" applyFont="1" applyBorder="1" applyAlignment="1">
      <alignment horizontal="right"/>
    </xf>
    <xf numFmtId="187" fontId="122" fillId="0" borderId="0" xfId="0" applyNumberFormat="1" applyFont="1"/>
    <xf numFmtId="201" fontId="122" fillId="0" borderId="0" xfId="27136" applyNumberFormat="1" applyFont="1" applyFill="1" applyBorder="1"/>
    <xf numFmtId="187" fontId="122" fillId="0" borderId="151" xfId="0" applyNumberFormat="1" applyFont="1" applyBorder="1"/>
    <xf numFmtId="187" fontId="122" fillId="0" borderId="151" xfId="25745" applyNumberFormat="1" applyFont="1" applyFill="1" applyBorder="1" applyAlignment="1">
      <alignment horizontal="right"/>
    </xf>
    <xf numFmtId="0" fontId="143" fillId="0" borderId="151" xfId="0" applyFont="1" applyBorder="1" applyAlignment="1">
      <alignment horizontal="right"/>
    </xf>
    <xf numFmtId="198" fontId="122" fillId="0" borderId="0" xfId="25745" applyNumberFormat="1" applyFont="1" applyFill="1" applyBorder="1" applyAlignment="1">
      <alignment horizontal="right"/>
    </xf>
    <xf numFmtId="0" fontId="126" fillId="0" borderId="0" xfId="33392" applyFont="1"/>
    <xf numFmtId="1" fontId="122" fillId="0" borderId="0" xfId="0" applyNumberFormat="1" applyFont="1" applyAlignment="1">
      <alignment horizontal="right"/>
    </xf>
    <xf numFmtId="165" fontId="122" fillId="0" borderId="0" xfId="25742" applyNumberFormat="1" applyFont="1" applyFill="1" applyBorder="1" applyAlignment="1">
      <alignment horizontal="right"/>
    </xf>
    <xf numFmtId="7" fontId="122" fillId="0" borderId="151" xfId="0" applyNumberFormat="1" applyFont="1" applyBorder="1" applyAlignment="1">
      <alignment horizontal="right"/>
    </xf>
    <xf numFmtId="7" fontId="122" fillId="0" borderId="0" xfId="0" applyNumberFormat="1" applyFont="1" applyAlignment="1">
      <alignment horizontal="right"/>
    </xf>
    <xf numFmtId="44" fontId="122" fillId="0" borderId="0" xfId="25745" applyFont="1" applyFill="1" applyBorder="1" applyAlignment="1">
      <alignment horizontal="right"/>
    </xf>
    <xf numFmtId="0" fontId="126" fillId="0" borderId="0" xfId="30158" applyFont="1"/>
    <xf numFmtId="189" fontId="122" fillId="0" borderId="0" xfId="0" applyNumberFormat="1" applyFont="1" applyAlignment="1">
      <alignment horizontal="left"/>
    </xf>
    <xf numFmtId="0" fontId="122" fillId="0" borderId="151" xfId="0" applyFont="1" applyBorder="1"/>
    <xf numFmtId="195" fontId="122" fillId="0" borderId="0" xfId="0" applyNumberFormat="1" applyFont="1" applyAlignment="1">
      <alignment horizontal="right"/>
    </xf>
    <xf numFmtId="39" fontId="122" fillId="0" borderId="0" xfId="0" applyNumberFormat="1" applyFont="1" applyAlignment="1">
      <alignment horizontal="right"/>
    </xf>
    <xf numFmtId="37" fontId="122" fillId="0" borderId="0" xfId="0" applyNumberFormat="1" applyFont="1" applyAlignment="1">
      <alignment horizontal="right"/>
    </xf>
    <xf numFmtId="205" fontId="122" fillId="0" borderId="0" xfId="0" applyNumberFormat="1" applyFont="1" applyAlignment="1">
      <alignment horizontal="right"/>
    </xf>
    <xf numFmtId="206" fontId="122" fillId="0" borderId="0" xfId="0" applyNumberFormat="1" applyFont="1" applyAlignment="1">
      <alignment horizontal="right"/>
    </xf>
    <xf numFmtId="189" fontId="122" fillId="0" borderId="0" xfId="25742" applyNumberFormat="1" applyFont="1" applyFill="1" applyBorder="1" applyAlignment="1">
      <alignment horizontal="right"/>
    </xf>
    <xf numFmtId="41" fontId="122" fillId="0" borderId="0" xfId="0" applyNumberFormat="1" applyFont="1" applyAlignment="1">
      <alignment horizontal="right"/>
    </xf>
    <xf numFmtId="4" fontId="122" fillId="0" borderId="0" xfId="0" applyNumberFormat="1" applyFont="1" applyAlignment="1">
      <alignment horizontal="right"/>
    </xf>
    <xf numFmtId="0" fontId="122" fillId="0" borderId="151" xfId="30158" applyFont="1" applyBorder="1"/>
    <xf numFmtId="44" fontId="122" fillId="0" borderId="0" xfId="0" applyNumberFormat="1" applyFont="1" applyAlignment="1">
      <alignment horizontal="right"/>
    </xf>
    <xf numFmtId="0" fontId="126" fillId="0" borderId="151" xfId="0" applyFont="1" applyBorder="1" applyAlignment="1">
      <alignment horizontal="left" indent="1"/>
    </xf>
    <xf numFmtId="39" fontId="122" fillId="0" borderId="151" xfId="0" applyNumberFormat="1" applyFont="1" applyBorder="1" applyAlignment="1">
      <alignment horizontal="right"/>
    </xf>
    <xf numFmtId="198" fontId="122" fillId="0" borderId="151" xfId="0" applyNumberFormat="1" applyFont="1" applyBorder="1" applyAlignment="1">
      <alignment horizontal="right"/>
    </xf>
    <xf numFmtId="207" fontId="122" fillId="0" borderId="165" xfId="25745" applyNumberFormat="1" applyFont="1" applyFill="1" applyBorder="1" applyAlignment="1">
      <alignment horizontal="center" vertical="center"/>
    </xf>
    <xf numFmtId="0" fontId="122" fillId="0" borderId="151" xfId="0" applyFont="1" applyBorder="1" applyAlignment="1">
      <alignment horizontal="left"/>
    </xf>
    <xf numFmtId="0" fontId="126" fillId="0" borderId="67" xfId="0" applyFont="1" applyBorder="1"/>
    <xf numFmtId="5" fontId="126" fillId="0" borderId="155" xfId="0" applyNumberFormat="1" applyFont="1" applyBorder="1" applyAlignment="1">
      <alignment horizontal="right"/>
    </xf>
    <xf numFmtId="7" fontId="122" fillId="0" borderId="155" xfId="0" applyNumberFormat="1" applyFont="1" applyBorder="1" applyAlignment="1">
      <alignment horizontal="right"/>
    </xf>
    <xf numFmtId="0" fontId="122" fillId="0" borderId="155" xfId="0" applyFont="1" applyBorder="1" applyAlignment="1">
      <alignment horizontal="left"/>
    </xf>
    <xf numFmtId="198" fontId="126" fillId="0" borderId="155" xfId="0" applyNumberFormat="1" applyFont="1" applyBorder="1" applyAlignment="1">
      <alignment horizontal="right"/>
    </xf>
    <xf numFmtId="198" fontId="126" fillId="0" borderId="151" xfId="0" applyNumberFormat="1" applyFont="1" applyBorder="1" applyAlignment="1">
      <alignment horizontal="right"/>
    </xf>
    <xf numFmtId="5" fontId="126" fillId="0" borderId="0" xfId="0" applyNumberFormat="1" applyFont="1" applyAlignment="1">
      <alignment horizontal="right"/>
    </xf>
    <xf numFmtId="209" fontId="122" fillId="0" borderId="0" xfId="0" applyNumberFormat="1" applyFont="1" applyAlignment="1">
      <alignment horizontal="right"/>
    </xf>
    <xf numFmtId="0" fontId="122" fillId="0" borderId="0" xfId="0" applyFont="1" applyAlignment="1">
      <alignment horizontal="left" wrapText="1"/>
    </xf>
    <xf numFmtId="43" fontId="126" fillId="0" borderId="0" xfId="0" applyNumberFormat="1" applyFont="1" applyAlignment="1">
      <alignment horizontal="right"/>
    </xf>
    <xf numFmtId="44" fontId="142" fillId="0" borderId="0" xfId="25745" applyFont="1" applyFill="1"/>
    <xf numFmtId="44" fontId="142" fillId="0" borderId="0" xfId="25745" applyFont="1"/>
    <xf numFmtId="0" fontId="122" fillId="0" borderId="0" xfId="27920" applyFont="1"/>
    <xf numFmtId="1" fontId="122" fillId="0" borderId="0" xfId="27920" applyNumberFormat="1" applyFont="1"/>
    <xf numFmtId="37" fontId="142" fillId="0" borderId="0" xfId="25745" applyNumberFormat="1" applyFont="1" applyFill="1"/>
    <xf numFmtId="0" fontId="122" fillId="0" borderId="166" xfId="27920" applyFont="1" applyBorder="1"/>
    <xf numFmtId="0" fontId="122" fillId="0" borderId="167" xfId="27920" applyFont="1" applyBorder="1" applyAlignment="1">
      <alignment horizontal="center"/>
    </xf>
    <xf numFmtId="44" fontId="1" fillId="0" borderId="160" xfId="33393" applyFont="1" applyBorder="1"/>
    <xf numFmtId="165" fontId="1" fillId="0" borderId="0" xfId="29178" applyNumberFormat="1" applyFont="1" applyFill="1"/>
    <xf numFmtId="44" fontId="1" fillId="0" borderId="75" xfId="33393" applyFont="1" applyBorder="1"/>
    <xf numFmtId="44" fontId="1" fillId="0" borderId="77" xfId="33393" applyFont="1" applyBorder="1"/>
    <xf numFmtId="0" fontId="122" fillId="0" borderId="13" xfId="33380" applyFont="1" applyBorder="1"/>
    <xf numFmtId="216" fontId="142" fillId="0" borderId="0" xfId="25745" applyNumberFormat="1" applyFont="1" applyFill="1"/>
    <xf numFmtId="0" fontId="14" fillId="0" borderId="0" xfId="33392" applyFont="1"/>
    <xf numFmtId="43" fontId="142" fillId="0" borderId="0" xfId="25742" applyFont="1" applyFill="1"/>
    <xf numFmtId="0" fontId="1" fillId="0" borderId="0" xfId="33392" applyFont="1"/>
    <xf numFmtId="44" fontId="1" fillId="0" borderId="0" xfId="25745" applyFont="1" applyFill="1"/>
    <xf numFmtId="39" fontId="142" fillId="0" borderId="0" xfId="25745" applyNumberFormat="1" applyFont="1" applyFill="1"/>
    <xf numFmtId="165" fontId="122" fillId="0" borderId="13" xfId="25742" applyNumberFormat="1" applyFont="1" applyFill="1" applyBorder="1"/>
    <xf numFmtId="37" fontId="122" fillId="0" borderId="13" xfId="25745" applyNumberFormat="1" applyFont="1" applyFill="1" applyBorder="1"/>
    <xf numFmtId="39" fontId="122" fillId="0" borderId="0" xfId="25745" applyNumberFormat="1" applyFont="1" applyFill="1"/>
    <xf numFmtId="37" fontId="122" fillId="0" borderId="0" xfId="25745" applyNumberFormat="1" applyFont="1" applyFill="1"/>
    <xf numFmtId="165" fontId="142" fillId="0" borderId="0" xfId="25742" applyNumberFormat="1" applyFont="1" applyFill="1"/>
    <xf numFmtId="0" fontId="122" fillId="0" borderId="0" xfId="30158" quotePrefix="1" applyFont="1" applyAlignment="1">
      <alignment horizontal="left"/>
    </xf>
    <xf numFmtId="0" fontId="126" fillId="0" borderId="0" xfId="30158" applyFont="1" applyAlignment="1">
      <alignment horizontal="center"/>
    </xf>
    <xf numFmtId="165" fontId="122" fillId="0" borderId="0" xfId="30158" applyNumberFormat="1" applyFont="1"/>
    <xf numFmtId="165" fontId="122" fillId="0" borderId="0" xfId="30159" applyNumberFormat="1" applyFont="1" applyFill="1"/>
    <xf numFmtId="165" fontId="126" fillId="0" borderId="0" xfId="30159" applyNumberFormat="1" applyFont="1" applyFill="1"/>
    <xf numFmtId="0" fontId="143" fillId="0" borderId="0" xfId="30158" applyFont="1" applyAlignment="1">
      <alignment horizontal="left" indent="1"/>
    </xf>
    <xf numFmtId="217" fontId="122" fillId="0" borderId="0" xfId="25742" applyNumberFormat="1" applyFont="1" applyFill="1"/>
    <xf numFmtId="43" fontId="122" fillId="0" borderId="0" xfId="30159" applyFont="1" applyFill="1"/>
    <xf numFmtId="43" fontId="122" fillId="0" borderId="0" xfId="30158" applyNumberFormat="1" applyFont="1"/>
    <xf numFmtId="43" fontId="122" fillId="0" borderId="0" xfId="30159" applyFont="1" applyFill="1" applyBorder="1"/>
    <xf numFmtId="0" fontId="143" fillId="0" borderId="0" xfId="30158" applyFont="1"/>
    <xf numFmtId="195" fontId="122" fillId="0" borderId="0" xfId="25742" applyNumberFormat="1" applyFont="1" applyFill="1"/>
    <xf numFmtId="0" fontId="143" fillId="0" borderId="0" xfId="30158" applyFont="1" applyAlignment="1">
      <alignment horizontal="left"/>
    </xf>
    <xf numFmtId="165" fontId="122" fillId="0" borderId="0" xfId="30158" applyNumberFormat="1" applyFont="1" applyAlignment="1">
      <alignment horizontal="left" indent="1"/>
    </xf>
    <xf numFmtId="0" fontId="122" fillId="0" borderId="0" xfId="30158" applyFont="1" applyAlignment="1">
      <alignment horizontal="left" indent="1"/>
    </xf>
    <xf numFmtId="0" fontId="122" fillId="0" borderId="0" xfId="30158" applyFont="1" applyAlignment="1">
      <alignment horizontal="right"/>
    </xf>
    <xf numFmtId="37" fontId="122" fillId="0" borderId="0" xfId="30158" applyNumberFormat="1" applyFont="1"/>
    <xf numFmtId="195" fontId="122" fillId="0" borderId="0" xfId="30158" applyNumberFormat="1" applyFont="1"/>
    <xf numFmtId="43" fontId="122" fillId="0" borderId="151" xfId="30158" applyNumberFormat="1" applyFont="1" applyBorder="1"/>
    <xf numFmtId="165" fontId="126" fillId="0" borderId="151" xfId="30159" applyNumberFormat="1" applyFont="1" applyFill="1" applyBorder="1"/>
    <xf numFmtId="43" fontId="126" fillId="0" borderId="151" xfId="30159" applyFont="1" applyFill="1" applyBorder="1"/>
    <xf numFmtId="0" fontId="122" fillId="98" borderId="157" xfId="0" applyFont="1" applyFill="1" applyBorder="1" applyAlignment="1">
      <alignment horizontal="center"/>
    </xf>
    <xf numFmtId="0" fontId="122" fillId="98" borderId="0" xfId="0" applyFont="1" applyFill="1" applyAlignment="1">
      <alignment horizontal="center"/>
    </xf>
    <xf numFmtId="165" fontId="126" fillId="99" borderId="13" xfId="25742" applyNumberFormat="1" applyFont="1" applyFill="1" applyBorder="1"/>
    <xf numFmtId="17" fontId="16" fillId="0" borderId="0" xfId="0" applyNumberFormat="1" applyFont="1"/>
    <xf numFmtId="43" fontId="14" fillId="0" borderId="0" xfId="25742" applyFont="1" applyFill="1" applyBorder="1"/>
    <xf numFmtId="43" fontId="127" fillId="0" borderId="0" xfId="25742" applyFont="1" applyFill="1" applyBorder="1"/>
    <xf numFmtId="43" fontId="126" fillId="0" borderId="0" xfId="25742" applyFont="1" applyFill="1" applyBorder="1"/>
    <xf numFmtId="165" fontId="122" fillId="99" borderId="143" xfId="25742" applyNumberFormat="1" applyFont="1" applyFill="1" applyBorder="1"/>
    <xf numFmtId="0" fontId="16" fillId="99" borderId="13" xfId="0" applyFont="1" applyFill="1" applyBorder="1" applyAlignment="1">
      <alignment horizontal="left"/>
    </xf>
    <xf numFmtId="165" fontId="16" fillId="99" borderId="13" xfId="25742" applyNumberFormat="1" applyFont="1" applyFill="1" applyBorder="1"/>
    <xf numFmtId="165" fontId="16" fillId="99" borderId="140" xfId="25742" applyNumberFormat="1" applyFont="1" applyFill="1" applyBorder="1"/>
    <xf numFmtId="165" fontId="126" fillId="0" borderId="0" xfId="25742" applyNumberFormat="1" applyFont="1" applyFill="1" applyBorder="1"/>
    <xf numFmtId="165" fontId="126" fillId="0" borderId="13" xfId="25742" applyNumberFormat="1" applyFont="1" applyFill="1" applyBorder="1"/>
    <xf numFmtId="165" fontId="126" fillId="0" borderId="0" xfId="25742" applyNumberFormat="1" applyFont="1" applyFill="1" applyAlignment="1">
      <alignment horizontal="center"/>
    </xf>
    <xf numFmtId="165" fontId="126" fillId="0" borderId="0" xfId="25742" applyNumberFormat="1" applyFont="1" applyFill="1"/>
    <xf numFmtId="0" fontId="1" fillId="0" borderId="0" xfId="28781" applyFont="1"/>
    <xf numFmtId="0" fontId="1" fillId="0" borderId="0" xfId="28781" applyFont="1" applyAlignment="1">
      <alignment horizontal="center"/>
    </xf>
    <xf numFmtId="165" fontId="1" fillId="0" borderId="0" xfId="25766" applyNumberFormat="1" applyFont="1"/>
    <xf numFmtId="0" fontId="142" fillId="0" borderId="0" xfId="33392"/>
    <xf numFmtId="0" fontId="142" fillId="0" borderId="0" xfId="33392" applyAlignment="1">
      <alignment horizontal="center"/>
    </xf>
    <xf numFmtId="165" fontId="142" fillId="0" borderId="0" xfId="33392" applyNumberFormat="1"/>
    <xf numFmtId="0" fontId="142" fillId="0" borderId="74" xfId="33392" applyBorder="1"/>
    <xf numFmtId="0" fontId="142" fillId="0" borderId="0" xfId="33392" applyAlignment="1">
      <alignment horizontal="center" vertical="center"/>
    </xf>
    <xf numFmtId="0" fontId="142" fillId="0" borderId="76" xfId="33392" applyBorder="1"/>
    <xf numFmtId="165" fontId="1" fillId="0" borderId="13" xfId="25742" applyNumberFormat="1" applyFont="1" applyFill="1" applyBorder="1"/>
    <xf numFmtId="165" fontId="1" fillId="0" borderId="13" xfId="25742" applyNumberFormat="1" applyFont="1" applyBorder="1"/>
    <xf numFmtId="49" fontId="142" fillId="0" borderId="0" xfId="33392" applyNumberFormat="1" applyAlignment="1">
      <alignment wrapText="1"/>
    </xf>
    <xf numFmtId="183" fontId="142" fillId="0" borderId="0" xfId="33392" applyNumberFormat="1"/>
    <xf numFmtId="0" fontId="142" fillId="0" borderId="0" xfId="33392" applyAlignment="1">
      <alignment wrapText="1"/>
    </xf>
    <xf numFmtId="0" fontId="1" fillId="0" borderId="153" xfId="0" applyFont="1" applyBorder="1"/>
    <xf numFmtId="0" fontId="1" fillId="0" borderId="77" xfId="0" applyFont="1" applyBorder="1"/>
    <xf numFmtId="14" fontId="1" fillId="0" borderId="0" xfId="0" applyNumberFormat="1" applyFont="1"/>
    <xf numFmtId="165" fontId="1" fillId="0" borderId="151" xfId="0" applyNumberFormat="1" applyFont="1" applyBorder="1"/>
    <xf numFmtId="16" fontId="1" fillId="0" borderId="0" xfId="0" applyNumberFormat="1" applyFont="1" applyAlignment="1">
      <alignment horizontal="center"/>
    </xf>
    <xf numFmtId="0" fontId="1" fillId="0" borderId="75" xfId="0" applyFont="1" applyBorder="1" applyAlignment="1">
      <alignment horizontal="center"/>
    </xf>
    <xf numFmtId="0" fontId="1" fillId="99" borderId="13" xfId="0" applyFont="1" applyFill="1" applyBorder="1" applyAlignment="1">
      <alignment horizontal="left"/>
    </xf>
    <xf numFmtId="2" fontId="1" fillId="0" borderId="13" xfId="0" applyNumberFormat="1" applyFont="1" applyBorder="1"/>
    <xf numFmtId="2" fontId="1" fillId="0" borderId="140" xfId="0" applyNumberFormat="1" applyFont="1" applyBorder="1"/>
    <xf numFmtId="0" fontId="1" fillId="0" borderId="13" xfId="0" applyFont="1" applyBorder="1" applyAlignment="1">
      <alignment horizontal="left"/>
    </xf>
    <xf numFmtId="0" fontId="1" fillId="0" borderId="44" xfId="0" applyFont="1" applyBorder="1" applyAlignment="1">
      <alignment horizontal="left"/>
    </xf>
    <xf numFmtId="2" fontId="1" fillId="0" borderId="44" xfId="0" applyNumberFormat="1" applyFont="1" applyBorder="1"/>
    <xf numFmtId="2" fontId="1" fillId="0" borderId="144" xfId="0" applyNumberFormat="1" applyFont="1" applyBorder="1"/>
    <xf numFmtId="0" fontId="1" fillId="98" borderId="13" xfId="0" applyFont="1" applyFill="1" applyBorder="1" applyAlignment="1">
      <alignment horizontal="center"/>
    </xf>
    <xf numFmtId="0" fontId="1" fillId="98" borderId="151" xfId="0" applyFont="1" applyFill="1" applyBorder="1" applyAlignment="1">
      <alignment horizontal="center"/>
    </xf>
    <xf numFmtId="0" fontId="1" fillId="98" borderId="0" xfId="0" applyFont="1" applyFill="1" applyAlignment="1">
      <alignment horizontal="center" wrapText="1"/>
    </xf>
    <xf numFmtId="165" fontId="1" fillId="99" borderId="13" xfId="25742" applyNumberFormat="1" applyFont="1" applyFill="1" applyBorder="1"/>
    <xf numFmtId="165" fontId="1" fillId="0" borderId="0" xfId="25742" applyNumberFormat="1" applyFont="1" applyFill="1" applyAlignment="1">
      <alignment horizontal="center"/>
    </xf>
    <xf numFmtId="17" fontId="122" fillId="0" borderId="0" xfId="27920" quotePrefix="1" applyNumberFormat="1" applyFont="1" applyAlignment="1">
      <alignment horizontal="center"/>
    </xf>
    <xf numFmtId="0" fontId="122" fillId="0" borderId="0" xfId="27920" applyFont="1" applyAlignment="1">
      <alignment horizontal="center"/>
    </xf>
    <xf numFmtId="43" fontId="122" fillId="0" borderId="0" xfId="28916" applyFont="1" applyFill="1" applyBorder="1" applyAlignment="1">
      <alignment horizontal="center"/>
    </xf>
    <xf numFmtId="0" fontId="122" fillId="0" borderId="153" xfId="25455" applyFont="1" applyBorder="1" applyAlignment="1">
      <alignment horizontal="center" wrapText="1"/>
    </xf>
    <xf numFmtId="0" fontId="122" fillId="0" borderId="154" xfId="25455" applyFont="1" applyBorder="1" applyAlignment="1">
      <alignment horizontal="center" wrapText="1"/>
    </xf>
    <xf numFmtId="3" fontId="122" fillId="0" borderId="13" xfId="0" applyNumberFormat="1" applyFont="1" applyBorder="1" applyAlignment="1">
      <alignment horizontal="center" wrapText="1"/>
    </xf>
    <xf numFmtId="189" fontId="122" fillId="0" borderId="13" xfId="25766" applyNumberFormat="1" applyFont="1" applyFill="1" applyBorder="1" applyAlignment="1">
      <alignment horizontal="center" wrapText="1"/>
    </xf>
    <xf numFmtId="7" fontId="122" fillId="0" borderId="13" xfId="25766" applyNumberFormat="1" applyFont="1" applyFill="1" applyBorder="1" applyAlignment="1">
      <alignment horizontal="center" wrapText="1"/>
    </xf>
    <xf numFmtId="200" fontId="122" fillId="0" borderId="13" xfId="25766" applyNumberFormat="1" applyFont="1" applyFill="1" applyBorder="1" applyAlignment="1">
      <alignment horizontal="center" wrapText="1"/>
    </xf>
    <xf numFmtId="0" fontId="122" fillId="0" borderId="0" xfId="30157" applyFont="1" applyAlignment="1">
      <alignment vertical="top" wrapText="1"/>
    </xf>
    <xf numFmtId="0" fontId="122" fillId="0" borderId="0" xfId="0" applyFont="1" applyAlignment="1">
      <alignment horizontal="left" vertical="top"/>
    </xf>
    <xf numFmtId="0" fontId="122" fillId="0" borderId="0" xfId="0" applyFont="1" applyAlignment="1">
      <alignment vertical="center" wrapText="1"/>
    </xf>
    <xf numFmtId="0" fontId="122" fillId="0" borderId="0" xfId="0" applyFont="1" applyAlignment="1">
      <alignment horizontal="left" vertical="center" wrapText="1"/>
    </xf>
    <xf numFmtId="39" fontId="122" fillId="0" borderId="0" xfId="0" applyNumberFormat="1" applyFont="1" applyAlignment="1">
      <alignment vertical="top"/>
    </xf>
    <xf numFmtId="165" fontId="1" fillId="0" borderId="0" xfId="25742" applyNumberFormat="1" applyFont="1" applyFill="1" applyBorder="1" applyAlignment="1">
      <alignment horizontal="right"/>
    </xf>
    <xf numFmtId="214" fontId="1" fillId="0" borderId="0" xfId="25742" applyNumberFormat="1" applyFont="1" applyFill="1" applyBorder="1" applyAlignment="1">
      <alignment horizontal="right"/>
    </xf>
    <xf numFmtId="37" fontId="1" fillId="0" borderId="0" xfId="33365" applyNumberFormat="1" applyFont="1"/>
    <xf numFmtId="165" fontId="1" fillId="0" borderId="155" xfId="0" applyNumberFormat="1" applyFont="1" applyBorder="1"/>
    <xf numFmtId="43" fontId="1" fillId="0" borderId="0" xfId="25742" applyFont="1" applyFill="1" applyBorder="1" applyAlignment="1">
      <alignment horizontal="right"/>
    </xf>
    <xf numFmtId="43" fontId="1" fillId="0" borderId="155" xfId="25742" applyFont="1" applyFill="1" applyBorder="1" applyAlignment="1">
      <alignment horizontal="right"/>
    </xf>
    <xf numFmtId="3" fontId="1" fillId="0" borderId="151" xfId="0" applyNumberFormat="1" applyFont="1" applyBorder="1" applyAlignment="1">
      <alignment horizontal="center" wrapText="1"/>
    </xf>
    <xf numFmtId="10" fontId="1" fillId="0" borderId="151" xfId="0" applyNumberFormat="1" applyFont="1" applyBorder="1" applyAlignment="1">
      <alignment horizontal="center" wrapText="1"/>
    </xf>
    <xf numFmtId="3" fontId="1" fillId="0" borderId="0" xfId="0" applyNumberFormat="1" applyFont="1" applyAlignment="1">
      <alignment horizontal="center"/>
    </xf>
    <xf numFmtId="210" fontId="1" fillId="0" borderId="0" xfId="0" applyNumberFormat="1" applyFont="1"/>
    <xf numFmtId="0" fontId="1" fillId="0" borderId="66" xfId="0" applyFont="1" applyBorder="1"/>
    <xf numFmtId="0" fontId="126" fillId="0" borderId="0" xfId="33354" applyFont="1"/>
    <xf numFmtId="0" fontId="153" fillId="0" borderId="0" xfId="0" applyFont="1" applyAlignment="1">
      <alignment horizontal="left" wrapText="1"/>
    </xf>
    <xf numFmtId="187" fontId="122" fillId="0" borderId="163" xfId="0" applyNumberFormat="1" applyFont="1" applyBorder="1" applyAlignment="1">
      <alignment horizontal="right"/>
    </xf>
    <xf numFmtId="165" fontId="122" fillId="0" borderId="171" xfId="25742" applyNumberFormat="1" applyFont="1" applyBorder="1"/>
    <xf numFmtId="165" fontId="126" fillId="0" borderId="171" xfId="25742" applyNumberFormat="1" applyFont="1" applyBorder="1"/>
    <xf numFmtId="165" fontId="126" fillId="99" borderId="171" xfId="25742" applyNumberFormat="1" applyFont="1" applyFill="1" applyBorder="1"/>
    <xf numFmtId="165" fontId="122" fillId="99" borderId="171" xfId="25742" applyNumberFormat="1" applyFont="1" applyFill="1" applyBorder="1"/>
    <xf numFmtId="2" fontId="122" fillId="0" borderId="171" xfId="25742" applyNumberFormat="1" applyFont="1" applyBorder="1"/>
    <xf numFmtId="2" fontId="122" fillId="0" borderId="171" xfId="0" applyNumberFormat="1" applyFont="1" applyBorder="1"/>
    <xf numFmtId="0" fontId="1" fillId="0" borderId="16" xfId="0" applyFont="1" applyBorder="1"/>
    <xf numFmtId="38" fontId="1" fillId="0" borderId="16" xfId="0" applyNumberFormat="1" applyFont="1" applyBorder="1"/>
    <xf numFmtId="8" fontId="1" fillId="0" borderId="16" xfId="0" applyNumberFormat="1" applyFont="1" applyBorder="1"/>
    <xf numFmtId="10" fontId="1" fillId="0" borderId="16" xfId="0" applyNumberFormat="1" applyFont="1" applyBorder="1"/>
    <xf numFmtId="189" fontId="1" fillId="0" borderId="16" xfId="0" applyNumberFormat="1" applyFont="1" applyBorder="1"/>
    <xf numFmtId="165" fontId="159" fillId="0" borderId="0" xfId="25742" applyNumberFormat="1" applyFont="1" applyFill="1"/>
    <xf numFmtId="0" fontId="122" fillId="0" borderId="0" xfId="0" applyFont="1" applyAlignment="1">
      <alignment horizontal="center" wrapText="1"/>
    </xf>
    <xf numFmtId="0" fontId="164" fillId="0" borderId="0" xfId="0" applyFont="1" applyAlignment="1">
      <alignment wrapText="1"/>
    </xf>
    <xf numFmtId="0" fontId="165" fillId="0" borderId="0" xfId="0" applyFont="1"/>
    <xf numFmtId="219" fontId="126" fillId="0" borderId="163" xfId="25456" applyNumberFormat="1" applyFont="1" applyFill="1" applyBorder="1"/>
    <xf numFmtId="219" fontId="126" fillId="0" borderId="163" xfId="25457" applyNumberFormat="1" applyFont="1" applyFill="1" applyBorder="1">
      <alignment horizontal="right"/>
    </xf>
    <xf numFmtId="220" fontId="142" fillId="0" borderId="0" xfId="33392" applyNumberFormat="1"/>
    <xf numFmtId="220" fontId="164" fillId="0" borderId="0" xfId="0" applyNumberFormat="1" applyFont="1"/>
    <xf numFmtId="14" fontId="142" fillId="0" borderId="0" xfId="33392" applyNumberFormat="1"/>
    <xf numFmtId="222" fontId="142" fillId="0" borderId="0" xfId="33392" applyNumberFormat="1"/>
    <xf numFmtId="1" fontId="142" fillId="0" borderId="0" xfId="33392" applyNumberFormat="1"/>
    <xf numFmtId="0" fontId="122" fillId="0" borderId="175" xfId="33380" applyFont="1" applyBorder="1"/>
    <xf numFmtId="43" fontId="122" fillId="0" borderId="0" xfId="33392" applyNumberFormat="1" applyFont="1"/>
    <xf numFmtId="37" fontId="142" fillId="0" borderId="175" xfId="25745" applyNumberFormat="1" applyFont="1" applyFill="1" applyBorder="1"/>
    <xf numFmtId="165" fontId="1" fillId="0" borderId="175" xfId="25742" applyNumberFormat="1" applyFont="1" applyFill="1" applyBorder="1"/>
    <xf numFmtId="165" fontId="1" fillId="0" borderId="175" xfId="25742" applyNumberFormat="1" applyFont="1" applyBorder="1"/>
    <xf numFmtId="0" fontId="122" fillId="0" borderId="175" xfId="0" applyFont="1" applyBorder="1"/>
    <xf numFmtId="44" fontId="142" fillId="0" borderId="175" xfId="25745" applyFont="1" applyFill="1" applyBorder="1"/>
    <xf numFmtId="44" fontId="153" fillId="0" borderId="0" xfId="25745" applyFont="1"/>
    <xf numFmtId="0" fontId="153" fillId="0" borderId="0" xfId="33392" applyFont="1"/>
    <xf numFmtId="165" fontId="153" fillId="0" borderId="0" xfId="25742" applyNumberFormat="1" applyFont="1" applyFill="1"/>
    <xf numFmtId="0" fontId="153" fillId="0" borderId="0" xfId="0" applyFont="1"/>
    <xf numFmtId="223" fontId="1" fillId="0" borderId="0" xfId="0" applyNumberFormat="1" applyFont="1"/>
    <xf numFmtId="223" fontId="1" fillId="0" borderId="172" xfId="0" applyNumberFormat="1" applyFont="1" applyBorder="1"/>
    <xf numFmtId="0" fontId="122" fillId="0" borderId="176" xfId="25455" applyFont="1" applyBorder="1" applyAlignment="1">
      <alignment horizontal="center" wrapText="1"/>
    </xf>
    <xf numFmtId="0" fontId="166" fillId="0" borderId="0" xfId="0" applyFont="1"/>
    <xf numFmtId="6" fontId="166" fillId="0" borderId="0" xfId="0" applyNumberFormat="1" applyFont="1"/>
    <xf numFmtId="0" fontId="153" fillId="0" borderId="0" xfId="0" applyFont="1" applyAlignment="1">
      <alignment wrapText="1"/>
    </xf>
    <xf numFmtId="165" fontId="153" fillId="0" borderId="0" xfId="25742" applyNumberFormat="1" applyFont="1"/>
    <xf numFmtId="0" fontId="153" fillId="0" borderId="175" xfId="0" applyFont="1" applyBorder="1"/>
    <xf numFmtId="3" fontId="0" fillId="0" borderId="0" xfId="0" applyNumberFormat="1"/>
    <xf numFmtId="0" fontId="152" fillId="0" borderId="0" xfId="0" applyFont="1"/>
    <xf numFmtId="44" fontId="0" fillId="0" borderId="0" xfId="25745" applyFont="1"/>
    <xf numFmtId="165" fontId="153" fillId="0" borderId="175" xfId="25742" applyNumberFormat="1" applyFont="1" applyBorder="1"/>
    <xf numFmtId="165" fontId="0" fillId="0" borderId="0" xfId="25742" applyNumberFormat="1" applyFont="1"/>
    <xf numFmtId="0" fontId="153" fillId="0" borderId="0" xfId="0" applyFont="1" applyAlignment="1">
      <alignment horizontal="left"/>
    </xf>
    <xf numFmtId="44" fontId="153" fillId="0" borderId="0" xfId="25745" applyFont="1" applyFill="1"/>
    <xf numFmtId="0" fontId="142" fillId="89" borderId="0" xfId="33392" applyFill="1"/>
    <xf numFmtId="0" fontId="122" fillId="89" borderId="13" xfId="0" applyFont="1" applyFill="1" applyBorder="1" applyAlignment="1">
      <alignment horizontal="left"/>
    </xf>
    <xf numFmtId="165" fontId="122" fillId="89" borderId="13" xfId="25742" applyNumberFormat="1" applyFont="1" applyFill="1" applyBorder="1"/>
    <xf numFmtId="165" fontId="122" fillId="89" borderId="171" xfId="25742" applyNumberFormat="1" applyFont="1" applyFill="1" applyBorder="1"/>
    <xf numFmtId="0" fontId="168" fillId="0" borderId="0" xfId="0" applyFont="1"/>
    <xf numFmtId="0" fontId="32" fillId="0" borderId="0" xfId="0" applyFont="1" applyAlignment="1">
      <alignment horizontal="center"/>
    </xf>
    <xf numFmtId="0" fontId="169" fillId="0" borderId="0" xfId="27280" applyFont="1"/>
    <xf numFmtId="0" fontId="168" fillId="0" borderId="0" xfId="0" applyFont="1" applyAlignment="1">
      <alignment horizontal="center"/>
    </xf>
    <xf numFmtId="0" fontId="170" fillId="0" borderId="0" xfId="0" applyFont="1" applyAlignment="1">
      <alignment horizontal="center"/>
    </xf>
    <xf numFmtId="0" fontId="169" fillId="0" borderId="0" xfId="0" applyFont="1" applyAlignment="1">
      <alignment horizontal="center"/>
    </xf>
    <xf numFmtId="0" fontId="171" fillId="0" borderId="0" xfId="0" applyFont="1"/>
    <xf numFmtId="0" fontId="171" fillId="0" borderId="0" xfId="0" applyFont="1" applyAlignment="1">
      <alignment horizontal="center"/>
    </xf>
    <xf numFmtId="0" fontId="172" fillId="0" borderId="0" xfId="0" applyFont="1" applyAlignment="1">
      <alignment horizontal="center"/>
    </xf>
    <xf numFmtId="49" fontId="32" fillId="0" borderId="0" xfId="0" applyNumberFormat="1" applyFont="1" applyAlignment="1">
      <alignment horizontal="center"/>
    </xf>
    <xf numFmtId="16" fontId="32" fillId="0" borderId="0" xfId="0" applyNumberFormat="1" applyFont="1" applyAlignment="1">
      <alignment horizontal="center"/>
    </xf>
    <xf numFmtId="16" fontId="168" fillId="0" borderId="0" xfId="0" applyNumberFormat="1" applyFont="1"/>
    <xf numFmtId="0" fontId="32" fillId="0" borderId="0" xfId="25295" quotePrefix="1" applyFont="1"/>
    <xf numFmtId="16" fontId="32" fillId="0" borderId="0" xfId="25295" quotePrefix="1" applyNumberFormat="1" applyFont="1"/>
    <xf numFmtId="0" fontId="32" fillId="0" borderId="0" xfId="27280" applyFont="1"/>
    <xf numFmtId="44" fontId="14" fillId="0" borderId="0" xfId="33392" applyNumberFormat="1" applyFont="1"/>
    <xf numFmtId="43" fontId="14" fillId="0" borderId="0" xfId="33392" applyNumberFormat="1" applyFont="1"/>
    <xf numFmtId="43" fontId="142" fillId="0" borderId="0" xfId="33392" applyNumberFormat="1"/>
    <xf numFmtId="37" fontId="14" fillId="0" borderId="0" xfId="33392" applyNumberFormat="1" applyFont="1"/>
    <xf numFmtId="0" fontId="163" fillId="0" borderId="0" xfId="33392" applyFont="1"/>
    <xf numFmtId="10" fontId="142" fillId="0" borderId="0" xfId="25793" applyNumberFormat="1" applyFont="1" applyFill="1" applyBorder="1"/>
    <xf numFmtId="10" fontId="142" fillId="0" borderId="0" xfId="33392" applyNumberFormat="1"/>
    <xf numFmtId="44" fontId="142" fillId="0" borderId="0" xfId="25745" applyFont="1" applyFill="1" applyBorder="1"/>
    <xf numFmtId="221" fontId="142" fillId="0" borderId="0" xfId="33392" applyNumberFormat="1"/>
    <xf numFmtId="2" fontId="142" fillId="0" borderId="0" xfId="33392" applyNumberFormat="1"/>
    <xf numFmtId="2" fontId="122" fillId="0" borderId="0" xfId="27920" applyNumberFormat="1" applyFont="1"/>
    <xf numFmtId="185" fontId="122" fillId="0" borderId="0" xfId="27920" applyNumberFormat="1" applyFont="1"/>
    <xf numFmtId="185" fontId="142" fillId="0" borderId="0" xfId="33392" applyNumberFormat="1"/>
    <xf numFmtId="10" fontId="122" fillId="0" borderId="0" xfId="30158" applyNumberFormat="1" applyFont="1"/>
    <xf numFmtId="0" fontId="173" fillId="0" borderId="0" xfId="0" applyFont="1"/>
    <xf numFmtId="0" fontId="32" fillId="0" borderId="0" xfId="0" applyFont="1"/>
    <xf numFmtId="0" fontId="174" fillId="0" borderId="0" xfId="0" applyFont="1"/>
    <xf numFmtId="0" fontId="175" fillId="0" borderId="0" xfId="0" applyFont="1"/>
    <xf numFmtId="0" fontId="172" fillId="0" borderId="0" xfId="0" applyFont="1"/>
    <xf numFmtId="49" fontId="32" fillId="0" borderId="0" xfId="0" applyNumberFormat="1" applyFont="1"/>
    <xf numFmtId="0" fontId="176" fillId="0" borderId="0" xfId="0" applyFont="1"/>
    <xf numFmtId="200" fontId="126" fillId="0" borderId="0" xfId="0" applyNumberFormat="1" applyFont="1"/>
    <xf numFmtId="0" fontId="169" fillId="0" borderId="0" xfId="0" applyFont="1"/>
    <xf numFmtId="0" fontId="142" fillId="0" borderId="0" xfId="33392" applyBorder="1"/>
    <xf numFmtId="224" fontId="142" fillId="0" borderId="0" xfId="33392" applyNumberFormat="1" applyBorder="1"/>
    <xf numFmtId="3" fontId="142" fillId="0" borderId="0" xfId="33392" applyNumberFormat="1" applyBorder="1"/>
    <xf numFmtId="187" fontId="122" fillId="0" borderId="0" xfId="0" applyNumberFormat="1" applyFont="1" applyFill="1" applyAlignment="1">
      <alignment horizontal="right"/>
    </xf>
    <xf numFmtId="0" fontId="153" fillId="0" borderId="175" xfId="0" applyFont="1" applyFill="1" applyBorder="1"/>
    <xf numFmtId="0" fontId="122" fillId="0" borderId="175" xfId="33380" applyFont="1" applyFill="1" applyBorder="1"/>
    <xf numFmtId="0" fontId="122" fillId="0" borderId="0" xfId="33392" applyFont="1" applyFill="1"/>
    <xf numFmtId="0" fontId="142" fillId="0" borderId="175" xfId="33392" applyFill="1" applyBorder="1"/>
    <xf numFmtId="0" fontId="1" fillId="0" borderId="0" xfId="0" applyFont="1" applyFill="1" applyAlignment="1">
      <alignment horizontal="center"/>
    </xf>
    <xf numFmtId="0" fontId="122" fillId="0" borderId="151" xfId="33392" applyFont="1" applyFill="1" applyBorder="1"/>
    <xf numFmtId="201" fontId="122" fillId="0" borderId="0" xfId="27136" applyNumberFormat="1" applyFont="1" applyFill="1" applyBorder="1" applyAlignment="1"/>
    <xf numFmtId="0" fontId="166" fillId="0" borderId="0" xfId="0" applyFont="1" applyFill="1"/>
    <xf numFmtId="183" fontId="122" fillId="0" borderId="0" xfId="25276" applyNumberFormat="1" applyFont="1" applyFill="1"/>
    <xf numFmtId="183" fontId="122" fillId="0" borderId="0" xfId="24767" applyNumberFormat="1" applyFont="1" applyFill="1"/>
    <xf numFmtId="183" fontId="159" fillId="0" borderId="0" xfId="24767" applyNumberFormat="1" applyFont="1" applyFill="1"/>
    <xf numFmtId="183" fontId="122" fillId="0" borderId="151" xfId="25276" applyNumberFormat="1" applyFont="1" applyFill="1" applyBorder="1"/>
    <xf numFmtId="0" fontId="164" fillId="0" borderId="0" xfId="0" applyFont="1" applyFill="1"/>
    <xf numFmtId="0" fontId="167" fillId="0" borderId="0" xfId="0" applyFont="1" applyFill="1"/>
    <xf numFmtId="225" fontId="122" fillId="0" borderId="0" xfId="0" applyNumberFormat="1" applyFont="1" applyAlignment="1">
      <alignment horizontal="right"/>
    </xf>
    <xf numFmtId="226" fontId="122" fillId="0" borderId="0" xfId="0" applyNumberFormat="1" applyFont="1" applyAlignment="1">
      <alignment horizontal="right"/>
    </xf>
    <xf numFmtId="3" fontId="122" fillId="0" borderId="0" xfId="0" applyNumberFormat="1" applyFont="1" applyFill="1" applyAlignment="1">
      <alignment horizontal="right"/>
    </xf>
    <xf numFmtId="165" fontId="1" fillId="0" borderId="68" xfId="25742" applyNumberFormat="1" applyFont="1" applyFill="1" applyBorder="1"/>
    <xf numFmtId="0" fontId="153" fillId="0" borderId="151" xfId="0" applyFont="1" applyBorder="1"/>
    <xf numFmtId="0" fontId="153" fillId="0" borderId="11" xfId="0" applyFont="1" applyBorder="1"/>
    <xf numFmtId="0" fontId="153" fillId="0" borderId="168" xfId="0" applyFont="1" applyBorder="1" applyAlignment="1">
      <alignment horizontal="center"/>
    </xf>
    <xf numFmtId="213" fontId="153" fillId="0" borderId="153" xfId="0" applyNumberFormat="1" applyFont="1" applyBorder="1" applyAlignment="1">
      <alignment horizontal="center"/>
    </xf>
    <xf numFmtId="213" fontId="153" fillId="0" borderId="13" xfId="0" applyNumberFormat="1" applyFont="1" applyBorder="1" applyAlignment="1">
      <alignment horizontal="center"/>
    </xf>
    <xf numFmtId="213" fontId="153" fillId="0" borderId="135" xfId="0" applyNumberFormat="1" applyFont="1" applyBorder="1" applyAlignment="1">
      <alignment horizontal="center"/>
    </xf>
    <xf numFmtId="213" fontId="153" fillId="0" borderId="154" xfId="0" applyNumberFormat="1" applyFont="1" applyBorder="1" applyAlignment="1">
      <alignment horizontal="center"/>
    </xf>
    <xf numFmtId="0" fontId="153" fillId="0" borderId="74" xfId="0" applyFont="1" applyBorder="1" applyAlignment="1">
      <alignment horizontal="center"/>
    </xf>
    <xf numFmtId="0" fontId="153" fillId="0" borderId="157" xfId="0" applyFont="1" applyBorder="1"/>
    <xf numFmtId="0" fontId="153" fillId="0" borderId="14" xfId="0" applyFont="1" applyBorder="1" applyAlignment="1">
      <alignment horizontal="right"/>
    </xf>
    <xf numFmtId="10" fontId="153" fillId="0" borderId="68" xfId="25793" applyNumberFormat="1" applyFont="1" applyFill="1" applyBorder="1" applyAlignment="1">
      <alignment horizontal="center"/>
    </xf>
    <xf numFmtId="10" fontId="153" fillId="0" borderId="13" xfId="25793" applyNumberFormat="1" applyFont="1" applyFill="1" applyBorder="1" applyAlignment="1">
      <alignment horizontal="center"/>
    </xf>
    <xf numFmtId="10" fontId="153" fillId="0" borderId="13" xfId="25793" applyNumberFormat="1" applyFont="1" applyFill="1" applyBorder="1"/>
    <xf numFmtId="0" fontId="153" fillId="0" borderId="0" xfId="25742" applyNumberFormat="1" applyFont="1" applyFill="1" applyBorder="1" applyAlignment="1">
      <alignment horizontal="center"/>
    </xf>
    <xf numFmtId="0" fontId="153" fillId="0" borderId="152" xfId="25742" applyNumberFormat="1" applyFont="1" applyFill="1" applyBorder="1" applyAlignment="1">
      <alignment horizontal="center"/>
    </xf>
    <xf numFmtId="165" fontId="153" fillId="0" borderId="0" xfId="25742" applyNumberFormat="1" applyFont="1" applyFill="1" applyBorder="1" applyAlignment="1">
      <alignment horizontal="center"/>
    </xf>
    <xf numFmtId="0" fontId="177" fillId="0" borderId="0" xfId="33366" applyFont="1" applyFill="1"/>
    <xf numFmtId="165" fontId="153" fillId="0" borderId="0" xfId="25742" applyNumberFormat="1" applyFont="1" applyFill="1" applyBorder="1"/>
    <xf numFmtId="165" fontId="153" fillId="0" borderId="75" xfId="25742" applyNumberFormat="1" applyFont="1" applyFill="1" applyBorder="1"/>
    <xf numFmtId="165" fontId="153" fillId="0" borderId="148" xfId="0" applyNumberFormat="1" applyFont="1" applyBorder="1"/>
    <xf numFmtId="0" fontId="153" fillId="0" borderId="14" xfId="0" applyFont="1" applyBorder="1"/>
    <xf numFmtId="43" fontId="153" fillId="0" borderId="148" xfId="25742" applyFont="1" applyFill="1" applyBorder="1"/>
    <xf numFmtId="0" fontId="153" fillId="0" borderId="0" xfId="0" applyFont="1" applyAlignment="1">
      <alignment horizontal="right"/>
    </xf>
    <xf numFmtId="214" fontId="153" fillId="0" borderId="0" xfId="0" applyNumberFormat="1" applyFont="1"/>
    <xf numFmtId="0" fontId="153" fillId="0" borderId="14" xfId="0" applyFont="1" applyBorder="1" applyAlignment="1">
      <alignment horizontal="left" indent="1"/>
    </xf>
    <xf numFmtId="0" fontId="153" fillId="0" borderId="148" xfId="0" applyFont="1" applyBorder="1"/>
    <xf numFmtId="43" fontId="153" fillId="0" borderId="151" xfId="25742" applyFont="1" applyFill="1" applyBorder="1"/>
    <xf numFmtId="43" fontId="153" fillId="0" borderId="141" xfId="25742" applyFont="1" applyFill="1" applyBorder="1"/>
    <xf numFmtId="43" fontId="153" fillId="0" borderId="75" xfId="25742" applyFont="1" applyFill="1" applyBorder="1"/>
    <xf numFmtId="43" fontId="153" fillId="0" borderId="148" xfId="0" applyNumberFormat="1" applyFont="1" applyBorder="1"/>
    <xf numFmtId="43" fontId="153" fillId="0" borderId="145" xfId="0" applyNumberFormat="1" applyFont="1" applyBorder="1"/>
    <xf numFmtId="43" fontId="153" fillId="0" borderId="0" xfId="0" applyNumberFormat="1" applyFont="1"/>
    <xf numFmtId="43" fontId="153" fillId="0" borderId="147" xfId="0" applyNumberFormat="1" applyFont="1" applyBorder="1"/>
    <xf numFmtId="43" fontId="153" fillId="0" borderId="150" xfId="25742" applyFont="1" applyFill="1" applyBorder="1"/>
    <xf numFmtId="183" fontId="153" fillId="0" borderId="0" xfId="0" applyNumberFormat="1" applyFont="1"/>
    <xf numFmtId="0" fontId="153" fillId="0" borderId="74" xfId="0" applyFont="1" applyBorder="1" applyAlignment="1">
      <alignment horizontal="left"/>
    </xf>
    <xf numFmtId="43" fontId="153" fillId="0" borderId="154" xfId="25742" applyFont="1" applyFill="1" applyBorder="1"/>
    <xf numFmtId="0" fontId="153" fillId="0" borderId="151" xfId="0" applyFont="1" applyBorder="1" applyAlignment="1">
      <alignment horizontal="left"/>
    </xf>
    <xf numFmtId="0" fontId="153" fillId="0" borderId="153" xfId="0" applyFont="1" applyBorder="1" applyAlignment="1">
      <alignment horizontal="left" indent="1"/>
    </xf>
    <xf numFmtId="0" fontId="153" fillId="0" borderId="11" xfId="0" applyFont="1" applyBorder="1" applyAlignment="1">
      <alignment horizontal="left" indent="1"/>
    </xf>
    <xf numFmtId="0" fontId="153" fillId="0" borderId="11" xfId="0" applyFont="1" applyBorder="1" applyAlignment="1">
      <alignment horizontal="right"/>
    </xf>
    <xf numFmtId="0" fontId="153" fillId="0" borderId="16" xfId="0" applyFont="1" applyBorder="1" applyAlignment="1">
      <alignment horizontal="left"/>
    </xf>
    <xf numFmtId="0" fontId="153" fillId="0" borderId="135" xfId="0" applyFont="1" applyBorder="1" applyAlignment="1">
      <alignment horizontal="right"/>
    </xf>
    <xf numFmtId="43" fontId="153" fillId="0" borderId="155" xfId="25742" applyFont="1" applyFill="1" applyBorder="1"/>
    <xf numFmtId="43" fontId="153" fillId="0" borderId="170" xfId="25742" applyFont="1" applyFill="1" applyBorder="1"/>
    <xf numFmtId="0" fontId="153" fillId="0" borderId="145" xfId="0" applyFont="1" applyBorder="1"/>
    <xf numFmtId="0" fontId="153" fillId="0" borderId="159" xfId="0" applyFont="1" applyBorder="1"/>
    <xf numFmtId="165" fontId="153" fillId="0" borderId="156" xfId="25742" applyNumberFormat="1" applyFont="1" applyFill="1" applyBorder="1"/>
    <xf numFmtId="43" fontId="153" fillId="0" borderId="152" xfId="25742" applyFont="1" applyFill="1" applyBorder="1"/>
    <xf numFmtId="0" fontId="153" fillId="0" borderId="147" xfId="0" applyFont="1" applyBorder="1"/>
    <xf numFmtId="0" fontId="153" fillId="0" borderId="153" xfId="0" applyFont="1" applyBorder="1" applyAlignment="1">
      <alignment horizontal="left"/>
    </xf>
    <xf numFmtId="0" fontId="153" fillId="0" borderId="162" xfId="0" applyFont="1" applyBorder="1" applyAlignment="1">
      <alignment horizontal="left" indent="1"/>
    </xf>
    <xf numFmtId="0" fontId="153" fillId="0" borderId="156" xfId="0" applyFont="1" applyBorder="1"/>
    <xf numFmtId="0" fontId="153" fillId="0" borderId="162" xfId="0" applyFont="1" applyBorder="1"/>
    <xf numFmtId="43" fontId="153" fillId="0" borderId="157" xfId="0" applyNumberFormat="1" applyFont="1" applyBorder="1"/>
    <xf numFmtId="0" fontId="153" fillId="0" borderId="11" xfId="0" applyFont="1" applyBorder="1" applyAlignment="1">
      <alignment wrapText="1"/>
    </xf>
    <xf numFmtId="0" fontId="153" fillId="0" borderId="154" xfId="0" applyFont="1" applyBorder="1"/>
    <xf numFmtId="0" fontId="153" fillId="0" borderId="153" xfId="0" applyFont="1" applyBorder="1"/>
    <xf numFmtId="165" fontId="153" fillId="0" borderId="0" xfId="0" applyNumberFormat="1" applyFont="1"/>
    <xf numFmtId="0" fontId="153" fillId="0" borderId="146" xfId="0" applyFont="1" applyBorder="1"/>
    <xf numFmtId="200" fontId="153" fillId="0" borderId="0" xfId="0" applyNumberFormat="1" applyFont="1"/>
    <xf numFmtId="0" fontId="153" fillId="0" borderId="0" xfId="33367" applyFont="1" applyFill="1"/>
    <xf numFmtId="0" fontId="153" fillId="0" borderId="153" xfId="0" applyFont="1" applyBorder="1" applyAlignment="1">
      <alignment horizontal="right"/>
    </xf>
    <xf numFmtId="0" fontId="153" fillId="0" borderId="110" xfId="0" applyFont="1" applyBorder="1"/>
    <xf numFmtId="165" fontId="153" fillId="0" borderId="110" xfId="0" applyNumberFormat="1" applyFont="1" applyBorder="1"/>
    <xf numFmtId="43" fontId="153" fillId="0" borderId="110" xfId="0" applyNumberFormat="1" applyFont="1" applyBorder="1"/>
    <xf numFmtId="43" fontId="153" fillId="0" borderId="149" xfId="0" applyNumberFormat="1" applyFont="1" applyBorder="1"/>
    <xf numFmtId="0" fontId="153" fillId="0" borderId="16" xfId="0" applyFont="1" applyBorder="1"/>
    <xf numFmtId="43" fontId="153" fillId="0" borderId="16" xfId="0" applyNumberFormat="1" applyFont="1" applyBorder="1"/>
    <xf numFmtId="0" fontId="153" fillId="0" borderId="77" xfId="0" applyFont="1" applyBorder="1"/>
    <xf numFmtId="0" fontId="153" fillId="0" borderId="152" xfId="0" applyFont="1" applyBorder="1"/>
    <xf numFmtId="0" fontId="153" fillId="0" borderId="156" xfId="33368" applyFont="1" applyBorder="1"/>
    <xf numFmtId="0" fontId="153" fillId="0" borderId="152" xfId="33368" applyFont="1" applyBorder="1"/>
    <xf numFmtId="43" fontId="153" fillId="0" borderId="156" xfId="0" applyNumberFormat="1" applyFont="1" applyBorder="1"/>
    <xf numFmtId="43" fontId="153" fillId="0" borderId="152" xfId="0" applyNumberFormat="1" applyFont="1" applyBorder="1"/>
    <xf numFmtId="43" fontId="153" fillId="0" borderId="11" xfId="0" applyNumberFormat="1" applyFont="1" applyBorder="1"/>
    <xf numFmtId="43" fontId="153" fillId="0" borderId="14" xfId="0" applyNumberFormat="1" applyFont="1" applyBorder="1"/>
    <xf numFmtId="0" fontId="153" fillId="0" borderId="157" xfId="33368" applyFont="1" applyBorder="1" applyAlignment="1">
      <alignment horizontal="left"/>
    </xf>
    <xf numFmtId="0" fontId="153" fillId="0" borderId="0" xfId="33368" applyFont="1"/>
    <xf numFmtId="0" fontId="153" fillId="0" borderId="157" xfId="33368" applyFont="1" applyBorder="1"/>
    <xf numFmtId="0" fontId="153" fillId="0" borderId="154" xfId="33368" applyFont="1" applyBorder="1"/>
    <xf numFmtId="0" fontId="153" fillId="0" borderId="151" xfId="33368" applyFont="1" applyBorder="1"/>
    <xf numFmtId="43" fontId="153" fillId="0" borderId="154" xfId="0" applyNumberFormat="1" applyFont="1" applyBorder="1"/>
    <xf numFmtId="43" fontId="153" fillId="0" borderId="151" xfId="0" applyNumberFormat="1" applyFont="1" applyBorder="1"/>
    <xf numFmtId="43" fontId="153" fillId="0" borderId="153" xfId="0" applyNumberFormat="1" applyFont="1" applyBorder="1"/>
    <xf numFmtId="43" fontId="153" fillId="0" borderId="135" xfId="0" applyNumberFormat="1" applyFont="1" applyBorder="1"/>
    <xf numFmtId="0" fontId="153" fillId="0" borderId="151" xfId="0" applyFont="1" applyBorder="1" applyAlignment="1">
      <alignment horizontal="center"/>
    </xf>
    <xf numFmtId="0" fontId="153" fillId="0" borderId="13" xfId="0" applyFont="1" applyBorder="1"/>
    <xf numFmtId="0" fontId="153" fillId="0" borderId="169" xfId="0" applyFont="1" applyBorder="1" applyAlignment="1">
      <alignment horizontal="center"/>
    </xf>
    <xf numFmtId="0" fontId="153" fillId="0" borderId="148" xfId="0" applyFont="1" applyBorder="1" applyAlignment="1">
      <alignment horizontal="center"/>
    </xf>
    <xf numFmtId="0" fontId="153" fillId="0" borderId="14" xfId="0" applyFont="1" applyBorder="1" applyAlignment="1">
      <alignment horizontal="left"/>
    </xf>
    <xf numFmtId="43" fontId="153" fillId="0" borderId="157" xfId="25742" applyFont="1" applyFill="1" applyBorder="1"/>
    <xf numFmtId="0" fontId="153" fillId="0" borderId="171" xfId="0" applyFont="1" applyBorder="1"/>
    <xf numFmtId="0" fontId="153" fillId="0" borderId="11" xfId="0" applyFont="1" applyBorder="1" applyAlignment="1">
      <alignment horizontal="left"/>
    </xf>
    <xf numFmtId="0" fontId="153" fillId="0" borderId="13" xfId="0" applyFont="1" applyBorder="1" applyAlignment="1">
      <alignment horizontal="right"/>
    </xf>
    <xf numFmtId="0" fontId="153" fillId="0" borderId="68" xfId="0" applyFont="1" applyBorder="1" applyAlignment="1">
      <alignment horizontal="right"/>
    </xf>
    <xf numFmtId="0" fontId="153" fillId="0" borderId="16" xfId="0" applyFont="1" applyBorder="1" applyAlignment="1">
      <alignment horizontal="center"/>
    </xf>
    <xf numFmtId="0" fontId="177" fillId="0" borderId="0" xfId="33368" applyFont="1"/>
    <xf numFmtId="213" fontId="153" fillId="0" borderId="151" xfId="0" applyNumberFormat="1" applyFont="1" applyBorder="1" applyAlignment="1">
      <alignment horizontal="center"/>
    </xf>
    <xf numFmtId="213" fontId="153" fillId="0" borderId="135" xfId="0" applyNumberFormat="1" applyFont="1" applyBorder="1"/>
    <xf numFmtId="0" fontId="122" fillId="102" borderId="0" xfId="0" applyFont="1" applyFill="1"/>
    <xf numFmtId="0" fontId="126" fillId="102" borderId="0" xfId="1" quotePrefix="1" applyFont="1" applyFill="1" applyAlignment="1">
      <alignment horizontal="center"/>
    </xf>
    <xf numFmtId="0" fontId="122" fillId="102" borderId="151" xfId="1" applyFont="1" applyFill="1" applyBorder="1" applyAlignment="1">
      <alignment horizontal="center" wrapText="1"/>
    </xf>
    <xf numFmtId="38" fontId="122" fillId="102" borderId="0" xfId="2" applyNumberFormat="1" applyFont="1" applyFill="1" applyBorder="1" applyProtection="1"/>
    <xf numFmtId="9" fontId="122" fillId="102" borderId="0" xfId="0" applyNumberFormat="1" applyFont="1" applyFill="1"/>
    <xf numFmtId="0" fontId="122" fillId="102" borderId="155" xfId="1" applyFont="1" applyFill="1" applyBorder="1"/>
    <xf numFmtId="49" fontId="122" fillId="102" borderId="155" xfId="1" applyNumberFormat="1" applyFont="1" applyFill="1" applyBorder="1" applyAlignment="1">
      <alignment horizontal="center"/>
    </xf>
    <xf numFmtId="0" fontId="122" fillId="102" borderId="155" xfId="1" quotePrefix="1" applyFont="1" applyFill="1" applyBorder="1" applyAlignment="1">
      <alignment horizontal="center"/>
    </xf>
    <xf numFmtId="38" fontId="122" fillId="102" borderId="0" xfId="0" applyNumberFormat="1" applyFont="1" applyFill="1"/>
    <xf numFmtId="0" fontId="122" fillId="102" borderId="0" xfId="1" applyFont="1" applyFill="1" applyAlignment="1">
      <alignment horizontal="center"/>
    </xf>
    <xf numFmtId="0" fontId="126" fillId="102" borderId="0" xfId="1" applyFont="1" applyFill="1"/>
    <xf numFmtId="0" fontId="122" fillId="102" borderId="0" xfId="1" applyFont="1" applyFill="1"/>
    <xf numFmtId="182" fontId="122" fillId="102" borderId="0" xfId="3" applyNumberFormat="1" applyFont="1" applyFill="1" applyBorder="1">
      <alignment horizontal="right"/>
    </xf>
    <xf numFmtId="219" fontId="122" fillId="102" borderId="0" xfId="25742" applyNumberFormat="1" applyFont="1" applyFill="1" applyBorder="1" applyAlignment="1" applyProtection="1">
      <alignment horizontal="right"/>
    </xf>
    <xf numFmtId="219" fontId="122" fillId="102" borderId="0" xfId="25742" applyNumberFormat="1" applyFont="1" applyFill="1" applyBorder="1"/>
    <xf numFmtId="219" fontId="122" fillId="102" borderId="0" xfId="25742" applyNumberFormat="1" applyFont="1" applyFill="1" applyBorder="1" applyAlignment="1">
      <alignment horizontal="right"/>
    </xf>
    <xf numFmtId="219" fontId="122" fillId="102" borderId="0" xfId="25742" applyNumberFormat="1" applyFont="1" applyFill="1" applyBorder="1" applyProtection="1"/>
    <xf numFmtId="219" fontId="122" fillId="102" borderId="151" xfId="25742" applyNumberFormat="1" applyFont="1" applyFill="1" applyBorder="1" applyProtection="1"/>
    <xf numFmtId="219" fontId="122" fillId="102" borderId="151" xfId="25742" applyNumberFormat="1" applyFont="1" applyFill="1" applyBorder="1"/>
    <xf numFmtId="219" fontId="122" fillId="102" borderId="151" xfId="25742" applyNumberFormat="1" applyFont="1" applyFill="1" applyBorder="1" applyAlignment="1">
      <alignment horizontal="right"/>
    </xf>
    <xf numFmtId="0" fontId="126" fillId="102" borderId="0" xfId="1" applyFont="1" applyFill="1" applyAlignment="1">
      <alignment horizontal="left" indent="1"/>
    </xf>
    <xf numFmtId="219" fontId="122" fillId="102" borderId="0" xfId="2" applyNumberFormat="1" applyFont="1" applyFill="1" applyBorder="1" applyProtection="1"/>
    <xf numFmtId="0" fontId="122" fillId="102" borderId="0" xfId="1" applyFont="1" applyFill="1" applyAlignment="1">
      <alignment horizontal="left"/>
    </xf>
    <xf numFmtId="0" fontId="122" fillId="102" borderId="0" xfId="24545" applyFont="1" applyFill="1" applyAlignment="1">
      <alignment horizontal="left"/>
    </xf>
    <xf numFmtId="167" fontId="122" fillId="102" borderId="0" xfId="25793" applyNumberFormat="1" applyFont="1" applyFill="1" applyBorder="1"/>
    <xf numFmtId="9" fontId="122" fillId="102" borderId="0" xfId="25793" applyFont="1" applyFill="1" applyBorder="1" applyProtection="1"/>
    <xf numFmtId="43" fontId="122" fillId="102" borderId="0" xfId="0" applyNumberFormat="1" applyFont="1" applyFill="1"/>
    <xf numFmtId="166" fontId="122" fillId="102" borderId="0" xfId="25793" applyNumberFormat="1" applyFont="1" applyFill="1" applyBorder="1"/>
    <xf numFmtId="219" fontId="122" fillId="102" borderId="0" xfId="3" applyNumberFormat="1" applyFont="1" applyFill="1" applyBorder="1">
      <alignment horizontal="right"/>
    </xf>
    <xf numFmtId="219" fontId="122" fillId="102" borderId="66" xfId="25742" applyNumberFormat="1" applyFont="1" applyFill="1" applyBorder="1" applyAlignment="1">
      <alignment horizontal="right"/>
    </xf>
    <xf numFmtId="219" fontId="122" fillId="102" borderId="0" xfId="2" applyNumberFormat="1" applyFont="1" applyFill="1" applyBorder="1"/>
    <xf numFmtId="38" fontId="122" fillId="102" borderId="0" xfId="3" applyNumberFormat="1" applyFont="1" applyFill="1" applyBorder="1">
      <alignment horizontal="right"/>
    </xf>
    <xf numFmtId="10" fontId="122" fillId="102" borderId="0" xfId="4" applyNumberFormat="1" applyFont="1" applyFill="1" applyBorder="1"/>
    <xf numFmtId="166" fontId="122" fillId="102" borderId="0" xfId="4" applyNumberFormat="1" applyFont="1" applyFill="1" applyBorder="1"/>
    <xf numFmtId="5" fontId="122" fillId="102" borderId="0" xfId="0" applyNumberFormat="1" applyFont="1" applyFill="1"/>
    <xf numFmtId="219" fontId="1" fillId="0" borderId="0" xfId="0" applyNumberFormat="1" applyFont="1"/>
    <xf numFmtId="0" fontId="1" fillId="0" borderId="0" xfId="0" applyFont="1" applyAlignment="1">
      <alignment horizontal="center"/>
    </xf>
    <xf numFmtId="219" fontId="14" fillId="0" borderId="0" xfId="0" applyNumberFormat="1" applyFont="1"/>
    <xf numFmtId="223" fontId="1" fillId="0" borderId="0" xfId="0" applyNumberFormat="1" applyFont="1" applyFill="1"/>
    <xf numFmtId="223" fontId="165" fillId="0" borderId="0" xfId="0" applyNumberFormat="1" applyFont="1" applyFill="1"/>
    <xf numFmtId="223" fontId="0" fillId="0" borderId="0" xfId="0" applyNumberFormat="1" applyFill="1"/>
    <xf numFmtId="43" fontId="1" fillId="0" borderId="0" xfId="0" applyNumberFormat="1" applyFont="1" applyFill="1"/>
    <xf numFmtId="43" fontId="1" fillId="0" borderId="151" xfId="0" applyNumberFormat="1" applyFont="1" applyFill="1" applyBorder="1"/>
    <xf numFmtId="0" fontId="166" fillId="0" borderId="0" xfId="0" applyFont="1" applyFill="1" applyBorder="1" applyAlignment="1"/>
    <xf numFmtId="0" fontId="164" fillId="0" borderId="0" xfId="0" applyFont="1" applyFill="1" applyBorder="1" applyAlignment="1"/>
    <xf numFmtId="4" fontId="164" fillId="0" borderId="0" xfId="0" applyNumberFormat="1" applyFont="1" applyFill="1" applyBorder="1" applyAlignment="1"/>
    <xf numFmtId="4" fontId="164" fillId="0" borderId="151" xfId="0" applyNumberFormat="1" applyFont="1" applyFill="1" applyBorder="1" applyAlignment="1"/>
    <xf numFmtId="0" fontId="1" fillId="95" borderId="151" xfId="0" applyFont="1" applyFill="1" applyBorder="1" applyAlignment="1">
      <alignment wrapText="1"/>
    </xf>
    <xf numFmtId="0" fontId="1" fillId="95" borderId="155" xfId="0" applyFont="1" applyFill="1" applyBorder="1" applyAlignment="1">
      <alignment horizontal="center"/>
    </xf>
    <xf numFmtId="10" fontId="153" fillId="95" borderId="0" xfId="0" applyNumberFormat="1" applyFont="1" applyFill="1"/>
    <xf numFmtId="8" fontId="1" fillId="95" borderId="0" xfId="0" applyNumberFormat="1" applyFont="1" applyFill="1"/>
    <xf numFmtId="10" fontId="1" fillId="95" borderId="0" xfId="0" applyNumberFormat="1" applyFont="1" applyFill="1"/>
    <xf numFmtId="10" fontId="1" fillId="95" borderId="16" xfId="0" applyNumberFormat="1" applyFont="1" applyFill="1" applyBorder="1"/>
    <xf numFmtId="8" fontId="1" fillId="95" borderId="16" xfId="0" applyNumberFormat="1" applyFont="1" applyFill="1" applyBorder="1"/>
    <xf numFmtId="189" fontId="1" fillId="95" borderId="0" xfId="0" applyNumberFormat="1" applyFont="1" applyFill="1"/>
    <xf numFmtId="0" fontId="1" fillId="95" borderId="0" xfId="0" applyFont="1" applyFill="1"/>
    <xf numFmtId="8" fontId="130" fillId="95" borderId="0" xfId="0" applyNumberFormat="1" applyFont="1" applyFill="1"/>
    <xf numFmtId="40" fontId="1" fillId="95" borderId="0" xfId="0" applyNumberFormat="1" applyFont="1" applyFill="1"/>
    <xf numFmtId="189" fontId="1" fillId="95" borderId="151" xfId="0" applyNumberFormat="1" applyFont="1" applyFill="1" applyBorder="1"/>
    <xf numFmtId="43" fontId="1" fillId="95" borderId="0" xfId="25742" applyFont="1" applyFill="1"/>
    <xf numFmtId="4" fontId="1" fillId="95" borderId="0" xfId="0" applyNumberFormat="1" applyFont="1" applyFill="1"/>
    <xf numFmtId="4" fontId="1" fillId="95" borderId="152" xfId="0" applyNumberFormat="1" applyFont="1" applyFill="1" applyBorder="1"/>
    <xf numFmtId="8" fontId="1" fillId="0" borderId="163" xfId="0" applyNumberFormat="1" applyFont="1" applyBorder="1"/>
    <xf numFmtId="0" fontId="0" fillId="0" borderId="0" xfId="0" quotePrefix="1" applyFont="1"/>
    <xf numFmtId="0" fontId="0" fillId="0" borderId="0" xfId="0" quotePrefix="1" applyFont="1" applyFill="1"/>
    <xf numFmtId="0" fontId="0" fillId="0" borderId="0" xfId="0" applyFont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122" fillId="0" borderId="155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" fillId="0" borderId="74" xfId="0" applyFont="1" applyBorder="1" applyAlignment="1">
      <alignment horizontal="center"/>
    </xf>
    <xf numFmtId="0" fontId="153" fillId="0" borderId="0" xfId="0" applyFont="1" applyAlignment="1">
      <alignment horizontal="center"/>
    </xf>
    <xf numFmtId="0" fontId="126" fillId="0" borderId="0" xfId="24690" applyFont="1" applyAlignment="1">
      <alignment horizontal="center"/>
    </xf>
    <xf numFmtId="0" fontId="1" fillId="0" borderId="0" xfId="0" applyFont="1" applyAlignment="1">
      <alignment horizontal="left" vertical="top" wrapText="1"/>
    </xf>
    <xf numFmtId="0" fontId="169" fillId="0" borderId="0" xfId="27280" applyFont="1" applyAlignment="1">
      <alignment horizontal="center"/>
    </xf>
    <xf numFmtId="0" fontId="122" fillId="0" borderId="151" xfId="25455" quotePrefix="1" applyFont="1" applyBorder="1" applyAlignment="1">
      <alignment horizontal="center"/>
    </xf>
    <xf numFmtId="0" fontId="122" fillId="0" borderId="154" xfId="25455" quotePrefix="1" applyFont="1" applyBorder="1" applyAlignment="1">
      <alignment horizontal="center"/>
    </xf>
    <xf numFmtId="10" fontId="122" fillId="0" borderId="0" xfId="25795" applyNumberFormat="1" applyFont="1" applyAlignment="1">
      <alignment horizontal="left"/>
    </xf>
    <xf numFmtId="0" fontId="126" fillId="0" borderId="0" xfId="0" applyFont="1" applyAlignment="1">
      <alignment horizontal="center"/>
    </xf>
    <xf numFmtId="0" fontId="122" fillId="0" borderId="151" xfId="24690" applyFont="1" applyBorder="1" applyAlignment="1">
      <alignment horizontal="center"/>
    </xf>
    <xf numFmtId="0" fontId="126" fillId="0" borderId="0" xfId="25295" applyFont="1" applyAlignment="1">
      <alignment horizontal="center"/>
    </xf>
    <xf numFmtId="0" fontId="122" fillId="0" borderId="151" xfId="0" applyFont="1" applyBorder="1" applyAlignment="1">
      <alignment horizontal="center"/>
    </xf>
    <xf numFmtId="0" fontId="122" fillId="0" borderId="153" xfId="0" applyFont="1" applyBorder="1" applyAlignment="1">
      <alignment horizontal="center"/>
    </xf>
    <xf numFmtId="0" fontId="122" fillId="0" borderId="0" xfId="0" applyFont="1" applyAlignment="1">
      <alignment horizontal="center"/>
    </xf>
    <xf numFmtId="0" fontId="122" fillId="103" borderId="151" xfId="1" applyFont="1" applyFill="1" applyBorder="1" applyAlignment="1">
      <alignment horizontal="center" wrapText="1"/>
    </xf>
    <xf numFmtId="0" fontId="1" fillId="103" borderId="0" xfId="0" applyFont="1" applyFill="1"/>
    <xf numFmtId="49" fontId="122" fillId="103" borderId="155" xfId="1" applyNumberFormat="1" applyFont="1" applyFill="1" applyBorder="1" applyAlignment="1">
      <alignment horizontal="center"/>
    </xf>
    <xf numFmtId="0" fontId="122" fillId="103" borderId="155" xfId="1" quotePrefix="1" applyFont="1" applyFill="1" applyBorder="1" applyAlignment="1">
      <alignment horizontal="center"/>
    </xf>
    <xf numFmtId="0" fontId="122" fillId="103" borderId="0" xfId="1" applyFont="1" applyFill="1"/>
    <xf numFmtId="182" fontId="122" fillId="103" borderId="0" xfId="3" applyNumberFormat="1" applyFont="1" applyFill="1" applyBorder="1">
      <alignment horizontal="right"/>
    </xf>
    <xf numFmtId="219" fontId="122" fillId="103" borderId="0" xfId="25742" applyNumberFormat="1" applyFont="1" applyFill="1" applyBorder="1" applyAlignment="1" applyProtection="1">
      <alignment horizontal="right"/>
    </xf>
    <xf numFmtId="219" fontId="122" fillId="103" borderId="0" xfId="25742" applyNumberFormat="1" applyFont="1" applyFill="1" applyBorder="1"/>
    <xf numFmtId="219" fontId="122" fillId="103" borderId="0" xfId="25742" applyNumberFormat="1" applyFont="1" applyFill="1" applyBorder="1" applyAlignment="1">
      <alignment horizontal="right"/>
    </xf>
    <xf numFmtId="219" fontId="122" fillId="103" borderId="0" xfId="25742" applyNumberFormat="1" applyFont="1" applyFill="1" applyBorder="1" applyProtection="1"/>
    <xf numFmtId="219" fontId="122" fillId="103" borderId="151" xfId="25742" applyNumberFormat="1" applyFont="1" applyFill="1" applyBorder="1" applyProtection="1"/>
    <xf numFmtId="219" fontId="122" fillId="103" borderId="151" xfId="25742" applyNumberFormat="1" applyFont="1" applyFill="1" applyBorder="1"/>
    <xf numFmtId="219" fontId="122" fillId="103" borderId="151" xfId="25742" applyNumberFormat="1" applyFont="1" applyFill="1" applyBorder="1" applyAlignment="1">
      <alignment horizontal="right"/>
    </xf>
    <xf numFmtId="219" fontId="122" fillId="103" borderId="0" xfId="2" applyNumberFormat="1" applyFont="1" applyFill="1" applyBorder="1" applyProtection="1"/>
    <xf numFmtId="219" fontId="1" fillId="103" borderId="0" xfId="25742" applyNumberFormat="1" applyFont="1" applyFill="1" applyBorder="1"/>
    <xf numFmtId="219" fontId="122" fillId="103" borderId="0" xfId="3" applyNumberFormat="1" applyFont="1" applyFill="1" applyBorder="1">
      <alignment horizontal="right"/>
    </xf>
    <xf numFmtId="219" fontId="122" fillId="103" borderId="66" xfId="25742" applyNumberFormat="1" applyFont="1" applyFill="1" applyBorder="1" applyAlignment="1">
      <alignment horizontal="right"/>
    </xf>
    <xf numFmtId="219" fontId="122" fillId="103" borderId="0" xfId="2" applyNumberFormat="1" applyFont="1" applyFill="1" applyBorder="1"/>
    <xf numFmtId="38" fontId="122" fillId="103" borderId="0" xfId="3" applyNumberFormat="1" applyFont="1" applyFill="1" applyBorder="1">
      <alignment horizontal="right"/>
    </xf>
    <xf numFmtId="10" fontId="122" fillId="103" borderId="0" xfId="4" applyNumberFormat="1" applyFont="1" applyFill="1" applyBorder="1"/>
    <xf numFmtId="166" fontId="122" fillId="103" borderId="0" xfId="4" applyNumberFormat="1" applyFont="1" applyFill="1" applyBorder="1"/>
    <xf numFmtId="10" fontId="1" fillId="103" borderId="0" xfId="25793" applyNumberFormat="1" applyFont="1" applyFill="1"/>
    <xf numFmtId="5" fontId="1" fillId="103" borderId="0" xfId="0" applyNumberFormat="1" applyFont="1" applyFill="1"/>
    <xf numFmtId="43" fontId="1" fillId="103" borderId="0" xfId="0" applyNumberFormat="1" applyFont="1" applyFill="1"/>
    <xf numFmtId="0" fontId="122" fillId="0" borderId="0" xfId="0" applyFont="1" applyAlignment="1">
      <alignment horizontal="center"/>
    </xf>
    <xf numFmtId="10" fontId="122" fillId="0" borderId="66" xfId="25793" applyNumberFormat="1" applyFont="1" applyBorder="1" applyAlignment="1">
      <alignment horizontal="center"/>
    </xf>
    <xf numFmtId="0" fontId="16" fillId="103" borderId="0" xfId="0" applyFont="1" applyFill="1"/>
    <xf numFmtId="0" fontId="1" fillId="103" borderId="151" xfId="0" applyFont="1" applyFill="1" applyBorder="1" applyAlignment="1">
      <alignment horizontal="center" wrapText="1"/>
    </xf>
    <xf numFmtId="10" fontId="1" fillId="103" borderId="151" xfId="0" applyNumberFormat="1" applyFont="1" applyFill="1" applyBorder="1" applyAlignment="1">
      <alignment horizontal="center" wrapText="1"/>
    </xf>
    <xf numFmtId="3" fontId="1" fillId="103" borderId="151" xfId="0" applyNumberFormat="1" applyFont="1" applyFill="1" applyBorder="1" applyAlignment="1">
      <alignment horizontal="center" wrapText="1"/>
    </xf>
    <xf numFmtId="0" fontId="1" fillId="103" borderId="155" xfId="0" applyFont="1" applyFill="1" applyBorder="1" applyAlignment="1">
      <alignment horizontal="center"/>
    </xf>
    <xf numFmtId="0" fontId="1" fillId="103" borderId="0" xfId="0" applyFont="1" applyFill="1" applyAlignment="1">
      <alignment horizontal="center"/>
    </xf>
    <xf numFmtId="3" fontId="1" fillId="103" borderId="0" xfId="0" applyNumberFormat="1" applyFont="1" applyFill="1"/>
    <xf numFmtId="10" fontId="1" fillId="103" borderId="0" xfId="0" applyNumberFormat="1" applyFont="1" applyFill="1"/>
    <xf numFmtId="183" fontId="1" fillId="103" borderId="0" xfId="0" applyNumberFormat="1" applyFont="1" applyFill="1"/>
    <xf numFmtId="183" fontId="16" fillId="103" borderId="155" xfId="0" applyNumberFormat="1" applyFont="1" applyFill="1" applyBorder="1"/>
    <xf numFmtId="3" fontId="16" fillId="103" borderId="155" xfId="0" applyNumberFormat="1" applyFont="1" applyFill="1" applyBorder="1"/>
    <xf numFmtId="10" fontId="16" fillId="103" borderId="155" xfId="0" applyNumberFormat="1" applyFont="1" applyFill="1" applyBorder="1"/>
    <xf numFmtId="3" fontId="16" fillId="103" borderId="0" xfId="0" applyNumberFormat="1" applyFont="1" applyFill="1"/>
    <xf numFmtId="10" fontId="16" fillId="103" borderId="0" xfId="0" applyNumberFormat="1" applyFont="1" applyFill="1"/>
    <xf numFmtId="0" fontId="16" fillId="103" borderId="155" xfId="0" applyFont="1" applyFill="1" applyBorder="1"/>
    <xf numFmtId="210" fontId="1" fillId="103" borderId="0" xfId="0" applyNumberFormat="1" applyFont="1" applyFill="1"/>
    <xf numFmtId="0" fontId="1" fillId="103" borderId="66" xfId="0" applyFont="1" applyFill="1" applyBorder="1"/>
    <xf numFmtId="3" fontId="16" fillId="103" borderId="66" xfId="0" applyNumberFormat="1" applyFont="1" applyFill="1" applyBorder="1"/>
    <xf numFmtId="3" fontId="154" fillId="103" borderId="66" xfId="0" applyNumberFormat="1" applyFont="1" applyFill="1" applyBorder="1"/>
    <xf numFmtId="10" fontId="16" fillId="103" borderId="66" xfId="0" applyNumberFormat="1" applyFont="1" applyFill="1" applyBorder="1"/>
    <xf numFmtId="3" fontId="1" fillId="103" borderId="0" xfId="0" applyNumberFormat="1" applyFont="1" applyFill="1" applyAlignment="1">
      <alignment horizontal="center"/>
    </xf>
    <xf numFmtId="0" fontId="1" fillId="103" borderId="0" xfId="0" applyFont="1" applyFill="1" applyAlignment="1">
      <alignment horizontal="left"/>
    </xf>
    <xf numFmtId="165" fontId="1" fillId="103" borderId="0" xfId="25742" applyNumberFormat="1" applyFont="1" applyFill="1" applyBorder="1" applyAlignment="1">
      <alignment horizontal="right"/>
    </xf>
    <xf numFmtId="214" fontId="1" fillId="103" borderId="0" xfId="25742" applyNumberFormat="1" applyFont="1" applyFill="1" applyBorder="1" applyAlignment="1">
      <alignment horizontal="right"/>
    </xf>
    <xf numFmtId="0" fontId="150" fillId="103" borderId="0" xfId="0" applyFont="1" applyFill="1" applyAlignment="1">
      <alignment wrapText="1"/>
    </xf>
    <xf numFmtId="43" fontId="1" fillId="103" borderId="0" xfId="25742" applyFont="1" applyFill="1" applyBorder="1" applyAlignment="1">
      <alignment horizontal="right"/>
    </xf>
    <xf numFmtId="0" fontId="1" fillId="103" borderId="0" xfId="0" applyFont="1" applyFill="1" applyAlignment="1">
      <alignment horizontal="left" indent="1"/>
    </xf>
    <xf numFmtId="43" fontId="1" fillId="103" borderId="155" xfId="25742" applyFont="1" applyFill="1" applyBorder="1" applyAlignment="1">
      <alignment horizontal="right"/>
    </xf>
    <xf numFmtId="10" fontId="122" fillId="0" borderId="0" xfId="0" applyNumberFormat="1" applyFont="1" applyAlignment="1">
      <alignment horizontal="center"/>
    </xf>
    <xf numFmtId="165" fontId="122" fillId="86" borderId="156" xfId="25742" applyNumberFormat="1" applyFont="1" applyFill="1" applyBorder="1" applyAlignment="1">
      <alignment horizontal="center"/>
    </xf>
    <xf numFmtId="165" fontId="122" fillId="86" borderId="162" xfId="25742" applyNumberFormat="1" applyFont="1" applyFill="1" applyBorder="1"/>
    <xf numFmtId="165" fontId="122" fillId="86" borderId="157" xfId="25742" applyNumberFormat="1" applyFont="1" applyFill="1" applyBorder="1" applyAlignment="1">
      <alignment horizontal="center"/>
    </xf>
    <xf numFmtId="0" fontId="122" fillId="86" borderId="11" xfId="0" applyFont="1" applyFill="1" applyBorder="1"/>
    <xf numFmtId="165" fontId="122" fillId="86" borderId="154" xfId="25742" applyNumberFormat="1" applyFont="1" applyFill="1" applyBorder="1" applyAlignment="1">
      <alignment horizontal="center"/>
    </xf>
    <xf numFmtId="0" fontId="122" fillId="86" borderId="153" xfId="0" applyFont="1" applyFill="1" applyBorder="1"/>
    <xf numFmtId="200" fontId="122" fillId="86" borderId="0" xfId="0" applyNumberFormat="1" applyFont="1" applyFill="1"/>
    <xf numFmtId="0" fontId="1" fillId="95" borderId="0" xfId="0" applyFont="1" applyFill="1" applyAlignment="1">
      <alignment horizontal="center"/>
    </xf>
    <xf numFmtId="0" fontId="1" fillId="95" borderId="151" xfId="0" applyFont="1" applyFill="1" applyBorder="1" applyAlignment="1">
      <alignment horizontal="center" wrapText="1"/>
    </xf>
    <xf numFmtId="0" fontId="1" fillId="95" borderId="151" xfId="0" applyFont="1" applyFill="1" applyBorder="1" applyAlignment="1">
      <alignment horizontal="center"/>
    </xf>
    <xf numFmtId="165" fontId="1" fillId="95" borderId="0" xfId="25742" applyNumberFormat="1" applyFont="1" applyFill="1"/>
    <xf numFmtId="191" fontId="1" fillId="95" borderId="151" xfId="0" applyNumberFormat="1" applyFont="1" applyFill="1" applyBorder="1"/>
    <xf numFmtId="165" fontId="1" fillId="95" borderId="0" xfId="25742" applyNumberFormat="1" applyFont="1" applyFill="1" applyAlignment="1"/>
    <xf numFmtId="0" fontId="125" fillId="95" borderId="0" xfId="0" applyFont="1" applyFill="1"/>
    <xf numFmtId="0" fontId="1" fillId="95" borderId="151" xfId="0" applyFont="1" applyFill="1" applyBorder="1"/>
    <xf numFmtId="165" fontId="159" fillId="95" borderId="0" xfId="25742" applyNumberFormat="1" applyFont="1" applyFill="1" applyBorder="1" applyAlignment="1"/>
    <xf numFmtId="165" fontId="162" fillId="95" borderId="0" xfId="25742" applyNumberFormat="1" applyFont="1" applyFill="1" applyBorder="1" applyAlignment="1"/>
    <xf numFmtId="191" fontId="1" fillId="95" borderId="0" xfId="25793" applyNumberFormat="1" applyFont="1" applyFill="1" applyBorder="1" applyAlignment="1"/>
    <xf numFmtId="0" fontId="14" fillId="95" borderId="0" xfId="0" applyFont="1" applyFill="1"/>
    <xf numFmtId="0" fontId="141" fillId="95" borderId="151" xfId="0" applyFont="1" applyFill="1" applyBorder="1" applyAlignment="1">
      <alignment horizontal="center" wrapText="1"/>
    </xf>
    <xf numFmtId="0" fontId="150" fillId="95" borderId="0" xfId="0" applyFont="1" applyFill="1"/>
    <xf numFmtId="165" fontId="159" fillId="95" borderId="0" xfId="25742" applyNumberFormat="1" applyFont="1" applyFill="1"/>
    <xf numFmtId="10" fontId="159" fillId="95" borderId="151" xfId="0" applyNumberFormat="1" applyFont="1" applyFill="1" applyBorder="1"/>
    <xf numFmtId="0" fontId="141" fillId="95" borderId="0" xfId="0" applyFont="1" applyFill="1"/>
    <xf numFmtId="165" fontId="141" fillId="95" borderId="0" xfId="25742" applyNumberFormat="1" applyFont="1" applyFill="1"/>
    <xf numFmtId="10" fontId="1" fillId="95" borderId="151" xfId="0" applyNumberFormat="1" applyFont="1" applyFill="1" applyBorder="1"/>
    <xf numFmtId="198" fontId="141" fillId="95" borderId="0" xfId="0" applyNumberFormat="1" applyFont="1" applyFill="1"/>
    <xf numFmtId="0" fontId="16" fillId="95" borderId="66" xfId="0" applyFont="1" applyFill="1" applyBorder="1"/>
    <xf numFmtId="165" fontId="16" fillId="95" borderId="66" xfId="25742" applyNumberFormat="1" applyFont="1" applyFill="1" applyBorder="1"/>
    <xf numFmtId="44" fontId="1" fillId="95" borderId="0" xfId="0" applyNumberFormat="1" applyFont="1" applyFill="1"/>
    <xf numFmtId="0" fontId="126" fillId="0" borderId="0" xfId="24690" applyFont="1" applyAlignment="1"/>
    <xf numFmtId="0" fontId="1" fillId="0" borderId="0" xfId="0" applyFont="1" applyAlignment="1">
      <alignment horizontal="center"/>
    </xf>
    <xf numFmtId="44" fontId="122" fillId="0" borderId="0" xfId="25745" applyNumberFormat="1" applyFont="1"/>
    <xf numFmtId="166" fontId="122" fillId="0" borderId="0" xfId="25793" applyNumberFormat="1" applyFont="1" applyFill="1" applyAlignment="1">
      <alignment horizontal="right"/>
    </xf>
    <xf numFmtId="0" fontId="1" fillId="0" borderId="0" xfId="0" applyFont="1" applyFill="1"/>
    <xf numFmtId="0" fontId="122" fillId="103" borderId="151" xfId="0" applyFont="1" applyFill="1" applyBorder="1" applyAlignment="1">
      <alignment horizontal="center" wrapText="1"/>
    </xf>
    <xf numFmtId="0" fontId="122" fillId="103" borderId="151" xfId="25750" applyFont="1" applyFill="1" applyBorder="1" applyAlignment="1">
      <alignment horizontal="center" wrapText="1"/>
    </xf>
    <xf numFmtId="43" fontId="122" fillId="103" borderId="151" xfId="25742" applyFont="1" applyFill="1" applyBorder="1" applyAlignment="1">
      <alignment horizontal="center" wrapText="1"/>
    </xf>
    <xf numFmtId="14" fontId="122" fillId="103" borderId="151" xfId="25750" applyNumberFormat="1" applyFont="1" applyFill="1" applyBorder="1" applyAlignment="1">
      <alignment horizontal="center" wrapText="1"/>
    </xf>
    <xf numFmtId="0" fontId="122" fillId="103" borderId="0" xfId="0" applyFont="1" applyFill="1" applyAlignment="1">
      <alignment horizontal="center"/>
    </xf>
    <xf numFmtId="0" fontId="122" fillId="103" borderId="0" xfId="25794" applyFont="1" applyFill="1"/>
    <xf numFmtId="43" fontId="122" fillId="103" borderId="0" xfId="25742" applyFont="1" applyFill="1" applyBorder="1"/>
    <xf numFmtId="43" fontId="159" fillId="103" borderId="0" xfId="25742" applyFont="1" applyFill="1" applyBorder="1"/>
    <xf numFmtId="10" fontId="122" fillId="103" borderId="0" xfId="25794" applyNumberFormat="1" applyFont="1" applyFill="1"/>
    <xf numFmtId="39" fontId="122" fillId="103" borderId="0" xfId="25794" applyNumberFormat="1" applyFont="1" applyFill="1"/>
    <xf numFmtId="0" fontId="122" fillId="103" borderId="0" xfId="25794" applyFont="1" applyFill="1" applyAlignment="1">
      <alignment horizontal="center"/>
    </xf>
    <xf numFmtId="14" fontId="122" fillId="103" borderId="0" xfId="25745" applyNumberFormat="1" applyFont="1" applyFill="1" applyBorder="1"/>
    <xf numFmtId="14" fontId="122" fillId="103" borderId="0" xfId="0" applyNumberFormat="1" applyFont="1" applyFill="1"/>
    <xf numFmtId="0" fontId="122" fillId="103" borderId="0" xfId="0" applyFont="1" applyFill="1"/>
    <xf numFmtId="0" fontId="122" fillId="103" borderId="155" xfId="25750" applyFont="1" applyFill="1" applyBorder="1"/>
    <xf numFmtId="0" fontId="122" fillId="103" borderId="155" xfId="25750" applyFont="1" applyFill="1" applyBorder="1" applyAlignment="1">
      <alignment horizontal="right"/>
    </xf>
    <xf numFmtId="43" fontId="122" fillId="103" borderId="155" xfId="25742" applyFont="1" applyFill="1" applyBorder="1"/>
    <xf numFmtId="0" fontId="122" fillId="103" borderId="155" xfId="25750" applyFont="1" applyFill="1" applyBorder="1" applyAlignment="1">
      <alignment horizontal="center"/>
    </xf>
    <xf numFmtId="14" fontId="122" fillId="103" borderId="155" xfId="25742" applyNumberFormat="1" applyFont="1" applyFill="1" applyBorder="1"/>
    <xf numFmtId="0" fontId="122" fillId="103" borderId="0" xfId="25750" applyFont="1" applyFill="1"/>
    <xf numFmtId="0" fontId="122" fillId="103" borderId="0" xfId="25750" applyFont="1" applyFill="1" applyAlignment="1">
      <alignment horizontal="center"/>
    </xf>
    <xf numFmtId="14" fontId="122" fillId="103" borderId="0" xfId="25750" applyNumberFormat="1" applyFont="1" applyFill="1"/>
    <xf numFmtId="43" fontId="122" fillId="103" borderId="0" xfId="25742" applyFont="1" applyFill="1" applyBorder="1" applyAlignment="1">
      <alignment horizontal="right"/>
    </xf>
    <xf numFmtId="10" fontId="122" fillId="103" borderId="0" xfId="25750" applyNumberFormat="1" applyFont="1" applyFill="1"/>
    <xf numFmtId="217" fontId="122" fillId="103" borderId="0" xfId="25742" applyNumberFormat="1" applyFont="1" applyFill="1" applyBorder="1"/>
    <xf numFmtId="14" fontId="122" fillId="103" borderId="0" xfId="25794" applyNumberFormat="1" applyFont="1" applyFill="1"/>
    <xf numFmtId="10" fontId="122" fillId="103" borderId="0" xfId="25793" applyNumberFormat="1" applyFont="1" applyFill="1" applyBorder="1"/>
    <xf numFmtId="0" fontId="122" fillId="103" borderId="0" xfId="25750" applyFont="1" applyFill="1" applyAlignment="1">
      <alignment horizontal="right"/>
    </xf>
    <xf numFmtId="14" fontId="122" fillId="103" borderId="0" xfId="25742" applyNumberFormat="1" applyFont="1" applyFill="1" applyBorder="1"/>
    <xf numFmtId="0" fontId="122" fillId="103" borderId="66" xfId="25750" applyFont="1" applyFill="1" applyBorder="1" applyAlignment="1">
      <alignment horizontal="right"/>
    </xf>
    <xf numFmtId="43" fontId="122" fillId="103" borderId="66" xfId="25742" applyFont="1" applyFill="1" applyBorder="1"/>
    <xf numFmtId="0" fontId="122" fillId="103" borderId="66" xfId="25750" applyFont="1" applyFill="1" applyBorder="1"/>
    <xf numFmtId="9" fontId="122" fillId="103" borderId="0" xfId="25793" applyFont="1" applyFill="1" applyBorder="1"/>
    <xf numFmtId="39" fontId="122" fillId="103" borderId="0" xfId="25742" applyNumberFormat="1" applyFont="1" applyFill="1" applyBorder="1"/>
    <xf numFmtId="14" fontId="122" fillId="103" borderId="0" xfId="25794" applyNumberFormat="1" applyFont="1" applyFill="1" applyAlignment="1">
      <alignment horizontal="center"/>
    </xf>
    <xf numFmtId="0" fontId="122" fillId="103" borderId="151" xfId="25794" applyFont="1" applyFill="1" applyBorder="1" applyAlignment="1">
      <alignment horizontal="center" wrapText="1"/>
    </xf>
    <xf numFmtId="14" fontId="122" fillId="103" borderId="151" xfId="25794" applyNumberFormat="1" applyFont="1" applyFill="1" applyBorder="1" applyAlignment="1">
      <alignment horizontal="center" wrapText="1"/>
    </xf>
    <xf numFmtId="0" fontId="122" fillId="103" borderId="0" xfId="25794" applyFont="1" applyFill="1" applyAlignment="1">
      <alignment horizontal="right"/>
    </xf>
    <xf numFmtId="0" fontId="122" fillId="103" borderId="155" xfId="25794" applyFont="1" applyFill="1" applyBorder="1"/>
    <xf numFmtId="10" fontId="122" fillId="103" borderId="155" xfId="25794" applyNumberFormat="1" applyFont="1" applyFill="1" applyBorder="1"/>
    <xf numFmtId="199" fontId="1" fillId="0" borderId="0" xfId="25793" applyNumberFormat="1" applyFont="1"/>
    <xf numFmtId="219" fontId="122" fillId="102" borderId="0" xfId="25793" applyNumberFormat="1" applyFont="1" applyFill="1"/>
    <xf numFmtId="6" fontId="1" fillId="0" borderId="0" xfId="25742" applyNumberFormat="1" applyFont="1" applyFill="1" applyBorder="1" applyAlignment="1">
      <alignment horizontal="right"/>
    </xf>
    <xf numFmtId="37" fontId="122" fillId="0" borderId="0" xfId="25795" applyFont="1" applyAlignment="1">
      <alignment horizontal="left"/>
    </xf>
    <xf numFmtId="49" fontId="122" fillId="0" borderId="0" xfId="25795" applyNumberFormat="1" applyFont="1" applyAlignment="1">
      <alignment horizontal="left"/>
    </xf>
    <xf numFmtId="165" fontId="1" fillId="93" borderId="0" xfId="25742" applyNumberFormat="1" applyFont="1" applyFill="1"/>
    <xf numFmtId="165" fontId="151" fillId="93" borderId="155" xfId="25742" applyNumberFormat="1" applyFont="1" applyFill="1" applyBorder="1"/>
    <xf numFmtId="0" fontId="122" fillId="102" borderId="151" xfId="0" applyFont="1" applyFill="1" applyBorder="1" applyAlignment="1">
      <alignment horizontal="center" wrapText="1"/>
    </xf>
    <xf numFmtId="0" fontId="122" fillId="101" borderId="0" xfId="25455" applyFont="1" applyFill="1" applyAlignment="1">
      <alignment horizontal="center"/>
    </xf>
    <xf numFmtId="0" fontId="1" fillId="0" borderId="0" xfId="0" applyFont="1" applyBorder="1"/>
    <xf numFmtId="0" fontId="135" fillId="0" borderId="0" xfId="0" applyFont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0" fillId="0" borderId="0" xfId="0" applyFont="1" applyBorder="1"/>
    <xf numFmtId="165" fontId="1" fillId="0" borderId="0" xfId="0" applyNumberFormat="1" applyFont="1" applyBorder="1"/>
    <xf numFmtId="165" fontId="159" fillId="0" borderId="0" xfId="25742" applyNumberFormat="1" applyFont="1" applyBorder="1"/>
    <xf numFmtId="43" fontId="1" fillId="0" borderId="0" xfId="25742" applyNumberFormat="1" applyFont="1" applyBorder="1"/>
    <xf numFmtId="43" fontId="1" fillId="101" borderId="0" xfId="0" applyNumberFormat="1" applyFont="1" applyFill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43" fontId="14" fillId="0" borderId="155" xfId="25766" applyFont="1" applyFill="1" applyBorder="1"/>
    <xf numFmtId="165" fontId="16" fillId="93" borderId="66" xfId="25742" applyNumberFormat="1" applyFont="1" applyFill="1" applyBorder="1"/>
    <xf numFmtId="165" fontId="16" fillId="93" borderId="79" xfId="25742" applyNumberFormat="1" applyFont="1" applyFill="1" applyBorder="1"/>
    <xf numFmtId="43" fontId="1" fillId="93" borderId="13" xfId="25742" applyFont="1" applyFill="1" applyBorder="1"/>
    <xf numFmtId="43" fontId="14" fillId="0" borderId="0" xfId="27903" applyFont="1" applyFill="1"/>
    <xf numFmtId="0" fontId="14" fillId="0" borderId="0" xfId="0" quotePrefix="1" applyFont="1"/>
    <xf numFmtId="49" fontId="14" fillId="0" borderId="0" xfId="409" applyNumberFormat="1" applyFont="1"/>
    <xf numFmtId="38" fontId="1" fillId="93" borderId="0" xfId="0" applyNumberFormat="1" applyFont="1" applyFill="1"/>
    <xf numFmtId="6" fontId="1" fillId="93" borderId="75" xfId="0" applyNumberFormat="1" applyFont="1" applyFill="1" applyBorder="1"/>
    <xf numFmtId="223" fontId="14" fillId="0" borderId="163" xfId="0" applyNumberFormat="1" applyFont="1" applyFill="1" applyBorder="1"/>
    <xf numFmtId="223" fontId="166" fillId="0" borderId="0" xfId="0" applyNumberFormat="1" applyFont="1"/>
    <xf numFmtId="223" fontId="14" fillId="0" borderId="0" xfId="0" applyNumberFormat="1" applyFont="1"/>
    <xf numFmtId="44" fontId="142" fillId="0" borderId="0" xfId="25745" applyNumberFormat="1" applyFont="1"/>
    <xf numFmtId="44" fontId="142" fillId="0" borderId="0" xfId="33392" applyNumberFormat="1" applyBorder="1"/>
    <xf numFmtId="219" fontId="122" fillId="102" borderId="0" xfId="0" applyNumberFormat="1" applyFont="1" applyFill="1"/>
    <xf numFmtId="10" fontId="14" fillId="0" borderId="66" xfId="25795" applyNumberFormat="1" applyFont="1" applyBorder="1"/>
    <xf numFmtId="198" fontId="122" fillId="104" borderId="0" xfId="25745" applyNumberFormat="1" applyFont="1" applyFill="1" applyAlignment="1"/>
    <xf numFmtId="49" fontId="122" fillId="104" borderId="0" xfId="25795" applyNumberFormat="1" applyFont="1" applyFill="1" applyAlignment="1">
      <alignment horizontal="left"/>
    </xf>
    <xf numFmtId="37" fontId="17" fillId="0" borderId="0" xfId="25795" applyFont="1"/>
    <xf numFmtId="0" fontId="122" fillId="102" borderId="0" xfId="0" applyFont="1" applyFill="1" applyBorder="1" applyAlignment="1">
      <alignment horizontal="center" vertical="center"/>
    </xf>
    <xf numFmtId="38" fontId="122" fillId="102" borderId="0" xfId="0" applyNumberFormat="1" applyFont="1" applyFill="1" applyBorder="1"/>
    <xf numFmtId="0" fontId="122" fillId="102" borderId="0" xfId="0" applyFont="1" applyFill="1" applyBorder="1"/>
    <xf numFmtId="38" fontId="122" fillId="102" borderId="0" xfId="0" applyNumberFormat="1" applyFont="1" applyFill="1" applyBorder="1" applyAlignment="1">
      <alignment horizontal="right"/>
    </xf>
    <xf numFmtId="219" fontId="122" fillId="102" borderId="0" xfId="0" applyNumberFormat="1" applyFont="1" applyFill="1" applyBorder="1"/>
    <xf numFmtId="9" fontId="122" fillId="102" borderId="0" xfId="0" applyNumberFormat="1" applyFont="1" applyFill="1" applyBorder="1"/>
    <xf numFmtId="43" fontId="122" fillId="102" borderId="0" xfId="0" applyNumberFormat="1" applyFont="1" applyFill="1" applyBorder="1"/>
    <xf numFmtId="0" fontId="143" fillId="0" borderId="0" xfId="25455" applyFont="1"/>
    <xf numFmtId="39" fontId="122" fillId="0" borderId="157" xfId="25743" applyFont="1" applyFill="1" applyBorder="1" applyAlignment="1">
      <alignment horizontal="center"/>
    </xf>
    <xf numFmtId="44" fontId="126" fillId="0" borderId="66" xfId="0" applyNumberFormat="1" applyFont="1" applyFill="1" applyBorder="1"/>
    <xf numFmtId="0" fontId="122" fillId="0" borderId="0" xfId="25771" applyFont="1" applyFill="1"/>
    <xf numFmtId="227" fontId="1" fillId="0" borderId="0" xfId="25745" applyNumberFormat="1" applyFont="1"/>
    <xf numFmtId="37" fontId="142" fillId="0" borderId="0" xfId="33392" applyNumberFormat="1"/>
    <xf numFmtId="165" fontId="142" fillId="0" borderId="0" xfId="33392" applyNumberFormat="1" applyBorder="1"/>
    <xf numFmtId="43" fontId="142" fillId="0" borderId="0" xfId="33392" applyNumberFormat="1" applyBorder="1"/>
    <xf numFmtId="43" fontId="1" fillId="93" borderId="0" xfId="0" applyNumberFormat="1" applyFont="1" applyFill="1"/>
    <xf numFmtId="43" fontId="14" fillId="93" borderId="0" xfId="0" applyNumberFormat="1" applyFont="1" applyFill="1"/>
    <xf numFmtId="43" fontId="1" fillId="0" borderId="0" xfId="0" applyNumberFormat="1" applyFont="1" applyAlignment="1">
      <alignment horizontal="center"/>
    </xf>
    <xf numFmtId="165" fontId="127" fillId="0" borderId="0" xfId="30159" applyNumberFormat="1" applyFont="1" applyFill="1"/>
    <xf numFmtId="199" fontId="142" fillId="0" borderId="0" xfId="25793" applyNumberFormat="1" applyFont="1"/>
    <xf numFmtId="43" fontId="153" fillId="93" borderId="0" xfId="0" applyNumberFormat="1" applyFont="1" applyFill="1"/>
    <xf numFmtId="49" fontId="122" fillId="0" borderId="0" xfId="30158" applyNumberFormat="1" applyFont="1"/>
    <xf numFmtId="165" fontId="122" fillId="0" borderId="0" xfId="25742" applyNumberFormat="1" applyFont="1" applyAlignment="1">
      <alignment horizontal="right"/>
    </xf>
    <xf numFmtId="165" fontId="122" fillId="0" borderId="152" xfId="25742" applyNumberFormat="1" applyFont="1" applyBorder="1" applyAlignment="1">
      <alignment horizontal="right"/>
    </xf>
    <xf numFmtId="165" fontId="122" fillId="0" borderId="151" xfId="25742" applyNumberFormat="1" applyFont="1" applyBorder="1" applyAlignment="1">
      <alignment horizontal="right"/>
    </xf>
    <xf numFmtId="165" fontId="122" fillId="0" borderId="152" xfId="25742" applyNumberFormat="1" applyFont="1" applyFill="1" applyBorder="1" applyAlignment="1">
      <alignment horizontal="right"/>
    </xf>
    <xf numFmtId="165" fontId="14" fillId="0" borderId="0" xfId="25742" applyNumberFormat="1" applyFont="1" applyAlignment="1">
      <alignment horizontal="right"/>
    </xf>
    <xf numFmtId="165" fontId="14" fillId="0" borderId="0" xfId="25742" applyNumberFormat="1" applyFont="1" applyFill="1" applyAlignment="1">
      <alignment horizontal="right"/>
    </xf>
    <xf numFmtId="165" fontId="14" fillId="0" borderId="151" xfId="25742" applyNumberFormat="1" applyFont="1" applyBorder="1" applyAlignment="1">
      <alignment horizontal="right"/>
    </xf>
    <xf numFmtId="49" fontId="14" fillId="0" borderId="0" xfId="25764" applyNumberFormat="1" applyFont="1"/>
    <xf numFmtId="43" fontId="14" fillId="0" borderId="0" xfId="27902" applyFont="1" applyFill="1"/>
    <xf numFmtId="43" fontId="122" fillId="0" borderId="156" xfId="0" applyNumberFormat="1" applyFont="1" applyBorder="1" applyAlignment="1">
      <alignment horizontal="right"/>
    </xf>
    <xf numFmtId="43" fontId="122" fillId="0" borderId="152" xfId="0" applyNumberFormat="1" applyFont="1" applyBorder="1" applyAlignment="1">
      <alignment horizontal="right"/>
    </xf>
    <xf numFmtId="43" fontId="122" fillId="0" borderId="162" xfId="0" applyNumberFormat="1" applyFont="1" applyBorder="1" applyAlignment="1">
      <alignment horizontal="right"/>
    </xf>
    <xf numFmtId="43" fontId="122" fillId="0" borderId="157" xfId="0" applyNumberFormat="1" applyFont="1" applyBorder="1" applyAlignment="1">
      <alignment horizontal="right"/>
    </xf>
    <xf numFmtId="43" fontId="122" fillId="0" borderId="0" xfId="0" applyNumberFormat="1" applyFont="1" applyBorder="1" applyAlignment="1">
      <alignment horizontal="right"/>
    </xf>
    <xf numFmtId="43" fontId="122" fillId="0" borderId="11" xfId="0" applyNumberFormat="1" applyFont="1" applyBorder="1" applyAlignment="1">
      <alignment horizontal="right"/>
    </xf>
    <xf numFmtId="0" fontId="122" fillId="0" borderId="157" xfId="0" applyFont="1" applyBorder="1" applyAlignment="1">
      <alignment horizontal="right"/>
    </xf>
    <xf numFmtId="0" fontId="122" fillId="0" borderId="0" xfId="0" applyFont="1" applyBorder="1" applyAlignment="1">
      <alignment horizontal="right"/>
    </xf>
    <xf numFmtId="0" fontId="122" fillId="0" borderId="11" xfId="0" applyFont="1" applyBorder="1" applyAlignment="1">
      <alignment horizontal="right"/>
    </xf>
    <xf numFmtId="43" fontId="122" fillId="0" borderId="154" xfId="0" applyNumberFormat="1" applyFont="1" applyBorder="1" applyAlignment="1">
      <alignment horizontal="right"/>
    </xf>
    <xf numFmtId="43" fontId="122" fillId="0" borderId="153" xfId="0" applyNumberFormat="1" applyFont="1" applyBorder="1" applyAlignment="1">
      <alignment horizontal="right"/>
    </xf>
    <xf numFmtId="187" fontId="14" fillId="0" borderId="0" xfId="0" applyNumberFormat="1" applyFont="1" applyAlignment="1">
      <alignment horizontal="right"/>
    </xf>
    <xf numFmtId="0" fontId="153" fillId="0" borderId="0" xfId="0" applyFont="1" applyAlignment="1">
      <alignment horizontal="center"/>
    </xf>
    <xf numFmtId="219" fontId="122" fillId="0" borderId="0" xfId="25455" quotePrefix="1" applyNumberFormat="1" applyFont="1"/>
    <xf numFmtId="0" fontId="153" fillId="0" borderId="0" xfId="0" applyFont="1" applyBorder="1" applyAlignment="1">
      <alignment horizontal="right"/>
    </xf>
    <xf numFmtId="0" fontId="153" fillId="0" borderId="0" xfId="0" applyFont="1" applyBorder="1" applyAlignment="1">
      <alignment horizontal="left"/>
    </xf>
    <xf numFmtId="0" fontId="153" fillId="0" borderId="0" xfId="0" applyFont="1" applyBorder="1"/>
    <xf numFmtId="0" fontId="153" fillId="0" borderId="0" xfId="0" applyFont="1" applyBorder="1" applyAlignment="1">
      <alignment horizontal="left" indent="1"/>
    </xf>
    <xf numFmtId="0" fontId="153" fillId="0" borderId="157" xfId="0" applyFont="1" applyBorder="1" applyAlignment="1">
      <alignment horizontal="right"/>
    </xf>
    <xf numFmtId="0" fontId="153" fillId="0" borderId="151" xfId="0" applyFont="1" applyBorder="1" applyAlignment="1">
      <alignment horizontal="left" indent="1"/>
    </xf>
    <xf numFmtId="0" fontId="153" fillId="0" borderId="151" xfId="0" applyFont="1" applyBorder="1" applyAlignment="1">
      <alignment horizontal="right"/>
    </xf>
    <xf numFmtId="0" fontId="153" fillId="0" borderId="155" xfId="0" applyFont="1" applyBorder="1" applyAlignment="1">
      <alignment horizontal="right"/>
    </xf>
    <xf numFmtId="43" fontId="153" fillId="93" borderId="151" xfId="25742" applyFont="1" applyFill="1" applyBorder="1"/>
    <xf numFmtId="43" fontId="14" fillId="0" borderId="151" xfId="25742" applyFont="1" applyFill="1" applyBorder="1"/>
    <xf numFmtId="0" fontId="153" fillId="93" borderId="0" xfId="0" applyFont="1" applyFill="1"/>
    <xf numFmtId="0" fontId="122" fillId="93" borderId="0" xfId="0" applyFont="1" applyFill="1" applyAlignment="1">
      <alignment horizontal="right"/>
    </xf>
    <xf numFmtId="165" fontId="14" fillId="0" borderId="0" xfId="0" applyNumberFormat="1" applyFont="1" applyAlignment="1">
      <alignment horizontal="right"/>
    </xf>
    <xf numFmtId="43" fontId="122" fillId="93" borderId="0" xfId="27903" applyFont="1" applyFill="1"/>
    <xf numFmtId="187" fontId="122" fillId="93" borderId="0" xfId="0" applyNumberFormat="1" applyFont="1" applyFill="1" applyAlignment="1">
      <alignment horizontal="right"/>
    </xf>
    <xf numFmtId="10" fontId="159" fillId="93" borderId="0" xfId="25292" applyNumberFormat="1" applyFont="1" applyFill="1" applyBorder="1" applyAlignment="1">
      <alignment horizontal="center"/>
    </xf>
    <xf numFmtId="10" fontId="122" fillId="93" borderId="0" xfId="25292" applyNumberFormat="1" applyFont="1" applyFill="1" applyBorder="1" applyAlignment="1">
      <alignment horizontal="center"/>
    </xf>
    <xf numFmtId="10" fontId="126" fillId="93" borderId="66" xfId="25292" applyNumberFormat="1" applyFont="1" applyFill="1" applyBorder="1" applyAlignment="1">
      <alignment horizontal="center"/>
    </xf>
    <xf numFmtId="165" fontId="159" fillId="93" borderId="0" xfId="25742" applyNumberFormat="1" applyFont="1" applyFill="1"/>
    <xf numFmtId="0" fontId="0" fillId="0" borderId="0" xfId="0" applyFont="1" applyAlignment="1">
      <alignment horizontal="center"/>
    </xf>
    <xf numFmtId="165" fontId="1" fillId="93" borderId="0" xfId="0" applyNumberFormat="1" applyFont="1" applyFill="1"/>
    <xf numFmtId="38" fontId="14" fillId="93" borderId="0" xfId="2" applyNumberFormat="1" applyFont="1" applyFill="1" applyBorder="1" applyProtection="1"/>
    <xf numFmtId="219" fontId="126" fillId="102" borderId="0" xfId="25742" applyNumberFormat="1" applyFont="1" applyFill="1" applyBorder="1" applyProtection="1"/>
    <xf numFmtId="219" fontId="126" fillId="102" borderId="66" xfId="25742" applyNumberFormat="1" applyFont="1" applyFill="1" applyBorder="1" applyAlignment="1">
      <alignment horizontal="right"/>
    </xf>
    <xf numFmtId="43" fontId="122" fillId="93" borderId="0" xfId="25742" applyFont="1" applyFill="1" applyBorder="1" applyAlignment="1">
      <alignment horizontal="right"/>
    </xf>
    <xf numFmtId="198" fontId="126" fillId="0" borderId="66" xfId="0" applyNumberFormat="1" applyFont="1" applyBorder="1"/>
    <xf numFmtId="43" fontId="1" fillId="88" borderId="0" xfId="0" applyNumberFormat="1" applyFont="1" applyFill="1"/>
    <xf numFmtId="43" fontId="122" fillId="88" borderId="68" xfId="0" applyNumberFormat="1" applyFont="1" applyFill="1" applyBorder="1"/>
    <xf numFmtId="43" fontId="122" fillId="88" borderId="69" xfId="0" applyNumberFormat="1" applyFont="1" applyFill="1" applyBorder="1"/>
    <xf numFmtId="39" fontId="122" fillId="88" borderId="153" xfId="0" applyNumberFormat="1" applyFont="1" applyFill="1" applyBorder="1"/>
    <xf numFmtId="39" fontId="1" fillId="88" borderId="0" xfId="0" applyNumberFormat="1" applyFont="1" applyFill="1"/>
    <xf numFmtId="43" fontId="122" fillId="88" borderId="11" xfId="0" applyNumberFormat="1" applyFont="1" applyFill="1" applyBorder="1"/>
    <xf numFmtId="39" fontId="122" fillId="88" borderId="73" xfId="0" applyNumberFormat="1" applyFont="1" applyFill="1" applyBorder="1"/>
    <xf numFmtId="0" fontId="122" fillId="88" borderId="151" xfId="25455" applyFont="1" applyFill="1" applyBorder="1" applyAlignment="1">
      <alignment horizontal="center" wrapText="1"/>
    </xf>
    <xf numFmtId="43" fontId="122" fillId="88" borderId="151" xfId="25455" applyNumberFormat="1" applyFont="1" applyFill="1" applyBorder="1" applyAlignment="1">
      <alignment horizontal="center"/>
    </xf>
    <xf numFmtId="219" fontId="122" fillId="88" borderId="0" xfId="25455" applyNumberFormat="1" applyFont="1" applyFill="1"/>
    <xf numFmtId="219" fontId="122" fillId="88" borderId="0" xfId="25457" applyNumberFormat="1" applyFont="1" applyFill="1" applyBorder="1">
      <alignment horizontal="right"/>
    </xf>
    <xf numFmtId="219" fontId="122" fillId="88" borderId="0" xfId="25456" applyNumberFormat="1" applyFont="1" applyFill="1" applyBorder="1"/>
    <xf numFmtId="219" fontId="122" fillId="88" borderId="151" xfId="25457" applyNumberFormat="1" applyFont="1" applyFill="1" applyBorder="1">
      <alignment horizontal="right"/>
    </xf>
    <xf numFmtId="219" fontId="126" fillId="88" borderId="0" xfId="25457" applyNumberFormat="1" applyFont="1" applyFill="1" applyBorder="1">
      <alignment horizontal="right"/>
    </xf>
    <xf numFmtId="219" fontId="122" fillId="88" borderId="66" xfId="25457" applyNumberFormat="1" applyFont="1" applyFill="1" applyBorder="1">
      <alignment horizontal="right"/>
    </xf>
    <xf numFmtId="219" fontId="122" fillId="88" borderId="66" xfId="25456" applyNumberFormat="1" applyFont="1" applyFill="1" applyBorder="1"/>
    <xf numFmtId="5" fontId="122" fillId="88" borderId="0" xfId="25457" applyNumberFormat="1" applyFont="1" applyFill="1" applyBorder="1">
      <alignment horizontal="right"/>
    </xf>
    <xf numFmtId="5" fontId="126" fillId="88" borderId="0" xfId="25455" applyNumberFormat="1" applyFont="1" applyFill="1"/>
    <xf numFmtId="6" fontId="122" fillId="88" borderId="0" xfId="25455" applyNumberFormat="1" applyFont="1" applyFill="1"/>
    <xf numFmtId="0" fontId="122" fillId="0" borderId="0" xfId="0" applyFont="1" applyAlignment="1">
      <alignment horizontal="center" vertical="center"/>
    </xf>
    <xf numFmtId="0" fontId="1" fillId="0" borderId="0" xfId="0" applyFont="1" applyAlignment="1">
      <alignment horizontal="left"/>
    </xf>
    <xf numFmtId="0" fontId="178" fillId="0" borderId="0" xfId="0" applyFont="1" applyAlignment="1">
      <alignment horizontal="center" vertical="center" wrapText="1"/>
    </xf>
    <xf numFmtId="0" fontId="122" fillId="0" borderId="67" xfId="0" applyFont="1" applyBorder="1" applyAlignment="1">
      <alignment horizontal="center"/>
    </xf>
    <xf numFmtId="0" fontId="122" fillId="0" borderId="155" xfId="0" applyFont="1" applyBorder="1" applyAlignment="1">
      <alignment horizontal="center"/>
    </xf>
    <xf numFmtId="0" fontId="122" fillId="0" borderId="68" xfId="0" applyFont="1" applyBorder="1" applyAlignment="1">
      <alignment horizontal="center"/>
    </xf>
    <xf numFmtId="0" fontId="122" fillId="0" borderId="155" xfId="0" applyFont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69" fillId="0" borderId="0" xfId="0" applyFont="1" applyAlignment="1"/>
    <xf numFmtId="0" fontId="1" fillId="0" borderId="159" xfId="0" applyFont="1" applyBorder="1" applyAlignment="1">
      <alignment horizontal="center" wrapText="1"/>
    </xf>
    <xf numFmtId="0" fontId="1" fillId="0" borderId="160" xfId="0" applyFont="1" applyBorder="1" applyAlignment="1">
      <alignment horizontal="center" wrapText="1"/>
    </xf>
    <xf numFmtId="0" fontId="1" fillId="0" borderId="158" xfId="0" applyFont="1" applyBorder="1" applyAlignment="1">
      <alignment horizontal="center" wrapText="1"/>
    </xf>
    <xf numFmtId="0" fontId="1" fillId="0" borderId="159" xfId="0" applyFont="1" applyBorder="1" applyAlignment="1">
      <alignment wrapText="1"/>
    </xf>
    <xf numFmtId="0" fontId="1" fillId="0" borderId="160" xfId="0" applyFont="1" applyBorder="1" applyAlignment="1">
      <alignment wrapText="1"/>
    </xf>
    <xf numFmtId="0" fontId="1" fillId="0" borderId="74" xfId="0" applyFont="1" applyBorder="1" applyAlignment="1">
      <alignment horizontal="center"/>
    </xf>
    <xf numFmtId="165" fontId="126" fillId="0" borderId="0" xfId="0" applyNumberFormat="1" applyFont="1" applyAlignment="1">
      <alignment horizontal="center"/>
    </xf>
    <xf numFmtId="165" fontId="16" fillId="0" borderId="0" xfId="0" applyNumberFormat="1" applyFont="1" applyAlignment="1">
      <alignment horizontal="center"/>
    </xf>
    <xf numFmtId="0" fontId="153" fillId="0" borderId="0" xfId="0" applyFont="1" applyAlignment="1">
      <alignment horizontal="center"/>
    </xf>
    <xf numFmtId="0" fontId="122" fillId="102" borderId="0" xfId="0" applyFont="1" applyFill="1" applyBorder="1" applyAlignment="1">
      <alignment horizontal="center" vertical="center"/>
    </xf>
    <xf numFmtId="0" fontId="126" fillId="102" borderId="0" xfId="1" applyFont="1" applyFill="1" applyAlignment="1">
      <alignment horizontal="center"/>
    </xf>
    <xf numFmtId="0" fontId="126" fillId="0" borderId="0" xfId="24690" applyFont="1" applyAlignment="1">
      <alignment horizontal="center"/>
    </xf>
    <xf numFmtId="0" fontId="126" fillId="0" borderId="0" xfId="25276" applyFont="1" applyAlignment="1">
      <alignment horizontal="center"/>
    </xf>
    <xf numFmtId="0" fontId="126" fillId="0" borderId="0" xfId="1" applyFont="1" applyAlignment="1">
      <alignment horizontal="center"/>
    </xf>
    <xf numFmtId="0" fontId="126" fillId="0" borderId="0" xfId="1" quotePrefix="1" applyFont="1" applyAlignment="1">
      <alignment horizontal="center"/>
    </xf>
    <xf numFmtId="0" fontId="126" fillId="0" borderId="154" xfId="0" applyFont="1" applyBorder="1" applyAlignment="1">
      <alignment horizontal="left"/>
    </xf>
    <xf numFmtId="0" fontId="126" fillId="0" borderId="153" xfId="0" applyFont="1" applyBorder="1" applyAlignment="1">
      <alignment horizontal="left"/>
    </xf>
    <xf numFmtId="39" fontId="126" fillId="0" borderId="157" xfId="25743" applyFont="1" applyBorder="1" applyAlignment="1">
      <alignment horizontal="left" wrapText="1" indent="1"/>
    </xf>
    <xf numFmtId="39" fontId="126" fillId="0" borderId="11" xfId="25743" applyFont="1" applyBorder="1" applyAlignment="1">
      <alignment horizontal="left" wrapText="1" indent="1"/>
    </xf>
    <xf numFmtId="0" fontId="126" fillId="0" borderId="156" xfId="0" applyFont="1" applyBorder="1" applyAlignment="1">
      <alignment horizontal="left" vertical="center"/>
    </xf>
    <xf numFmtId="0" fontId="126" fillId="0" borderId="162" xfId="0" applyFont="1" applyBorder="1" applyAlignment="1">
      <alignment horizontal="left" vertical="center"/>
    </xf>
    <xf numFmtId="0" fontId="126" fillId="0" borderId="157" xfId="0" applyFont="1" applyBorder="1" applyAlignment="1">
      <alignment horizontal="left" vertical="center"/>
    </xf>
    <xf numFmtId="0" fontId="126" fillId="0" borderId="11" xfId="0" applyFont="1" applyBorder="1" applyAlignment="1">
      <alignment horizontal="left" vertical="center"/>
    </xf>
    <xf numFmtId="0" fontId="126" fillId="0" borderId="67" xfId="0" applyFont="1" applyBorder="1" applyAlignment="1">
      <alignment horizontal="center"/>
    </xf>
    <xf numFmtId="0" fontId="126" fillId="0" borderId="155" xfId="0" applyFont="1" applyBorder="1" applyAlignment="1">
      <alignment horizontal="center"/>
    </xf>
    <xf numFmtId="0" fontId="126" fillId="0" borderId="156" xfId="0" applyFont="1" applyBorder="1" applyAlignment="1">
      <alignment horizontal="center"/>
    </xf>
    <xf numFmtId="0" fontId="126" fillId="0" borderId="152" xfId="0" applyFont="1" applyBorder="1" applyAlignment="1">
      <alignment horizontal="center"/>
    </xf>
    <xf numFmtId="0" fontId="126" fillId="0" borderId="162" xfId="0" applyFont="1" applyBorder="1" applyAlignment="1">
      <alignment horizontal="center"/>
    </xf>
    <xf numFmtId="0" fontId="169" fillId="0" borderId="0" xfId="27280" applyFont="1" applyAlignment="1">
      <alignment horizontal="center"/>
    </xf>
    <xf numFmtId="0" fontId="122" fillId="0" borderId="151" xfId="25455" quotePrefix="1" applyFont="1" applyBorder="1" applyAlignment="1">
      <alignment horizontal="center"/>
    </xf>
    <xf numFmtId="0" fontId="122" fillId="0" borderId="153" xfId="25455" quotePrefix="1" applyFont="1" applyBorder="1" applyAlignment="1">
      <alignment horizontal="center"/>
    </xf>
    <xf numFmtId="0" fontId="122" fillId="0" borderId="154" xfId="25455" quotePrefix="1" applyFont="1" applyBorder="1" applyAlignment="1">
      <alignment horizontal="center"/>
    </xf>
    <xf numFmtId="0" fontId="122" fillId="0" borderId="173" xfId="25455" quotePrefix="1" applyFont="1" applyBorder="1" applyAlignment="1">
      <alignment horizontal="center"/>
    </xf>
    <xf numFmtId="0" fontId="122" fillId="0" borderId="163" xfId="25455" quotePrefix="1" applyFont="1" applyBorder="1" applyAlignment="1">
      <alignment horizontal="center"/>
    </xf>
    <xf numFmtId="0" fontId="122" fillId="0" borderId="174" xfId="25455" quotePrefix="1" applyFont="1" applyBorder="1" applyAlignment="1">
      <alignment horizontal="center"/>
    </xf>
    <xf numFmtId="0" fontId="161" fillId="93" borderId="158" xfId="0" applyFont="1" applyFill="1" applyBorder="1" applyAlignment="1">
      <alignment horizontal="center" vertical="center" wrapText="1"/>
    </xf>
    <xf numFmtId="0" fontId="161" fillId="93" borderId="159" xfId="0" applyFont="1" applyFill="1" applyBorder="1" applyAlignment="1">
      <alignment horizontal="center" vertical="center" wrapText="1"/>
    </xf>
    <xf numFmtId="0" fontId="161" fillId="93" borderId="160" xfId="0" applyFont="1" applyFill="1" applyBorder="1" applyAlignment="1">
      <alignment horizontal="center" vertical="center" wrapText="1"/>
    </xf>
    <xf numFmtId="0" fontId="161" fillId="93" borderId="74" xfId="0" applyFont="1" applyFill="1" applyBorder="1" applyAlignment="1">
      <alignment horizontal="center" vertical="center" wrapText="1"/>
    </xf>
    <xf numFmtId="0" fontId="161" fillId="93" borderId="0" xfId="0" applyFont="1" applyFill="1" applyAlignment="1">
      <alignment horizontal="center" vertical="center" wrapText="1"/>
    </xf>
    <xf numFmtId="0" fontId="161" fillId="93" borderId="75" xfId="0" applyFont="1" applyFill="1" applyBorder="1" applyAlignment="1">
      <alignment horizontal="center" vertical="center" wrapText="1"/>
    </xf>
    <xf numFmtId="0" fontId="161" fillId="0" borderId="74" xfId="0" applyFont="1" applyBorder="1" applyAlignment="1">
      <alignment horizontal="left"/>
    </xf>
    <xf numFmtId="0" fontId="161" fillId="0" borderId="0" xfId="0" applyFont="1" applyAlignment="1">
      <alignment horizontal="left"/>
    </xf>
    <xf numFmtId="0" fontId="161" fillId="0" borderId="75" xfId="0" applyFont="1" applyBorder="1" applyAlignment="1">
      <alignment horizontal="left"/>
    </xf>
    <xf numFmtId="0" fontId="161" fillId="0" borderId="158" xfId="0" applyFont="1" applyBorder="1" applyAlignment="1">
      <alignment horizontal="center" vertical="center" wrapText="1"/>
    </xf>
    <xf numFmtId="0" fontId="161" fillId="0" borderId="159" xfId="0" applyFont="1" applyBorder="1" applyAlignment="1">
      <alignment horizontal="center" vertical="center" wrapText="1"/>
    </xf>
    <xf numFmtId="0" fontId="161" fillId="0" borderId="160" xfId="0" applyFont="1" applyBorder="1" applyAlignment="1">
      <alignment horizontal="center" vertical="center" wrapText="1"/>
    </xf>
    <xf numFmtId="0" fontId="161" fillId="0" borderId="74" xfId="0" applyFont="1" applyBorder="1" applyAlignment="1">
      <alignment horizontal="center" vertical="center" wrapText="1"/>
    </xf>
    <xf numFmtId="0" fontId="161" fillId="0" borderId="0" xfId="0" applyFont="1" applyAlignment="1">
      <alignment horizontal="center" vertical="center" wrapText="1"/>
    </xf>
    <xf numFmtId="0" fontId="161" fillId="0" borderId="75" xfId="0" applyFont="1" applyBorder="1" applyAlignment="1">
      <alignment horizontal="center" vertical="center" wrapText="1"/>
    </xf>
    <xf numFmtId="0" fontId="161" fillId="0" borderId="76" xfId="0" applyFont="1" applyBorder="1" applyAlignment="1">
      <alignment horizontal="center" vertical="center" wrapText="1"/>
    </xf>
    <xf numFmtId="0" fontId="161" fillId="0" borderId="16" xfId="0" applyFont="1" applyBorder="1" applyAlignment="1">
      <alignment horizontal="center" vertical="center" wrapText="1"/>
    </xf>
    <xf numFmtId="0" fontId="161" fillId="0" borderId="77" xfId="0" applyFont="1" applyBorder="1" applyAlignment="1">
      <alignment horizontal="center" vertical="center" wrapText="1"/>
    </xf>
    <xf numFmtId="0" fontId="1" fillId="33" borderId="159" xfId="0" applyFont="1" applyFill="1" applyBorder="1" applyAlignment="1">
      <alignment horizontal="right"/>
    </xf>
    <xf numFmtId="0" fontId="1" fillId="33" borderId="160" xfId="0" applyFont="1" applyFill="1" applyBorder="1" applyAlignment="1">
      <alignment horizontal="right"/>
    </xf>
    <xf numFmtId="0" fontId="1" fillId="33" borderId="0" xfId="0" applyFont="1" applyFill="1" applyAlignment="1">
      <alignment horizontal="right"/>
    </xf>
    <xf numFmtId="0" fontId="1" fillId="33" borderId="75" xfId="0" applyFont="1" applyFill="1" applyBorder="1" applyAlignment="1">
      <alignment horizontal="right"/>
    </xf>
    <xf numFmtId="0" fontId="1" fillId="94" borderId="0" xfId="0" applyFont="1" applyFill="1" applyAlignment="1">
      <alignment horizontal="center" wrapText="1"/>
    </xf>
    <xf numFmtId="0" fontId="1" fillId="0" borderId="0" xfId="0" applyFont="1" applyAlignment="1">
      <alignment horizontal="left" wrapText="1"/>
    </xf>
    <xf numFmtId="37" fontId="122" fillId="0" borderId="0" xfId="25795" applyFont="1" applyAlignment="1">
      <alignment horizontal="left"/>
    </xf>
    <xf numFmtId="10" fontId="122" fillId="0" borderId="0" xfId="25795" applyNumberFormat="1" applyFont="1" applyAlignment="1">
      <alignment horizontal="left"/>
    </xf>
    <xf numFmtId="37" fontId="122" fillId="0" borderId="0" xfId="25795" applyFont="1" applyAlignment="1">
      <alignment horizontal="left" vertical="top" wrapText="1"/>
    </xf>
    <xf numFmtId="0" fontId="122" fillId="0" borderId="0" xfId="24690" applyFont="1" applyAlignment="1">
      <alignment horizontal="center"/>
    </xf>
    <xf numFmtId="0" fontId="126" fillId="0" borderId="0" xfId="0" applyFont="1" applyAlignment="1">
      <alignment horizontal="center"/>
    </xf>
    <xf numFmtId="0" fontId="126" fillId="0" borderId="0" xfId="27280" applyFont="1" applyAlignment="1">
      <alignment horizontal="center"/>
    </xf>
    <xf numFmtId="0" fontId="16" fillId="0" borderId="158" xfId="0" applyFont="1" applyBorder="1" applyAlignment="1">
      <alignment vertical="center"/>
    </xf>
    <xf numFmtId="0" fontId="16" fillId="0" borderId="159" xfId="0" applyFont="1" applyBorder="1" applyAlignment="1">
      <alignment vertical="center"/>
    </xf>
    <xf numFmtId="0" fontId="16" fillId="0" borderId="160" xfId="0" applyFont="1" applyBorder="1" applyAlignment="1">
      <alignment vertical="center"/>
    </xf>
    <xf numFmtId="0" fontId="16" fillId="0" borderId="74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16" fillId="0" borderId="75" xfId="0" applyFont="1" applyBorder="1" applyAlignment="1">
      <alignment vertical="center"/>
    </xf>
    <xf numFmtId="0" fontId="16" fillId="0" borderId="76" xfId="0" applyFont="1" applyBorder="1" applyAlignment="1">
      <alignment vertical="center"/>
    </xf>
    <xf numFmtId="0" fontId="16" fillId="0" borderId="16" xfId="0" applyFont="1" applyBorder="1" applyAlignment="1">
      <alignment vertical="center"/>
    </xf>
    <xf numFmtId="0" fontId="16" fillId="0" borderId="77" xfId="0" applyFont="1" applyBorder="1" applyAlignment="1">
      <alignment vertical="center"/>
    </xf>
    <xf numFmtId="0" fontId="122" fillId="0" borderId="151" xfId="24690" applyFont="1" applyBorder="1" applyAlignment="1">
      <alignment horizontal="center"/>
    </xf>
    <xf numFmtId="0" fontId="1" fillId="0" borderId="152" xfId="0" applyFont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122" fillId="0" borderId="0" xfId="25295" applyFont="1" applyAlignment="1">
      <alignment horizontal="left" wrapText="1"/>
    </xf>
    <xf numFmtId="49" fontId="126" fillId="0" borderId="0" xfId="25293" applyNumberFormat="1" applyFont="1" applyFill="1" applyBorder="1" applyAlignment="1">
      <alignment horizontal="center"/>
    </xf>
    <xf numFmtId="0" fontId="141" fillId="0" borderId="0" xfId="0" applyFont="1" applyAlignment="1">
      <alignment horizontal="left" wrapText="1"/>
    </xf>
    <xf numFmtId="0" fontId="126" fillId="0" borderId="0" xfId="24690" applyFont="1" applyFill="1" applyAlignment="1">
      <alignment horizontal="center"/>
    </xf>
    <xf numFmtId="0" fontId="122" fillId="0" borderId="151" xfId="0" applyFont="1" applyBorder="1" applyAlignment="1">
      <alignment horizontal="center"/>
    </xf>
    <xf numFmtId="0" fontId="122" fillId="0" borderId="153" xfId="0" applyFont="1" applyBorder="1" applyAlignment="1">
      <alignment horizontal="center"/>
    </xf>
    <xf numFmtId="0" fontId="122" fillId="0" borderId="154" xfId="0" applyFont="1" applyBorder="1" applyAlignment="1">
      <alignment horizontal="center"/>
    </xf>
    <xf numFmtId="0" fontId="122" fillId="0" borderId="0" xfId="0" applyFont="1" applyAlignment="1">
      <alignment horizontal="center"/>
    </xf>
  </cellXfs>
  <cellStyles count="33394">
    <cellStyle name="20% - Accent1 10" xfId="666" xr:uid="{00000000-0005-0000-0000-000000000000}"/>
    <cellStyle name="20% - Accent1 10 2" xfId="3622" xr:uid="{00000000-0005-0000-0000-000001000000}"/>
    <cellStyle name="20% - Accent1 10 2 2" xfId="11601" xr:uid="{00000000-0005-0000-0000-000002000000}"/>
    <cellStyle name="20% - Accent1 10 2 2 2" xfId="22889" xr:uid="{00000000-0005-0000-0000-000003000000}"/>
    <cellStyle name="20% - Accent1 10 2 3" xfId="9607" xr:uid="{00000000-0005-0000-0000-000004000000}"/>
    <cellStyle name="20% - Accent1 10 2 3 2" xfId="20895" xr:uid="{00000000-0005-0000-0000-000005000000}"/>
    <cellStyle name="20% - Accent1 10 2 4" xfId="7613" xr:uid="{00000000-0005-0000-0000-000006000000}"/>
    <cellStyle name="20% - Accent1 10 2 4 2" xfId="18901" xr:uid="{00000000-0005-0000-0000-000007000000}"/>
    <cellStyle name="20% - Accent1 10 2 5" xfId="5619" xr:uid="{00000000-0005-0000-0000-000008000000}"/>
    <cellStyle name="20% - Accent1 10 2 5 2" xfId="16907" xr:uid="{00000000-0005-0000-0000-000009000000}"/>
    <cellStyle name="20% - Accent1 10 2 6" xfId="14913" xr:uid="{00000000-0005-0000-0000-00000A000000}"/>
    <cellStyle name="20% - Accent1 10 3" xfId="10604" xr:uid="{00000000-0005-0000-0000-00000B000000}"/>
    <cellStyle name="20% - Accent1 10 3 2" xfId="21892" xr:uid="{00000000-0005-0000-0000-00000C000000}"/>
    <cellStyle name="20% - Accent1 10 4" xfId="8619" xr:uid="{00000000-0005-0000-0000-00000D000000}"/>
    <cellStyle name="20% - Accent1 10 4 2" xfId="19907" xr:uid="{00000000-0005-0000-0000-00000E000000}"/>
    <cellStyle name="20% - Accent1 10 5" xfId="6616" xr:uid="{00000000-0005-0000-0000-00000F000000}"/>
    <cellStyle name="20% - Accent1 10 5 2" xfId="17904" xr:uid="{00000000-0005-0000-0000-000010000000}"/>
    <cellStyle name="20% - Accent1 10 6" xfId="4622" xr:uid="{00000000-0005-0000-0000-000011000000}"/>
    <cellStyle name="20% - Accent1 10 6 2" xfId="15910" xr:uid="{00000000-0005-0000-0000-000012000000}"/>
    <cellStyle name="20% - Accent1 10 7" xfId="13916" xr:uid="{00000000-0005-0000-0000-000013000000}"/>
    <cellStyle name="20% - Accent1 10 8" xfId="12602" xr:uid="{00000000-0005-0000-0000-000014000000}"/>
    <cellStyle name="20% - Accent1 11" xfId="667" xr:uid="{00000000-0005-0000-0000-000015000000}"/>
    <cellStyle name="20% - Accent1 11 2" xfId="3623" xr:uid="{00000000-0005-0000-0000-000016000000}"/>
    <cellStyle name="20% - Accent1 11 2 2" xfId="11602" xr:uid="{00000000-0005-0000-0000-000017000000}"/>
    <cellStyle name="20% - Accent1 11 2 2 2" xfId="22890" xr:uid="{00000000-0005-0000-0000-000018000000}"/>
    <cellStyle name="20% - Accent1 11 2 3" xfId="9608" xr:uid="{00000000-0005-0000-0000-000019000000}"/>
    <cellStyle name="20% - Accent1 11 2 3 2" xfId="20896" xr:uid="{00000000-0005-0000-0000-00001A000000}"/>
    <cellStyle name="20% - Accent1 11 2 4" xfId="7614" xr:uid="{00000000-0005-0000-0000-00001B000000}"/>
    <cellStyle name="20% - Accent1 11 2 4 2" xfId="18902" xr:uid="{00000000-0005-0000-0000-00001C000000}"/>
    <cellStyle name="20% - Accent1 11 2 5" xfId="5620" xr:uid="{00000000-0005-0000-0000-00001D000000}"/>
    <cellStyle name="20% - Accent1 11 2 5 2" xfId="16908" xr:uid="{00000000-0005-0000-0000-00001E000000}"/>
    <cellStyle name="20% - Accent1 11 2 6" xfId="14914" xr:uid="{00000000-0005-0000-0000-00001F000000}"/>
    <cellStyle name="20% - Accent1 11 3" xfId="10605" xr:uid="{00000000-0005-0000-0000-000020000000}"/>
    <cellStyle name="20% - Accent1 11 3 2" xfId="21893" xr:uid="{00000000-0005-0000-0000-000021000000}"/>
    <cellStyle name="20% - Accent1 11 4" xfId="8611" xr:uid="{00000000-0005-0000-0000-000022000000}"/>
    <cellStyle name="20% - Accent1 11 4 2" xfId="19899" xr:uid="{00000000-0005-0000-0000-000023000000}"/>
    <cellStyle name="20% - Accent1 11 5" xfId="6617" xr:uid="{00000000-0005-0000-0000-000024000000}"/>
    <cellStyle name="20% - Accent1 11 5 2" xfId="17905" xr:uid="{00000000-0005-0000-0000-000025000000}"/>
    <cellStyle name="20% - Accent1 11 6" xfId="4623" xr:uid="{00000000-0005-0000-0000-000026000000}"/>
    <cellStyle name="20% - Accent1 11 6 2" xfId="15911" xr:uid="{00000000-0005-0000-0000-000027000000}"/>
    <cellStyle name="20% - Accent1 11 7" xfId="13917" xr:uid="{00000000-0005-0000-0000-000028000000}"/>
    <cellStyle name="20% - Accent1 11 8" xfId="12603" xr:uid="{00000000-0005-0000-0000-000029000000}"/>
    <cellStyle name="20% - Accent1 12" xfId="668" xr:uid="{00000000-0005-0000-0000-00002A000000}"/>
    <cellStyle name="20% - Accent1 12 2" xfId="3624" xr:uid="{00000000-0005-0000-0000-00002B000000}"/>
    <cellStyle name="20% - Accent1 12 2 2" xfId="11603" xr:uid="{00000000-0005-0000-0000-00002C000000}"/>
    <cellStyle name="20% - Accent1 12 2 2 2" xfId="22891" xr:uid="{00000000-0005-0000-0000-00002D000000}"/>
    <cellStyle name="20% - Accent1 12 2 3" xfId="9609" xr:uid="{00000000-0005-0000-0000-00002E000000}"/>
    <cellStyle name="20% - Accent1 12 2 3 2" xfId="20897" xr:uid="{00000000-0005-0000-0000-00002F000000}"/>
    <cellStyle name="20% - Accent1 12 2 4" xfId="7615" xr:uid="{00000000-0005-0000-0000-000030000000}"/>
    <cellStyle name="20% - Accent1 12 2 4 2" xfId="18903" xr:uid="{00000000-0005-0000-0000-000031000000}"/>
    <cellStyle name="20% - Accent1 12 2 5" xfId="5621" xr:uid="{00000000-0005-0000-0000-000032000000}"/>
    <cellStyle name="20% - Accent1 12 2 5 2" xfId="16909" xr:uid="{00000000-0005-0000-0000-000033000000}"/>
    <cellStyle name="20% - Accent1 12 2 6" xfId="14915" xr:uid="{00000000-0005-0000-0000-000034000000}"/>
    <cellStyle name="20% - Accent1 12 3" xfId="10606" xr:uid="{00000000-0005-0000-0000-000035000000}"/>
    <cellStyle name="20% - Accent1 12 3 2" xfId="21894" xr:uid="{00000000-0005-0000-0000-000036000000}"/>
    <cellStyle name="20% - Accent1 12 4" xfId="8620" xr:uid="{00000000-0005-0000-0000-000037000000}"/>
    <cellStyle name="20% - Accent1 12 4 2" xfId="19908" xr:uid="{00000000-0005-0000-0000-000038000000}"/>
    <cellStyle name="20% - Accent1 12 5" xfId="6618" xr:uid="{00000000-0005-0000-0000-000039000000}"/>
    <cellStyle name="20% - Accent1 12 5 2" xfId="17906" xr:uid="{00000000-0005-0000-0000-00003A000000}"/>
    <cellStyle name="20% - Accent1 12 6" xfId="4624" xr:uid="{00000000-0005-0000-0000-00003B000000}"/>
    <cellStyle name="20% - Accent1 12 6 2" xfId="15912" xr:uid="{00000000-0005-0000-0000-00003C000000}"/>
    <cellStyle name="20% - Accent1 12 7" xfId="13918" xr:uid="{00000000-0005-0000-0000-00003D000000}"/>
    <cellStyle name="20% - Accent1 12 8" xfId="12604" xr:uid="{00000000-0005-0000-0000-00003E000000}"/>
    <cellStyle name="20% - Accent1 13" xfId="669" xr:uid="{00000000-0005-0000-0000-00003F000000}"/>
    <cellStyle name="20% - Accent1 13 2" xfId="3625" xr:uid="{00000000-0005-0000-0000-000040000000}"/>
    <cellStyle name="20% - Accent1 13 2 2" xfId="11604" xr:uid="{00000000-0005-0000-0000-000041000000}"/>
    <cellStyle name="20% - Accent1 13 2 2 2" xfId="22892" xr:uid="{00000000-0005-0000-0000-000042000000}"/>
    <cellStyle name="20% - Accent1 13 2 3" xfId="9610" xr:uid="{00000000-0005-0000-0000-000043000000}"/>
    <cellStyle name="20% - Accent1 13 2 3 2" xfId="20898" xr:uid="{00000000-0005-0000-0000-000044000000}"/>
    <cellStyle name="20% - Accent1 13 2 4" xfId="7616" xr:uid="{00000000-0005-0000-0000-000045000000}"/>
    <cellStyle name="20% - Accent1 13 2 4 2" xfId="18904" xr:uid="{00000000-0005-0000-0000-000046000000}"/>
    <cellStyle name="20% - Accent1 13 2 5" xfId="5622" xr:uid="{00000000-0005-0000-0000-000047000000}"/>
    <cellStyle name="20% - Accent1 13 2 5 2" xfId="16910" xr:uid="{00000000-0005-0000-0000-000048000000}"/>
    <cellStyle name="20% - Accent1 13 2 6" xfId="14916" xr:uid="{00000000-0005-0000-0000-000049000000}"/>
    <cellStyle name="20% - Accent1 13 3" xfId="10607" xr:uid="{00000000-0005-0000-0000-00004A000000}"/>
    <cellStyle name="20% - Accent1 13 3 2" xfId="21895" xr:uid="{00000000-0005-0000-0000-00004B000000}"/>
    <cellStyle name="20% - Accent1 13 4" xfId="8612" xr:uid="{00000000-0005-0000-0000-00004C000000}"/>
    <cellStyle name="20% - Accent1 13 4 2" xfId="19900" xr:uid="{00000000-0005-0000-0000-00004D000000}"/>
    <cellStyle name="20% - Accent1 13 5" xfId="6619" xr:uid="{00000000-0005-0000-0000-00004E000000}"/>
    <cellStyle name="20% - Accent1 13 5 2" xfId="17907" xr:uid="{00000000-0005-0000-0000-00004F000000}"/>
    <cellStyle name="20% - Accent1 13 6" xfId="4625" xr:uid="{00000000-0005-0000-0000-000050000000}"/>
    <cellStyle name="20% - Accent1 13 6 2" xfId="15913" xr:uid="{00000000-0005-0000-0000-000051000000}"/>
    <cellStyle name="20% - Accent1 13 7" xfId="13919" xr:uid="{00000000-0005-0000-0000-000052000000}"/>
    <cellStyle name="20% - Accent1 13 8" xfId="12605" xr:uid="{00000000-0005-0000-0000-000053000000}"/>
    <cellStyle name="20% - Accent1 14" xfId="670" xr:uid="{00000000-0005-0000-0000-000054000000}"/>
    <cellStyle name="20% - Accent1 14 2" xfId="3626" xr:uid="{00000000-0005-0000-0000-000055000000}"/>
    <cellStyle name="20% - Accent1 14 2 2" xfId="11605" xr:uid="{00000000-0005-0000-0000-000056000000}"/>
    <cellStyle name="20% - Accent1 14 2 2 2" xfId="22893" xr:uid="{00000000-0005-0000-0000-000057000000}"/>
    <cellStyle name="20% - Accent1 14 2 3" xfId="9611" xr:uid="{00000000-0005-0000-0000-000058000000}"/>
    <cellStyle name="20% - Accent1 14 2 3 2" xfId="20899" xr:uid="{00000000-0005-0000-0000-000059000000}"/>
    <cellStyle name="20% - Accent1 14 2 4" xfId="7617" xr:uid="{00000000-0005-0000-0000-00005A000000}"/>
    <cellStyle name="20% - Accent1 14 2 4 2" xfId="18905" xr:uid="{00000000-0005-0000-0000-00005B000000}"/>
    <cellStyle name="20% - Accent1 14 2 5" xfId="5623" xr:uid="{00000000-0005-0000-0000-00005C000000}"/>
    <cellStyle name="20% - Accent1 14 2 5 2" xfId="16911" xr:uid="{00000000-0005-0000-0000-00005D000000}"/>
    <cellStyle name="20% - Accent1 14 2 6" xfId="14917" xr:uid="{00000000-0005-0000-0000-00005E000000}"/>
    <cellStyle name="20% - Accent1 14 3" xfId="10608" xr:uid="{00000000-0005-0000-0000-00005F000000}"/>
    <cellStyle name="20% - Accent1 14 3 2" xfId="21896" xr:uid="{00000000-0005-0000-0000-000060000000}"/>
    <cellStyle name="20% - Accent1 14 4" xfId="8610" xr:uid="{00000000-0005-0000-0000-000061000000}"/>
    <cellStyle name="20% - Accent1 14 4 2" xfId="19898" xr:uid="{00000000-0005-0000-0000-000062000000}"/>
    <cellStyle name="20% - Accent1 14 5" xfId="6620" xr:uid="{00000000-0005-0000-0000-000063000000}"/>
    <cellStyle name="20% - Accent1 14 5 2" xfId="17908" xr:uid="{00000000-0005-0000-0000-000064000000}"/>
    <cellStyle name="20% - Accent1 14 6" xfId="4626" xr:uid="{00000000-0005-0000-0000-000065000000}"/>
    <cellStyle name="20% - Accent1 14 6 2" xfId="15914" xr:uid="{00000000-0005-0000-0000-000066000000}"/>
    <cellStyle name="20% - Accent1 14 7" xfId="13920" xr:uid="{00000000-0005-0000-0000-000067000000}"/>
    <cellStyle name="20% - Accent1 14 8" xfId="12606" xr:uid="{00000000-0005-0000-0000-000068000000}"/>
    <cellStyle name="20% - Accent1 15" xfId="671" xr:uid="{00000000-0005-0000-0000-000069000000}"/>
    <cellStyle name="20% - Accent1 15 2" xfId="3627" xr:uid="{00000000-0005-0000-0000-00006A000000}"/>
    <cellStyle name="20% - Accent1 15 2 2" xfId="11606" xr:uid="{00000000-0005-0000-0000-00006B000000}"/>
    <cellStyle name="20% - Accent1 15 2 2 2" xfId="22894" xr:uid="{00000000-0005-0000-0000-00006C000000}"/>
    <cellStyle name="20% - Accent1 15 2 3" xfId="9612" xr:uid="{00000000-0005-0000-0000-00006D000000}"/>
    <cellStyle name="20% - Accent1 15 2 3 2" xfId="20900" xr:uid="{00000000-0005-0000-0000-00006E000000}"/>
    <cellStyle name="20% - Accent1 15 2 4" xfId="7618" xr:uid="{00000000-0005-0000-0000-00006F000000}"/>
    <cellStyle name="20% - Accent1 15 2 4 2" xfId="18906" xr:uid="{00000000-0005-0000-0000-000070000000}"/>
    <cellStyle name="20% - Accent1 15 2 5" xfId="5624" xr:uid="{00000000-0005-0000-0000-000071000000}"/>
    <cellStyle name="20% - Accent1 15 2 5 2" xfId="16912" xr:uid="{00000000-0005-0000-0000-000072000000}"/>
    <cellStyle name="20% - Accent1 15 2 6" xfId="14918" xr:uid="{00000000-0005-0000-0000-000073000000}"/>
    <cellStyle name="20% - Accent1 15 3" xfId="10609" xr:uid="{00000000-0005-0000-0000-000074000000}"/>
    <cellStyle name="20% - Accent1 15 3 2" xfId="21897" xr:uid="{00000000-0005-0000-0000-000075000000}"/>
    <cellStyle name="20% - Accent1 15 4" xfId="8613" xr:uid="{00000000-0005-0000-0000-000076000000}"/>
    <cellStyle name="20% - Accent1 15 4 2" xfId="19901" xr:uid="{00000000-0005-0000-0000-000077000000}"/>
    <cellStyle name="20% - Accent1 15 5" xfId="6621" xr:uid="{00000000-0005-0000-0000-000078000000}"/>
    <cellStyle name="20% - Accent1 15 5 2" xfId="17909" xr:uid="{00000000-0005-0000-0000-000079000000}"/>
    <cellStyle name="20% - Accent1 15 6" xfId="4627" xr:uid="{00000000-0005-0000-0000-00007A000000}"/>
    <cellStyle name="20% - Accent1 15 6 2" xfId="15915" xr:uid="{00000000-0005-0000-0000-00007B000000}"/>
    <cellStyle name="20% - Accent1 15 7" xfId="13921" xr:uid="{00000000-0005-0000-0000-00007C000000}"/>
    <cellStyle name="20% - Accent1 15 8" xfId="12607" xr:uid="{00000000-0005-0000-0000-00007D000000}"/>
    <cellStyle name="20% - Accent1 16" xfId="672" xr:uid="{00000000-0005-0000-0000-00007E000000}"/>
    <cellStyle name="20% - Accent1 16 2" xfId="3628" xr:uid="{00000000-0005-0000-0000-00007F000000}"/>
    <cellStyle name="20% - Accent1 16 2 2" xfId="11607" xr:uid="{00000000-0005-0000-0000-000080000000}"/>
    <cellStyle name="20% - Accent1 16 2 2 2" xfId="22895" xr:uid="{00000000-0005-0000-0000-000081000000}"/>
    <cellStyle name="20% - Accent1 16 2 3" xfId="9613" xr:uid="{00000000-0005-0000-0000-000082000000}"/>
    <cellStyle name="20% - Accent1 16 2 3 2" xfId="20901" xr:uid="{00000000-0005-0000-0000-000083000000}"/>
    <cellStyle name="20% - Accent1 16 2 4" xfId="7619" xr:uid="{00000000-0005-0000-0000-000084000000}"/>
    <cellStyle name="20% - Accent1 16 2 4 2" xfId="18907" xr:uid="{00000000-0005-0000-0000-000085000000}"/>
    <cellStyle name="20% - Accent1 16 2 5" xfId="5625" xr:uid="{00000000-0005-0000-0000-000086000000}"/>
    <cellStyle name="20% - Accent1 16 2 5 2" xfId="16913" xr:uid="{00000000-0005-0000-0000-000087000000}"/>
    <cellStyle name="20% - Accent1 16 2 6" xfId="14919" xr:uid="{00000000-0005-0000-0000-000088000000}"/>
    <cellStyle name="20% - Accent1 16 3" xfId="10610" xr:uid="{00000000-0005-0000-0000-000089000000}"/>
    <cellStyle name="20% - Accent1 16 3 2" xfId="21898" xr:uid="{00000000-0005-0000-0000-00008A000000}"/>
    <cellStyle name="20% - Accent1 16 4" xfId="8614" xr:uid="{00000000-0005-0000-0000-00008B000000}"/>
    <cellStyle name="20% - Accent1 16 4 2" xfId="19902" xr:uid="{00000000-0005-0000-0000-00008C000000}"/>
    <cellStyle name="20% - Accent1 16 5" xfId="6622" xr:uid="{00000000-0005-0000-0000-00008D000000}"/>
    <cellStyle name="20% - Accent1 16 5 2" xfId="17910" xr:uid="{00000000-0005-0000-0000-00008E000000}"/>
    <cellStyle name="20% - Accent1 16 6" xfId="4628" xr:uid="{00000000-0005-0000-0000-00008F000000}"/>
    <cellStyle name="20% - Accent1 16 6 2" xfId="15916" xr:uid="{00000000-0005-0000-0000-000090000000}"/>
    <cellStyle name="20% - Accent1 16 7" xfId="13922" xr:uid="{00000000-0005-0000-0000-000091000000}"/>
    <cellStyle name="20% - Accent1 16 8" xfId="12608" xr:uid="{00000000-0005-0000-0000-000092000000}"/>
    <cellStyle name="20% - Accent1 17" xfId="673" xr:uid="{00000000-0005-0000-0000-000093000000}"/>
    <cellStyle name="20% - Accent1 17 2" xfId="3629" xr:uid="{00000000-0005-0000-0000-000094000000}"/>
    <cellStyle name="20% - Accent1 17 2 2" xfId="11608" xr:uid="{00000000-0005-0000-0000-000095000000}"/>
    <cellStyle name="20% - Accent1 17 2 2 2" xfId="22896" xr:uid="{00000000-0005-0000-0000-000096000000}"/>
    <cellStyle name="20% - Accent1 17 2 3" xfId="9614" xr:uid="{00000000-0005-0000-0000-000097000000}"/>
    <cellStyle name="20% - Accent1 17 2 3 2" xfId="20902" xr:uid="{00000000-0005-0000-0000-000098000000}"/>
    <cellStyle name="20% - Accent1 17 2 4" xfId="7620" xr:uid="{00000000-0005-0000-0000-000099000000}"/>
    <cellStyle name="20% - Accent1 17 2 4 2" xfId="18908" xr:uid="{00000000-0005-0000-0000-00009A000000}"/>
    <cellStyle name="20% - Accent1 17 2 5" xfId="5626" xr:uid="{00000000-0005-0000-0000-00009B000000}"/>
    <cellStyle name="20% - Accent1 17 2 5 2" xfId="16914" xr:uid="{00000000-0005-0000-0000-00009C000000}"/>
    <cellStyle name="20% - Accent1 17 2 6" xfId="14920" xr:uid="{00000000-0005-0000-0000-00009D000000}"/>
    <cellStyle name="20% - Accent1 17 3" xfId="10611" xr:uid="{00000000-0005-0000-0000-00009E000000}"/>
    <cellStyle name="20% - Accent1 17 3 2" xfId="21899" xr:uid="{00000000-0005-0000-0000-00009F000000}"/>
    <cellStyle name="20% - Accent1 17 4" xfId="8617" xr:uid="{00000000-0005-0000-0000-0000A0000000}"/>
    <cellStyle name="20% - Accent1 17 4 2" xfId="19905" xr:uid="{00000000-0005-0000-0000-0000A1000000}"/>
    <cellStyle name="20% - Accent1 17 5" xfId="6623" xr:uid="{00000000-0005-0000-0000-0000A2000000}"/>
    <cellStyle name="20% - Accent1 17 5 2" xfId="17911" xr:uid="{00000000-0005-0000-0000-0000A3000000}"/>
    <cellStyle name="20% - Accent1 17 6" xfId="4629" xr:uid="{00000000-0005-0000-0000-0000A4000000}"/>
    <cellStyle name="20% - Accent1 17 6 2" xfId="15917" xr:uid="{00000000-0005-0000-0000-0000A5000000}"/>
    <cellStyle name="20% - Accent1 17 7" xfId="13923" xr:uid="{00000000-0005-0000-0000-0000A6000000}"/>
    <cellStyle name="20% - Accent1 17 8" xfId="12609" xr:uid="{00000000-0005-0000-0000-0000A7000000}"/>
    <cellStyle name="20% - Accent1 18" xfId="674" xr:uid="{00000000-0005-0000-0000-0000A8000000}"/>
    <cellStyle name="20% - Accent1 18 2" xfId="3630" xr:uid="{00000000-0005-0000-0000-0000A9000000}"/>
    <cellStyle name="20% - Accent1 18 2 2" xfId="11609" xr:uid="{00000000-0005-0000-0000-0000AA000000}"/>
    <cellStyle name="20% - Accent1 18 2 2 2" xfId="22897" xr:uid="{00000000-0005-0000-0000-0000AB000000}"/>
    <cellStyle name="20% - Accent1 18 2 3" xfId="9615" xr:uid="{00000000-0005-0000-0000-0000AC000000}"/>
    <cellStyle name="20% - Accent1 18 2 3 2" xfId="20903" xr:uid="{00000000-0005-0000-0000-0000AD000000}"/>
    <cellStyle name="20% - Accent1 18 2 4" xfId="7621" xr:uid="{00000000-0005-0000-0000-0000AE000000}"/>
    <cellStyle name="20% - Accent1 18 2 4 2" xfId="18909" xr:uid="{00000000-0005-0000-0000-0000AF000000}"/>
    <cellStyle name="20% - Accent1 18 2 5" xfId="5627" xr:uid="{00000000-0005-0000-0000-0000B0000000}"/>
    <cellStyle name="20% - Accent1 18 2 5 2" xfId="16915" xr:uid="{00000000-0005-0000-0000-0000B1000000}"/>
    <cellStyle name="20% - Accent1 18 2 6" xfId="14921" xr:uid="{00000000-0005-0000-0000-0000B2000000}"/>
    <cellStyle name="20% - Accent1 18 3" xfId="10612" xr:uid="{00000000-0005-0000-0000-0000B3000000}"/>
    <cellStyle name="20% - Accent1 18 3 2" xfId="21900" xr:uid="{00000000-0005-0000-0000-0000B4000000}"/>
    <cellStyle name="20% - Accent1 18 4" xfId="8618" xr:uid="{00000000-0005-0000-0000-0000B5000000}"/>
    <cellStyle name="20% - Accent1 18 4 2" xfId="19906" xr:uid="{00000000-0005-0000-0000-0000B6000000}"/>
    <cellStyle name="20% - Accent1 18 5" xfId="6624" xr:uid="{00000000-0005-0000-0000-0000B7000000}"/>
    <cellStyle name="20% - Accent1 18 5 2" xfId="17912" xr:uid="{00000000-0005-0000-0000-0000B8000000}"/>
    <cellStyle name="20% - Accent1 18 6" xfId="4630" xr:uid="{00000000-0005-0000-0000-0000B9000000}"/>
    <cellStyle name="20% - Accent1 18 6 2" xfId="15918" xr:uid="{00000000-0005-0000-0000-0000BA000000}"/>
    <cellStyle name="20% - Accent1 18 7" xfId="13924" xr:uid="{00000000-0005-0000-0000-0000BB000000}"/>
    <cellStyle name="20% - Accent1 18 8" xfId="12610" xr:uid="{00000000-0005-0000-0000-0000BC000000}"/>
    <cellStyle name="20% - Accent1 19" xfId="675" xr:uid="{00000000-0005-0000-0000-0000BD000000}"/>
    <cellStyle name="20% - Accent1 19 2" xfId="3631" xr:uid="{00000000-0005-0000-0000-0000BE000000}"/>
    <cellStyle name="20% - Accent1 19 2 2" xfId="11610" xr:uid="{00000000-0005-0000-0000-0000BF000000}"/>
    <cellStyle name="20% - Accent1 19 2 2 2" xfId="22898" xr:uid="{00000000-0005-0000-0000-0000C0000000}"/>
    <cellStyle name="20% - Accent1 19 2 3" xfId="9616" xr:uid="{00000000-0005-0000-0000-0000C1000000}"/>
    <cellStyle name="20% - Accent1 19 2 3 2" xfId="20904" xr:uid="{00000000-0005-0000-0000-0000C2000000}"/>
    <cellStyle name="20% - Accent1 19 2 4" xfId="7622" xr:uid="{00000000-0005-0000-0000-0000C3000000}"/>
    <cellStyle name="20% - Accent1 19 2 4 2" xfId="18910" xr:uid="{00000000-0005-0000-0000-0000C4000000}"/>
    <cellStyle name="20% - Accent1 19 2 5" xfId="5628" xr:uid="{00000000-0005-0000-0000-0000C5000000}"/>
    <cellStyle name="20% - Accent1 19 2 5 2" xfId="16916" xr:uid="{00000000-0005-0000-0000-0000C6000000}"/>
    <cellStyle name="20% - Accent1 19 2 6" xfId="14922" xr:uid="{00000000-0005-0000-0000-0000C7000000}"/>
    <cellStyle name="20% - Accent1 19 3" xfId="10613" xr:uid="{00000000-0005-0000-0000-0000C8000000}"/>
    <cellStyle name="20% - Accent1 19 3 2" xfId="21901" xr:uid="{00000000-0005-0000-0000-0000C9000000}"/>
    <cellStyle name="20% - Accent1 19 4" xfId="8615" xr:uid="{00000000-0005-0000-0000-0000CA000000}"/>
    <cellStyle name="20% - Accent1 19 4 2" xfId="19903" xr:uid="{00000000-0005-0000-0000-0000CB000000}"/>
    <cellStyle name="20% - Accent1 19 5" xfId="6625" xr:uid="{00000000-0005-0000-0000-0000CC000000}"/>
    <cellStyle name="20% - Accent1 19 5 2" xfId="17913" xr:uid="{00000000-0005-0000-0000-0000CD000000}"/>
    <cellStyle name="20% - Accent1 19 6" xfId="4631" xr:uid="{00000000-0005-0000-0000-0000CE000000}"/>
    <cellStyle name="20% - Accent1 19 6 2" xfId="15919" xr:uid="{00000000-0005-0000-0000-0000CF000000}"/>
    <cellStyle name="20% - Accent1 19 7" xfId="13925" xr:uid="{00000000-0005-0000-0000-0000D0000000}"/>
    <cellStyle name="20% - Accent1 19 8" xfId="12611" xr:uid="{00000000-0005-0000-0000-0000D1000000}"/>
    <cellStyle name="20% - Accent1 2" xfId="676" xr:uid="{00000000-0005-0000-0000-0000D2000000}"/>
    <cellStyle name="20% - Accent1 2 10" xfId="24559" xr:uid="{00000000-0005-0000-0000-0000D3000000}"/>
    <cellStyle name="20% - Accent1 2 11" xfId="24949" xr:uid="{00000000-0005-0000-0000-0000D4000000}"/>
    <cellStyle name="20% - Accent1 2 2" xfId="3632" xr:uid="{00000000-0005-0000-0000-0000D5000000}"/>
    <cellStyle name="20% - Accent1 2 2 10 3" xfId="33367" xr:uid="{94954D1F-B1BA-45C9-BDE9-97085BE6F68F}"/>
    <cellStyle name="20% - Accent1 2 2 2" xfId="11611" xr:uid="{00000000-0005-0000-0000-0000D6000000}"/>
    <cellStyle name="20% - Accent1 2 2 2 2" xfId="22899" xr:uid="{00000000-0005-0000-0000-0000D7000000}"/>
    <cellStyle name="20% - Accent1 2 2 3" xfId="9617" xr:uid="{00000000-0005-0000-0000-0000D8000000}"/>
    <cellStyle name="20% - Accent1 2 2 3 2" xfId="20905" xr:uid="{00000000-0005-0000-0000-0000D9000000}"/>
    <cellStyle name="20% - Accent1 2 2 4" xfId="7623" xr:uid="{00000000-0005-0000-0000-0000DA000000}"/>
    <cellStyle name="20% - Accent1 2 2 4 2" xfId="18911" xr:uid="{00000000-0005-0000-0000-0000DB000000}"/>
    <cellStyle name="20% - Accent1 2 2 5" xfId="5629" xr:uid="{00000000-0005-0000-0000-0000DC000000}"/>
    <cellStyle name="20% - Accent1 2 2 5 2" xfId="16917" xr:uid="{00000000-0005-0000-0000-0000DD000000}"/>
    <cellStyle name="20% - Accent1 2 2 6" xfId="14923" xr:uid="{00000000-0005-0000-0000-0000DE000000}"/>
    <cellStyle name="20% - Accent1 2 2 7" xfId="24320" xr:uid="{00000000-0005-0000-0000-0000DF000000}"/>
    <cellStyle name="20% - Accent1 2 2 8" xfId="24784" xr:uid="{00000000-0005-0000-0000-0000E0000000}"/>
    <cellStyle name="20% - Accent1 2 2 9" xfId="25151" xr:uid="{00000000-0005-0000-0000-0000E1000000}"/>
    <cellStyle name="20% - Accent1 2 3" xfId="10614" xr:uid="{00000000-0005-0000-0000-0000E2000000}"/>
    <cellStyle name="20% - Accent1 2 3 2" xfId="21902" xr:uid="{00000000-0005-0000-0000-0000E3000000}"/>
    <cellStyle name="20% - Accent1 2 4" xfId="8616" xr:uid="{00000000-0005-0000-0000-0000E4000000}"/>
    <cellStyle name="20% - Accent1 2 4 2" xfId="19904" xr:uid="{00000000-0005-0000-0000-0000E5000000}"/>
    <cellStyle name="20% - Accent1 2 5" xfId="6626" xr:uid="{00000000-0005-0000-0000-0000E6000000}"/>
    <cellStyle name="20% - Accent1 2 5 2" xfId="17914" xr:uid="{00000000-0005-0000-0000-0000E7000000}"/>
    <cellStyle name="20% - Accent1 2 6" xfId="4632" xr:uid="{00000000-0005-0000-0000-0000E8000000}"/>
    <cellStyle name="20% - Accent1 2 6 2" xfId="15920" xr:uid="{00000000-0005-0000-0000-0000E9000000}"/>
    <cellStyle name="20% - Accent1 2 7" xfId="13926" xr:uid="{00000000-0005-0000-0000-0000EA000000}"/>
    <cellStyle name="20% - Accent1 2 8" xfId="12612" xr:uid="{00000000-0005-0000-0000-0000EB000000}"/>
    <cellStyle name="20% - Accent1 2 9" xfId="23932" xr:uid="{00000000-0005-0000-0000-0000EC000000}"/>
    <cellStyle name="20% - Accent1 20" xfId="677" xr:uid="{00000000-0005-0000-0000-0000ED000000}"/>
    <cellStyle name="20% - Accent1 20 2" xfId="3633" xr:uid="{00000000-0005-0000-0000-0000EE000000}"/>
    <cellStyle name="20% - Accent1 20 2 2" xfId="11612" xr:uid="{00000000-0005-0000-0000-0000EF000000}"/>
    <cellStyle name="20% - Accent1 20 2 2 2" xfId="22900" xr:uid="{00000000-0005-0000-0000-0000F0000000}"/>
    <cellStyle name="20% - Accent1 20 2 3" xfId="9618" xr:uid="{00000000-0005-0000-0000-0000F1000000}"/>
    <cellStyle name="20% - Accent1 20 2 3 2" xfId="20906" xr:uid="{00000000-0005-0000-0000-0000F2000000}"/>
    <cellStyle name="20% - Accent1 20 2 4" xfId="7624" xr:uid="{00000000-0005-0000-0000-0000F3000000}"/>
    <cellStyle name="20% - Accent1 20 2 4 2" xfId="18912" xr:uid="{00000000-0005-0000-0000-0000F4000000}"/>
    <cellStyle name="20% - Accent1 20 2 5" xfId="5630" xr:uid="{00000000-0005-0000-0000-0000F5000000}"/>
    <cellStyle name="20% - Accent1 20 2 5 2" xfId="16918" xr:uid="{00000000-0005-0000-0000-0000F6000000}"/>
    <cellStyle name="20% - Accent1 20 2 6" xfId="14924" xr:uid="{00000000-0005-0000-0000-0000F7000000}"/>
    <cellStyle name="20% - Accent1 20 3" xfId="10615" xr:uid="{00000000-0005-0000-0000-0000F8000000}"/>
    <cellStyle name="20% - Accent1 20 3 2" xfId="21903" xr:uid="{00000000-0005-0000-0000-0000F9000000}"/>
    <cellStyle name="20% - Accent1 20 4" xfId="8621" xr:uid="{00000000-0005-0000-0000-0000FA000000}"/>
    <cellStyle name="20% - Accent1 20 4 2" xfId="19909" xr:uid="{00000000-0005-0000-0000-0000FB000000}"/>
    <cellStyle name="20% - Accent1 20 5" xfId="6627" xr:uid="{00000000-0005-0000-0000-0000FC000000}"/>
    <cellStyle name="20% - Accent1 20 5 2" xfId="17915" xr:uid="{00000000-0005-0000-0000-0000FD000000}"/>
    <cellStyle name="20% - Accent1 20 6" xfId="4633" xr:uid="{00000000-0005-0000-0000-0000FE000000}"/>
    <cellStyle name="20% - Accent1 20 6 2" xfId="15921" xr:uid="{00000000-0005-0000-0000-0000FF000000}"/>
    <cellStyle name="20% - Accent1 20 7" xfId="13927" xr:uid="{00000000-0005-0000-0000-000000010000}"/>
    <cellStyle name="20% - Accent1 20 8" xfId="12613" xr:uid="{00000000-0005-0000-0000-000001010000}"/>
    <cellStyle name="20% - Accent1 21" xfId="678" xr:uid="{00000000-0005-0000-0000-000002010000}"/>
    <cellStyle name="20% - Accent1 21 2" xfId="3634" xr:uid="{00000000-0005-0000-0000-000003010000}"/>
    <cellStyle name="20% - Accent1 21 2 2" xfId="11613" xr:uid="{00000000-0005-0000-0000-000004010000}"/>
    <cellStyle name="20% - Accent1 21 2 2 2" xfId="22901" xr:uid="{00000000-0005-0000-0000-000005010000}"/>
    <cellStyle name="20% - Accent1 21 2 3" xfId="9619" xr:uid="{00000000-0005-0000-0000-000006010000}"/>
    <cellStyle name="20% - Accent1 21 2 3 2" xfId="20907" xr:uid="{00000000-0005-0000-0000-000007010000}"/>
    <cellStyle name="20% - Accent1 21 2 4" xfId="7625" xr:uid="{00000000-0005-0000-0000-000008010000}"/>
    <cellStyle name="20% - Accent1 21 2 4 2" xfId="18913" xr:uid="{00000000-0005-0000-0000-000009010000}"/>
    <cellStyle name="20% - Accent1 21 2 5" xfId="5631" xr:uid="{00000000-0005-0000-0000-00000A010000}"/>
    <cellStyle name="20% - Accent1 21 2 5 2" xfId="16919" xr:uid="{00000000-0005-0000-0000-00000B010000}"/>
    <cellStyle name="20% - Accent1 21 2 6" xfId="14925" xr:uid="{00000000-0005-0000-0000-00000C010000}"/>
    <cellStyle name="20% - Accent1 21 3" xfId="10616" xr:uid="{00000000-0005-0000-0000-00000D010000}"/>
    <cellStyle name="20% - Accent1 21 3 2" xfId="21904" xr:uid="{00000000-0005-0000-0000-00000E010000}"/>
    <cellStyle name="20% - Accent1 21 4" xfId="8622" xr:uid="{00000000-0005-0000-0000-00000F010000}"/>
    <cellStyle name="20% - Accent1 21 4 2" xfId="19910" xr:uid="{00000000-0005-0000-0000-000010010000}"/>
    <cellStyle name="20% - Accent1 21 5" xfId="6628" xr:uid="{00000000-0005-0000-0000-000011010000}"/>
    <cellStyle name="20% - Accent1 21 5 2" xfId="17916" xr:uid="{00000000-0005-0000-0000-000012010000}"/>
    <cellStyle name="20% - Accent1 21 6" xfId="4634" xr:uid="{00000000-0005-0000-0000-000013010000}"/>
    <cellStyle name="20% - Accent1 21 6 2" xfId="15922" xr:uid="{00000000-0005-0000-0000-000014010000}"/>
    <cellStyle name="20% - Accent1 21 7" xfId="13928" xr:uid="{00000000-0005-0000-0000-000015010000}"/>
    <cellStyle name="20% - Accent1 21 8" xfId="12614" xr:uid="{00000000-0005-0000-0000-000016010000}"/>
    <cellStyle name="20% - Accent1 22" xfId="679" xr:uid="{00000000-0005-0000-0000-000017010000}"/>
    <cellStyle name="20% - Accent1 22 2" xfId="3635" xr:uid="{00000000-0005-0000-0000-000018010000}"/>
    <cellStyle name="20% - Accent1 22 2 2" xfId="11614" xr:uid="{00000000-0005-0000-0000-000019010000}"/>
    <cellStyle name="20% - Accent1 22 2 2 2" xfId="22902" xr:uid="{00000000-0005-0000-0000-00001A010000}"/>
    <cellStyle name="20% - Accent1 22 2 3" xfId="9620" xr:uid="{00000000-0005-0000-0000-00001B010000}"/>
    <cellStyle name="20% - Accent1 22 2 3 2" xfId="20908" xr:uid="{00000000-0005-0000-0000-00001C010000}"/>
    <cellStyle name="20% - Accent1 22 2 4" xfId="7626" xr:uid="{00000000-0005-0000-0000-00001D010000}"/>
    <cellStyle name="20% - Accent1 22 2 4 2" xfId="18914" xr:uid="{00000000-0005-0000-0000-00001E010000}"/>
    <cellStyle name="20% - Accent1 22 2 5" xfId="5632" xr:uid="{00000000-0005-0000-0000-00001F010000}"/>
    <cellStyle name="20% - Accent1 22 2 5 2" xfId="16920" xr:uid="{00000000-0005-0000-0000-000020010000}"/>
    <cellStyle name="20% - Accent1 22 2 6" xfId="14926" xr:uid="{00000000-0005-0000-0000-000021010000}"/>
    <cellStyle name="20% - Accent1 22 3" xfId="10617" xr:uid="{00000000-0005-0000-0000-000022010000}"/>
    <cellStyle name="20% - Accent1 22 3 2" xfId="21905" xr:uid="{00000000-0005-0000-0000-000023010000}"/>
    <cellStyle name="20% - Accent1 22 4" xfId="8623" xr:uid="{00000000-0005-0000-0000-000024010000}"/>
    <cellStyle name="20% - Accent1 22 4 2" xfId="19911" xr:uid="{00000000-0005-0000-0000-000025010000}"/>
    <cellStyle name="20% - Accent1 22 5" xfId="6629" xr:uid="{00000000-0005-0000-0000-000026010000}"/>
    <cellStyle name="20% - Accent1 22 5 2" xfId="17917" xr:uid="{00000000-0005-0000-0000-000027010000}"/>
    <cellStyle name="20% - Accent1 22 6" xfId="4635" xr:uid="{00000000-0005-0000-0000-000028010000}"/>
    <cellStyle name="20% - Accent1 22 6 2" xfId="15923" xr:uid="{00000000-0005-0000-0000-000029010000}"/>
    <cellStyle name="20% - Accent1 22 7" xfId="13929" xr:uid="{00000000-0005-0000-0000-00002A010000}"/>
    <cellStyle name="20% - Accent1 22 8" xfId="12615" xr:uid="{00000000-0005-0000-0000-00002B010000}"/>
    <cellStyle name="20% - Accent1 23" xfId="680" xr:uid="{00000000-0005-0000-0000-00002C010000}"/>
    <cellStyle name="20% - Accent1 23 2" xfId="3636" xr:uid="{00000000-0005-0000-0000-00002D010000}"/>
    <cellStyle name="20% - Accent1 23 2 2" xfId="11615" xr:uid="{00000000-0005-0000-0000-00002E010000}"/>
    <cellStyle name="20% - Accent1 23 2 2 2" xfId="22903" xr:uid="{00000000-0005-0000-0000-00002F010000}"/>
    <cellStyle name="20% - Accent1 23 2 3" xfId="9621" xr:uid="{00000000-0005-0000-0000-000030010000}"/>
    <cellStyle name="20% - Accent1 23 2 3 2" xfId="20909" xr:uid="{00000000-0005-0000-0000-000031010000}"/>
    <cellStyle name="20% - Accent1 23 2 4" xfId="7627" xr:uid="{00000000-0005-0000-0000-000032010000}"/>
    <cellStyle name="20% - Accent1 23 2 4 2" xfId="18915" xr:uid="{00000000-0005-0000-0000-000033010000}"/>
    <cellStyle name="20% - Accent1 23 2 5" xfId="5633" xr:uid="{00000000-0005-0000-0000-000034010000}"/>
    <cellStyle name="20% - Accent1 23 2 5 2" xfId="16921" xr:uid="{00000000-0005-0000-0000-000035010000}"/>
    <cellStyle name="20% - Accent1 23 2 6" xfId="14927" xr:uid="{00000000-0005-0000-0000-000036010000}"/>
    <cellStyle name="20% - Accent1 23 3" xfId="10618" xr:uid="{00000000-0005-0000-0000-000037010000}"/>
    <cellStyle name="20% - Accent1 23 3 2" xfId="21906" xr:uid="{00000000-0005-0000-0000-000038010000}"/>
    <cellStyle name="20% - Accent1 23 4" xfId="8624" xr:uid="{00000000-0005-0000-0000-000039010000}"/>
    <cellStyle name="20% - Accent1 23 4 2" xfId="19912" xr:uid="{00000000-0005-0000-0000-00003A010000}"/>
    <cellStyle name="20% - Accent1 23 5" xfId="6630" xr:uid="{00000000-0005-0000-0000-00003B010000}"/>
    <cellStyle name="20% - Accent1 23 5 2" xfId="17918" xr:uid="{00000000-0005-0000-0000-00003C010000}"/>
    <cellStyle name="20% - Accent1 23 6" xfId="4636" xr:uid="{00000000-0005-0000-0000-00003D010000}"/>
    <cellStyle name="20% - Accent1 23 6 2" xfId="15924" xr:uid="{00000000-0005-0000-0000-00003E010000}"/>
    <cellStyle name="20% - Accent1 23 7" xfId="13930" xr:uid="{00000000-0005-0000-0000-00003F010000}"/>
    <cellStyle name="20% - Accent1 23 8" xfId="12616" xr:uid="{00000000-0005-0000-0000-000040010000}"/>
    <cellStyle name="20% - Accent1 24" xfId="681" xr:uid="{00000000-0005-0000-0000-000041010000}"/>
    <cellStyle name="20% - Accent1 24 2" xfId="3637" xr:uid="{00000000-0005-0000-0000-000042010000}"/>
    <cellStyle name="20% - Accent1 24 2 2" xfId="11616" xr:uid="{00000000-0005-0000-0000-000043010000}"/>
    <cellStyle name="20% - Accent1 24 2 2 2" xfId="22904" xr:uid="{00000000-0005-0000-0000-000044010000}"/>
    <cellStyle name="20% - Accent1 24 2 3" xfId="9622" xr:uid="{00000000-0005-0000-0000-000045010000}"/>
    <cellStyle name="20% - Accent1 24 2 3 2" xfId="20910" xr:uid="{00000000-0005-0000-0000-000046010000}"/>
    <cellStyle name="20% - Accent1 24 2 4" xfId="7628" xr:uid="{00000000-0005-0000-0000-000047010000}"/>
    <cellStyle name="20% - Accent1 24 2 4 2" xfId="18916" xr:uid="{00000000-0005-0000-0000-000048010000}"/>
    <cellStyle name="20% - Accent1 24 2 5" xfId="5634" xr:uid="{00000000-0005-0000-0000-000049010000}"/>
    <cellStyle name="20% - Accent1 24 2 5 2" xfId="16922" xr:uid="{00000000-0005-0000-0000-00004A010000}"/>
    <cellStyle name="20% - Accent1 24 2 6" xfId="14928" xr:uid="{00000000-0005-0000-0000-00004B010000}"/>
    <cellStyle name="20% - Accent1 24 3" xfId="10619" xr:uid="{00000000-0005-0000-0000-00004C010000}"/>
    <cellStyle name="20% - Accent1 24 3 2" xfId="21907" xr:uid="{00000000-0005-0000-0000-00004D010000}"/>
    <cellStyle name="20% - Accent1 24 4" xfId="8625" xr:uid="{00000000-0005-0000-0000-00004E010000}"/>
    <cellStyle name="20% - Accent1 24 4 2" xfId="19913" xr:uid="{00000000-0005-0000-0000-00004F010000}"/>
    <cellStyle name="20% - Accent1 24 5" xfId="6631" xr:uid="{00000000-0005-0000-0000-000050010000}"/>
    <cellStyle name="20% - Accent1 24 5 2" xfId="17919" xr:uid="{00000000-0005-0000-0000-000051010000}"/>
    <cellStyle name="20% - Accent1 24 6" xfId="4637" xr:uid="{00000000-0005-0000-0000-000052010000}"/>
    <cellStyle name="20% - Accent1 24 6 2" xfId="15925" xr:uid="{00000000-0005-0000-0000-000053010000}"/>
    <cellStyle name="20% - Accent1 24 7" xfId="13931" xr:uid="{00000000-0005-0000-0000-000054010000}"/>
    <cellStyle name="20% - Accent1 24 8" xfId="12617" xr:uid="{00000000-0005-0000-0000-000055010000}"/>
    <cellStyle name="20% - Accent1 25" xfId="682" xr:uid="{00000000-0005-0000-0000-000056010000}"/>
    <cellStyle name="20% - Accent1 25 2" xfId="3638" xr:uid="{00000000-0005-0000-0000-000057010000}"/>
    <cellStyle name="20% - Accent1 25 2 2" xfId="11617" xr:uid="{00000000-0005-0000-0000-000058010000}"/>
    <cellStyle name="20% - Accent1 25 2 2 2" xfId="22905" xr:uid="{00000000-0005-0000-0000-000059010000}"/>
    <cellStyle name="20% - Accent1 25 2 3" xfId="9623" xr:uid="{00000000-0005-0000-0000-00005A010000}"/>
    <cellStyle name="20% - Accent1 25 2 3 2" xfId="20911" xr:uid="{00000000-0005-0000-0000-00005B010000}"/>
    <cellStyle name="20% - Accent1 25 2 4" xfId="7629" xr:uid="{00000000-0005-0000-0000-00005C010000}"/>
    <cellStyle name="20% - Accent1 25 2 4 2" xfId="18917" xr:uid="{00000000-0005-0000-0000-00005D010000}"/>
    <cellStyle name="20% - Accent1 25 2 5" xfId="5635" xr:uid="{00000000-0005-0000-0000-00005E010000}"/>
    <cellStyle name="20% - Accent1 25 2 5 2" xfId="16923" xr:uid="{00000000-0005-0000-0000-00005F010000}"/>
    <cellStyle name="20% - Accent1 25 2 6" xfId="14929" xr:uid="{00000000-0005-0000-0000-000060010000}"/>
    <cellStyle name="20% - Accent1 25 3" xfId="10620" xr:uid="{00000000-0005-0000-0000-000061010000}"/>
    <cellStyle name="20% - Accent1 25 3 2" xfId="21908" xr:uid="{00000000-0005-0000-0000-000062010000}"/>
    <cellStyle name="20% - Accent1 25 4" xfId="8626" xr:uid="{00000000-0005-0000-0000-000063010000}"/>
    <cellStyle name="20% - Accent1 25 4 2" xfId="19914" xr:uid="{00000000-0005-0000-0000-000064010000}"/>
    <cellStyle name="20% - Accent1 25 5" xfId="6632" xr:uid="{00000000-0005-0000-0000-000065010000}"/>
    <cellStyle name="20% - Accent1 25 5 2" xfId="17920" xr:uid="{00000000-0005-0000-0000-000066010000}"/>
    <cellStyle name="20% - Accent1 25 6" xfId="4638" xr:uid="{00000000-0005-0000-0000-000067010000}"/>
    <cellStyle name="20% - Accent1 25 6 2" xfId="15926" xr:uid="{00000000-0005-0000-0000-000068010000}"/>
    <cellStyle name="20% - Accent1 25 7" xfId="13932" xr:uid="{00000000-0005-0000-0000-000069010000}"/>
    <cellStyle name="20% - Accent1 25 8" xfId="12618" xr:uid="{00000000-0005-0000-0000-00006A010000}"/>
    <cellStyle name="20% - Accent1 26" xfId="683" xr:uid="{00000000-0005-0000-0000-00006B010000}"/>
    <cellStyle name="20% - Accent1 26 2" xfId="3639" xr:uid="{00000000-0005-0000-0000-00006C010000}"/>
    <cellStyle name="20% - Accent1 26 2 2" xfId="11618" xr:uid="{00000000-0005-0000-0000-00006D010000}"/>
    <cellStyle name="20% - Accent1 26 2 2 2" xfId="22906" xr:uid="{00000000-0005-0000-0000-00006E010000}"/>
    <cellStyle name="20% - Accent1 26 2 3" xfId="9624" xr:uid="{00000000-0005-0000-0000-00006F010000}"/>
    <cellStyle name="20% - Accent1 26 2 3 2" xfId="20912" xr:uid="{00000000-0005-0000-0000-000070010000}"/>
    <cellStyle name="20% - Accent1 26 2 4" xfId="7630" xr:uid="{00000000-0005-0000-0000-000071010000}"/>
    <cellStyle name="20% - Accent1 26 2 4 2" xfId="18918" xr:uid="{00000000-0005-0000-0000-000072010000}"/>
    <cellStyle name="20% - Accent1 26 2 5" xfId="5636" xr:uid="{00000000-0005-0000-0000-000073010000}"/>
    <cellStyle name="20% - Accent1 26 2 5 2" xfId="16924" xr:uid="{00000000-0005-0000-0000-000074010000}"/>
    <cellStyle name="20% - Accent1 26 2 6" xfId="14930" xr:uid="{00000000-0005-0000-0000-000075010000}"/>
    <cellStyle name="20% - Accent1 26 3" xfId="10621" xr:uid="{00000000-0005-0000-0000-000076010000}"/>
    <cellStyle name="20% - Accent1 26 3 2" xfId="21909" xr:uid="{00000000-0005-0000-0000-000077010000}"/>
    <cellStyle name="20% - Accent1 26 4" xfId="8627" xr:uid="{00000000-0005-0000-0000-000078010000}"/>
    <cellStyle name="20% - Accent1 26 4 2" xfId="19915" xr:uid="{00000000-0005-0000-0000-000079010000}"/>
    <cellStyle name="20% - Accent1 26 5" xfId="6633" xr:uid="{00000000-0005-0000-0000-00007A010000}"/>
    <cellStyle name="20% - Accent1 26 5 2" xfId="17921" xr:uid="{00000000-0005-0000-0000-00007B010000}"/>
    <cellStyle name="20% - Accent1 26 6" xfId="4639" xr:uid="{00000000-0005-0000-0000-00007C010000}"/>
    <cellStyle name="20% - Accent1 26 6 2" xfId="15927" xr:uid="{00000000-0005-0000-0000-00007D010000}"/>
    <cellStyle name="20% - Accent1 26 7" xfId="13933" xr:uid="{00000000-0005-0000-0000-00007E010000}"/>
    <cellStyle name="20% - Accent1 26 8" xfId="12619" xr:uid="{00000000-0005-0000-0000-00007F010000}"/>
    <cellStyle name="20% - Accent1 27" xfId="684" xr:uid="{00000000-0005-0000-0000-000080010000}"/>
    <cellStyle name="20% - Accent1 27 2" xfId="3640" xr:uid="{00000000-0005-0000-0000-000081010000}"/>
    <cellStyle name="20% - Accent1 27 2 2" xfId="11619" xr:uid="{00000000-0005-0000-0000-000082010000}"/>
    <cellStyle name="20% - Accent1 27 2 2 2" xfId="22907" xr:uid="{00000000-0005-0000-0000-000083010000}"/>
    <cellStyle name="20% - Accent1 27 2 3" xfId="9625" xr:uid="{00000000-0005-0000-0000-000084010000}"/>
    <cellStyle name="20% - Accent1 27 2 3 2" xfId="20913" xr:uid="{00000000-0005-0000-0000-000085010000}"/>
    <cellStyle name="20% - Accent1 27 2 4" xfId="7631" xr:uid="{00000000-0005-0000-0000-000086010000}"/>
    <cellStyle name="20% - Accent1 27 2 4 2" xfId="18919" xr:uid="{00000000-0005-0000-0000-000087010000}"/>
    <cellStyle name="20% - Accent1 27 2 5" xfId="5637" xr:uid="{00000000-0005-0000-0000-000088010000}"/>
    <cellStyle name="20% - Accent1 27 2 5 2" xfId="16925" xr:uid="{00000000-0005-0000-0000-000089010000}"/>
    <cellStyle name="20% - Accent1 27 2 6" xfId="14931" xr:uid="{00000000-0005-0000-0000-00008A010000}"/>
    <cellStyle name="20% - Accent1 27 3" xfId="10622" xr:uid="{00000000-0005-0000-0000-00008B010000}"/>
    <cellStyle name="20% - Accent1 27 3 2" xfId="21910" xr:uid="{00000000-0005-0000-0000-00008C010000}"/>
    <cellStyle name="20% - Accent1 27 4" xfId="8628" xr:uid="{00000000-0005-0000-0000-00008D010000}"/>
    <cellStyle name="20% - Accent1 27 4 2" xfId="19916" xr:uid="{00000000-0005-0000-0000-00008E010000}"/>
    <cellStyle name="20% - Accent1 27 5" xfId="6634" xr:uid="{00000000-0005-0000-0000-00008F010000}"/>
    <cellStyle name="20% - Accent1 27 5 2" xfId="17922" xr:uid="{00000000-0005-0000-0000-000090010000}"/>
    <cellStyle name="20% - Accent1 27 6" xfId="4640" xr:uid="{00000000-0005-0000-0000-000091010000}"/>
    <cellStyle name="20% - Accent1 27 6 2" xfId="15928" xr:uid="{00000000-0005-0000-0000-000092010000}"/>
    <cellStyle name="20% - Accent1 27 7" xfId="13934" xr:uid="{00000000-0005-0000-0000-000093010000}"/>
    <cellStyle name="20% - Accent1 27 8" xfId="12620" xr:uid="{00000000-0005-0000-0000-000094010000}"/>
    <cellStyle name="20% - Accent1 28" xfId="685" xr:uid="{00000000-0005-0000-0000-000095010000}"/>
    <cellStyle name="20% - Accent1 28 2" xfId="3641" xr:uid="{00000000-0005-0000-0000-000096010000}"/>
    <cellStyle name="20% - Accent1 28 2 2" xfId="11620" xr:uid="{00000000-0005-0000-0000-000097010000}"/>
    <cellStyle name="20% - Accent1 28 2 2 2" xfId="22908" xr:uid="{00000000-0005-0000-0000-000098010000}"/>
    <cellStyle name="20% - Accent1 28 2 3" xfId="9626" xr:uid="{00000000-0005-0000-0000-000099010000}"/>
    <cellStyle name="20% - Accent1 28 2 3 2" xfId="20914" xr:uid="{00000000-0005-0000-0000-00009A010000}"/>
    <cellStyle name="20% - Accent1 28 2 4" xfId="7632" xr:uid="{00000000-0005-0000-0000-00009B010000}"/>
    <cellStyle name="20% - Accent1 28 2 4 2" xfId="18920" xr:uid="{00000000-0005-0000-0000-00009C010000}"/>
    <cellStyle name="20% - Accent1 28 2 5" xfId="5638" xr:uid="{00000000-0005-0000-0000-00009D010000}"/>
    <cellStyle name="20% - Accent1 28 2 5 2" xfId="16926" xr:uid="{00000000-0005-0000-0000-00009E010000}"/>
    <cellStyle name="20% - Accent1 28 2 6" xfId="14932" xr:uid="{00000000-0005-0000-0000-00009F010000}"/>
    <cellStyle name="20% - Accent1 28 3" xfId="10623" xr:uid="{00000000-0005-0000-0000-0000A0010000}"/>
    <cellStyle name="20% - Accent1 28 3 2" xfId="21911" xr:uid="{00000000-0005-0000-0000-0000A1010000}"/>
    <cellStyle name="20% - Accent1 28 4" xfId="8629" xr:uid="{00000000-0005-0000-0000-0000A2010000}"/>
    <cellStyle name="20% - Accent1 28 4 2" xfId="19917" xr:uid="{00000000-0005-0000-0000-0000A3010000}"/>
    <cellStyle name="20% - Accent1 28 5" xfId="6635" xr:uid="{00000000-0005-0000-0000-0000A4010000}"/>
    <cellStyle name="20% - Accent1 28 5 2" xfId="17923" xr:uid="{00000000-0005-0000-0000-0000A5010000}"/>
    <cellStyle name="20% - Accent1 28 6" xfId="4641" xr:uid="{00000000-0005-0000-0000-0000A6010000}"/>
    <cellStyle name="20% - Accent1 28 6 2" xfId="15929" xr:uid="{00000000-0005-0000-0000-0000A7010000}"/>
    <cellStyle name="20% - Accent1 28 7" xfId="13935" xr:uid="{00000000-0005-0000-0000-0000A8010000}"/>
    <cellStyle name="20% - Accent1 28 8" xfId="12621" xr:uid="{00000000-0005-0000-0000-0000A9010000}"/>
    <cellStyle name="20% - Accent1 29" xfId="686" xr:uid="{00000000-0005-0000-0000-0000AA010000}"/>
    <cellStyle name="20% - Accent1 29 2" xfId="3642" xr:uid="{00000000-0005-0000-0000-0000AB010000}"/>
    <cellStyle name="20% - Accent1 29 2 2" xfId="11621" xr:uid="{00000000-0005-0000-0000-0000AC010000}"/>
    <cellStyle name="20% - Accent1 29 2 2 2" xfId="22909" xr:uid="{00000000-0005-0000-0000-0000AD010000}"/>
    <cellStyle name="20% - Accent1 29 2 3" xfId="9627" xr:uid="{00000000-0005-0000-0000-0000AE010000}"/>
    <cellStyle name="20% - Accent1 29 2 3 2" xfId="20915" xr:uid="{00000000-0005-0000-0000-0000AF010000}"/>
    <cellStyle name="20% - Accent1 29 2 4" xfId="7633" xr:uid="{00000000-0005-0000-0000-0000B0010000}"/>
    <cellStyle name="20% - Accent1 29 2 4 2" xfId="18921" xr:uid="{00000000-0005-0000-0000-0000B1010000}"/>
    <cellStyle name="20% - Accent1 29 2 5" xfId="5639" xr:uid="{00000000-0005-0000-0000-0000B2010000}"/>
    <cellStyle name="20% - Accent1 29 2 5 2" xfId="16927" xr:uid="{00000000-0005-0000-0000-0000B3010000}"/>
    <cellStyle name="20% - Accent1 29 2 6" xfId="14933" xr:uid="{00000000-0005-0000-0000-0000B4010000}"/>
    <cellStyle name="20% - Accent1 29 3" xfId="10624" xr:uid="{00000000-0005-0000-0000-0000B5010000}"/>
    <cellStyle name="20% - Accent1 29 3 2" xfId="21912" xr:uid="{00000000-0005-0000-0000-0000B6010000}"/>
    <cellStyle name="20% - Accent1 29 4" xfId="8630" xr:uid="{00000000-0005-0000-0000-0000B7010000}"/>
    <cellStyle name="20% - Accent1 29 4 2" xfId="19918" xr:uid="{00000000-0005-0000-0000-0000B8010000}"/>
    <cellStyle name="20% - Accent1 29 5" xfId="6636" xr:uid="{00000000-0005-0000-0000-0000B9010000}"/>
    <cellStyle name="20% - Accent1 29 5 2" xfId="17924" xr:uid="{00000000-0005-0000-0000-0000BA010000}"/>
    <cellStyle name="20% - Accent1 29 6" xfId="4642" xr:uid="{00000000-0005-0000-0000-0000BB010000}"/>
    <cellStyle name="20% - Accent1 29 6 2" xfId="15930" xr:uid="{00000000-0005-0000-0000-0000BC010000}"/>
    <cellStyle name="20% - Accent1 29 7" xfId="13936" xr:uid="{00000000-0005-0000-0000-0000BD010000}"/>
    <cellStyle name="20% - Accent1 29 8" xfId="12622" xr:uid="{00000000-0005-0000-0000-0000BE010000}"/>
    <cellStyle name="20% - Accent1 3" xfId="687" xr:uid="{00000000-0005-0000-0000-0000BF010000}"/>
    <cellStyle name="20% - Accent1 3 10" xfId="24560" xr:uid="{00000000-0005-0000-0000-0000C0010000}"/>
    <cellStyle name="20% - Accent1 3 11" xfId="24950" xr:uid="{00000000-0005-0000-0000-0000C1010000}"/>
    <cellStyle name="20% - Accent1 3 2" xfId="3643" xr:uid="{00000000-0005-0000-0000-0000C2010000}"/>
    <cellStyle name="20% - Accent1 3 2 2" xfId="11622" xr:uid="{00000000-0005-0000-0000-0000C3010000}"/>
    <cellStyle name="20% - Accent1 3 2 2 2" xfId="22910" xr:uid="{00000000-0005-0000-0000-0000C4010000}"/>
    <cellStyle name="20% - Accent1 3 2 3" xfId="9628" xr:uid="{00000000-0005-0000-0000-0000C5010000}"/>
    <cellStyle name="20% - Accent1 3 2 3 2" xfId="20916" xr:uid="{00000000-0005-0000-0000-0000C6010000}"/>
    <cellStyle name="20% - Accent1 3 2 4" xfId="7634" xr:uid="{00000000-0005-0000-0000-0000C7010000}"/>
    <cellStyle name="20% - Accent1 3 2 4 2" xfId="18922" xr:uid="{00000000-0005-0000-0000-0000C8010000}"/>
    <cellStyle name="20% - Accent1 3 2 5" xfId="5640" xr:uid="{00000000-0005-0000-0000-0000C9010000}"/>
    <cellStyle name="20% - Accent1 3 2 5 2" xfId="16928" xr:uid="{00000000-0005-0000-0000-0000CA010000}"/>
    <cellStyle name="20% - Accent1 3 2 6" xfId="14934" xr:uid="{00000000-0005-0000-0000-0000CB010000}"/>
    <cellStyle name="20% - Accent1 3 2 7" xfId="24321" xr:uid="{00000000-0005-0000-0000-0000CC010000}"/>
    <cellStyle name="20% - Accent1 3 2 8" xfId="24785" xr:uid="{00000000-0005-0000-0000-0000CD010000}"/>
    <cellStyle name="20% - Accent1 3 2 9" xfId="25152" xr:uid="{00000000-0005-0000-0000-0000CE010000}"/>
    <cellStyle name="20% - Accent1 3 3" xfId="10625" xr:uid="{00000000-0005-0000-0000-0000CF010000}"/>
    <cellStyle name="20% - Accent1 3 3 2" xfId="21913" xr:uid="{00000000-0005-0000-0000-0000D0010000}"/>
    <cellStyle name="20% - Accent1 3 4" xfId="8631" xr:uid="{00000000-0005-0000-0000-0000D1010000}"/>
    <cellStyle name="20% - Accent1 3 4 2" xfId="19919" xr:uid="{00000000-0005-0000-0000-0000D2010000}"/>
    <cellStyle name="20% - Accent1 3 5" xfId="6637" xr:uid="{00000000-0005-0000-0000-0000D3010000}"/>
    <cellStyle name="20% - Accent1 3 5 2" xfId="17925" xr:uid="{00000000-0005-0000-0000-0000D4010000}"/>
    <cellStyle name="20% - Accent1 3 6" xfId="4643" xr:uid="{00000000-0005-0000-0000-0000D5010000}"/>
    <cellStyle name="20% - Accent1 3 6 2" xfId="15931" xr:uid="{00000000-0005-0000-0000-0000D6010000}"/>
    <cellStyle name="20% - Accent1 3 7" xfId="13937" xr:uid="{00000000-0005-0000-0000-0000D7010000}"/>
    <cellStyle name="20% - Accent1 3 8" xfId="12623" xr:uid="{00000000-0005-0000-0000-0000D8010000}"/>
    <cellStyle name="20% - Accent1 3 9" xfId="23933" xr:uid="{00000000-0005-0000-0000-0000D9010000}"/>
    <cellStyle name="20% - Accent1 30" xfId="688" xr:uid="{00000000-0005-0000-0000-0000DA010000}"/>
    <cellStyle name="20% - Accent1 30 2" xfId="3644" xr:uid="{00000000-0005-0000-0000-0000DB010000}"/>
    <cellStyle name="20% - Accent1 30 2 2" xfId="11623" xr:uid="{00000000-0005-0000-0000-0000DC010000}"/>
    <cellStyle name="20% - Accent1 30 2 2 2" xfId="22911" xr:uid="{00000000-0005-0000-0000-0000DD010000}"/>
    <cellStyle name="20% - Accent1 30 2 3" xfId="9629" xr:uid="{00000000-0005-0000-0000-0000DE010000}"/>
    <cellStyle name="20% - Accent1 30 2 3 2" xfId="20917" xr:uid="{00000000-0005-0000-0000-0000DF010000}"/>
    <cellStyle name="20% - Accent1 30 2 4" xfId="7635" xr:uid="{00000000-0005-0000-0000-0000E0010000}"/>
    <cellStyle name="20% - Accent1 30 2 4 2" xfId="18923" xr:uid="{00000000-0005-0000-0000-0000E1010000}"/>
    <cellStyle name="20% - Accent1 30 2 5" xfId="5641" xr:uid="{00000000-0005-0000-0000-0000E2010000}"/>
    <cellStyle name="20% - Accent1 30 2 5 2" xfId="16929" xr:uid="{00000000-0005-0000-0000-0000E3010000}"/>
    <cellStyle name="20% - Accent1 30 2 6" xfId="14935" xr:uid="{00000000-0005-0000-0000-0000E4010000}"/>
    <cellStyle name="20% - Accent1 30 3" xfId="10626" xr:uid="{00000000-0005-0000-0000-0000E5010000}"/>
    <cellStyle name="20% - Accent1 30 3 2" xfId="21914" xr:uid="{00000000-0005-0000-0000-0000E6010000}"/>
    <cellStyle name="20% - Accent1 30 4" xfId="8632" xr:uid="{00000000-0005-0000-0000-0000E7010000}"/>
    <cellStyle name="20% - Accent1 30 4 2" xfId="19920" xr:uid="{00000000-0005-0000-0000-0000E8010000}"/>
    <cellStyle name="20% - Accent1 30 5" xfId="6638" xr:uid="{00000000-0005-0000-0000-0000E9010000}"/>
    <cellStyle name="20% - Accent1 30 5 2" xfId="17926" xr:uid="{00000000-0005-0000-0000-0000EA010000}"/>
    <cellStyle name="20% - Accent1 30 6" xfId="4644" xr:uid="{00000000-0005-0000-0000-0000EB010000}"/>
    <cellStyle name="20% - Accent1 30 6 2" xfId="15932" xr:uid="{00000000-0005-0000-0000-0000EC010000}"/>
    <cellStyle name="20% - Accent1 30 7" xfId="13938" xr:uid="{00000000-0005-0000-0000-0000ED010000}"/>
    <cellStyle name="20% - Accent1 30 8" xfId="12624" xr:uid="{00000000-0005-0000-0000-0000EE010000}"/>
    <cellStyle name="20% - Accent1 31" xfId="689" xr:uid="{00000000-0005-0000-0000-0000EF010000}"/>
    <cellStyle name="20% - Accent1 31 2" xfId="3645" xr:uid="{00000000-0005-0000-0000-0000F0010000}"/>
    <cellStyle name="20% - Accent1 31 2 2" xfId="11624" xr:uid="{00000000-0005-0000-0000-0000F1010000}"/>
    <cellStyle name="20% - Accent1 31 2 2 2" xfId="22912" xr:uid="{00000000-0005-0000-0000-0000F2010000}"/>
    <cellStyle name="20% - Accent1 31 2 3" xfId="9630" xr:uid="{00000000-0005-0000-0000-0000F3010000}"/>
    <cellStyle name="20% - Accent1 31 2 3 2" xfId="20918" xr:uid="{00000000-0005-0000-0000-0000F4010000}"/>
    <cellStyle name="20% - Accent1 31 2 4" xfId="7636" xr:uid="{00000000-0005-0000-0000-0000F5010000}"/>
    <cellStyle name="20% - Accent1 31 2 4 2" xfId="18924" xr:uid="{00000000-0005-0000-0000-0000F6010000}"/>
    <cellStyle name="20% - Accent1 31 2 5" xfId="5642" xr:uid="{00000000-0005-0000-0000-0000F7010000}"/>
    <cellStyle name="20% - Accent1 31 2 5 2" xfId="16930" xr:uid="{00000000-0005-0000-0000-0000F8010000}"/>
    <cellStyle name="20% - Accent1 31 2 6" xfId="14936" xr:uid="{00000000-0005-0000-0000-0000F9010000}"/>
    <cellStyle name="20% - Accent1 31 3" xfId="10627" xr:uid="{00000000-0005-0000-0000-0000FA010000}"/>
    <cellStyle name="20% - Accent1 31 3 2" xfId="21915" xr:uid="{00000000-0005-0000-0000-0000FB010000}"/>
    <cellStyle name="20% - Accent1 31 4" xfId="8633" xr:uid="{00000000-0005-0000-0000-0000FC010000}"/>
    <cellStyle name="20% - Accent1 31 4 2" xfId="19921" xr:uid="{00000000-0005-0000-0000-0000FD010000}"/>
    <cellStyle name="20% - Accent1 31 5" xfId="6639" xr:uid="{00000000-0005-0000-0000-0000FE010000}"/>
    <cellStyle name="20% - Accent1 31 5 2" xfId="17927" xr:uid="{00000000-0005-0000-0000-0000FF010000}"/>
    <cellStyle name="20% - Accent1 31 6" xfId="4645" xr:uid="{00000000-0005-0000-0000-000000020000}"/>
    <cellStyle name="20% - Accent1 31 6 2" xfId="15933" xr:uid="{00000000-0005-0000-0000-000001020000}"/>
    <cellStyle name="20% - Accent1 31 7" xfId="13939" xr:uid="{00000000-0005-0000-0000-000002020000}"/>
    <cellStyle name="20% - Accent1 31 8" xfId="12625" xr:uid="{00000000-0005-0000-0000-000003020000}"/>
    <cellStyle name="20% - Accent1 32" xfId="690" xr:uid="{00000000-0005-0000-0000-000004020000}"/>
    <cellStyle name="20% - Accent1 32 2" xfId="3646" xr:uid="{00000000-0005-0000-0000-000005020000}"/>
    <cellStyle name="20% - Accent1 32 2 2" xfId="11625" xr:uid="{00000000-0005-0000-0000-000006020000}"/>
    <cellStyle name="20% - Accent1 32 2 2 2" xfId="22913" xr:uid="{00000000-0005-0000-0000-000007020000}"/>
    <cellStyle name="20% - Accent1 32 2 3" xfId="9631" xr:uid="{00000000-0005-0000-0000-000008020000}"/>
    <cellStyle name="20% - Accent1 32 2 3 2" xfId="20919" xr:uid="{00000000-0005-0000-0000-000009020000}"/>
    <cellStyle name="20% - Accent1 32 2 4" xfId="7637" xr:uid="{00000000-0005-0000-0000-00000A020000}"/>
    <cellStyle name="20% - Accent1 32 2 4 2" xfId="18925" xr:uid="{00000000-0005-0000-0000-00000B020000}"/>
    <cellStyle name="20% - Accent1 32 2 5" xfId="5643" xr:uid="{00000000-0005-0000-0000-00000C020000}"/>
    <cellStyle name="20% - Accent1 32 2 5 2" xfId="16931" xr:uid="{00000000-0005-0000-0000-00000D020000}"/>
    <cellStyle name="20% - Accent1 32 2 6" xfId="14937" xr:uid="{00000000-0005-0000-0000-00000E020000}"/>
    <cellStyle name="20% - Accent1 32 3" xfId="10628" xr:uid="{00000000-0005-0000-0000-00000F020000}"/>
    <cellStyle name="20% - Accent1 32 3 2" xfId="21916" xr:uid="{00000000-0005-0000-0000-000010020000}"/>
    <cellStyle name="20% - Accent1 32 4" xfId="8634" xr:uid="{00000000-0005-0000-0000-000011020000}"/>
    <cellStyle name="20% - Accent1 32 4 2" xfId="19922" xr:uid="{00000000-0005-0000-0000-000012020000}"/>
    <cellStyle name="20% - Accent1 32 5" xfId="6640" xr:uid="{00000000-0005-0000-0000-000013020000}"/>
    <cellStyle name="20% - Accent1 32 5 2" xfId="17928" xr:uid="{00000000-0005-0000-0000-000014020000}"/>
    <cellStyle name="20% - Accent1 32 6" xfId="4646" xr:uid="{00000000-0005-0000-0000-000015020000}"/>
    <cellStyle name="20% - Accent1 32 6 2" xfId="15934" xr:uid="{00000000-0005-0000-0000-000016020000}"/>
    <cellStyle name="20% - Accent1 32 7" xfId="13940" xr:uid="{00000000-0005-0000-0000-000017020000}"/>
    <cellStyle name="20% - Accent1 32 8" xfId="12626" xr:uid="{00000000-0005-0000-0000-000018020000}"/>
    <cellStyle name="20% - Accent1 33" xfId="691" xr:uid="{00000000-0005-0000-0000-000019020000}"/>
    <cellStyle name="20% - Accent1 33 2" xfId="3647" xr:uid="{00000000-0005-0000-0000-00001A020000}"/>
    <cellStyle name="20% - Accent1 33 2 2" xfId="11626" xr:uid="{00000000-0005-0000-0000-00001B020000}"/>
    <cellStyle name="20% - Accent1 33 2 2 2" xfId="22914" xr:uid="{00000000-0005-0000-0000-00001C020000}"/>
    <cellStyle name="20% - Accent1 33 2 3" xfId="9632" xr:uid="{00000000-0005-0000-0000-00001D020000}"/>
    <cellStyle name="20% - Accent1 33 2 3 2" xfId="20920" xr:uid="{00000000-0005-0000-0000-00001E020000}"/>
    <cellStyle name="20% - Accent1 33 2 4" xfId="7638" xr:uid="{00000000-0005-0000-0000-00001F020000}"/>
    <cellStyle name="20% - Accent1 33 2 4 2" xfId="18926" xr:uid="{00000000-0005-0000-0000-000020020000}"/>
    <cellStyle name="20% - Accent1 33 2 5" xfId="5644" xr:uid="{00000000-0005-0000-0000-000021020000}"/>
    <cellStyle name="20% - Accent1 33 2 5 2" xfId="16932" xr:uid="{00000000-0005-0000-0000-000022020000}"/>
    <cellStyle name="20% - Accent1 33 2 6" xfId="14938" xr:uid="{00000000-0005-0000-0000-000023020000}"/>
    <cellStyle name="20% - Accent1 33 3" xfId="10629" xr:uid="{00000000-0005-0000-0000-000024020000}"/>
    <cellStyle name="20% - Accent1 33 3 2" xfId="21917" xr:uid="{00000000-0005-0000-0000-000025020000}"/>
    <cellStyle name="20% - Accent1 33 4" xfId="8635" xr:uid="{00000000-0005-0000-0000-000026020000}"/>
    <cellStyle name="20% - Accent1 33 4 2" xfId="19923" xr:uid="{00000000-0005-0000-0000-000027020000}"/>
    <cellStyle name="20% - Accent1 33 5" xfId="6641" xr:uid="{00000000-0005-0000-0000-000028020000}"/>
    <cellStyle name="20% - Accent1 33 5 2" xfId="17929" xr:uid="{00000000-0005-0000-0000-000029020000}"/>
    <cellStyle name="20% - Accent1 33 6" xfId="4647" xr:uid="{00000000-0005-0000-0000-00002A020000}"/>
    <cellStyle name="20% - Accent1 33 6 2" xfId="15935" xr:uid="{00000000-0005-0000-0000-00002B020000}"/>
    <cellStyle name="20% - Accent1 33 7" xfId="13941" xr:uid="{00000000-0005-0000-0000-00002C020000}"/>
    <cellStyle name="20% - Accent1 33 8" xfId="12627" xr:uid="{00000000-0005-0000-0000-00002D020000}"/>
    <cellStyle name="20% - Accent1 34" xfId="692" xr:uid="{00000000-0005-0000-0000-00002E020000}"/>
    <cellStyle name="20% - Accent1 34 2" xfId="3648" xr:uid="{00000000-0005-0000-0000-00002F020000}"/>
    <cellStyle name="20% - Accent1 34 2 2" xfId="11627" xr:uid="{00000000-0005-0000-0000-000030020000}"/>
    <cellStyle name="20% - Accent1 34 2 2 2" xfId="22915" xr:uid="{00000000-0005-0000-0000-000031020000}"/>
    <cellStyle name="20% - Accent1 34 2 3" xfId="9633" xr:uid="{00000000-0005-0000-0000-000032020000}"/>
    <cellStyle name="20% - Accent1 34 2 3 2" xfId="20921" xr:uid="{00000000-0005-0000-0000-000033020000}"/>
    <cellStyle name="20% - Accent1 34 2 4" xfId="7639" xr:uid="{00000000-0005-0000-0000-000034020000}"/>
    <cellStyle name="20% - Accent1 34 2 4 2" xfId="18927" xr:uid="{00000000-0005-0000-0000-000035020000}"/>
    <cellStyle name="20% - Accent1 34 2 5" xfId="5645" xr:uid="{00000000-0005-0000-0000-000036020000}"/>
    <cellStyle name="20% - Accent1 34 2 5 2" xfId="16933" xr:uid="{00000000-0005-0000-0000-000037020000}"/>
    <cellStyle name="20% - Accent1 34 2 6" xfId="14939" xr:uid="{00000000-0005-0000-0000-000038020000}"/>
    <cellStyle name="20% - Accent1 34 3" xfId="10630" xr:uid="{00000000-0005-0000-0000-000039020000}"/>
    <cellStyle name="20% - Accent1 34 3 2" xfId="21918" xr:uid="{00000000-0005-0000-0000-00003A020000}"/>
    <cellStyle name="20% - Accent1 34 4" xfId="8636" xr:uid="{00000000-0005-0000-0000-00003B020000}"/>
    <cellStyle name="20% - Accent1 34 4 2" xfId="19924" xr:uid="{00000000-0005-0000-0000-00003C020000}"/>
    <cellStyle name="20% - Accent1 34 5" xfId="6642" xr:uid="{00000000-0005-0000-0000-00003D020000}"/>
    <cellStyle name="20% - Accent1 34 5 2" xfId="17930" xr:uid="{00000000-0005-0000-0000-00003E020000}"/>
    <cellStyle name="20% - Accent1 34 6" xfId="4648" xr:uid="{00000000-0005-0000-0000-00003F020000}"/>
    <cellStyle name="20% - Accent1 34 6 2" xfId="15936" xr:uid="{00000000-0005-0000-0000-000040020000}"/>
    <cellStyle name="20% - Accent1 34 7" xfId="13942" xr:uid="{00000000-0005-0000-0000-000041020000}"/>
    <cellStyle name="20% - Accent1 34 8" xfId="12628" xr:uid="{00000000-0005-0000-0000-000042020000}"/>
    <cellStyle name="20% - Accent1 35" xfId="693" xr:uid="{00000000-0005-0000-0000-000043020000}"/>
    <cellStyle name="20% - Accent1 35 2" xfId="3649" xr:uid="{00000000-0005-0000-0000-000044020000}"/>
    <cellStyle name="20% - Accent1 35 2 2" xfId="11628" xr:uid="{00000000-0005-0000-0000-000045020000}"/>
    <cellStyle name="20% - Accent1 35 2 2 2" xfId="22916" xr:uid="{00000000-0005-0000-0000-000046020000}"/>
    <cellStyle name="20% - Accent1 35 2 3" xfId="9634" xr:uid="{00000000-0005-0000-0000-000047020000}"/>
    <cellStyle name="20% - Accent1 35 2 3 2" xfId="20922" xr:uid="{00000000-0005-0000-0000-000048020000}"/>
    <cellStyle name="20% - Accent1 35 2 4" xfId="7640" xr:uid="{00000000-0005-0000-0000-000049020000}"/>
    <cellStyle name="20% - Accent1 35 2 4 2" xfId="18928" xr:uid="{00000000-0005-0000-0000-00004A020000}"/>
    <cellStyle name="20% - Accent1 35 2 5" xfId="5646" xr:uid="{00000000-0005-0000-0000-00004B020000}"/>
    <cellStyle name="20% - Accent1 35 2 5 2" xfId="16934" xr:uid="{00000000-0005-0000-0000-00004C020000}"/>
    <cellStyle name="20% - Accent1 35 2 6" xfId="14940" xr:uid="{00000000-0005-0000-0000-00004D020000}"/>
    <cellStyle name="20% - Accent1 35 3" xfId="10631" xr:uid="{00000000-0005-0000-0000-00004E020000}"/>
    <cellStyle name="20% - Accent1 35 3 2" xfId="21919" xr:uid="{00000000-0005-0000-0000-00004F020000}"/>
    <cellStyle name="20% - Accent1 35 4" xfId="8637" xr:uid="{00000000-0005-0000-0000-000050020000}"/>
    <cellStyle name="20% - Accent1 35 4 2" xfId="19925" xr:uid="{00000000-0005-0000-0000-000051020000}"/>
    <cellStyle name="20% - Accent1 35 5" xfId="6643" xr:uid="{00000000-0005-0000-0000-000052020000}"/>
    <cellStyle name="20% - Accent1 35 5 2" xfId="17931" xr:uid="{00000000-0005-0000-0000-000053020000}"/>
    <cellStyle name="20% - Accent1 35 6" xfId="4649" xr:uid="{00000000-0005-0000-0000-000054020000}"/>
    <cellStyle name="20% - Accent1 35 6 2" xfId="15937" xr:uid="{00000000-0005-0000-0000-000055020000}"/>
    <cellStyle name="20% - Accent1 35 7" xfId="13943" xr:uid="{00000000-0005-0000-0000-000056020000}"/>
    <cellStyle name="20% - Accent1 35 8" xfId="12629" xr:uid="{00000000-0005-0000-0000-000057020000}"/>
    <cellStyle name="20% - Accent1 36" xfId="694" xr:uid="{00000000-0005-0000-0000-000058020000}"/>
    <cellStyle name="20% - Accent1 36 2" xfId="3650" xr:uid="{00000000-0005-0000-0000-000059020000}"/>
    <cellStyle name="20% - Accent1 36 2 2" xfId="11629" xr:uid="{00000000-0005-0000-0000-00005A020000}"/>
    <cellStyle name="20% - Accent1 36 2 2 2" xfId="22917" xr:uid="{00000000-0005-0000-0000-00005B020000}"/>
    <cellStyle name="20% - Accent1 36 2 3" xfId="9635" xr:uid="{00000000-0005-0000-0000-00005C020000}"/>
    <cellStyle name="20% - Accent1 36 2 3 2" xfId="20923" xr:uid="{00000000-0005-0000-0000-00005D020000}"/>
    <cellStyle name="20% - Accent1 36 2 4" xfId="7641" xr:uid="{00000000-0005-0000-0000-00005E020000}"/>
    <cellStyle name="20% - Accent1 36 2 4 2" xfId="18929" xr:uid="{00000000-0005-0000-0000-00005F020000}"/>
    <cellStyle name="20% - Accent1 36 2 5" xfId="5647" xr:uid="{00000000-0005-0000-0000-000060020000}"/>
    <cellStyle name="20% - Accent1 36 2 5 2" xfId="16935" xr:uid="{00000000-0005-0000-0000-000061020000}"/>
    <cellStyle name="20% - Accent1 36 2 6" xfId="14941" xr:uid="{00000000-0005-0000-0000-000062020000}"/>
    <cellStyle name="20% - Accent1 36 3" xfId="10632" xr:uid="{00000000-0005-0000-0000-000063020000}"/>
    <cellStyle name="20% - Accent1 36 3 2" xfId="21920" xr:uid="{00000000-0005-0000-0000-000064020000}"/>
    <cellStyle name="20% - Accent1 36 4" xfId="8638" xr:uid="{00000000-0005-0000-0000-000065020000}"/>
    <cellStyle name="20% - Accent1 36 4 2" xfId="19926" xr:uid="{00000000-0005-0000-0000-000066020000}"/>
    <cellStyle name="20% - Accent1 36 5" xfId="6644" xr:uid="{00000000-0005-0000-0000-000067020000}"/>
    <cellStyle name="20% - Accent1 36 5 2" xfId="17932" xr:uid="{00000000-0005-0000-0000-000068020000}"/>
    <cellStyle name="20% - Accent1 36 6" xfId="4650" xr:uid="{00000000-0005-0000-0000-000069020000}"/>
    <cellStyle name="20% - Accent1 36 6 2" xfId="15938" xr:uid="{00000000-0005-0000-0000-00006A020000}"/>
    <cellStyle name="20% - Accent1 36 7" xfId="13944" xr:uid="{00000000-0005-0000-0000-00006B020000}"/>
    <cellStyle name="20% - Accent1 36 8" xfId="12630" xr:uid="{00000000-0005-0000-0000-00006C020000}"/>
    <cellStyle name="20% - Accent1 37" xfId="695" xr:uid="{00000000-0005-0000-0000-00006D020000}"/>
    <cellStyle name="20% - Accent1 37 2" xfId="3651" xr:uid="{00000000-0005-0000-0000-00006E020000}"/>
    <cellStyle name="20% - Accent1 37 2 2" xfId="11630" xr:uid="{00000000-0005-0000-0000-00006F020000}"/>
    <cellStyle name="20% - Accent1 37 2 2 2" xfId="22918" xr:uid="{00000000-0005-0000-0000-000070020000}"/>
    <cellStyle name="20% - Accent1 37 2 3" xfId="9636" xr:uid="{00000000-0005-0000-0000-000071020000}"/>
    <cellStyle name="20% - Accent1 37 2 3 2" xfId="20924" xr:uid="{00000000-0005-0000-0000-000072020000}"/>
    <cellStyle name="20% - Accent1 37 2 4" xfId="7642" xr:uid="{00000000-0005-0000-0000-000073020000}"/>
    <cellStyle name="20% - Accent1 37 2 4 2" xfId="18930" xr:uid="{00000000-0005-0000-0000-000074020000}"/>
    <cellStyle name="20% - Accent1 37 2 5" xfId="5648" xr:uid="{00000000-0005-0000-0000-000075020000}"/>
    <cellStyle name="20% - Accent1 37 2 5 2" xfId="16936" xr:uid="{00000000-0005-0000-0000-000076020000}"/>
    <cellStyle name="20% - Accent1 37 2 6" xfId="14942" xr:uid="{00000000-0005-0000-0000-000077020000}"/>
    <cellStyle name="20% - Accent1 37 3" xfId="10633" xr:uid="{00000000-0005-0000-0000-000078020000}"/>
    <cellStyle name="20% - Accent1 37 3 2" xfId="21921" xr:uid="{00000000-0005-0000-0000-000079020000}"/>
    <cellStyle name="20% - Accent1 37 4" xfId="8639" xr:uid="{00000000-0005-0000-0000-00007A020000}"/>
    <cellStyle name="20% - Accent1 37 4 2" xfId="19927" xr:uid="{00000000-0005-0000-0000-00007B020000}"/>
    <cellStyle name="20% - Accent1 37 5" xfId="6645" xr:uid="{00000000-0005-0000-0000-00007C020000}"/>
    <cellStyle name="20% - Accent1 37 5 2" xfId="17933" xr:uid="{00000000-0005-0000-0000-00007D020000}"/>
    <cellStyle name="20% - Accent1 37 6" xfId="4651" xr:uid="{00000000-0005-0000-0000-00007E020000}"/>
    <cellStyle name="20% - Accent1 37 6 2" xfId="15939" xr:uid="{00000000-0005-0000-0000-00007F020000}"/>
    <cellStyle name="20% - Accent1 37 7" xfId="13945" xr:uid="{00000000-0005-0000-0000-000080020000}"/>
    <cellStyle name="20% - Accent1 37 8" xfId="12631" xr:uid="{00000000-0005-0000-0000-000081020000}"/>
    <cellStyle name="20% - Accent1 38" xfId="696" xr:uid="{00000000-0005-0000-0000-000082020000}"/>
    <cellStyle name="20% - Accent1 38 2" xfId="3652" xr:uid="{00000000-0005-0000-0000-000083020000}"/>
    <cellStyle name="20% - Accent1 38 2 2" xfId="11631" xr:uid="{00000000-0005-0000-0000-000084020000}"/>
    <cellStyle name="20% - Accent1 38 2 2 2" xfId="22919" xr:uid="{00000000-0005-0000-0000-000085020000}"/>
    <cellStyle name="20% - Accent1 38 2 3" xfId="9637" xr:uid="{00000000-0005-0000-0000-000086020000}"/>
    <cellStyle name="20% - Accent1 38 2 3 2" xfId="20925" xr:uid="{00000000-0005-0000-0000-000087020000}"/>
    <cellStyle name="20% - Accent1 38 2 4" xfId="7643" xr:uid="{00000000-0005-0000-0000-000088020000}"/>
    <cellStyle name="20% - Accent1 38 2 4 2" xfId="18931" xr:uid="{00000000-0005-0000-0000-000089020000}"/>
    <cellStyle name="20% - Accent1 38 2 5" xfId="5649" xr:uid="{00000000-0005-0000-0000-00008A020000}"/>
    <cellStyle name="20% - Accent1 38 2 5 2" xfId="16937" xr:uid="{00000000-0005-0000-0000-00008B020000}"/>
    <cellStyle name="20% - Accent1 38 2 6" xfId="14943" xr:uid="{00000000-0005-0000-0000-00008C020000}"/>
    <cellStyle name="20% - Accent1 38 3" xfId="10634" xr:uid="{00000000-0005-0000-0000-00008D020000}"/>
    <cellStyle name="20% - Accent1 38 3 2" xfId="21922" xr:uid="{00000000-0005-0000-0000-00008E020000}"/>
    <cellStyle name="20% - Accent1 38 4" xfId="8640" xr:uid="{00000000-0005-0000-0000-00008F020000}"/>
    <cellStyle name="20% - Accent1 38 4 2" xfId="19928" xr:uid="{00000000-0005-0000-0000-000090020000}"/>
    <cellStyle name="20% - Accent1 38 5" xfId="6646" xr:uid="{00000000-0005-0000-0000-000091020000}"/>
    <cellStyle name="20% - Accent1 38 5 2" xfId="17934" xr:uid="{00000000-0005-0000-0000-000092020000}"/>
    <cellStyle name="20% - Accent1 38 6" xfId="4652" xr:uid="{00000000-0005-0000-0000-000093020000}"/>
    <cellStyle name="20% - Accent1 38 6 2" xfId="15940" xr:uid="{00000000-0005-0000-0000-000094020000}"/>
    <cellStyle name="20% - Accent1 38 7" xfId="13946" xr:uid="{00000000-0005-0000-0000-000095020000}"/>
    <cellStyle name="20% - Accent1 38 8" xfId="12632" xr:uid="{00000000-0005-0000-0000-000096020000}"/>
    <cellStyle name="20% - Accent1 39" xfId="697" xr:uid="{00000000-0005-0000-0000-000097020000}"/>
    <cellStyle name="20% - Accent1 39 2" xfId="3653" xr:uid="{00000000-0005-0000-0000-000098020000}"/>
    <cellStyle name="20% - Accent1 39 2 2" xfId="11632" xr:uid="{00000000-0005-0000-0000-000099020000}"/>
    <cellStyle name="20% - Accent1 39 2 2 2" xfId="22920" xr:uid="{00000000-0005-0000-0000-00009A020000}"/>
    <cellStyle name="20% - Accent1 39 2 3" xfId="9638" xr:uid="{00000000-0005-0000-0000-00009B020000}"/>
    <cellStyle name="20% - Accent1 39 2 3 2" xfId="20926" xr:uid="{00000000-0005-0000-0000-00009C020000}"/>
    <cellStyle name="20% - Accent1 39 2 4" xfId="7644" xr:uid="{00000000-0005-0000-0000-00009D020000}"/>
    <cellStyle name="20% - Accent1 39 2 4 2" xfId="18932" xr:uid="{00000000-0005-0000-0000-00009E020000}"/>
    <cellStyle name="20% - Accent1 39 2 5" xfId="5650" xr:uid="{00000000-0005-0000-0000-00009F020000}"/>
    <cellStyle name="20% - Accent1 39 2 5 2" xfId="16938" xr:uid="{00000000-0005-0000-0000-0000A0020000}"/>
    <cellStyle name="20% - Accent1 39 2 6" xfId="14944" xr:uid="{00000000-0005-0000-0000-0000A1020000}"/>
    <cellStyle name="20% - Accent1 39 3" xfId="10635" xr:uid="{00000000-0005-0000-0000-0000A2020000}"/>
    <cellStyle name="20% - Accent1 39 3 2" xfId="21923" xr:uid="{00000000-0005-0000-0000-0000A3020000}"/>
    <cellStyle name="20% - Accent1 39 4" xfId="8641" xr:uid="{00000000-0005-0000-0000-0000A4020000}"/>
    <cellStyle name="20% - Accent1 39 4 2" xfId="19929" xr:uid="{00000000-0005-0000-0000-0000A5020000}"/>
    <cellStyle name="20% - Accent1 39 5" xfId="6647" xr:uid="{00000000-0005-0000-0000-0000A6020000}"/>
    <cellStyle name="20% - Accent1 39 5 2" xfId="17935" xr:uid="{00000000-0005-0000-0000-0000A7020000}"/>
    <cellStyle name="20% - Accent1 39 6" xfId="4653" xr:uid="{00000000-0005-0000-0000-0000A8020000}"/>
    <cellStyle name="20% - Accent1 39 6 2" xfId="15941" xr:uid="{00000000-0005-0000-0000-0000A9020000}"/>
    <cellStyle name="20% - Accent1 39 7" xfId="13947" xr:uid="{00000000-0005-0000-0000-0000AA020000}"/>
    <cellStyle name="20% - Accent1 39 8" xfId="12633" xr:uid="{00000000-0005-0000-0000-0000AB020000}"/>
    <cellStyle name="20% - Accent1 4" xfId="698" xr:uid="{00000000-0005-0000-0000-0000AC020000}"/>
    <cellStyle name="20% - Accent1 4 10" xfId="24561" xr:uid="{00000000-0005-0000-0000-0000AD020000}"/>
    <cellStyle name="20% - Accent1 4 11" xfId="24951" xr:uid="{00000000-0005-0000-0000-0000AE020000}"/>
    <cellStyle name="20% - Accent1 4 2" xfId="3654" xr:uid="{00000000-0005-0000-0000-0000AF020000}"/>
    <cellStyle name="20% - Accent1 4 2 2" xfId="11633" xr:uid="{00000000-0005-0000-0000-0000B0020000}"/>
    <cellStyle name="20% - Accent1 4 2 2 2" xfId="22921" xr:uid="{00000000-0005-0000-0000-0000B1020000}"/>
    <cellStyle name="20% - Accent1 4 2 3" xfId="9639" xr:uid="{00000000-0005-0000-0000-0000B2020000}"/>
    <cellStyle name="20% - Accent1 4 2 3 2" xfId="20927" xr:uid="{00000000-0005-0000-0000-0000B3020000}"/>
    <cellStyle name="20% - Accent1 4 2 4" xfId="7645" xr:uid="{00000000-0005-0000-0000-0000B4020000}"/>
    <cellStyle name="20% - Accent1 4 2 4 2" xfId="18933" xr:uid="{00000000-0005-0000-0000-0000B5020000}"/>
    <cellStyle name="20% - Accent1 4 2 5" xfId="5651" xr:uid="{00000000-0005-0000-0000-0000B6020000}"/>
    <cellStyle name="20% - Accent1 4 2 5 2" xfId="16939" xr:uid="{00000000-0005-0000-0000-0000B7020000}"/>
    <cellStyle name="20% - Accent1 4 2 6" xfId="14945" xr:uid="{00000000-0005-0000-0000-0000B8020000}"/>
    <cellStyle name="20% - Accent1 4 2 7" xfId="24322" xr:uid="{00000000-0005-0000-0000-0000B9020000}"/>
    <cellStyle name="20% - Accent1 4 2 8" xfId="24786" xr:uid="{00000000-0005-0000-0000-0000BA020000}"/>
    <cellStyle name="20% - Accent1 4 2 9" xfId="25153" xr:uid="{00000000-0005-0000-0000-0000BB020000}"/>
    <cellStyle name="20% - Accent1 4 3" xfId="10636" xr:uid="{00000000-0005-0000-0000-0000BC020000}"/>
    <cellStyle name="20% - Accent1 4 3 2" xfId="21924" xr:uid="{00000000-0005-0000-0000-0000BD020000}"/>
    <cellStyle name="20% - Accent1 4 4" xfId="8642" xr:uid="{00000000-0005-0000-0000-0000BE020000}"/>
    <cellStyle name="20% - Accent1 4 4 2" xfId="19930" xr:uid="{00000000-0005-0000-0000-0000BF020000}"/>
    <cellStyle name="20% - Accent1 4 5" xfId="6648" xr:uid="{00000000-0005-0000-0000-0000C0020000}"/>
    <cellStyle name="20% - Accent1 4 5 2" xfId="17936" xr:uid="{00000000-0005-0000-0000-0000C1020000}"/>
    <cellStyle name="20% - Accent1 4 6" xfId="4654" xr:uid="{00000000-0005-0000-0000-0000C2020000}"/>
    <cellStyle name="20% - Accent1 4 6 2" xfId="15942" xr:uid="{00000000-0005-0000-0000-0000C3020000}"/>
    <cellStyle name="20% - Accent1 4 7" xfId="13948" xr:uid="{00000000-0005-0000-0000-0000C4020000}"/>
    <cellStyle name="20% - Accent1 4 8" xfId="12634" xr:uid="{00000000-0005-0000-0000-0000C5020000}"/>
    <cellStyle name="20% - Accent1 4 9" xfId="23934" xr:uid="{00000000-0005-0000-0000-0000C6020000}"/>
    <cellStyle name="20% - Accent1 40" xfId="699" xr:uid="{00000000-0005-0000-0000-0000C7020000}"/>
    <cellStyle name="20% - Accent1 40 2" xfId="3655" xr:uid="{00000000-0005-0000-0000-0000C8020000}"/>
    <cellStyle name="20% - Accent1 40 2 2" xfId="11634" xr:uid="{00000000-0005-0000-0000-0000C9020000}"/>
    <cellStyle name="20% - Accent1 40 2 2 2" xfId="22922" xr:uid="{00000000-0005-0000-0000-0000CA020000}"/>
    <cellStyle name="20% - Accent1 40 2 3" xfId="9640" xr:uid="{00000000-0005-0000-0000-0000CB020000}"/>
    <cellStyle name="20% - Accent1 40 2 3 2" xfId="20928" xr:uid="{00000000-0005-0000-0000-0000CC020000}"/>
    <cellStyle name="20% - Accent1 40 2 4" xfId="7646" xr:uid="{00000000-0005-0000-0000-0000CD020000}"/>
    <cellStyle name="20% - Accent1 40 2 4 2" xfId="18934" xr:uid="{00000000-0005-0000-0000-0000CE020000}"/>
    <cellStyle name="20% - Accent1 40 2 5" xfId="5652" xr:uid="{00000000-0005-0000-0000-0000CF020000}"/>
    <cellStyle name="20% - Accent1 40 2 5 2" xfId="16940" xr:uid="{00000000-0005-0000-0000-0000D0020000}"/>
    <cellStyle name="20% - Accent1 40 2 6" xfId="14946" xr:uid="{00000000-0005-0000-0000-0000D1020000}"/>
    <cellStyle name="20% - Accent1 40 3" xfId="10637" xr:uid="{00000000-0005-0000-0000-0000D2020000}"/>
    <cellStyle name="20% - Accent1 40 3 2" xfId="21925" xr:uid="{00000000-0005-0000-0000-0000D3020000}"/>
    <cellStyle name="20% - Accent1 40 4" xfId="8643" xr:uid="{00000000-0005-0000-0000-0000D4020000}"/>
    <cellStyle name="20% - Accent1 40 4 2" xfId="19931" xr:uid="{00000000-0005-0000-0000-0000D5020000}"/>
    <cellStyle name="20% - Accent1 40 5" xfId="6649" xr:uid="{00000000-0005-0000-0000-0000D6020000}"/>
    <cellStyle name="20% - Accent1 40 5 2" xfId="17937" xr:uid="{00000000-0005-0000-0000-0000D7020000}"/>
    <cellStyle name="20% - Accent1 40 6" xfId="4655" xr:uid="{00000000-0005-0000-0000-0000D8020000}"/>
    <cellStyle name="20% - Accent1 40 6 2" xfId="15943" xr:uid="{00000000-0005-0000-0000-0000D9020000}"/>
    <cellStyle name="20% - Accent1 40 7" xfId="13949" xr:uid="{00000000-0005-0000-0000-0000DA020000}"/>
    <cellStyle name="20% - Accent1 40 8" xfId="12635" xr:uid="{00000000-0005-0000-0000-0000DB020000}"/>
    <cellStyle name="20% - Accent1 41" xfId="700" xr:uid="{00000000-0005-0000-0000-0000DC020000}"/>
    <cellStyle name="20% - Accent1 41 2" xfId="3656" xr:uid="{00000000-0005-0000-0000-0000DD020000}"/>
    <cellStyle name="20% - Accent1 41 2 2" xfId="11635" xr:uid="{00000000-0005-0000-0000-0000DE020000}"/>
    <cellStyle name="20% - Accent1 41 2 2 2" xfId="22923" xr:uid="{00000000-0005-0000-0000-0000DF020000}"/>
    <cellStyle name="20% - Accent1 41 2 3" xfId="9641" xr:uid="{00000000-0005-0000-0000-0000E0020000}"/>
    <cellStyle name="20% - Accent1 41 2 3 2" xfId="20929" xr:uid="{00000000-0005-0000-0000-0000E1020000}"/>
    <cellStyle name="20% - Accent1 41 2 4" xfId="7647" xr:uid="{00000000-0005-0000-0000-0000E2020000}"/>
    <cellStyle name="20% - Accent1 41 2 4 2" xfId="18935" xr:uid="{00000000-0005-0000-0000-0000E3020000}"/>
    <cellStyle name="20% - Accent1 41 2 5" xfId="5653" xr:uid="{00000000-0005-0000-0000-0000E4020000}"/>
    <cellStyle name="20% - Accent1 41 2 5 2" xfId="16941" xr:uid="{00000000-0005-0000-0000-0000E5020000}"/>
    <cellStyle name="20% - Accent1 41 2 6" xfId="14947" xr:uid="{00000000-0005-0000-0000-0000E6020000}"/>
    <cellStyle name="20% - Accent1 41 3" xfId="10638" xr:uid="{00000000-0005-0000-0000-0000E7020000}"/>
    <cellStyle name="20% - Accent1 41 3 2" xfId="21926" xr:uid="{00000000-0005-0000-0000-0000E8020000}"/>
    <cellStyle name="20% - Accent1 41 4" xfId="8644" xr:uid="{00000000-0005-0000-0000-0000E9020000}"/>
    <cellStyle name="20% - Accent1 41 4 2" xfId="19932" xr:uid="{00000000-0005-0000-0000-0000EA020000}"/>
    <cellStyle name="20% - Accent1 41 5" xfId="6650" xr:uid="{00000000-0005-0000-0000-0000EB020000}"/>
    <cellStyle name="20% - Accent1 41 5 2" xfId="17938" xr:uid="{00000000-0005-0000-0000-0000EC020000}"/>
    <cellStyle name="20% - Accent1 41 6" xfId="4656" xr:uid="{00000000-0005-0000-0000-0000ED020000}"/>
    <cellStyle name="20% - Accent1 41 6 2" xfId="15944" xr:uid="{00000000-0005-0000-0000-0000EE020000}"/>
    <cellStyle name="20% - Accent1 41 7" xfId="13950" xr:uid="{00000000-0005-0000-0000-0000EF020000}"/>
    <cellStyle name="20% - Accent1 41 8" xfId="12636" xr:uid="{00000000-0005-0000-0000-0000F0020000}"/>
    <cellStyle name="20% - Accent1 42" xfId="701" xr:uid="{00000000-0005-0000-0000-0000F1020000}"/>
    <cellStyle name="20% - Accent1 42 2" xfId="3657" xr:uid="{00000000-0005-0000-0000-0000F2020000}"/>
    <cellStyle name="20% - Accent1 42 2 2" xfId="11636" xr:uid="{00000000-0005-0000-0000-0000F3020000}"/>
    <cellStyle name="20% - Accent1 42 2 2 2" xfId="22924" xr:uid="{00000000-0005-0000-0000-0000F4020000}"/>
    <cellStyle name="20% - Accent1 42 2 3" xfId="9642" xr:uid="{00000000-0005-0000-0000-0000F5020000}"/>
    <cellStyle name="20% - Accent1 42 2 3 2" xfId="20930" xr:uid="{00000000-0005-0000-0000-0000F6020000}"/>
    <cellStyle name="20% - Accent1 42 2 4" xfId="7648" xr:uid="{00000000-0005-0000-0000-0000F7020000}"/>
    <cellStyle name="20% - Accent1 42 2 4 2" xfId="18936" xr:uid="{00000000-0005-0000-0000-0000F8020000}"/>
    <cellStyle name="20% - Accent1 42 2 5" xfId="5654" xr:uid="{00000000-0005-0000-0000-0000F9020000}"/>
    <cellStyle name="20% - Accent1 42 2 5 2" xfId="16942" xr:uid="{00000000-0005-0000-0000-0000FA020000}"/>
    <cellStyle name="20% - Accent1 42 2 6" xfId="14948" xr:uid="{00000000-0005-0000-0000-0000FB020000}"/>
    <cellStyle name="20% - Accent1 42 3" xfId="10639" xr:uid="{00000000-0005-0000-0000-0000FC020000}"/>
    <cellStyle name="20% - Accent1 42 3 2" xfId="21927" xr:uid="{00000000-0005-0000-0000-0000FD020000}"/>
    <cellStyle name="20% - Accent1 42 4" xfId="8645" xr:uid="{00000000-0005-0000-0000-0000FE020000}"/>
    <cellStyle name="20% - Accent1 42 4 2" xfId="19933" xr:uid="{00000000-0005-0000-0000-0000FF020000}"/>
    <cellStyle name="20% - Accent1 42 5" xfId="6651" xr:uid="{00000000-0005-0000-0000-000000030000}"/>
    <cellStyle name="20% - Accent1 42 5 2" xfId="17939" xr:uid="{00000000-0005-0000-0000-000001030000}"/>
    <cellStyle name="20% - Accent1 42 6" xfId="4657" xr:uid="{00000000-0005-0000-0000-000002030000}"/>
    <cellStyle name="20% - Accent1 42 6 2" xfId="15945" xr:uid="{00000000-0005-0000-0000-000003030000}"/>
    <cellStyle name="20% - Accent1 42 7" xfId="13951" xr:uid="{00000000-0005-0000-0000-000004030000}"/>
    <cellStyle name="20% - Accent1 42 8" xfId="12637" xr:uid="{00000000-0005-0000-0000-000005030000}"/>
    <cellStyle name="20% - Accent1 43" xfId="702" xr:uid="{00000000-0005-0000-0000-000006030000}"/>
    <cellStyle name="20% - Accent1 43 2" xfId="3658" xr:uid="{00000000-0005-0000-0000-000007030000}"/>
    <cellStyle name="20% - Accent1 43 2 2" xfId="11637" xr:uid="{00000000-0005-0000-0000-000008030000}"/>
    <cellStyle name="20% - Accent1 43 2 2 2" xfId="22925" xr:uid="{00000000-0005-0000-0000-000009030000}"/>
    <cellStyle name="20% - Accent1 43 2 3" xfId="9643" xr:uid="{00000000-0005-0000-0000-00000A030000}"/>
    <cellStyle name="20% - Accent1 43 2 3 2" xfId="20931" xr:uid="{00000000-0005-0000-0000-00000B030000}"/>
    <cellStyle name="20% - Accent1 43 2 4" xfId="7649" xr:uid="{00000000-0005-0000-0000-00000C030000}"/>
    <cellStyle name="20% - Accent1 43 2 4 2" xfId="18937" xr:uid="{00000000-0005-0000-0000-00000D030000}"/>
    <cellStyle name="20% - Accent1 43 2 5" xfId="5655" xr:uid="{00000000-0005-0000-0000-00000E030000}"/>
    <cellStyle name="20% - Accent1 43 2 5 2" xfId="16943" xr:uid="{00000000-0005-0000-0000-00000F030000}"/>
    <cellStyle name="20% - Accent1 43 2 6" xfId="14949" xr:uid="{00000000-0005-0000-0000-000010030000}"/>
    <cellStyle name="20% - Accent1 43 3" xfId="10640" xr:uid="{00000000-0005-0000-0000-000011030000}"/>
    <cellStyle name="20% - Accent1 43 3 2" xfId="21928" xr:uid="{00000000-0005-0000-0000-000012030000}"/>
    <cellStyle name="20% - Accent1 43 4" xfId="8646" xr:uid="{00000000-0005-0000-0000-000013030000}"/>
    <cellStyle name="20% - Accent1 43 4 2" xfId="19934" xr:uid="{00000000-0005-0000-0000-000014030000}"/>
    <cellStyle name="20% - Accent1 43 5" xfId="6652" xr:uid="{00000000-0005-0000-0000-000015030000}"/>
    <cellStyle name="20% - Accent1 43 5 2" xfId="17940" xr:uid="{00000000-0005-0000-0000-000016030000}"/>
    <cellStyle name="20% - Accent1 43 6" xfId="4658" xr:uid="{00000000-0005-0000-0000-000017030000}"/>
    <cellStyle name="20% - Accent1 43 6 2" xfId="15946" xr:uid="{00000000-0005-0000-0000-000018030000}"/>
    <cellStyle name="20% - Accent1 43 7" xfId="13952" xr:uid="{00000000-0005-0000-0000-000019030000}"/>
    <cellStyle name="20% - Accent1 43 8" xfId="12638" xr:uid="{00000000-0005-0000-0000-00001A030000}"/>
    <cellStyle name="20% - Accent1 44" xfId="703" xr:uid="{00000000-0005-0000-0000-00001B030000}"/>
    <cellStyle name="20% - Accent1 44 2" xfId="3659" xr:uid="{00000000-0005-0000-0000-00001C030000}"/>
    <cellStyle name="20% - Accent1 44 2 2" xfId="11638" xr:uid="{00000000-0005-0000-0000-00001D030000}"/>
    <cellStyle name="20% - Accent1 44 2 2 2" xfId="22926" xr:uid="{00000000-0005-0000-0000-00001E030000}"/>
    <cellStyle name="20% - Accent1 44 2 3" xfId="9644" xr:uid="{00000000-0005-0000-0000-00001F030000}"/>
    <cellStyle name="20% - Accent1 44 2 3 2" xfId="20932" xr:uid="{00000000-0005-0000-0000-000020030000}"/>
    <cellStyle name="20% - Accent1 44 2 4" xfId="7650" xr:uid="{00000000-0005-0000-0000-000021030000}"/>
    <cellStyle name="20% - Accent1 44 2 4 2" xfId="18938" xr:uid="{00000000-0005-0000-0000-000022030000}"/>
    <cellStyle name="20% - Accent1 44 2 5" xfId="5656" xr:uid="{00000000-0005-0000-0000-000023030000}"/>
    <cellStyle name="20% - Accent1 44 2 5 2" xfId="16944" xr:uid="{00000000-0005-0000-0000-000024030000}"/>
    <cellStyle name="20% - Accent1 44 2 6" xfId="14950" xr:uid="{00000000-0005-0000-0000-000025030000}"/>
    <cellStyle name="20% - Accent1 44 3" xfId="10641" xr:uid="{00000000-0005-0000-0000-000026030000}"/>
    <cellStyle name="20% - Accent1 44 3 2" xfId="21929" xr:uid="{00000000-0005-0000-0000-000027030000}"/>
    <cellStyle name="20% - Accent1 44 4" xfId="8647" xr:uid="{00000000-0005-0000-0000-000028030000}"/>
    <cellStyle name="20% - Accent1 44 4 2" xfId="19935" xr:uid="{00000000-0005-0000-0000-000029030000}"/>
    <cellStyle name="20% - Accent1 44 5" xfId="6653" xr:uid="{00000000-0005-0000-0000-00002A030000}"/>
    <cellStyle name="20% - Accent1 44 5 2" xfId="17941" xr:uid="{00000000-0005-0000-0000-00002B030000}"/>
    <cellStyle name="20% - Accent1 44 6" xfId="4659" xr:uid="{00000000-0005-0000-0000-00002C030000}"/>
    <cellStyle name="20% - Accent1 44 6 2" xfId="15947" xr:uid="{00000000-0005-0000-0000-00002D030000}"/>
    <cellStyle name="20% - Accent1 44 7" xfId="13953" xr:uid="{00000000-0005-0000-0000-00002E030000}"/>
    <cellStyle name="20% - Accent1 44 8" xfId="12639" xr:uid="{00000000-0005-0000-0000-00002F030000}"/>
    <cellStyle name="20% - Accent1 45" xfId="704" xr:uid="{00000000-0005-0000-0000-000030030000}"/>
    <cellStyle name="20% - Accent1 45 2" xfId="3660" xr:uid="{00000000-0005-0000-0000-000031030000}"/>
    <cellStyle name="20% - Accent1 45 2 2" xfId="11639" xr:uid="{00000000-0005-0000-0000-000032030000}"/>
    <cellStyle name="20% - Accent1 45 2 2 2" xfId="22927" xr:uid="{00000000-0005-0000-0000-000033030000}"/>
    <cellStyle name="20% - Accent1 45 2 3" xfId="9645" xr:uid="{00000000-0005-0000-0000-000034030000}"/>
    <cellStyle name="20% - Accent1 45 2 3 2" xfId="20933" xr:uid="{00000000-0005-0000-0000-000035030000}"/>
    <cellStyle name="20% - Accent1 45 2 4" xfId="7651" xr:uid="{00000000-0005-0000-0000-000036030000}"/>
    <cellStyle name="20% - Accent1 45 2 4 2" xfId="18939" xr:uid="{00000000-0005-0000-0000-000037030000}"/>
    <cellStyle name="20% - Accent1 45 2 5" xfId="5657" xr:uid="{00000000-0005-0000-0000-000038030000}"/>
    <cellStyle name="20% - Accent1 45 2 5 2" xfId="16945" xr:uid="{00000000-0005-0000-0000-000039030000}"/>
    <cellStyle name="20% - Accent1 45 2 6" xfId="14951" xr:uid="{00000000-0005-0000-0000-00003A030000}"/>
    <cellStyle name="20% - Accent1 45 3" xfId="10642" xr:uid="{00000000-0005-0000-0000-00003B030000}"/>
    <cellStyle name="20% - Accent1 45 3 2" xfId="21930" xr:uid="{00000000-0005-0000-0000-00003C030000}"/>
    <cellStyle name="20% - Accent1 45 4" xfId="8648" xr:uid="{00000000-0005-0000-0000-00003D030000}"/>
    <cellStyle name="20% - Accent1 45 4 2" xfId="19936" xr:uid="{00000000-0005-0000-0000-00003E030000}"/>
    <cellStyle name="20% - Accent1 45 5" xfId="6654" xr:uid="{00000000-0005-0000-0000-00003F030000}"/>
    <cellStyle name="20% - Accent1 45 5 2" xfId="17942" xr:uid="{00000000-0005-0000-0000-000040030000}"/>
    <cellStyle name="20% - Accent1 45 6" xfId="4660" xr:uid="{00000000-0005-0000-0000-000041030000}"/>
    <cellStyle name="20% - Accent1 45 6 2" xfId="15948" xr:uid="{00000000-0005-0000-0000-000042030000}"/>
    <cellStyle name="20% - Accent1 45 7" xfId="13954" xr:uid="{00000000-0005-0000-0000-000043030000}"/>
    <cellStyle name="20% - Accent1 45 8" xfId="12640" xr:uid="{00000000-0005-0000-0000-000044030000}"/>
    <cellStyle name="20% - Accent1 46" xfId="705" xr:uid="{00000000-0005-0000-0000-000045030000}"/>
    <cellStyle name="20% - Accent1 46 2" xfId="3661" xr:uid="{00000000-0005-0000-0000-000046030000}"/>
    <cellStyle name="20% - Accent1 46 2 2" xfId="11640" xr:uid="{00000000-0005-0000-0000-000047030000}"/>
    <cellStyle name="20% - Accent1 46 2 2 2" xfId="22928" xr:uid="{00000000-0005-0000-0000-000048030000}"/>
    <cellStyle name="20% - Accent1 46 2 3" xfId="9646" xr:uid="{00000000-0005-0000-0000-000049030000}"/>
    <cellStyle name="20% - Accent1 46 2 3 2" xfId="20934" xr:uid="{00000000-0005-0000-0000-00004A030000}"/>
    <cellStyle name="20% - Accent1 46 2 4" xfId="7652" xr:uid="{00000000-0005-0000-0000-00004B030000}"/>
    <cellStyle name="20% - Accent1 46 2 4 2" xfId="18940" xr:uid="{00000000-0005-0000-0000-00004C030000}"/>
    <cellStyle name="20% - Accent1 46 2 5" xfId="5658" xr:uid="{00000000-0005-0000-0000-00004D030000}"/>
    <cellStyle name="20% - Accent1 46 2 5 2" xfId="16946" xr:uid="{00000000-0005-0000-0000-00004E030000}"/>
    <cellStyle name="20% - Accent1 46 2 6" xfId="14952" xr:uid="{00000000-0005-0000-0000-00004F030000}"/>
    <cellStyle name="20% - Accent1 46 3" xfId="10643" xr:uid="{00000000-0005-0000-0000-000050030000}"/>
    <cellStyle name="20% - Accent1 46 3 2" xfId="21931" xr:uid="{00000000-0005-0000-0000-000051030000}"/>
    <cellStyle name="20% - Accent1 46 4" xfId="8649" xr:uid="{00000000-0005-0000-0000-000052030000}"/>
    <cellStyle name="20% - Accent1 46 4 2" xfId="19937" xr:uid="{00000000-0005-0000-0000-000053030000}"/>
    <cellStyle name="20% - Accent1 46 5" xfId="6655" xr:uid="{00000000-0005-0000-0000-000054030000}"/>
    <cellStyle name="20% - Accent1 46 5 2" xfId="17943" xr:uid="{00000000-0005-0000-0000-000055030000}"/>
    <cellStyle name="20% - Accent1 46 6" xfId="4661" xr:uid="{00000000-0005-0000-0000-000056030000}"/>
    <cellStyle name="20% - Accent1 46 6 2" xfId="15949" xr:uid="{00000000-0005-0000-0000-000057030000}"/>
    <cellStyle name="20% - Accent1 46 7" xfId="13955" xr:uid="{00000000-0005-0000-0000-000058030000}"/>
    <cellStyle name="20% - Accent1 46 8" xfId="12641" xr:uid="{00000000-0005-0000-0000-000059030000}"/>
    <cellStyle name="20% - Accent1 47" xfId="706" xr:uid="{00000000-0005-0000-0000-00005A030000}"/>
    <cellStyle name="20% - Accent1 47 2" xfId="3662" xr:uid="{00000000-0005-0000-0000-00005B030000}"/>
    <cellStyle name="20% - Accent1 47 2 2" xfId="11641" xr:uid="{00000000-0005-0000-0000-00005C030000}"/>
    <cellStyle name="20% - Accent1 47 2 2 2" xfId="22929" xr:uid="{00000000-0005-0000-0000-00005D030000}"/>
    <cellStyle name="20% - Accent1 47 2 3" xfId="9647" xr:uid="{00000000-0005-0000-0000-00005E030000}"/>
    <cellStyle name="20% - Accent1 47 2 3 2" xfId="20935" xr:uid="{00000000-0005-0000-0000-00005F030000}"/>
    <cellStyle name="20% - Accent1 47 2 4" xfId="7653" xr:uid="{00000000-0005-0000-0000-000060030000}"/>
    <cellStyle name="20% - Accent1 47 2 4 2" xfId="18941" xr:uid="{00000000-0005-0000-0000-000061030000}"/>
    <cellStyle name="20% - Accent1 47 2 5" xfId="5659" xr:uid="{00000000-0005-0000-0000-000062030000}"/>
    <cellStyle name="20% - Accent1 47 2 5 2" xfId="16947" xr:uid="{00000000-0005-0000-0000-000063030000}"/>
    <cellStyle name="20% - Accent1 47 2 6" xfId="14953" xr:uid="{00000000-0005-0000-0000-000064030000}"/>
    <cellStyle name="20% - Accent1 47 3" xfId="10644" xr:uid="{00000000-0005-0000-0000-000065030000}"/>
    <cellStyle name="20% - Accent1 47 3 2" xfId="21932" xr:uid="{00000000-0005-0000-0000-000066030000}"/>
    <cellStyle name="20% - Accent1 47 4" xfId="8650" xr:uid="{00000000-0005-0000-0000-000067030000}"/>
    <cellStyle name="20% - Accent1 47 4 2" xfId="19938" xr:uid="{00000000-0005-0000-0000-000068030000}"/>
    <cellStyle name="20% - Accent1 47 5" xfId="6656" xr:uid="{00000000-0005-0000-0000-000069030000}"/>
    <cellStyle name="20% - Accent1 47 5 2" xfId="17944" xr:uid="{00000000-0005-0000-0000-00006A030000}"/>
    <cellStyle name="20% - Accent1 47 6" xfId="4662" xr:uid="{00000000-0005-0000-0000-00006B030000}"/>
    <cellStyle name="20% - Accent1 47 6 2" xfId="15950" xr:uid="{00000000-0005-0000-0000-00006C030000}"/>
    <cellStyle name="20% - Accent1 47 7" xfId="13956" xr:uid="{00000000-0005-0000-0000-00006D030000}"/>
    <cellStyle name="20% - Accent1 47 8" xfId="12642" xr:uid="{00000000-0005-0000-0000-00006E030000}"/>
    <cellStyle name="20% - Accent1 48" xfId="707" xr:uid="{00000000-0005-0000-0000-00006F030000}"/>
    <cellStyle name="20% - Accent1 48 2" xfId="3663" xr:uid="{00000000-0005-0000-0000-000070030000}"/>
    <cellStyle name="20% - Accent1 48 2 2" xfId="11642" xr:uid="{00000000-0005-0000-0000-000071030000}"/>
    <cellStyle name="20% - Accent1 48 2 2 2" xfId="22930" xr:uid="{00000000-0005-0000-0000-000072030000}"/>
    <cellStyle name="20% - Accent1 48 2 3" xfId="9648" xr:uid="{00000000-0005-0000-0000-000073030000}"/>
    <cellStyle name="20% - Accent1 48 2 3 2" xfId="20936" xr:uid="{00000000-0005-0000-0000-000074030000}"/>
    <cellStyle name="20% - Accent1 48 2 4" xfId="7654" xr:uid="{00000000-0005-0000-0000-000075030000}"/>
    <cellStyle name="20% - Accent1 48 2 4 2" xfId="18942" xr:uid="{00000000-0005-0000-0000-000076030000}"/>
    <cellStyle name="20% - Accent1 48 2 5" xfId="5660" xr:uid="{00000000-0005-0000-0000-000077030000}"/>
    <cellStyle name="20% - Accent1 48 2 5 2" xfId="16948" xr:uid="{00000000-0005-0000-0000-000078030000}"/>
    <cellStyle name="20% - Accent1 48 2 6" xfId="14954" xr:uid="{00000000-0005-0000-0000-000079030000}"/>
    <cellStyle name="20% - Accent1 48 3" xfId="10645" xr:uid="{00000000-0005-0000-0000-00007A030000}"/>
    <cellStyle name="20% - Accent1 48 3 2" xfId="21933" xr:uid="{00000000-0005-0000-0000-00007B030000}"/>
    <cellStyle name="20% - Accent1 48 4" xfId="8651" xr:uid="{00000000-0005-0000-0000-00007C030000}"/>
    <cellStyle name="20% - Accent1 48 4 2" xfId="19939" xr:uid="{00000000-0005-0000-0000-00007D030000}"/>
    <cellStyle name="20% - Accent1 48 5" xfId="6657" xr:uid="{00000000-0005-0000-0000-00007E030000}"/>
    <cellStyle name="20% - Accent1 48 5 2" xfId="17945" xr:uid="{00000000-0005-0000-0000-00007F030000}"/>
    <cellStyle name="20% - Accent1 48 6" xfId="4663" xr:uid="{00000000-0005-0000-0000-000080030000}"/>
    <cellStyle name="20% - Accent1 48 6 2" xfId="15951" xr:uid="{00000000-0005-0000-0000-000081030000}"/>
    <cellStyle name="20% - Accent1 48 7" xfId="13957" xr:uid="{00000000-0005-0000-0000-000082030000}"/>
    <cellStyle name="20% - Accent1 48 8" xfId="12643" xr:uid="{00000000-0005-0000-0000-000083030000}"/>
    <cellStyle name="20% - Accent1 49" xfId="708" xr:uid="{00000000-0005-0000-0000-000084030000}"/>
    <cellStyle name="20% - Accent1 49 2" xfId="3664" xr:uid="{00000000-0005-0000-0000-000085030000}"/>
    <cellStyle name="20% - Accent1 49 2 2" xfId="11643" xr:uid="{00000000-0005-0000-0000-000086030000}"/>
    <cellStyle name="20% - Accent1 49 2 2 2" xfId="22931" xr:uid="{00000000-0005-0000-0000-000087030000}"/>
    <cellStyle name="20% - Accent1 49 2 3" xfId="9649" xr:uid="{00000000-0005-0000-0000-000088030000}"/>
    <cellStyle name="20% - Accent1 49 2 3 2" xfId="20937" xr:uid="{00000000-0005-0000-0000-000089030000}"/>
    <cellStyle name="20% - Accent1 49 2 4" xfId="7655" xr:uid="{00000000-0005-0000-0000-00008A030000}"/>
    <cellStyle name="20% - Accent1 49 2 4 2" xfId="18943" xr:uid="{00000000-0005-0000-0000-00008B030000}"/>
    <cellStyle name="20% - Accent1 49 2 5" xfId="5661" xr:uid="{00000000-0005-0000-0000-00008C030000}"/>
    <cellStyle name="20% - Accent1 49 2 5 2" xfId="16949" xr:uid="{00000000-0005-0000-0000-00008D030000}"/>
    <cellStyle name="20% - Accent1 49 2 6" xfId="14955" xr:uid="{00000000-0005-0000-0000-00008E030000}"/>
    <cellStyle name="20% - Accent1 49 3" xfId="10646" xr:uid="{00000000-0005-0000-0000-00008F030000}"/>
    <cellStyle name="20% - Accent1 49 3 2" xfId="21934" xr:uid="{00000000-0005-0000-0000-000090030000}"/>
    <cellStyle name="20% - Accent1 49 4" xfId="8652" xr:uid="{00000000-0005-0000-0000-000091030000}"/>
    <cellStyle name="20% - Accent1 49 4 2" xfId="19940" xr:uid="{00000000-0005-0000-0000-000092030000}"/>
    <cellStyle name="20% - Accent1 49 5" xfId="6658" xr:uid="{00000000-0005-0000-0000-000093030000}"/>
    <cellStyle name="20% - Accent1 49 5 2" xfId="17946" xr:uid="{00000000-0005-0000-0000-000094030000}"/>
    <cellStyle name="20% - Accent1 49 6" xfId="4664" xr:uid="{00000000-0005-0000-0000-000095030000}"/>
    <cellStyle name="20% - Accent1 49 6 2" xfId="15952" xr:uid="{00000000-0005-0000-0000-000096030000}"/>
    <cellStyle name="20% - Accent1 49 7" xfId="13958" xr:uid="{00000000-0005-0000-0000-000097030000}"/>
    <cellStyle name="20% - Accent1 49 8" xfId="12644" xr:uid="{00000000-0005-0000-0000-000098030000}"/>
    <cellStyle name="20% - Accent1 5" xfId="709" xr:uid="{00000000-0005-0000-0000-000099030000}"/>
    <cellStyle name="20% - Accent1 5 10" xfId="24562" xr:uid="{00000000-0005-0000-0000-00009A030000}"/>
    <cellStyle name="20% - Accent1 5 11" xfId="24952" xr:uid="{00000000-0005-0000-0000-00009B030000}"/>
    <cellStyle name="20% - Accent1 5 2" xfId="3665" xr:uid="{00000000-0005-0000-0000-00009C030000}"/>
    <cellStyle name="20% - Accent1 5 2 2" xfId="11644" xr:uid="{00000000-0005-0000-0000-00009D030000}"/>
    <cellStyle name="20% - Accent1 5 2 2 2" xfId="22932" xr:uid="{00000000-0005-0000-0000-00009E030000}"/>
    <cellStyle name="20% - Accent1 5 2 3" xfId="9650" xr:uid="{00000000-0005-0000-0000-00009F030000}"/>
    <cellStyle name="20% - Accent1 5 2 3 2" xfId="20938" xr:uid="{00000000-0005-0000-0000-0000A0030000}"/>
    <cellStyle name="20% - Accent1 5 2 4" xfId="7656" xr:uid="{00000000-0005-0000-0000-0000A1030000}"/>
    <cellStyle name="20% - Accent1 5 2 4 2" xfId="18944" xr:uid="{00000000-0005-0000-0000-0000A2030000}"/>
    <cellStyle name="20% - Accent1 5 2 5" xfId="5662" xr:uid="{00000000-0005-0000-0000-0000A3030000}"/>
    <cellStyle name="20% - Accent1 5 2 5 2" xfId="16950" xr:uid="{00000000-0005-0000-0000-0000A4030000}"/>
    <cellStyle name="20% - Accent1 5 2 6" xfId="14956" xr:uid="{00000000-0005-0000-0000-0000A5030000}"/>
    <cellStyle name="20% - Accent1 5 2 7" xfId="24323" xr:uid="{00000000-0005-0000-0000-0000A6030000}"/>
    <cellStyle name="20% - Accent1 5 2 8" xfId="24787" xr:uid="{00000000-0005-0000-0000-0000A7030000}"/>
    <cellStyle name="20% - Accent1 5 2 9" xfId="25154" xr:uid="{00000000-0005-0000-0000-0000A8030000}"/>
    <cellStyle name="20% - Accent1 5 3" xfId="10647" xr:uid="{00000000-0005-0000-0000-0000A9030000}"/>
    <cellStyle name="20% - Accent1 5 3 2" xfId="21935" xr:uid="{00000000-0005-0000-0000-0000AA030000}"/>
    <cellStyle name="20% - Accent1 5 4" xfId="8653" xr:uid="{00000000-0005-0000-0000-0000AB030000}"/>
    <cellStyle name="20% - Accent1 5 4 2" xfId="19941" xr:uid="{00000000-0005-0000-0000-0000AC030000}"/>
    <cellStyle name="20% - Accent1 5 5" xfId="6659" xr:uid="{00000000-0005-0000-0000-0000AD030000}"/>
    <cellStyle name="20% - Accent1 5 5 2" xfId="17947" xr:uid="{00000000-0005-0000-0000-0000AE030000}"/>
    <cellStyle name="20% - Accent1 5 6" xfId="4665" xr:uid="{00000000-0005-0000-0000-0000AF030000}"/>
    <cellStyle name="20% - Accent1 5 6 2" xfId="15953" xr:uid="{00000000-0005-0000-0000-0000B0030000}"/>
    <cellStyle name="20% - Accent1 5 7" xfId="13959" xr:uid="{00000000-0005-0000-0000-0000B1030000}"/>
    <cellStyle name="20% - Accent1 5 8" xfId="12645" xr:uid="{00000000-0005-0000-0000-0000B2030000}"/>
    <cellStyle name="20% - Accent1 5 9" xfId="23935" xr:uid="{00000000-0005-0000-0000-0000B3030000}"/>
    <cellStyle name="20% - Accent1 50" xfId="710" xr:uid="{00000000-0005-0000-0000-0000B4030000}"/>
    <cellStyle name="20% - Accent1 50 2" xfId="3666" xr:uid="{00000000-0005-0000-0000-0000B5030000}"/>
    <cellStyle name="20% - Accent1 50 2 2" xfId="11645" xr:uid="{00000000-0005-0000-0000-0000B6030000}"/>
    <cellStyle name="20% - Accent1 50 2 2 2" xfId="22933" xr:uid="{00000000-0005-0000-0000-0000B7030000}"/>
    <cellStyle name="20% - Accent1 50 2 3" xfId="9651" xr:uid="{00000000-0005-0000-0000-0000B8030000}"/>
    <cellStyle name="20% - Accent1 50 2 3 2" xfId="20939" xr:uid="{00000000-0005-0000-0000-0000B9030000}"/>
    <cellStyle name="20% - Accent1 50 2 4" xfId="7657" xr:uid="{00000000-0005-0000-0000-0000BA030000}"/>
    <cellStyle name="20% - Accent1 50 2 4 2" xfId="18945" xr:uid="{00000000-0005-0000-0000-0000BB030000}"/>
    <cellStyle name="20% - Accent1 50 2 5" xfId="5663" xr:uid="{00000000-0005-0000-0000-0000BC030000}"/>
    <cellStyle name="20% - Accent1 50 2 5 2" xfId="16951" xr:uid="{00000000-0005-0000-0000-0000BD030000}"/>
    <cellStyle name="20% - Accent1 50 2 6" xfId="14957" xr:uid="{00000000-0005-0000-0000-0000BE030000}"/>
    <cellStyle name="20% - Accent1 50 3" xfId="10648" xr:uid="{00000000-0005-0000-0000-0000BF030000}"/>
    <cellStyle name="20% - Accent1 50 3 2" xfId="21936" xr:uid="{00000000-0005-0000-0000-0000C0030000}"/>
    <cellStyle name="20% - Accent1 50 4" xfId="8654" xr:uid="{00000000-0005-0000-0000-0000C1030000}"/>
    <cellStyle name="20% - Accent1 50 4 2" xfId="19942" xr:uid="{00000000-0005-0000-0000-0000C2030000}"/>
    <cellStyle name="20% - Accent1 50 5" xfId="6660" xr:uid="{00000000-0005-0000-0000-0000C3030000}"/>
    <cellStyle name="20% - Accent1 50 5 2" xfId="17948" xr:uid="{00000000-0005-0000-0000-0000C4030000}"/>
    <cellStyle name="20% - Accent1 50 6" xfId="4666" xr:uid="{00000000-0005-0000-0000-0000C5030000}"/>
    <cellStyle name="20% - Accent1 50 6 2" xfId="15954" xr:uid="{00000000-0005-0000-0000-0000C6030000}"/>
    <cellStyle name="20% - Accent1 50 7" xfId="13960" xr:uid="{00000000-0005-0000-0000-0000C7030000}"/>
    <cellStyle name="20% - Accent1 50 8" xfId="12646" xr:uid="{00000000-0005-0000-0000-0000C8030000}"/>
    <cellStyle name="20% - Accent1 51" xfId="711" xr:uid="{00000000-0005-0000-0000-0000C9030000}"/>
    <cellStyle name="20% - Accent1 51 2" xfId="3667" xr:uid="{00000000-0005-0000-0000-0000CA030000}"/>
    <cellStyle name="20% - Accent1 51 2 2" xfId="11646" xr:uid="{00000000-0005-0000-0000-0000CB030000}"/>
    <cellStyle name="20% - Accent1 51 2 2 2" xfId="22934" xr:uid="{00000000-0005-0000-0000-0000CC030000}"/>
    <cellStyle name="20% - Accent1 51 2 3" xfId="9652" xr:uid="{00000000-0005-0000-0000-0000CD030000}"/>
    <cellStyle name="20% - Accent1 51 2 3 2" xfId="20940" xr:uid="{00000000-0005-0000-0000-0000CE030000}"/>
    <cellStyle name="20% - Accent1 51 2 4" xfId="7658" xr:uid="{00000000-0005-0000-0000-0000CF030000}"/>
    <cellStyle name="20% - Accent1 51 2 4 2" xfId="18946" xr:uid="{00000000-0005-0000-0000-0000D0030000}"/>
    <cellStyle name="20% - Accent1 51 2 5" xfId="5664" xr:uid="{00000000-0005-0000-0000-0000D1030000}"/>
    <cellStyle name="20% - Accent1 51 2 5 2" xfId="16952" xr:uid="{00000000-0005-0000-0000-0000D2030000}"/>
    <cellStyle name="20% - Accent1 51 2 6" xfId="14958" xr:uid="{00000000-0005-0000-0000-0000D3030000}"/>
    <cellStyle name="20% - Accent1 51 3" xfId="10649" xr:uid="{00000000-0005-0000-0000-0000D4030000}"/>
    <cellStyle name="20% - Accent1 51 3 2" xfId="21937" xr:uid="{00000000-0005-0000-0000-0000D5030000}"/>
    <cellStyle name="20% - Accent1 51 4" xfId="8655" xr:uid="{00000000-0005-0000-0000-0000D6030000}"/>
    <cellStyle name="20% - Accent1 51 4 2" xfId="19943" xr:uid="{00000000-0005-0000-0000-0000D7030000}"/>
    <cellStyle name="20% - Accent1 51 5" xfId="6661" xr:uid="{00000000-0005-0000-0000-0000D8030000}"/>
    <cellStyle name="20% - Accent1 51 5 2" xfId="17949" xr:uid="{00000000-0005-0000-0000-0000D9030000}"/>
    <cellStyle name="20% - Accent1 51 6" xfId="4667" xr:uid="{00000000-0005-0000-0000-0000DA030000}"/>
    <cellStyle name="20% - Accent1 51 6 2" xfId="15955" xr:uid="{00000000-0005-0000-0000-0000DB030000}"/>
    <cellStyle name="20% - Accent1 51 7" xfId="13961" xr:uid="{00000000-0005-0000-0000-0000DC030000}"/>
    <cellStyle name="20% - Accent1 51 8" xfId="12647" xr:uid="{00000000-0005-0000-0000-0000DD030000}"/>
    <cellStyle name="20% - Accent1 52" xfId="712" xr:uid="{00000000-0005-0000-0000-0000DE030000}"/>
    <cellStyle name="20% - Accent1 52 2" xfId="3668" xr:uid="{00000000-0005-0000-0000-0000DF030000}"/>
    <cellStyle name="20% - Accent1 52 2 2" xfId="11647" xr:uid="{00000000-0005-0000-0000-0000E0030000}"/>
    <cellStyle name="20% - Accent1 52 2 2 2" xfId="22935" xr:uid="{00000000-0005-0000-0000-0000E1030000}"/>
    <cellStyle name="20% - Accent1 52 2 3" xfId="9653" xr:uid="{00000000-0005-0000-0000-0000E2030000}"/>
    <cellStyle name="20% - Accent1 52 2 3 2" xfId="20941" xr:uid="{00000000-0005-0000-0000-0000E3030000}"/>
    <cellStyle name="20% - Accent1 52 2 4" xfId="7659" xr:uid="{00000000-0005-0000-0000-0000E4030000}"/>
    <cellStyle name="20% - Accent1 52 2 4 2" xfId="18947" xr:uid="{00000000-0005-0000-0000-0000E5030000}"/>
    <cellStyle name="20% - Accent1 52 2 5" xfId="5665" xr:uid="{00000000-0005-0000-0000-0000E6030000}"/>
    <cellStyle name="20% - Accent1 52 2 5 2" xfId="16953" xr:uid="{00000000-0005-0000-0000-0000E7030000}"/>
    <cellStyle name="20% - Accent1 52 2 6" xfId="14959" xr:uid="{00000000-0005-0000-0000-0000E8030000}"/>
    <cellStyle name="20% - Accent1 52 3" xfId="10650" xr:uid="{00000000-0005-0000-0000-0000E9030000}"/>
    <cellStyle name="20% - Accent1 52 3 2" xfId="21938" xr:uid="{00000000-0005-0000-0000-0000EA030000}"/>
    <cellStyle name="20% - Accent1 52 4" xfId="8656" xr:uid="{00000000-0005-0000-0000-0000EB030000}"/>
    <cellStyle name="20% - Accent1 52 4 2" xfId="19944" xr:uid="{00000000-0005-0000-0000-0000EC030000}"/>
    <cellStyle name="20% - Accent1 52 5" xfId="6662" xr:uid="{00000000-0005-0000-0000-0000ED030000}"/>
    <cellStyle name="20% - Accent1 52 5 2" xfId="17950" xr:uid="{00000000-0005-0000-0000-0000EE030000}"/>
    <cellStyle name="20% - Accent1 52 6" xfId="4668" xr:uid="{00000000-0005-0000-0000-0000EF030000}"/>
    <cellStyle name="20% - Accent1 52 6 2" xfId="15956" xr:uid="{00000000-0005-0000-0000-0000F0030000}"/>
    <cellStyle name="20% - Accent1 52 7" xfId="13962" xr:uid="{00000000-0005-0000-0000-0000F1030000}"/>
    <cellStyle name="20% - Accent1 52 8" xfId="12648" xr:uid="{00000000-0005-0000-0000-0000F2030000}"/>
    <cellStyle name="20% - Accent1 53" xfId="713" xr:uid="{00000000-0005-0000-0000-0000F3030000}"/>
    <cellStyle name="20% - Accent1 53 2" xfId="3669" xr:uid="{00000000-0005-0000-0000-0000F4030000}"/>
    <cellStyle name="20% - Accent1 53 2 2" xfId="11648" xr:uid="{00000000-0005-0000-0000-0000F5030000}"/>
    <cellStyle name="20% - Accent1 53 2 2 2" xfId="22936" xr:uid="{00000000-0005-0000-0000-0000F6030000}"/>
    <cellStyle name="20% - Accent1 53 2 3" xfId="9654" xr:uid="{00000000-0005-0000-0000-0000F7030000}"/>
    <cellStyle name="20% - Accent1 53 2 3 2" xfId="20942" xr:uid="{00000000-0005-0000-0000-0000F8030000}"/>
    <cellStyle name="20% - Accent1 53 2 4" xfId="7660" xr:uid="{00000000-0005-0000-0000-0000F9030000}"/>
    <cellStyle name="20% - Accent1 53 2 4 2" xfId="18948" xr:uid="{00000000-0005-0000-0000-0000FA030000}"/>
    <cellStyle name="20% - Accent1 53 2 5" xfId="5666" xr:uid="{00000000-0005-0000-0000-0000FB030000}"/>
    <cellStyle name="20% - Accent1 53 2 5 2" xfId="16954" xr:uid="{00000000-0005-0000-0000-0000FC030000}"/>
    <cellStyle name="20% - Accent1 53 2 6" xfId="14960" xr:uid="{00000000-0005-0000-0000-0000FD030000}"/>
    <cellStyle name="20% - Accent1 53 3" xfId="10651" xr:uid="{00000000-0005-0000-0000-0000FE030000}"/>
    <cellStyle name="20% - Accent1 53 3 2" xfId="21939" xr:uid="{00000000-0005-0000-0000-0000FF030000}"/>
    <cellStyle name="20% - Accent1 53 4" xfId="8657" xr:uid="{00000000-0005-0000-0000-000000040000}"/>
    <cellStyle name="20% - Accent1 53 4 2" xfId="19945" xr:uid="{00000000-0005-0000-0000-000001040000}"/>
    <cellStyle name="20% - Accent1 53 5" xfId="6663" xr:uid="{00000000-0005-0000-0000-000002040000}"/>
    <cellStyle name="20% - Accent1 53 5 2" xfId="17951" xr:uid="{00000000-0005-0000-0000-000003040000}"/>
    <cellStyle name="20% - Accent1 53 6" xfId="4669" xr:uid="{00000000-0005-0000-0000-000004040000}"/>
    <cellStyle name="20% - Accent1 53 6 2" xfId="15957" xr:uid="{00000000-0005-0000-0000-000005040000}"/>
    <cellStyle name="20% - Accent1 53 7" xfId="13963" xr:uid="{00000000-0005-0000-0000-000006040000}"/>
    <cellStyle name="20% - Accent1 53 8" xfId="12649" xr:uid="{00000000-0005-0000-0000-000007040000}"/>
    <cellStyle name="20% - Accent1 54" xfId="714" xr:uid="{00000000-0005-0000-0000-000008040000}"/>
    <cellStyle name="20% - Accent1 54 2" xfId="3670" xr:uid="{00000000-0005-0000-0000-000009040000}"/>
    <cellStyle name="20% - Accent1 54 2 2" xfId="11649" xr:uid="{00000000-0005-0000-0000-00000A040000}"/>
    <cellStyle name="20% - Accent1 54 2 2 2" xfId="22937" xr:uid="{00000000-0005-0000-0000-00000B040000}"/>
    <cellStyle name="20% - Accent1 54 2 3" xfId="9655" xr:uid="{00000000-0005-0000-0000-00000C040000}"/>
    <cellStyle name="20% - Accent1 54 2 3 2" xfId="20943" xr:uid="{00000000-0005-0000-0000-00000D040000}"/>
    <cellStyle name="20% - Accent1 54 2 4" xfId="7661" xr:uid="{00000000-0005-0000-0000-00000E040000}"/>
    <cellStyle name="20% - Accent1 54 2 4 2" xfId="18949" xr:uid="{00000000-0005-0000-0000-00000F040000}"/>
    <cellStyle name="20% - Accent1 54 2 5" xfId="5667" xr:uid="{00000000-0005-0000-0000-000010040000}"/>
    <cellStyle name="20% - Accent1 54 2 5 2" xfId="16955" xr:uid="{00000000-0005-0000-0000-000011040000}"/>
    <cellStyle name="20% - Accent1 54 2 6" xfId="14961" xr:uid="{00000000-0005-0000-0000-000012040000}"/>
    <cellStyle name="20% - Accent1 54 3" xfId="10652" xr:uid="{00000000-0005-0000-0000-000013040000}"/>
    <cellStyle name="20% - Accent1 54 3 2" xfId="21940" xr:uid="{00000000-0005-0000-0000-000014040000}"/>
    <cellStyle name="20% - Accent1 54 4" xfId="8658" xr:uid="{00000000-0005-0000-0000-000015040000}"/>
    <cellStyle name="20% - Accent1 54 4 2" xfId="19946" xr:uid="{00000000-0005-0000-0000-000016040000}"/>
    <cellStyle name="20% - Accent1 54 5" xfId="6664" xr:uid="{00000000-0005-0000-0000-000017040000}"/>
    <cellStyle name="20% - Accent1 54 5 2" xfId="17952" xr:uid="{00000000-0005-0000-0000-000018040000}"/>
    <cellStyle name="20% - Accent1 54 6" xfId="4670" xr:uid="{00000000-0005-0000-0000-000019040000}"/>
    <cellStyle name="20% - Accent1 54 6 2" xfId="15958" xr:uid="{00000000-0005-0000-0000-00001A040000}"/>
    <cellStyle name="20% - Accent1 54 7" xfId="13964" xr:uid="{00000000-0005-0000-0000-00001B040000}"/>
    <cellStyle name="20% - Accent1 54 8" xfId="12650" xr:uid="{00000000-0005-0000-0000-00001C040000}"/>
    <cellStyle name="20% - Accent1 55" xfId="715" xr:uid="{00000000-0005-0000-0000-00001D040000}"/>
    <cellStyle name="20% - Accent1 55 2" xfId="3671" xr:uid="{00000000-0005-0000-0000-00001E040000}"/>
    <cellStyle name="20% - Accent1 55 2 2" xfId="11650" xr:uid="{00000000-0005-0000-0000-00001F040000}"/>
    <cellStyle name="20% - Accent1 55 2 2 2" xfId="22938" xr:uid="{00000000-0005-0000-0000-000020040000}"/>
    <cellStyle name="20% - Accent1 55 2 3" xfId="9656" xr:uid="{00000000-0005-0000-0000-000021040000}"/>
    <cellStyle name="20% - Accent1 55 2 3 2" xfId="20944" xr:uid="{00000000-0005-0000-0000-000022040000}"/>
    <cellStyle name="20% - Accent1 55 2 4" xfId="7662" xr:uid="{00000000-0005-0000-0000-000023040000}"/>
    <cellStyle name="20% - Accent1 55 2 4 2" xfId="18950" xr:uid="{00000000-0005-0000-0000-000024040000}"/>
    <cellStyle name="20% - Accent1 55 2 5" xfId="5668" xr:uid="{00000000-0005-0000-0000-000025040000}"/>
    <cellStyle name="20% - Accent1 55 2 5 2" xfId="16956" xr:uid="{00000000-0005-0000-0000-000026040000}"/>
    <cellStyle name="20% - Accent1 55 2 6" xfId="14962" xr:uid="{00000000-0005-0000-0000-000027040000}"/>
    <cellStyle name="20% - Accent1 55 3" xfId="10653" xr:uid="{00000000-0005-0000-0000-000028040000}"/>
    <cellStyle name="20% - Accent1 55 3 2" xfId="21941" xr:uid="{00000000-0005-0000-0000-000029040000}"/>
    <cellStyle name="20% - Accent1 55 4" xfId="8659" xr:uid="{00000000-0005-0000-0000-00002A040000}"/>
    <cellStyle name="20% - Accent1 55 4 2" xfId="19947" xr:uid="{00000000-0005-0000-0000-00002B040000}"/>
    <cellStyle name="20% - Accent1 55 5" xfId="6665" xr:uid="{00000000-0005-0000-0000-00002C040000}"/>
    <cellStyle name="20% - Accent1 55 5 2" xfId="17953" xr:uid="{00000000-0005-0000-0000-00002D040000}"/>
    <cellStyle name="20% - Accent1 55 6" xfId="4671" xr:uid="{00000000-0005-0000-0000-00002E040000}"/>
    <cellStyle name="20% - Accent1 55 6 2" xfId="15959" xr:uid="{00000000-0005-0000-0000-00002F040000}"/>
    <cellStyle name="20% - Accent1 55 7" xfId="13965" xr:uid="{00000000-0005-0000-0000-000030040000}"/>
    <cellStyle name="20% - Accent1 55 8" xfId="12651" xr:uid="{00000000-0005-0000-0000-000031040000}"/>
    <cellStyle name="20% - Accent1 56" xfId="716" xr:uid="{00000000-0005-0000-0000-000032040000}"/>
    <cellStyle name="20% - Accent1 56 2" xfId="3672" xr:uid="{00000000-0005-0000-0000-000033040000}"/>
    <cellStyle name="20% - Accent1 56 2 2" xfId="11651" xr:uid="{00000000-0005-0000-0000-000034040000}"/>
    <cellStyle name="20% - Accent1 56 2 2 2" xfId="22939" xr:uid="{00000000-0005-0000-0000-000035040000}"/>
    <cellStyle name="20% - Accent1 56 2 3" xfId="9657" xr:uid="{00000000-0005-0000-0000-000036040000}"/>
    <cellStyle name="20% - Accent1 56 2 3 2" xfId="20945" xr:uid="{00000000-0005-0000-0000-000037040000}"/>
    <cellStyle name="20% - Accent1 56 2 4" xfId="7663" xr:uid="{00000000-0005-0000-0000-000038040000}"/>
    <cellStyle name="20% - Accent1 56 2 4 2" xfId="18951" xr:uid="{00000000-0005-0000-0000-000039040000}"/>
    <cellStyle name="20% - Accent1 56 2 5" xfId="5669" xr:uid="{00000000-0005-0000-0000-00003A040000}"/>
    <cellStyle name="20% - Accent1 56 2 5 2" xfId="16957" xr:uid="{00000000-0005-0000-0000-00003B040000}"/>
    <cellStyle name="20% - Accent1 56 2 6" xfId="14963" xr:uid="{00000000-0005-0000-0000-00003C040000}"/>
    <cellStyle name="20% - Accent1 56 3" xfId="10654" xr:uid="{00000000-0005-0000-0000-00003D040000}"/>
    <cellStyle name="20% - Accent1 56 3 2" xfId="21942" xr:uid="{00000000-0005-0000-0000-00003E040000}"/>
    <cellStyle name="20% - Accent1 56 4" xfId="8660" xr:uid="{00000000-0005-0000-0000-00003F040000}"/>
    <cellStyle name="20% - Accent1 56 4 2" xfId="19948" xr:uid="{00000000-0005-0000-0000-000040040000}"/>
    <cellStyle name="20% - Accent1 56 5" xfId="6666" xr:uid="{00000000-0005-0000-0000-000041040000}"/>
    <cellStyle name="20% - Accent1 56 5 2" xfId="17954" xr:uid="{00000000-0005-0000-0000-000042040000}"/>
    <cellStyle name="20% - Accent1 56 6" xfId="4672" xr:uid="{00000000-0005-0000-0000-000043040000}"/>
    <cellStyle name="20% - Accent1 56 6 2" xfId="15960" xr:uid="{00000000-0005-0000-0000-000044040000}"/>
    <cellStyle name="20% - Accent1 56 7" xfId="13966" xr:uid="{00000000-0005-0000-0000-000045040000}"/>
    <cellStyle name="20% - Accent1 56 8" xfId="12652" xr:uid="{00000000-0005-0000-0000-000046040000}"/>
    <cellStyle name="20% - Accent1 57" xfId="717" xr:uid="{00000000-0005-0000-0000-000047040000}"/>
    <cellStyle name="20% - Accent1 57 2" xfId="3673" xr:uid="{00000000-0005-0000-0000-000048040000}"/>
    <cellStyle name="20% - Accent1 57 2 2" xfId="11652" xr:uid="{00000000-0005-0000-0000-000049040000}"/>
    <cellStyle name="20% - Accent1 57 2 2 2" xfId="22940" xr:uid="{00000000-0005-0000-0000-00004A040000}"/>
    <cellStyle name="20% - Accent1 57 2 3" xfId="9658" xr:uid="{00000000-0005-0000-0000-00004B040000}"/>
    <cellStyle name="20% - Accent1 57 2 3 2" xfId="20946" xr:uid="{00000000-0005-0000-0000-00004C040000}"/>
    <cellStyle name="20% - Accent1 57 2 4" xfId="7664" xr:uid="{00000000-0005-0000-0000-00004D040000}"/>
    <cellStyle name="20% - Accent1 57 2 4 2" xfId="18952" xr:uid="{00000000-0005-0000-0000-00004E040000}"/>
    <cellStyle name="20% - Accent1 57 2 5" xfId="5670" xr:uid="{00000000-0005-0000-0000-00004F040000}"/>
    <cellStyle name="20% - Accent1 57 2 5 2" xfId="16958" xr:uid="{00000000-0005-0000-0000-000050040000}"/>
    <cellStyle name="20% - Accent1 57 2 6" xfId="14964" xr:uid="{00000000-0005-0000-0000-000051040000}"/>
    <cellStyle name="20% - Accent1 57 3" xfId="10655" xr:uid="{00000000-0005-0000-0000-000052040000}"/>
    <cellStyle name="20% - Accent1 57 3 2" xfId="21943" xr:uid="{00000000-0005-0000-0000-000053040000}"/>
    <cellStyle name="20% - Accent1 57 4" xfId="8661" xr:uid="{00000000-0005-0000-0000-000054040000}"/>
    <cellStyle name="20% - Accent1 57 4 2" xfId="19949" xr:uid="{00000000-0005-0000-0000-000055040000}"/>
    <cellStyle name="20% - Accent1 57 5" xfId="6667" xr:uid="{00000000-0005-0000-0000-000056040000}"/>
    <cellStyle name="20% - Accent1 57 5 2" xfId="17955" xr:uid="{00000000-0005-0000-0000-000057040000}"/>
    <cellStyle name="20% - Accent1 57 6" xfId="4673" xr:uid="{00000000-0005-0000-0000-000058040000}"/>
    <cellStyle name="20% - Accent1 57 6 2" xfId="15961" xr:uid="{00000000-0005-0000-0000-000059040000}"/>
    <cellStyle name="20% - Accent1 57 7" xfId="13967" xr:uid="{00000000-0005-0000-0000-00005A040000}"/>
    <cellStyle name="20% - Accent1 57 8" xfId="12653" xr:uid="{00000000-0005-0000-0000-00005B040000}"/>
    <cellStyle name="20% - Accent1 58" xfId="718" xr:uid="{00000000-0005-0000-0000-00005C040000}"/>
    <cellStyle name="20% - Accent1 58 2" xfId="3674" xr:uid="{00000000-0005-0000-0000-00005D040000}"/>
    <cellStyle name="20% - Accent1 58 2 2" xfId="11653" xr:uid="{00000000-0005-0000-0000-00005E040000}"/>
    <cellStyle name="20% - Accent1 58 2 2 2" xfId="22941" xr:uid="{00000000-0005-0000-0000-00005F040000}"/>
    <cellStyle name="20% - Accent1 58 2 3" xfId="9659" xr:uid="{00000000-0005-0000-0000-000060040000}"/>
    <cellStyle name="20% - Accent1 58 2 3 2" xfId="20947" xr:uid="{00000000-0005-0000-0000-000061040000}"/>
    <cellStyle name="20% - Accent1 58 2 4" xfId="7665" xr:uid="{00000000-0005-0000-0000-000062040000}"/>
    <cellStyle name="20% - Accent1 58 2 4 2" xfId="18953" xr:uid="{00000000-0005-0000-0000-000063040000}"/>
    <cellStyle name="20% - Accent1 58 2 5" xfId="5671" xr:uid="{00000000-0005-0000-0000-000064040000}"/>
    <cellStyle name="20% - Accent1 58 2 5 2" xfId="16959" xr:uid="{00000000-0005-0000-0000-000065040000}"/>
    <cellStyle name="20% - Accent1 58 2 6" xfId="14965" xr:uid="{00000000-0005-0000-0000-000066040000}"/>
    <cellStyle name="20% - Accent1 58 3" xfId="10656" xr:uid="{00000000-0005-0000-0000-000067040000}"/>
    <cellStyle name="20% - Accent1 58 3 2" xfId="21944" xr:uid="{00000000-0005-0000-0000-000068040000}"/>
    <cellStyle name="20% - Accent1 58 4" xfId="8662" xr:uid="{00000000-0005-0000-0000-000069040000}"/>
    <cellStyle name="20% - Accent1 58 4 2" xfId="19950" xr:uid="{00000000-0005-0000-0000-00006A040000}"/>
    <cellStyle name="20% - Accent1 58 5" xfId="6668" xr:uid="{00000000-0005-0000-0000-00006B040000}"/>
    <cellStyle name="20% - Accent1 58 5 2" xfId="17956" xr:uid="{00000000-0005-0000-0000-00006C040000}"/>
    <cellStyle name="20% - Accent1 58 6" xfId="4674" xr:uid="{00000000-0005-0000-0000-00006D040000}"/>
    <cellStyle name="20% - Accent1 58 6 2" xfId="15962" xr:uid="{00000000-0005-0000-0000-00006E040000}"/>
    <cellStyle name="20% - Accent1 58 7" xfId="13968" xr:uid="{00000000-0005-0000-0000-00006F040000}"/>
    <cellStyle name="20% - Accent1 58 8" xfId="12654" xr:uid="{00000000-0005-0000-0000-000070040000}"/>
    <cellStyle name="20% - Accent1 59" xfId="719" xr:uid="{00000000-0005-0000-0000-000071040000}"/>
    <cellStyle name="20% - Accent1 59 2" xfId="3675" xr:uid="{00000000-0005-0000-0000-000072040000}"/>
    <cellStyle name="20% - Accent1 59 2 2" xfId="11654" xr:uid="{00000000-0005-0000-0000-000073040000}"/>
    <cellStyle name="20% - Accent1 59 2 2 2" xfId="22942" xr:uid="{00000000-0005-0000-0000-000074040000}"/>
    <cellStyle name="20% - Accent1 59 2 3" xfId="9660" xr:uid="{00000000-0005-0000-0000-000075040000}"/>
    <cellStyle name="20% - Accent1 59 2 3 2" xfId="20948" xr:uid="{00000000-0005-0000-0000-000076040000}"/>
    <cellStyle name="20% - Accent1 59 2 4" xfId="7666" xr:uid="{00000000-0005-0000-0000-000077040000}"/>
    <cellStyle name="20% - Accent1 59 2 4 2" xfId="18954" xr:uid="{00000000-0005-0000-0000-000078040000}"/>
    <cellStyle name="20% - Accent1 59 2 5" xfId="5672" xr:uid="{00000000-0005-0000-0000-000079040000}"/>
    <cellStyle name="20% - Accent1 59 2 5 2" xfId="16960" xr:uid="{00000000-0005-0000-0000-00007A040000}"/>
    <cellStyle name="20% - Accent1 59 2 6" xfId="14966" xr:uid="{00000000-0005-0000-0000-00007B040000}"/>
    <cellStyle name="20% - Accent1 59 3" xfId="10657" xr:uid="{00000000-0005-0000-0000-00007C040000}"/>
    <cellStyle name="20% - Accent1 59 3 2" xfId="21945" xr:uid="{00000000-0005-0000-0000-00007D040000}"/>
    <cellStyle name="20% - Accent1 59 4" xfId="8663" xr:uid="{00000000-0005-0000-0000-00007E040000}"/>
    <cellStyle name="20% - Accent1 59 4 2" xfId="19951" xr:uid="{00000000-0005-0000-0000-00007F040000}"/>
    <cellStyle name="20% - Accent1 59 5" xfId="6669" xr:uid="{00000000-0005-0000-0000-000080040000}"/>
    <cellStyle name="20% - Accent1 59 5 2" xfId="17957" xr:uid="{00000000-0005-0000-0000-000081040000}"/>
    <cellStyle name="20% - Accent1 59 6" xfId="4675" xr:uid="{00000000-0005-0000-0000-000082040000}"/>
    <cellStyle name="20% - Accent1 59 6 2" xfId="15963" xr:uid="{00000000-0005-0000-0000-000083040000}"/>
    <cellStyle name="20% - Accent1 59 7" xfId="13969" xr:uid="{00000000-0005-0000-0000-000084040000}"/>
    <cellStyle name="20% - Accent1 59 8" xfId="12655" xr:uid="{00000000-0005-0000-0000-000085040000}"/>
    <cellStyle name="20% - Accent1 6" xfId="720" xr:uid="{00000000-0005-0000-0000-000086040000}"/>
    <cellStyle name="20% - Accent1 6 10" xfId="24563" xr:uid="{00000000-0005-0000-0000-000087040000}"/>
    <cellStyle name="20% - Accent1 6 11" xfId="24953" xr:uid="{00000000-0005-0000-0000-000088040000}"/>
    <cellStyle name="20% - Accent1 6 2" xfId="3676" xr:uid="{00000000-0005-0000-0000-000089040000}"/>
    <cellStyle name="20% - Accent1 6 2 2" xfId="11655" xr:uid="{00000000-0005-0000-0000-00008A040000}"/>
    <cellStyle name="20% - Accent1 6 2 2 2" xfId="22943" xr:uid="{00000000-0005-0000-0000-00008B040000}"/>
    <cellStyle name="20% - Accent1 6 2 3" xfId="9661" xr:uid="{00000000-0005-0000-0000-00008C040000}"/>
    <cellStyle name="20% - Accent1 6 2 3 2" xfId="20949" xr:uid="{00000000-0005-0000-0000-00008D040000}"/>
    <cellStyle name="20% - Accent1 6 2 4" xfId="7667" xr:uid="{00000000-0005-0000-0000-00008E040000}"/>
    <cellStyle name="20% - Accent1 6 2 4 2" xfId="18955" xr:uid="{00000000-0005-0000-0000-00008F040000}"/>
    <cellStyle name="20% - Accent1 6 2 5" xfId="5673" xr:uid="{00000000-0005-0000-0000-000090040000}"/>
    <cellStyle name="20% - Accent1 6 2 5 2" xfId="16961" xr:uid="{00000000-0005-0000-0000-000091040000}"/>
    <cellStyle name="20% - Accent1 6 2 6" xfId="14967" xr:uid="{00000000-0005-0000-0000-000092040000}"/>
    <cellStyle name="20% - Accent1 6 2 7" xfId="24324" xr:uid="{00000000-0005-0000-0000-000093040000}"/>
    <cellStyle name="20% - Accent1 6 2 8" xfId="24788" xr:uid="{00000000-0005-0000-0000-000094040000}"/>
    <cellStyle name="20% - Accent1 6 2 9" xfId="25155" xr:uid="{00000000-0005-0000-0000-000095040000}"/>
    <cellStyle name="20% - Accent1 6 3" xfId="10658" xr:uid="{00000000-0005-0000-0000-000096040000}"/>
    <cellStyle name="20% - Accent1 6 3 2" xfId="21946" xr:uid="{00000000-0005-0000-0000-000097040000}"/>
    <cellStyle name="20% - Accent1 6 4" xfId="8664" xr:uid="{00000000-0005-0000-0000-000098040000}"/>
    <cellStyle name="20% - Accent1 6 4 2" xfId="19952" xr:uid="{00000000-0005-0000-0000-000099040000}"/>
    <cellStyle name="20% - Accent1 6 5" xfId="6670" xr:uid="{00000000-0005-0000-0000-00009A040000}"/>
    <cellStyle name="20% - Accent1 6 5 2" xfId="17958" xr:uid="{00000000-0005-0000-0000-00009B040000}"/>
    <cellStyle name="20% - Accent1 6 6" xfId="4676" xr:uid="{00000000-0005-0000-0000-00009C040000}"/>
    <cellStyle name="20% - Accent1 6 6 2" xfId="15964" xr:uid="{00000000-0005-0000-0000-00009D040000}"/>
    <cellStyle name="20% - Accent1 6 7" xfId="13970" xr:uid="{00000000-0005-0000-0000-00009E040000}"/>
    <cellStyle name="20% - Accent1 6 8" xfId="12656" xr:uid="{00000000-0005-0000-0000-00009F040000}"/>
    <cellStyle name="20% - Accent1 6 9" xfId="23936" xr:uid="{00000000-0005-0000-0000-0000A0040000}"/>
    <cellStyle name="20% - Accent1 60" xfId="721" xr:uid="{00000000-0005-0000-0000-0000A1040000}"/>
    <cellStyle name="20% - Accent1 60 2" xfId="3677" xr:uid="{00000000-0005-0000-0000-0000A2040000}"/>
    <cellStyle name="20% - Accent1 60 2 2" xfId="11656" xr:uid="{00000000-0005-0000-0000-0000A3040000}"/>
    <cellStyle name="20% - Accent1 60 2 2 2" xfId="22944" xr:uid="{00000000-0005-0000-0000-0000A4040000}"/>
    <cellStyle name="20% - Accent1 60 2 3" xfId="9662" xr:uid="{00000000-0005-0000-0000-0000A5040000}"/>
    <cellStyle name="20% - Accent1 60 2 3 2" xfId="20950" xr:uid="{00000000-0005-0000-0000-0000A6040000}"/>
    <cellStyle name="20% - Accent1 60 2 4" xfId="7668" xr:uid="{00000000-0005-0000-0000-0000A7040000}"/>
    <cellStyle name="20% - Accent1 60 2 4 2" xfId="18956" xr:uid="{00000000-0005-0000-0000-0000A8040000}"/>
    <cellStyle name="20% - Accent1 60 2 5" xfId="5674" xr:uid="{00000000-0005-0000-0000-0000A9040000}"/>
    <cellStyle name="20% - Accent1 60 2 5 2" xfId="16962" xr:uid="{00000000-0005-0000-0000-0000AA040000}"/>
    <cellStyle name="20% - Accent1 60 2 6" xfId="14968" xr:uid="{00000000-0005-0000-0000-0000AB040000}"/>
    <cellStyle name="20% - Accent1 60 3" xfId="10659" xr:uid="{00000000-0005-0000-0000-0000AC040000}"/>
    <cellStyle name="20% - Accent1 60 3 2" xfId="21947" xr:uid="{00000000-0005-0000-0000-0000AD040000}"/>
    <cellStyle name="20% - Accent1 60 4" xfId="8665" xr:uid="{00000000-0005-0000-0000-0000AE040000}"/>
    <cellStyle name="20% - Accent1 60 4 2" xfId="19953" xr:uid="{00000000-0005-0000-0000-0000AF040000}"/>
    <cellStyle name="20% - Accent1 60 5" xfId="6671" xr:uid="{00000000-0005-0000-0000-0000B0040000}"/>
    <cellStyle name="20% - Accent1 60 5 2" xfId="17959" xr:uid="{00000000-0005-0000-0000-0000B1040000}"/>
    <cellStyle name="20% - Accent1 60 6" xfId="4677" xr:uid="{00000000-0005-0000-0000-0000B2040000}"/>
    <cellStyle name="20% - Accent1 60 6 2" xfId="15965" xr:uid="{00000000-0005-0000-0000-0000B3040000}"/>
    <cellStyle name="20% - Accent1 60 7" xfId="13971" xr:uid="{00000000-0005-0000-0000-0000B4040000}"/>
    <cellStyle name="20% - Accent1 60 8" xfId="12657" xr:uid="{00000000-0005-0000-0000-0000B5040000}"/>
    <cellStyle name="20% - Accent1 61" xfId="722" xr:uid="{00000000-0005-0000-0000-0000B6040000}"/>
    <cellStyle name="20% - Accent1 61 2" xfId="3678" xr:uid="{00000000-0005-0000-0000-0000B7040000}"/>
    <cellStyle name="20% - Accent1 61 2 2" xfId="11657" xr:uid="{00000000-0005-0000-0000-0000B8040000}"/>
    <cellStyle name="20% - Accent1 61 2 2 2" xfId="22945" xr:uid="{00000000-0005-0000-0000-0000B9040000}"/>
    <cellStyle name="20% - Accent1 61 2 3" xfId="9663" xr:uid="{00000000-0005-0000-0000-0000BA040000}"/>
    <cellStyle name="20% - Accent1 61 2 3 2" xfId="20951" xr:uid="{00000000-0005-0000-0000-0000BB040000}"/>
    <cellStyle name="20% - Accent1 61 2 4" xfId="7669" xr:uid="{00000000-0005-0000-0000-0000BC040000}"/>
    <cellStyle name="20% - Accent1 61 2 4 2" xfId="18957" xr:uid="{00000000-0005-0000-0000-0000BD040000}"/>
    <cellStyle name="20% - Accent1 61 2 5" xfId="5675" xr:uid="{00000000-0005-0000-0000-0000BE040000}"/>
    <cellStyle name="20% - Accent1 61 2 5 2" xfId="16963" xr:uid="{00000000-0005-0000-0000-0000BF040000}"/>
    <cellStyle name="20% - Accent1 61 2 6" xfId="14969" xr:uid="{00000000-0005-0000-0000-0000C0040000}"/>
    <cellStyle name="20% - Accent1 61 3" xfId="10660" xr:uid="{00000000-0005-0000-0000-0000C1040000}"/>
    <cellStyle name="20% - Accent1 61 3 2" xfId="21948" xr:uid="{00000000-0005-0000-0000-0000C2040000}"/>
    <cellStyle name="20% - Accent1 61 4" xfId="8666" xr:uid="{00000000-0005-0000-0000-0000C3040000}"/>
    <cellStyle name="20% - Accent1 61 4 2" xfId="19954" xr:uid="{00000000-0005-0000-0000-0000C4040000}"/>
    <cellStyle name="20% - Accent1 61 5" xfId="6672" xr:uid="{00000000-0005-0000-0000-0000C5040000}"/>
    <cellStyle name="20% - Accent1 61 5 2" xfId="17960" xr:uid="{00000000-0005-0000-0000-0000C6040000}"/>
    <cellStyle name="20% - Accent1 61 6" xfId="4678" xr:uid="{00000000-0005-0000-0000-0000C7040000}"/>
    <cellStyle name="20% - Accent1 61 6 2" xfId="15966" xr:uid="{00000000-0005-0000-0000-0000C8040000}"/>
    <cellStyle name="20% - Accent1 61 7" xfId="13972" xr:uid="{00000000-0005-0000-0000-0000C9040000}"/>
    <cellStyle name="20% - Accent1 61 8" xfId="12658" xr:uid="{00000000-0005-0000-0000-0000CA040000}"/>
    <cellStyle name="20% - Accent1 62" xfId="723" xr:uid="{00000000-0005-0000-0000-0000CB040000}"/>
    <cellStyle name="20% - Accent1 62 2" xfId="3679" xr:uid="{00000000-0005-0000-0000-0000CC040000}"/>
    <cellStyle name="20% - Accent1 62 2 2" xfId="11658" xr:uid="{00000000-0005-0000-0000-0000CD040000}"/>
    <cellStyle name="20% - Accent1 62 2 2 2" xfId="22946" xr:uid="{00000000-0005-0000-0000-0000CE040000}"/>
    <cellStyle name="20% - Accent1 62 2 3" xfId="9664" xr:uid="{00000000-0005-0000-0000-0000CF040000}"/>
    <cellStyle name="20% - Accent1 62 2 3 2" xfId="20952" xr:uid="{00000000-0005-0000-0000-0000D0040000}"/>
    <cellStyle name="20% - Accent1 62 2 4" xfId="7670" xr:uid="{00000000-0005-0000-0000-0000D1040000}"/>
    <cellStyle name="20% - Accent1 62 2 4 2" xfId="18958" xr:uid="{00000000-0005-0000-0000-0000D2040000}"/>
    <cellStyle name="20% - Accent1 62 2 5" xfId="5676" xr:uid="{00000000-0005-0000-0000-0000D3040000}"/>
    <cellStyle name="20% - Accent1 62 2 5 2" xfId="16964" xr:uid="{00000000-0005-0000-0000-0000D4040000}"/>
    <cellStyle name="20% - Accent1 62 2 6" xfId="14970" xr:uid="{00000000-0005-0000-0000-0000D5040000}"/>
    <cellStyle name="20% - Accent1 62 3" xfId="10661" xr:uid="{00000000-0005-0000-0000-0000D6040000}"/>
    <cellStyle name="20% - Accent1 62 3 2" xfId="21949" xr:uid="{00000000-0005-0000-0000-0000D7040000}"/>
    <cellStyle name="20% - Accent1 62 4" xfId="8667" xr:uid="{00000000-0005-0000-0000-0000D8040000}"/>
    <cellStyle name="20% - Accent1 62 4 2" xfId="19955" xr:uid="{00000000-0005-0000-0000-0000D9040000}"/>
    <cellStyle name="20% - Accent1 62 5" xfId="6673" xr:uid="{00000000-0005-0000-0000-0000DA040000}"/>
    <cellStyle name="20% - Accent1 62 5 2" xfId="17961" xr:uid="{00000000-0005-0000-0000-0000DB040000}"/>
    <cellStyle name="20% - Accent1 62 6" xfId="4679" xr:uid="{00000000-0005-0000-0000-0000DC040000}"/>
    <cellStyle name="20% - Accent1 62 6 2" xfId="15967" xr:uid="{00000000-0005-0000-0000-0000DD040000}"/>
    <cellStyle name="20% - Accent1 62 7" xfId="13973" xr:uid="{00000000-0005-0000-0000-0000DE040000}"/>
    <cellStyle name="20% - Accent1 62 8" xfId="12659" xr:uid="{00000000-0005-0000-0000-0000DF040000}"/>
    <cellStyle name="20% - Accent1 63" xfId="724" xr:uid="{00000000-0005-0000-0000-0000E0040000}"/>
    <cellStyle name="20% - Accent1 63 2" xfId="3680" xr:uid="{00000000-0005-0000-0000-0000E1040000}"/>
    <cellStyle name="20% - Accent1 63 2 2" xfId="11659" xr:uid="{00000000-0005-0000-0000-0000E2040000}"/>
    <cellStyle name="20% - Accent1 63 2 2 2" xfId="22947" xr:uid="{00000000-0005-0000-0000-0000E3040000}"/>
    <cellStyle name="20% - Accent1 63 2 3" xfId="9665" xr:uid="{00000000-0005-0000-0000-0000E4040000}"/>
    <cellStyle name="20% - Accent1 63 2 3 2" xfId="20953" xr:uid="{00000000-0005-0000-0000-0000E5040000}"/>
    <cellStyle name="20% - Accent1 63 2 4" xfId="7671" xr:uid="{00000000-0005-0000-0000-0000E6040000}"/>
    <cellStyle name="20% - Accent1 63 2 4 2" xfId="18959" xr:uid="{00000000-0005-0000-0000-0000E7040000}"/>
    <cellStyle name="20% - Accent1 63 2 5" xfId="5677" xr:uid="{00000000-0005-0000-0000-0000E8040000}"/>
    <cellStyle name="20% - Accent1 63 2 5 2" xfId="16965" xr:uid="{00000000-0005-0000-0000-0000E9040000}"/>
    <cellStyle name="20% - Accent1 63 2 6" xfId="14971" xr:uid="{00000000-0005-0000-0000-0000EA040000}"/>
    <cellStyle name="20% - Accent1 63 3" xfId="10662" xr:uid="{00000000-0005-0000-0000-0000EB040000}"/>
    <cellStyle name="20% - Accent1 63 3 2" xfId="21950" xr:uid="{00000000-0005-0000-0000-0000EC040000}"/>
    <cellStyle name="20% - Accent1 63 4" xfId="8668" xr:uid="{00000000-0005-0000-0000-0000ED040000}"/>
    <cellStyle name="20% - Accent1 63 4 2" xfId="19956" xr:uid="{00000000-0005-0000-0000-0000EE040000}"/>
    <cellStyle name="20% - Accent1 63 5" xfId="6674" xr:uid="{00000000-0005-0000-0000-0000EF040000}"/>
    <cellStyle name="20% - Accent1 63 5 2" xfId="17962" xr:uid="{00000000-0005-0000-0000-0000F0040000}"/>
    <cellStyle name="20% - Accent1 63 6" xfId="4680" xr:uid="{00000000-0005-0000-0000-0000F1040000}"/>
    <cellStyle name="20% - Accent1 63 6 2" xfId="15968" xr:uid="{00000000-0005-0000-0000-0000F2040000}"/>
    <cellStyle name="20% - Accent1 63 7" xfId="13974" xr:uid="{00000000-0005-0000-0000-0000F3040000}"/>
    <cellStyle name="20% - Accent1 63 8" xfId="12660" xr:uid="{00000000-0005-0000-0000-0000F4040000}"/>
    <cellStyle name="20% - Accent1 64" xfId="725" xr:uid="{00000000-0005-0000-0000-0000F5040000}"/>
    <cellStyle name="20% - Accent1 64 2" xfId="3681" xr:uid="{00000000-0005-0000-0000-0000F6040000}"/>
    <cellStyle name="20% - Accent1 64 2 2" xfId="11660" xr:uid="{00000000-0005-0000-0000-0000F7040000}"/>
    <cellStyle name="20% - Accent1 64 2 2 2" xfId="22948" xr:uid="{00000000-0005-0000-0000-0000F8040000}"/>
    <cellStyle name="20% - Accent1 64 2 3" xfId="9666" xr:uid="{00000000-0005-0000-0000-0000F9040000}"/>
    <cellStyle name="20% - Accent1 64 2 3 2" xfId="20954" xr:uid="{00000000-0005-0000-0000-0000FA040000}"/>
    <cellStyle name="20% - Accent1 64 2 4" xfId="7672" xr:uid="{00000000-0005-0000-0000-0000FB040000}"/>
    <cellStyle name="20% - Accent1 64 2 4 2" xfId="18960" xr:uid="{00000000-0005-0000-0000-0000FC040000}"/>
    <cellStyle name="20% - Accent1 64 2 5" xfId="5678" xr:uid="{00000000-0005-0000-0000-0000FD040000}"/>
    <cellStyle name="20% - Accent1 64 2 5 2" xfId="16966" xr:uid="{00000000-0005-0000-0000-0000FE040000}"/>
    <cellStyle name="20% - Accent1 64 2 6" xfId="14972" xr:uid="{00000000-0005-0000-0000-0000FF040000}"/>
    <cellStyle name="20% - Accent1 64 3" xfId="10663" xr:uid="{00000000-0005-0000-0000-000000050000}"/>
    <cellStyle name="20% - Accent1 64 3 2" xfId="21951" xr:uid="{00000000-0005-0000-0000-000001050000}"/>
    <cellStyle name="20% - Accent1 64 4" xfId="8669" xr:uid="{00000000-0005-0000-0000-000002050000}"/>
    <cellStyle name="20% - Accent1 64 4 2" xfId="19957" xr:uid="{00000000-0005-0000-0000-000003050000}"/>
    <cellStyle name="20% - Accent1 64 5" xfId="6675" xr:uid="{00000000-0005-0000-0000-000004050000}"/>
    <cellStyle name="20% - Accent1 64 5 2" xfId="17963" xr:uid="{00000000-0005-0000-0000-000005050000}"/>
    <cellStyle name="20% - Accent1 64 6" xfId="4681" xr:uid="{00000000-0005-0000-0000-000006050000}"/>
    <cellStyle name="20% - Accent1 64 6 2" xfId="15969" xr:uid="{00000000-0005-0000-0000-000007050000}"/>
    <cellStyle name="20% - Accent1 64 7" xfId="13975" xr:uid="{00000000-0005-0000-0000-000008050000}"/>
    <cellStyle name="20% - Accent1 64 8" xfId="12661" xr:uid="{00000000-0005-0000-0000-000009050000}"/>
    <cellStyle name="20% - Accent1 65" xfId="726" xr:uid="{00000000-0005-0000-0000-00000A050000}"/>
    <cellStyle name="20% - Accent1 65 2" xfId="3682" xr:uid="{00000000-0005-0000-0000-00000B050000}"/>
    <cellStyle name="20% - Accent1 65 2 2" xfId="11661" xr:uid="{00000000-0005-0000-0000-00000C050000}"/>
    <cellStyle name="20% - Accent1 65 2 2 2" xfId="22949" xr:uid="{00000000-0005-0000-0000-00000D050000}"/>
    <cellStyle name="20% - Accent1 65 2 3" xfId="9667" xr:uid="{00000000-0005-0000-0000-00000E050000}"/>
    <cellStyle name="20% - Accent1 65 2 3 2" xfId="20955" xr:uid="{00000000-0005-0000-0000-00000F050000}"/>
    <cellStyle name="20% - Accent1 65 2 4" xfId="7673" xr:uid="{00000000-0005-0000-0000-000010050000}"/>
    <cellStyle name="20% - Accent1 65 2 4 2" xfId="18961" xr:uid="{00000000-0005-0000-0000-000011050000}"/>
    <cellStyle name="20% - Accent1 65 2 5" xfId="5679" xr:uid="{00000000-0005-0000-0000-000012050000}"/>
    <cellStyle name="20% - Accent1 65 2 5 2" xfId="16967" xr:uid="{00000000-0005-0000-0000-000013050000}"/>
    <cellStyle name="20% - Accent1 65 2 6" xfId="14973" xr:uid="{00000000-0005-0000-0000-000014050000}"/>
    <cellStyle name="20% - Accent1 65 3" xfId="10664" xr:uid="{00000000-0005-0000-0000-000015050000}"/>
    <cellStyle name="20% - Accent1 65 3 2" xfId="21952" xr:uid="{00000000-0005-0000-0000-000016050000}"/>
    <cellStyle name="20% - Accent1 65 4" xfId="8670" xr:uid="{00000000-0005-0000-0000-000017050000}"/>
    <cellStyle name="20% - Accent1 65 4 2" xfId="19958" xr:uid="{00000000-0005-0000-0000-000018050000}"/>
    <cellStyle name="20% - Accent1 65 5" xfId="6676" xr:uid="{00000000-0005-0000-0000-000019050000}"/>
    <cellStyle name="20% - Accent1 65 5 2" xfId="17964" xr:uid="{00000000-0005-0000-0000-00001A050000}"/>
    <cellStyle name="20% - Accent1 65 6" xfId="4682" xr:uid="{00000000-0005-0000-0000-00001B050000}"/>
    <cellStyle name="20% - Accent1 65 6 2" xfId="15970" xr:uid="{00000000-0005-0000-0000-00001C050000}"/>
    <cellStyle name="20% - Accent1 65 7" xfId="13976" xr:uid="{00000000-0005-0000-0000-00001D050000}"/>
    <cellStyle name="20% - Accent1 65 8" xfId="12662" xr:uid="{00000000-0005-0000-0000-00001E050000}"/>
    <cellStyle name="20% - Accent1 66" xfId="727" xr:uid="{00000000-0005-0000-0000-00001F050000}"/>
    <cellStyle name="20% - Accent1 66 2" xfId="3683" xr:uid="{00000000-0005-0000-0000-000020050000}"/>
    <cellStyle name="20% - Accent1 66 2 2" xfId="11662" xr:uid="{00000000-0005-0000-0000-000021050000}"/>
    <cellStyle name="20% - Accent1 66 2 2 2" xfId="22950" xr:uid="{00000000-0005-0000-0000-000022050000}"/>
    <cellStyle name="20% - Accent1 66 2 3" xfId="9668" xr:uid="{00000000-0005-0000-0000-000023050000}"/>
    <cellStyle name="20% - Accent1 66 2 3 2" xfId="20956" xr:uid="{00000000-0005-0000-0000-000024050000}"/>
    <cellStyle name="20% - Accent1 66 2 4" xfId="7674" xr:uid="{00000000-0005-0000-0000-000025050000}"/>
    <cellStyle name="20% - Accent1 66 2 4 2" xfId="18962" xr:uid="{00000000-0005-0000-0000-000026050000}"/>
    <cellStyle name="20% - Accent1 66 2 5" xfId="5680" xr:uid="{00000000-0005-0000-0000-000027050000}"/>
    <cellStyle name="20% - Accent1 66 2 5 2" xfId="16968" xr:uid="{00000000-0005-0000-0000-000028050000}"/>
    <cellStyle name="20% - Accent1 66 2 6" xfId="14974" xr:uid="{00000000-0005-0000-0000-000029050000}"/>
    <cellStyle name="20% - Accent1 66 3" xfId="10665" xr:uid="{00000000-0005-0000-0000-00002A050000}"/>
    <cellStyle name="20% - Accent1 66 3 2" xfId="21953" xr:uid="{00000000-0005-0000-0000-00002B050000}"/>
    <cellStyle name="20% - Accent1 66 4" xfId="8671" xr:uid="{00000000-0005-0000-0000-00002C050000}"/>
    <cellStyle name="20% - Accent1 66 4 2" xfId="19959" xr:uid="{00000000-0005-0000-0000-00002D050000}"/>
    <cellStyle name="20% - Accent1 66 5" xfId="6677" xr:uid="{00000000-0005-0000-0000-00002E050000}"/>
    <cellStyle name="20% - Accent1 66 5 2" xfId="17965" xr:uid="{00000000-0005-0000-0000-00002F050000}"/>
    <cellStyle name="20% - Accent1 66 6" xfId="4683" xr:uid="{00000000-0005-0000-0000-000030050000}"/>
    <cellStyle name="20% - Accent1 66 6 2" xfId="15971" xr:uid="{00000000-0005-0000-0000-000031050000}"/>
    <cellStyle name="20% - Accent1 66 7" xfId="13977" xr:uid="{00000000-0005-0000-0000-000032050000}"/>
    <cellStyle name="20% - Accent1 66 8" xfId="12663" xr:uid="{00000000-0005-0000-0000-000033050000}"/>
    <cellStyle name="20% - Accent1 67" xfId="728" xr:uid="{00000000-0005-0000-0000-000034050000}"/>
    <cellStyle name="20% - Accent1 67 2" xfId="3684" xr:uid="{00000000-0005-0000-0000-000035050000}"/>
    <cellStyle name="20% - Accent1 67 2 2" xfId="11663" xr:uid="{00000000-0005-0000-0000-000036050000}"/>
    <cellStyle name="20% - Accent1 67 2 2 2" xfId="22951" xr:uid="{00000000-0005-0000-0000-000037050000}"/>
    <cellStyle name="20% - Accent1 67 2 3" xfId="9669" xr:uid="{00000000-0005-0000-0000-000038050000}"/>
    <cellStyle name="20% - Accent1 67 2 3 2" xfId="20957" xr:uid="{00000000-0005-0000-0000-000039050000}"/>
    <cellStyle name="20% - Accent1 67 2 4" xfId="7675" xr:uid="{00000000-0005-0000-0000-00003A050000}"/>
    <cellStyle name="20% - Accent1 67 2 4 2" xfId="18963" xr:uid="{00000000-0005-0000-0000-00003B050000}"/>
    <cellStyle name="20% - Accent1 67 2 5" xfId="5681" xr:uid="{00000000-0005-0000-0000-00003C050000}"/>
    <cellStyle name="20% - Accent1 67 2 5 2" xfId="16969" xr:uid="{00000000-0005-0000-0000-00003D050000}"/>
    <cellStyle name="20% - Accent1 67 2 6" xfId="14975" xr:uid="{00000000-0005-0000-0000-00003E050000}"/>
    <cellStyle name="20% - Accent1 67 3" xfId="10666" xr:uid="{00000000-0005-0000-0000-00003F050000}"/>
    <cellStyle name="20% - Accent1 67 3 2" xfId="21954" xr:uid="{00000000-0005-0000-0000-000040050000}"/>
    <cellStyle name="20% - Accent1 67 4" xfId="8672" xr:uid="{00000000-0005-0000-0000-000041050000}"/>
    <cellStyle name="20% - Accent1 67 4 2" xfId="19960" xr:uid="{00000000-0005-0000-0000-000042050000}"/>
    <cellStyle name="20% - Accent1 67 5" xfId="6678" xr:uid="{00000000-0005-0000-0000-000043050000}"/>
    <cellStyle name="20% - Accent1 67 5 2" xfId="17966" xr:uid="{00000000-0005-0000-0000-000044050000}"/>
    <cellStyle name="20% - Accent1 67 6" xfId="4684" xr:uid="{00000000-0005-0000-0000-000045050000}"/>
    <cellStyle name="20% - Accent1 67 6 2" xfId="15972" xr:uid="{00000000-0005-0000-0000-000046050000}"/>
    <cellStyle name="20% - Accent1 67 7" xfId="13978" xr:uid="{00000000-0005-0000-0000-000047050000}"/>
    <cellStyle name="20% - Accent1 67 8" xfId="12664" xr:uid="{00000000-0005-0000-0000-000048050000}"/>
    <cellStyle name="20% - Accent1 68" xfId="729" xr:uid="{00000000-0005-0000-0000-000049050000}"/>
    <cellStyle name="20% - Accent1 68 2" xfId="3685" xr:uid="{00000000-0005-0000-0000-00004A050000}"/>
    <cellStyle name="20% - Accent1 68 2 2" xfId="11664" xr:uid="{00000000-0005-0000-0000-00004B050000}"/>
    <cellStyle name="20% - Accent1 68 2 2 2" xfId="22952" xr:uid="{00000000-0005-0000-0000-00004C050000}"/>
    <cellStyle name="20% - Accent1 68 2 3" xfId="9670" xr:uid="{00000000-0005-0000-0000-00004D050000}"/>
    <cellStyle name="20% - Accent1 68 2 3 2" xfId="20958" xr:uid="{00000000-0005-0000-0000-00004E050000}"/>
    <cellStyle name="20% - Accent1 68 2 4" xfId="7676" xr:uid="{00000000-0005-0000-0000-00004F050000}"/>
    <cellStyle name="20% - Accent1 68 2 4 2" xfId="18964" xr:uid="{00000000-0005-0000-0000-000050050000}"/>
    <cellStyle name="20% - Accent1 68 2 5" xfId="5682" xr:uid="{00000000-0005-0000-0000-000051050000}"/>
    <cellStyle name="20% - Accent1 68 2 5 2" xfId="16970" xr:uid="{00000000-0005-0000-0000-000052050000}"/>
    <cellStyle name="20% - Accent1 68 2 6" xfId="14976" xr:uid="{00000000-0005-0000-0000-000053050000}"/>
    <cellStyle name="20% - Accent1 68 3" xfId="10667" xr:uid="{00000000-0005-0000-0000-000054050000}"/>
    <cellStyle name="20% - Accent1 68 3 2" xfId="21955" xr:uid="{00000000-0005-0000-0000-000055050000}"/>
    <cellStyle name="20% - Accent1 68 4" xfId="8673" xr:uid="{00000000-0005-0000-0000-000056050000}"/>
    <cellStyle name="20% - Accent1 68 4 2" xfId="19961" xr:uid="{00000000-0005-0000-0000-000057050000}"/>
    <cellStyle name="20% - Accent1 68 5" xfId="6679" xr:uid="{00000000-0005-0000-0000-000058050000}"/>
    <cellStyle name="20% - Accent1 68 5 2" xfId="17967" xr:uid="{00000000-0005-0000-0000-000059050000}"/>
    <cellStyle name="20% - Accent1 68 6" xfId="4685" xr:uid="{00000000-0005-0000-0000-00005A050000}"/>
    <cellStyle name="20% - Accent1 68 6 2" xfId="15973" xr:uid="{00000000-0005-0000-0000-00005B050000}"/>
    <cellStyle name="20% - Accent1 68 7" xfId="13979" xr:uid="{00000000-0005-0000-0000-00005C050000}"/>
    <cellStyle name="20% - Accent1 68 8" xfId="12665" xr:uid="{00000000-0005-0000-0000-00005D050000}"/>
    <cellStyle name="20% - Accent1 69" xfId="730" xr:uid="{00000000-0005-0000-0000-00005E050000}"/>
    <cellStyle name="20% - Accent1 69 2" xfId="3686" xr:uid="{00000000-0005-0000-0000-00005F050000}"/>
    <cellStyle name="20% - Accent1 69 2 2" xfId="11665" xr:uid="{00000000-0005-0000-0000-000060050000}"/>
    <cellStyle name="20% - Accent1 69 2 2 2" xfId="22953" xr:uid="{00000000-0005-0000-0000-000061050000}"/>
    <cellStyle name="20% - Accent1 69 2 3" xfId="9671" xr:uid="{00000000-0005-0000-0000-000062050000}"/>
    <cellStyle name="20% - Accent1 69 2 3 2" xfId="20959" xr:uid="{00000000-0005-0000-0000-000063050000}"/>
    <cellStyle name="20% - Accent1 69 2 4" xfId="7677" xr:uid="{00000000-0005-0000-0000-000064050000}"/>
    <cellStyle name="20% - Accent1 69 2 4 2" xfId="18965" xr:uid="{00000000-0005-0000-0000-000065050000}"/>
    <cellStyle name="20% - Accent1 69 2 5" xfId="5683" xr:uid="{00000000-0005-0000-0000-000066050000}"/>
    <cellStyle name="20% - Accent1 69 2 5 2" xfId="16971" xr:uid="{00000000-0005-0000-0000-000067050000}"/>
    <cellStyle name="20% - Accent1 69 2 6" xfId="14977" xr:uid="{00000000-0005-0000-0000-000068050000}"/>
    <cellStyle name="20% - Accent1 69 3" xfId="10668" xr:uid="{00000000-0005-0000-0000-000069050000}"/>
    <cellStyle name="20% - Accent1 69 3 2" xfId="21956" xr:uid="{00000000-0005-0000-0000-00006A050000}"/>
    <cellStyle name="20% - Accent1 69 4" xfId="8674" xr:uid="{00000000-0005-0000-0000-00006B050000}"/>
    <cellStyle name="20% - Accent1 69 4 2" xfId="19962" xr:uid="{00000000-0005-0000-0000-00006C050000}"/>
    <cellStyle name="20% - Accent1 69 5" xfId="6680" xr:uid="{00000000-0005-0000-0000-00006D050000}"/>
    <cellStyle name="20% - Accent1 69 5 2" xfId="17968" xr:uid="{00000000-0005-0000-0000-00006E050000}"/>
    <cellStyle name="20% - Accent1 69 6" xfId="4686" xr:uid="{00000000-0005-0000-0000-00006F050000}"/>
    <cellStyle name="20% - Accent1 69 6 2" xfId="15974" xr:uid="{00000000-0005-0000-0000-000070050000}"/>
    <cellStyle name="20% - Accent1 69 7" xfId="13980" xr:uid="{00000000-0005-0000-0000-000071050000}"/>
    <cellStyle name="20% - Accent1 69 8" xfId="12666" xr:uid="{00000000-0005-0000-0000-000072050000}"/>
    <cellStyle name="20% - Accent1 7" xfId="731" xr:uid="{00000000-0005-0000-0000-000073050000}"/>
    <cellStyle name="20% - Accent1 7 10" xfId="24564" xr:uid="{00000000-0005-0000-0000-000074050000}"/>
    <cellStyle name="20% - Accent1 7 11" xfId="24954" xr:uid="{00000000-0005-0000-0000-000075050000}"/>
    <cellStyle name="20% - Accent1 7 2" xfId="3687" xr:uid="{00000000-0005-0000-0000-000076050000}"/>
    <cellStyle name="20% - Accent1 7 2 2" xfId="11666" xr:uid="{00000000-0005-0000-0000-000077050000}"/>
    <cellStyle name="20% - Accent1 7 2 2 2" xfId="22954" xr:uid="{00000000-0005-0000-0000-000078050000}"/>
    <cellStyle name="20% - Accent1 7 2 3" xfId="9672" xr:uid="{00000000-0005-0000-0000-000079050000}"/>
    <cellStyle name="20% - Accent1 7 2 3 2" xfId="20960" xr:uid="{00000000-0005-0000-0000-00007A050000}"/>
    <cellStyle name="20% - Accent1 7 2 4" xfId="7678" xr:uid="{00000000-0005-0000-0000-00007B050000}"/>
    <cellStyle name="20% - Accent1 7 2 4 2" xfId="18966" xr:uid="{00000000-0005-0000-0000-00007C050000}"/>
    <cellStyle name="20% - Accent1 7 2 5" xfId="5684" xr:uid="{00000000-0005-0000-0000-00007D050000}"/>
    <cellStyle name="20% - Accent1 7 2 5 2" xfId="16972" xr:uid="{00000000-0005-0000-0000-00007E050000}"/>
    <cellStyle name="20% - Accent1 7 2 6" xfId="14978" xr:uid="{00000000-0005-0000-0000-00007F050000}"/>
    <cellStyle name="20% - Accent1 7 2 7" xfId="24325" xr:uid="{00000000-0005-0000-0000-000080050000}"/>
    <cellStyle name="20% - Accent1 7 2 8" xfId="24789" xr:uid="{00000000-0005-0000-0000-000081050000}"/>
    <cellStyle name="20% - Accent1 7 2 9" xfId="25156" xr:uid="{00000000-0005-0000-0000-000082050000}"/>
    <cellStyle name="20% - Accent1 7 3" xfId="10669" xr:uid="{00000000-0005-0000-0000-000083050000}"/>
    <cellStyle name="20% - Accent1 7 3 2" xfId="21957" xr:uid="{00000000-0005-0000-0000-000084050000}"/>
    <cellStyle name="20% - Accent1 7 4" xfId="8675" xr:uid="{00000000-0005-0000-0000-000085050000}"/>
    <cellStyle name="20% - Accent1 7 4 2" xfId="19963" xr:uid="{00000000-0005-0000-0000-000086050000}"/>
    <cellStyle name="20% - Accent1 7 5" xfId="6681" xr:uid="{00000000-0005-0000-0000-000087050000}"/>
    <cellStyle name="20% - Accent1 7 5 2" xfId="17969" xr:uid="{00000000-0005-0000-0000-000088050000}"/>
    <cellStyle name="20% - Accent1 7 6" xfId="4687" xr:uid="{00000000-0005-0000-0000-000089050000}"/>
    <cellStyle name="20% - Accent1 7 6 2" xfId="15975" xr:uid="{00000000-0005-0000-0000-00008A050000}"/>
    <cellStyle name="20% - Accent1 7 7" xfId="13981" xr:uid="{00000000-0005-0000-0000-00008B050000}"/>
    <cellStyle name="20% - Accent1 7 8" xfId="12667" xr:uid="{00000000-0005-0000-0000-00008C050000}"/>
    <cellStyle name="20% - Accent1 7 9" xfId="23937" xr:uid="{00000000-0005-0000-0000-00008D050000}"/>
    <cellStyle name="20% - Accent1 70" xfId="732" xr:uid="{00000000-0005-0000-0000-00008E050000}"/>
    <cellStyle name="20% - Accent1 70 2" xfId="3688" xr:uid="{00000000-0005-0000-0000-00008F050000}"/>
    <cellStyle name="20% - Accent1 70 2 2" xfId="11667" xr:uid="{00000000-0005-0000-0000-000090050000}"/>
    <cellStyle name="20% - Accent1 70 2 2 2" xfId="22955" xr:uid="{00000000-0005-0000-0000-000091050000}"/>
    <cellStyle name="20% - Accent1 70 2 3" xfId="9673" xr:uid="{00000000-0005-0000-0000-000092050000}"/>
    <cellStyle name="20% - Accent1 70 2 3 2" xfId="20961" xr:uid="{00000000-0005-0000-0000-000093050000}"/>
    <cellStyle name="20% - Accent1 70 2 4" xfId="7679" xr:uid="{00000000-0005-0000-0000-000094050000}"/>
    <cellStyle name="20% - Accent1 70 2 4 2" xfId="18967" xr:uid="{00000000-0005-0000-0000-000095050000}"/>
    <cellStyle name="20% - Accent1 70 2 5" xfId="5685" xr:uid="{00000000-0005-0000-0000-000096050000}"/>
    <cellStyle name="20% - Accent1 70 2 5 2" xfId="16973" xr:uid="{00000000-0005-0000-0000-000097050000}"/>
    <cellStyle name="20% - Accent1 70 2 6" xfId="14979" xr:uid="{00000000-0005-0000-0000-000098050000}"/>
    <cellStyle name="20% - Accent1 70 3" xfId="10670" xr:uid="{00000000-0005-0000-0000-000099050000}"/>
    <cellStyle name="20% - Accent1 70 3 2" xfId="21958" xr:uid="{00000000-0005-0000-0000-00009A050000}"/>
    <cellStyle name="20% - Accent1 70 4" xfId="8676" xr:uid="{00000000-0005-0000-0000-00009B050000}"/>
    <cellStyle name="20% - Accent1 70 4 2" xfId="19964" xr:uid="{00000000-0005-0000-0000-00009C050000}"/>
    <cellStyle name="20% - Accent1 70 5" xfId="6682" xr:uid="{00000000-0005-0000-0000-00009D050000}"/>
    <cellStyle name="20% - Accent1 70 5 2" xfId="17970" xr:uid="{00000000-0005-0000-0000-00009E050000}"/>
    <cellStyle name="20% - Accent1 70 6" xfId="4688" xr:uid="{00000000-0005-0000-0000-00009F050000}"/>
    <cellStyle name="20% - Accent1 70 6 2" xfId="15976" xr:uid="{00000000-0005-0000-0000-0000A0050000}"/>
    <cellStyle name="20% - Accent1 70 7" xfId="13982" xr:uid="{00000000-0005-0000-0000-0000A1050000}"/>
    <cellStyle name="20% - Accent1 70 8" xfId="12668" xr:uid="{00000000-0005-0000-0000-0000A2050000}"/>
    <cellStyle name="20% - Accent1 71" xfId="733" xr:uid="{00000000-0005-0000-0000-0000A3050000}"/>
    <cellStyle name="20% - Accent1 71 2" xfId="3689" xr:uid="{00000000-0005-0000-0000-0000A4050000}"/>
    <cellStyle name="20% - Accent1 71 2 2" xfId="11668" xr:uid="{00000000-0005-0000-0000-0000A5050000}"/>
    <cellStyle name="20% - Accent1 71 2 2 2" xfId="22956" xr:uid="{00000000-0005-0000-0000-0000A6050000}"/>
    <cellStyle name="20% - Accent1 71 2 3" xfId="9674" xr:uid="{00000000-0005-0000-0000-0000A7050000}"/>
    <cellStyle name="20% - Accent1 71 2 3 2" xfId="20962" xr:uid="{00000000-0005-0000-0000-0000A8050000}"/>
    <cellStyle name="20% - Accent1 71 2 4" xfId="7680" xr:uid="{00000000-0005-0000-0000-0000A9050000}"/>
    <cellStyle name="20% - Accent1 71 2 4 2" xfId="18968" xr:uid="{00000000-0005-0000-0000-0000AA050000}"/>
    <cellStyle name="20% - Accent1 71 2 5" xfId="5686" xr:uid="{00000000-0005-0000-0000-0000AB050000}"/>
    <cellStyle name="20% - Accent1 71 2 5 2" xfId="16974" xr:uid="{00000000-0005-0000-0000-0000AC050000}"/>
    <cellStyle name="20% - Accent1 71 2 6" xfId="14980" xr:uid="{00000000-0005-0000-0000-0000AD050000}"/>
    <cellStyle name="20% - Accent1 71 3" xfId="10671" xr:uid="{00000000-0005-0000-0000-0000AE050000}"/>
    <cellStyle name="20% - Accent1 71 3 2" xfId="21959" xr:uid="{00000000-0005-0000-0000-0000AF050000}"/>
    <cellStyle name="20% - Accent1 71 4" xfId="8677" xr:uid="{00000000-0005-0000-0000-0000B0050000}"/>
    <cellStyle name="20% - Accent1 71 4 2" xfId="19965" xr:uid="{00000000-0005-0000-0000-0000B1050000}"/>
    <cellStyle name="20% - Accent1 71 5" xfId="6683" xr:uid="{00000000-0005-0000-0000-0000B2050000}"/>
    <cellStyle name="20% - Accent1 71 5 2" xfId="17971" xr:uid="{00000000-0005-0000-0000-0000B3050000}"/>
    <cellStyle name="20% - Accent1 71 6" xfId="4689" xr:uid="{00000000-0005-0000-0000-0000B4050000}"/>
    <cellStyle name="20% - Accent1 71 6 2" xfId="15977" xr:uid="{00000000-0005-0000-0000-0000B5050000}"/>
    <cellStyle name="20% - Accent1 71 7" xfId="13983" xr:uid="{00000000-0005-0000-0000-0000B6050000}"/>
    <cellStyle name="20% - Accent1 71 8" xfId="12669" xr:uid="{00000000-0005-0000-0000-0000B7050000}"/>
    <cellStyle name="20% - Accent1 72" xfId="734" xr:uid="{00000000-0005-0000-0000-0000B8050000}"/>
    <cellStyle name="20% - Accent1 72 2" xfId="3690" xr:uid="{00000000-0005-0000-0000-0000B9050000}"/>
    <cellStyle name="20% - Accent1 72 2 2" xfId="11669" xr:uid="{00000000-0005-0000-0000-0000BA050000}"/>
    <cellStyle name="20% - Accent1 72 2 2 2" xfId="22957" xr:uid="{00000000-0005-0000-0000-0000BB050000}"/>
    <cellStyle name="20% - Accent1 72 2 3" xfId="9675" xr:uid="{00000000-0005-0000-0000-0000BC050000}"/>
    <cellStyle name="20% - Accent1 72 2 3 2" xfId="20963" xr:uid="{00000000-0005-0000-0000-0000BD050000}"/>
    <cellStyle name="20% - Accent1 72 2 4" xfId="7681" xr:uid="{00000000-0005-0000-0000-0000BE050000}"/>
    <cellStyle name="20% - Accent1 72 2 4 2" xfId="18969" xr:uid="{00000000-0005-0000-0000-0000BF050000}"/>
    <cellStyle name="20% - Accent1 72 2 5" xfId="5687" xr:uid="{00000000-0005-0000-0000-0000C0050000}"/>
    <cellStyle name="20% - Accent1 72 2 5 2" xfId="16975" xr:uid="{00000000-0005-0000-0000-0000C1050000}"/>
    <cellStyle name="20% - Accent1 72 2 6" xfId="14981" xr:uid="{00000000-0005-0000-0000-0000C2050000}"/>
    <cellStyle name="20% - Accent1 72 3" xfId="10672" xr:uid="{00000000-0005-0000-0000-0000C3050000}"/>
    <cellStyle name="20% - Accent1 72 3 2" xfId="21960" xr:uid="{00000000-0005-0000-0000-0000C4050000}"/>
    <cellStyle name="20% - Accent1 72 4" xfId="8678" xr:uid="{00000000-0005-0000-0000-0000C5050000}"/>
    <cellStyle name="20% - Accent1 72 4 2" xfId="19966" xr:uid="{00000000-0005-0000-0000-0000C6050000}"/>
    <cellStyle name="20% - Accent1 72 5" xfId="6684" xr:uid="{00000000-0005-0000-0000-0000C7050000}"/>
    <cellStyle name="20% - Accent1 72 5 2" xfId="17972" xr:uid="{00000000-0005-0000-0000-0000C8050000}"/>
    <cellStyle name="20% - Accent1 72 6" xfId="4690" xr:uid="{00000000-0005-0000-0000-0000C9050000}"/>
    <cellStyle name="20% - Accent1 72 6 2" xfId="15978" xr:uid="{00000000-0005-0000-0000-0000CA050000}"/>
    <cellStyle name="20% - Accent1 72 7" xfId="13984" xr:uid="{00000000-0005-0000-0000-0000CB050000}"/>
    <cellStyle name="20% - Accent1 72 8" xfId="12670" xr:uid="{00000000-0005-0000-0000-0000CC050000}"/>
    <cellStyle name="20% - Accent1 8" xfId="735" xr:uid="{00000000-0005-0000-0000-0000CD050000}"/>
    <cellStyle name="20% - Accent1 8 2" xfId="3691" xr:uid="{00000000-0005-0000-0000-0000CE050000}"/>
    <cellStyle name="20% - Accent1 8 2 2" xfId="11670" xr:uid="{00000000-0005-0000-0000-0000CF050000}"/>
    <cellStyle name="20% - Accent1 8 2 2 2" xfId="22958" xr:uid="{00000000-0005-0000-0000-0000D0050000}"/>
    <cellStyle name="20% - Accent1 8 2 3" xfId="9676" xr:uid="{00000000-0005-0000-0000-0000D1050000}"/>
    <cellStyle name="20% - Accent1 8 2 3 2" xfId="20964" xr:uid="{00000000-0005-0000-0000-0000D2050000}"/>
    <cellStyle name="20% - Accent1 8 2 4" xfId="7682" xr:uid="{00000000-0005-0000-0000-0000D3050000}"/>
    <cellStyle name="20% - Accent1 8 2 4 2" xfId="18970" xr:uid="{00000000-0005-0000-0000-0000D4050000}"/>
    <cellStyle name="20% - Accent1 8 2 5" xfId="5688" xr:uid="{00000000-0005-0000-0000-0000D5050000}"/>
    <cellStyle name="20% - Accent1 8 2 5 2" xfId="16976" xr:uid="{00000000-0005-0000-0000-0000D6050000}"/>
    <cellStyle name="20% - Accent1 8 2 6" xfId="14982" xr:uid="{00000000-0005-0000-0000-0000D7050000}"/>
    <cellStyle name="20% - Accent1 8 3" xfId="10673" xr:uid="{00000000-0005-0000-0000-0000D8050000}"/>
    <cellStyle name="20% - Accent1 8 3 2" xfId="21961" xr:uid="{00000000-0005-0000-0000-0000D9050000}"/>
    <cellStyle name="20% - Accent1 8 4" xfId="8679" xr:uid="{00000000-0005-0000-0000-0000DA050000}"/>
    <cellStyle name="20% - Accent1 8 4 2" xfId="19967" xr:uid="{00000000-0005-0000-0000-0000DB050000}"/>
    <cellStyle name="20% - Accent1 8 5" xfId="6685" xr:uid="{00000000-0005-0000-0000-0000DC050000}"/>
    <cellStyle name="20% - Accent1 8 5 2" xfId="17973" xr:uid="{00000000-0005-0000-0000-0000DD050000}"/>
    <cellStyle name="20% - Accent1 8 6" xfId="4691" xr:uid="{00000000-0005-0000-0000-0000DE050000}"/>
    <cellStyle name="20% - Accent1 8 6 2" xfId="15979" xr:uid="{00000000-0005-0000-0000-0000DF050000}"/>
    <cellStyle name="20% - Accent1 8 7" xfId="13985" xr:uid="{00000000-0005-0000-0000-0000E0050000}"/>
    <cellStyle name="20% - Accent1 8 8" xfId="12671" xr:uid="{00000000-0005-0000-0000-0000E1050000}"/>
    <cellStyle name="20% - Accent1 9" xfId="736" xr:uid="{00000000-0005-0000-0000-0000E2050000}"/>
    <cellStyle name="20% - Accent1 9 2" xfId="3692" xr:uid="{00000000-0005-0000-0000-0000E3050000}"/>
    <cellStyle name="20% - Accent1 9 2 2" xfId="11671" xr:uid="{00000000-0005-0000-0000-0000E4050000}"/>
    <cellStyle name="20% - Accent1 9 2 2 2" xfId="22959" xr:uid="{00000000-0005-0000-0000-0000E5050000}"/>
    <cellStyle name="20% - Accent1 9 2 3" xfId="9677" xr:uid="{00000000-0005-0000-0000-0000E6050000}"/>
    <cellStyle name="20% - Accent1 9 2 3 2" xfId="20965" xr:uid="{00000000-0005-0000-0000-0000E7050000}"/>
    <cellStyle name="20% - Accent1 9 2 4" xfId="7683" xr:uid="{00000000-0005-0000-0000-0000E8050000}"/>
    <cellStyle name="20% - Accent1 9 2 4 2" xfId="18971" xr:uid="{00000000-0005-0000-0000-0000E9050000}"/>
    <cellStyle name="20% - Accent1 9 2 5" xfId="5689" xr:uid="{00000000-0005-0000-0000-0000EA050000}"/>
    <cellStyle name="20% - Accent1 9 2 5 2" xfId="16977" xr:uid="{00000000-0005-0000-0000-0000EB050000}"/>
    <cellStyle name="20% - Accent1 9 2 6" xfId="14983" xr:uid="{00000000-0005-0000-0000-0000EC050000}"/>
    <cellStyle name="20% - Accent1 9 3" xfId="10674" xr:uid="{00000000-0005-0000-0000-0000ED050000}"/>
    <cellStyle name="20% - Accent1 9 3 2" xfId="21962" xr:uid="{00000000-0005-0000-0000-0000EE050000}"/>
    <cellStyle name="20% - Accent1 9 4" xfId="8680" xr:uid="{00000000-0005-0000-0000-0000EF050000}"/>
    <cellStyle name="20% - Accent1 9 4 2" xfId="19968" xr:uid="{00000000-0005-0000-0000-0000F0050000}"/>
    <cellStyle name="20% - Accent1 9 5" xfId="6686" xr:uid="{00000000-0005-0000-0000-0000F1050000}"/>
    <cellStyle name="20% - Accent1 9 5 2" xfId="17974" xr:uid="{00000000-0005-0000-0000-0000F2050000}"/>
    <cellStyle name="20% - Accent1 9 6" xfId="4692" xr:uid="{00000000-0005-0000-0000-0000F3050000}"/>
    <cellStyle name="20% - Accent1 9 6 2" xfId="15980" xr:uid="{00000000-0005-0000-0000-0000F4050000}"/>
    <cellStyle name="20% - Accent1 9 7" xfId="13986" xr:uid="{00000000-0005-0000-0000-0000F5050000}"/>
    <cellStyle name="20% - Accent1 9 8" xfId="12672" xr:uid="{00000000-0005-0000-0000-0000F6050000}"/>
    <cellStyle name="20% - Accent2 10" xfId="737" xr:uid="{00000000-0005-0000-0000-0000F7050000}"/>
    <cellStyle name="20% - Accent2 10 2" xfId="3693" xr:uid="{00000000-0005-0000-0000-0000F8050000}"/>
    <cellStyle name="20% - Accent2 10 2 2" xfId="11672" xr:uid="{00000000-0005-0000-0000-0000F9050000}"/>
    <cellStyle name="20% - Accent2 10 2 2 2" xfId="22960" xr:uid="{00000000-0005-0000-0000-0000FA050000}"/>
    <cellStyle name="20% - Accent2 10 2 3" xfId="9678" xr:uid="{00000000-0005-0000-0000-0000FB050000}"/>
    <cellStyle name="20% - Accent2 10 2 3 2" xfId="20966" xr:uid="{00000000-0005-0000-0000-0000FC050000}"/>
    <cellStyle name="20% - Accent2 10 2 4" xfId="7684" xr:uid="{00000000-0005-0000-0000-0000FD050000}"/>
    <cellStyle name="20% - Accent2 10 2 4 2" xfId="18972" xr:uid="{00000000-0005-0000-0000-0000FE050000}"/>
    <cellStyle name="20% - Accent2 10 2 5" xfId="5690" xr:uid="{00000000-0005-0000-0000-0000FF050000}"/>
    <cellStyle name="20% - Accent2 10 2 5 2" xfId="16978" xr:uid="{00000000-0005-0000-0000-000000060000}"/>
    <cellStyle name="20% - Accent2 10 2 6" xfId="14984" xr:uid="{00000000-0005-0000-0000-000001060000}"/>
    <cellStyle name="20% - Accent2 10 3" xfId="10675" xr:uid="{00000000-0005-0000-0000-000002060000}"/>
    <cellStyle name="20% - Accent2 10 3 2" xfId="21963" xr:uid="{00000000-0005-0000-0000-000003060000}"/>
    <cellStyle name="20% - Accent2 10 4" xfId="8681" xr:uid="{00000000-0005-0000-0000-000004060000}"/>
    <cellStyle name="20% - Accent2 10 4 2" xfId="19969" xr:uid="{00000000-0005-0000-0000-000005060000}"/>
    <cellStyle name="20% - Accent2 10 5" xfId="6687" xr:uid="{00000000-0005-0000-0000-000006060000}"/>
    <cellStyle name="20% - Accent2 10 5 2" xfId="17975" xr:uid="{00000000-0005-0000-0000-000007060000}"/>
    <cellStyle name="20% - Accent2 10 6" xfId="4693" xr:uid="{00000000-0005-0000-0000-000008060000}"/>
    <cellStyle name="20% - Accent2 10 6 2" xfId="15981" xr:uid="{00000000-0005-0000-0000-000009060000}"/>
    <cellStyle name="20% - Accent2 10 7" xfId="13987" xr:uid="{00000000-0005-0000-0000-00000A060000}"/>
    <cellStyle name="20% - Accent2 10 8" xfId="12673" xr:uid="{00000000-0005-0000-0000-00000B060000}"/>
    <cellStyle name="20% - Accent2 11" xfId="738" xr:uid="{00000000-0005-0000-0000-00000C060000}"/>
    <cellStyle name="20% - Accent2 11 2" xfId="3694" xr:uid="{00000000-0005-0000-0000-00000D060000}"/>
    <cellStyle name="20% - Accent2 11 2 2" xfId="11673" xr:uid="{00000000-0005-0000-0000-00000E060000}"/>
    <cellStyle name="20% - Accent2 11 2 2 2" xfId="22961" xr:uid="{00000000-0005-0000-0000-00000F060000}"/>
    <cellStyle name="20% - Accent2 11 2 3" xfId="9679" xr:uid="{00000000-0005-0000-0000-000010060000}"/>
    <cellStyle name="20% - Accent2 11 2 3 2" xfId="20967" xr:uid="{00000000-0005-0000-0000-000011060000}"/>
    <cellStyle name="20% - Accent2 11 2 4" xfId="7685" xr:uid="{00000000-0005-0000-0000-000012060000}"/>
    <cellStyle name="20% - Accent2 11 2 4 2" xfId="18973" xr:uid="{00000000-0005-0000-0000-000013060000}"/>
    <cellStyle name="20% - Accent2 11 2 5" xfId="5691" xr:uid="{00000000-0005-0000-0000-000014060000}"/>
    <cellStyle name="20% - Accent2 11 2 5 2" xfId="16979" xr:uid="{00000000-0005-0000-0000-000015060000}"/>
    <cellStyle name="20% - Accent2 11 2 6" xfId="14985" xr:uid="{00000000-0005-0000-0000-000016060000}"/>
    <cellStyle name="20% - Accent2 11 3" xfId="10676" xr:uid="{00000000-0005-0000-0000-000017060000}"/>
    <cellStyle name="20% - Accent2 11 3 2" xfId="21964" xr:uid="{00000000-0005-0000-0000-000018060000}"/>
    <cellStyle name="20% - Accent2 11 4" xfId="8682" xr:uid="{00000000-0005-0000-0000-000019060000}"/>
    <cellStyle name="20% - Accent2 11 4 2" xfId="19970" xr:uid="{00000000-0005-0000-0000-00001A060000}"/>
    <cellStyle name="20% - Accent2 11 5" xfId="6688" xr:uid="{00000000-0005-0000-0000-00001B060000}"/>
    <cellStyle name="20% - Accent2 11 5 2" xfId="17976" xr:uid="{00000000-0005-0000-0000-00001C060000}"/>
    <cellStyle name="20% - Accent2 11 6" xfId="4694" xr:uid="{00000000-0005-0000-0000-00001D060000}"/>
    <cellStyle name="20% - Accent2 11 6 2" xfId="15982" xr:uid="{00000000-0005-0000-0000-00001E060000}"/>
    <cellStyle name="20% - Accent2 11 7" xfId="13988" xr:uid="{00000000-0005-0000-0000-00001F060000}"/>
    <cellStyle name="20% - Accent2 11 8" xfId="12674" xr:uid="{00000000-0005-0000-0000-000020060000}"/>
    <cellStyle name="20% - Accent2 12" xfId="739" xr:uid="{00000000-0005-0000-0000-000021060000}"/>
    <cellStyle name="20% - Accent2 12 2" xfId="3695" xr:uid="{00000000-0005-0000-0000-000022060000}"/>
    <cellStyle name="20% - Accent2 12 2 2" xfId="11674" xr:uid="{00000000-0005-0000-0000-000023060000}"/>
    <cellStyle name="20% - Accent2 12 2 2 2" xfId="22962" xr:uid="{00000000-0005-0000-0000-000024060000}"/>
    <cellStyle name="20% - Accent2 12 2 3" xfId="9680" xr:uid="{00000000-0005-0000-0000-000025060000}"/>
    <cellStyle name="20% - Accent2 12 2 3 2" xfId="20968" xr:uid="{00000000-0005-0000-0000-000026060000}"/>
    <cellStyle name="20% - Accent2 12 2 4" xfId="7686" xr:uid="{00000000-0005-0000-0000-000027060000}"/>
    <cellStyle name="20% - Accent2 12 2 4 2" xfId="18974" xr:uid="{00000000-0005-0000-0000-000028060000}"/>
    <cellStyle name="20% - Accent2 12 2 5" xfId="5692" xr:uid="{00000000-0005-0000-0000-000029060000}"/>
    <cellStyle name="20% - Accent2 12 2 5 2" xfId="16980" xr:uid="{00000000-0005-0000-0000-00002A060000}"/>
    <cellStyle name="20% - Accent2 12 2 6" xfId="14986" xr:uid="{00000000-0005-0000-0000-00002B060000}"/>
    <cellStyle name="20% - Accent2 12 3" xfId="10677" xr:uid="{00000000-0005-0000-0000-00002C060000}"/>
    <cellStyle name="20% - Accent2 12 3 2" xfId="21965" xr:uid="{00000000-0005-0000-0000-00002D060000}"/>
    <cellStyle name="20% - Accent2 12 4" xfId="8683" xr:uid="{00000000-0005-0000-0000-00002E060000}"/>
    <cellStyle name="20% - Accent2 12 4 2" xfId="19971" xr:uid="{00000000-0005-0000-0000-00002F060000}"/>
    <cellStyle name="20% - Accent2 12 5" xfId="6689" xr:uid="{00000000-0005-0000-0000-000030060000}"/>
    <cellStyle name="20% - Accent2 12 5 2" xfId="17977" xr:uid="{00000000-0005-0000-0000-000031060000}"/>
    <cellStyle name="20% - Accent2 12 6" xfId="4695" xr:uid="{00000000-0005-0000-0000-000032060000}"/>
    <cellStyle name="20% - Accent2 12 6 2" xfId="15983" xr:uid="{00000000-0005-0000-0000-000033060000}"/>
    <cellStyle name="20% - Accent2 12 7" xfId="13989" xr:uid="{00000000-0005-0000-0000-000034060000}"/>
    <cellStyle name="20% - Accent2 12 8" xfId="12675" xr:uid="{00000000-0005-0000-0000-000035060000}"/>
    <cellStyle name="20% - Accent2 13" xfId="740" xr:uid="{00000000-0005-0000-0000-000036060000}"/>
    <cellStyle name="20% - Accent2 13 2" xfId="3696" xr:uid="{00000000-0005-0000-0000-000037060000}"/>
    <cellStyle name="20% - Accent2 13 2 2" xfId="11675" xr:uid="{00000000-0005-0000-0000-000038060000}"/>
    <cellStyle name="20% - Accent2 13 2 2 2" xfId="22963" xr:uid="{00000000-0005-0000-0000-000039060000}"/>
    <cellStyle name="20% - Accent2 13 2 3" xfId="9681" xr:uid="{00000000-0005-0000-0000-00003A060000}"/>
    <cellStyle name="20% - Accent2 13 2 3 2" xfId="20969" xr:uid="{00000000-0005-0000-0000-00003B060000}"/>
    <cellStyle name="20% - Accent2 13 2 4" xfId="7687" xr:uid="{00000000-0005-0000-0000-00003C060000}"/>
    <cellStyle name="20% - Accent2 13 2 4 2" xfId="18975" xr:uid="{00000000-0005-0000-0000-00003D060000}"/>
    <cellStyle name="20% - Accent2 13 2 5" xfId="5693" xr:uid="{00000000-0005-0000-0000-00003E060000}"/>
    <cellStyle name="20% - Accent2 13 2 5 2" xfId="16981" xr:uid="{00000000-0005-0000-0000-00003F060000}"/>
    <cellStyle name="20% - Accent2 13 2 6" xfId="14987" xr:uid="{00000000-0005-0000-0000-000040060000}"/>
    <cellStyle name="20% - Accent2 13 3" xfId="10678" xr:uid="{00000000-0005-0000-0000-000041060000}"/>
    <cellStyle name="20% - Accent2 13 3 2" xfId="21966" xr:uid="{00000000-0005-0000-0000-000042060000}"/>
    <cellStyle name="20% - Accent2 13 4" xfId="8684" xr:uid="{00000000-0005-0000-0000-000043060000}"/>
    <cellStyle name="20% - Accent2 13 4 2" xfId="19972" xr:uid="{00000000-0005-0000-0000-000044060000}"/>
    <cellStyle name="20% - Accent2 13 5" xfId="6690" xr:uid="{00000000-0005-0000-0000-000045060000}"/>
    <cellStyle name="20% - Accent2 13 5 2" xfId="17978" xr:uid="{00000000-0005-0000-0000-000046060000}"/>
    <cellStyle name="20% - Accent2 13 6" xfId="4696" xr:uid="{00000000-0005-0000-0000-000047060000}"/>
    <cellStyle name="20% - Accent2 13 6 2" xfId="15984" xr:uid="{00000000-0005-0000-0000-000048060000}"/>
    <cellStyle name="20% - Accent2 13 7" xfId="13990" xr:uid="{00000000-0005-0000-0000-000049060000}"/>
    <cellStyle name="20% - Accent2 13 8" xfId="12676" xr:uid="{00000000-0005-0000-0000-00004A060000}"/>
    <cellStyle name="20% - Accent2 14" xfId="741" xr:uid="{00000000-0005-0000-0000-00004B060000}"/>
    <cellStyle name="20% - Accent2 14 2" xfId="3697" xr:uid="{00000000-0005-0000-0000-00004C060000}"/>
    <cellStyle name="20% - Accent2 14 2 2" xfId="11676" xr:uid="{00000000-0005-0000-0000-00004D060000}"/>
    <cellStyle name="20% - Accent2 14 2 2 2" xfId="22964" xr:uid="{00000000-0005-0000-0000-00004E060000}"/>
    <cellStyle name="20% - Accent2 14 2 3" xfId="9682" xr:uid="{00000000-0005-0000-0000-00004F060000}"/>
    <cellStyle name="20% - Accent2 14 2 3 2" xfId="20970" xr:uid="{00000000-0005-0000-0000-000050060000}"/>
    <cellStyle name="20% - Accent2 14 2 4" xfId="7688" xr:uid="{00000000-0005-0000-0000-000051060000}"/>
    <cellStyle name="20% - Accent2 14 2 4 2" xfId="18976" xr:uid="{00000000-0005-0000-0000-000052060000}"/>
    <cellStyle name="20% - Accent2 14 2 5" xfId="5694" xr:uid="{00000000-0005-0000-0000-000053060000}"/>
    <cellStyle name="20% - Accent2 14 2 5 2" xfId="16982" xr:uid="{00000000-0005-0000-0000-000054060000}"/>
    <cellStyle name="20% - Accent2 14 2 6" xfId="14988" xr:uid="{00000000-0005-0000-0000-000055060000}"/>
    <cellStyle name="20% - Accent2 14 3" xfId="10679" xr:uid="{00000000-0005-0000-0000-000056060000}"/>
    <cellStyle name="20% - Accent2 14 3 2" xfId="21967" xr:uid="{00000000-0005-0000-0000-000057060000}"/>
    <cellStyle name="20% - Accent2 14 4" xfId="8685" xr:uid="{00000000-0005-0000-0000-000058060000}"/>
    <cellStyle name="20% - Accent2 14 4 2" xfId="19973" xr:uid="{00000000-0005-0000-0000-000059060000}"/>
    <cellStyle name="20% - Accent2 14 5" xfId="6691" xr:uid="{00000000-0005-0000-0000-00005A060000}"/>
    <cellStyle name="20% - Accent2 14 5 2" xfId="17979" xr:uid="{00000000-0005-0000-0000-00005B060000}"/>
    <cellStyle name="20% - Accent2 14 6" xfId="4697" xr:uid="{00000000-0005-0000-0000-00005C060000}"/>
    <cellStyle name="20% - Accent2 14 6 2" xfId="15985" xr:uid="{00000000-0005-0000-0000-00005D060000}"/>
    <cellStyle name="20% - Accent2 14 7" xfId="13991" xr:uid="{00000000-0005-0000-0000-00005E060000}"/>
    <cellStyle name="20% - Accent2 14 8" xfId="12677" xr:uid="{00000000-0005-0000-0000-00005F060000}"/>
    <cellStyle name="20% - Accent2 15" xfId="742" xr:uid="{00000000-0005-0000-0000-000060060000}"/>
    <cellStyle name="20% - Accent2 15 2" xfId="3698" xr:uid="{00000000-0005-0000-0000-000061060000}"/>
    <cellStyle name="20% - Accent2 15 2 2" xfId="11677" xr:uid="{00000000-0005-0000-0000-000062060000}"/>
    <cellStyle name="20% - Accent2 15 2 2 2" xfId="22965" xr:uid="{00000000-0005-0000-0000-000063060000}"/>
    <cellStyle name="20% - Accent2 15 2 3" xfId="9683" xr:uid="{00000000-0005-0000-0000-000064060000}"/>
    <cellStyle name="20% - Accent2 15 2 3 2" xfId="20971" xr:uid="{00000000-0005-0000-0000-000065060000}"/>
    <cellStyle name="20% - Accent2 15 2 4" xfId="7689" xr:uid="{00000000-0005-0000-0000-000066060000}"/>
    <cellStyle name="20% - Accent2 15 2 4 2" xfId="18977" xr:uid="{00000000-0005-0000-0000-000067060000}"/>
    <cellStyle name="20% - Accent2 15 2 5" xfId="5695" xr:uid="{00000000-0005-0000-0000-000068060000}"/>
    <cellStyle name="20% - Accent2 15 2 5 2" xfId="16983" xr:uid="{00000000-0005-0000-0000-000069060000}"/>
    <cellStyle name="20% - Accent2 15 2 6" xfId="14989" xr:uid="{00000000-0005-0000-0000-00006A060000}"/>
    <cellStyle name="20% - Accent2 15 3" xfId="10680" xr:uid="{00000000-0005-0000-0000-00006B060000}"/>
    <cellStyle name="20% - Accent2 15 3 2" xfId="21968" xr:uid="{00000000-0005-0000-0000-00006C060000}"/>
    <cellStyle name="20% - Accent2 15 4" xfId="8686" xr:uid="{00000000-0005-0000-0000-00006D060000}"/>
    <cellStyle name="20% - Accent2 15 4 2" xfId="19974" xr:uid="{00000000-0005-0000-0000-00006E060000}"/>
    <cellStyle name="20% - Accent2 15 5" xfId="6692" xr:uid="{00000000-0005-0000-0000-00006F060000}"/>
    <cellStyle name="20% - Accent2 15 5 2" xfId="17980" xr:uid="{00000000-0005-0000-0000-000070060000}"/>
    <cellStyle name="20% - Accent2 15 6" xfId="4698" xr:uid="{00000000-0005-0000-0000-000071060000}"/>
    <cellStyle name="20% - Accent2 15 6 2" xfId="15986" xr:uid="{00000000-0005-0000-0000-000072060000}"/>
    <cellStyle name="20% - Accent2 15 7" xfId="13992" xr:uid="{00000000-0005-0000-0000-000073060000}"/>
    <cellStyle name="20% - Accent2 15 8" xfId="12678" xr:uid="{00000000-0005-0000-0000-000074060000}"/>
    <cellStyle name="20% - Accent2 16" xfId="743" xr:uid="{00000000-0005-0000-0000-000075060000}"/>
    <cellStyle name="20% - Accent2 16 2" xfId="3699" xr:uid="{00000000-0005-0000-0000-000076060000}"/>
    <cellStyle name="20% - Accent2 16 2 2" xfId="11678" xr:uid="{00000000-0005-0000-0000-000077060000}"/>
    <cellStyle name="20% - Accent2 16 2 2 2" xfId="22966" xr:uid="{00000000-0005-0000-0000-000078060000}"/>
    <cellStyle name="20% - Accent2 16 2 3" xfId="9684" xr:uid="{00000000-0005-0000-0000-000079060000}"/>
    <cellStyle name="20% - Accent2 16 2 3 2" xfId="20972" xr:uid="{00000000-0005-0000-0000-00007A060000}"/>
    <cellStyle name="20% - Accent2 16 2 4" xfId="7690" xr:uid="{00000000-0005-0000-0000-00007B060000}"/>
    <cellStyle name="20% - Accent2 16 2 4 2" xfId="18978" xr:uid="{00000000-0005-0000-0000-00007C060000}"/>
    <cellStyle name="20% - Accent2 16 2 5" xfId="5696" xr:uid="{00000000-0005-0000-0000-00007D060000}"/>
    <cellStyle name="20% - Accent2 16 2 5 2" xfId="16984" xr:uid="{00000000-0005-0000-0000-00007E060000}"/>
    <cellStyle name="20% - Accent2 16 2 6" xfId="14990" xr:uid="{00000000-0005-0000-0000-00007F060000}"/>
    <cellStyle name="20% - Accent2 16 3" xfId="10681" xr:uid="{00000000-0005-0000-0000-000080060000}"/>
    <cellStyle name="20% - Accent2 16 3 2" xfId="21969" xr:uid="{00000000-0005-0000-0000-000081060000}"/>
    <cellStyle name="20% - Accent2 16 4" xfId="8687" xr:uid="{00000000-0005-0000-0000-000082060000}"/>
    <cellStyle name="20% - Accent2 16 4 2" xfId="19975" xr:uid="{00000000-0005-0000-0000-000083060000}"/>
    <cellStyle name="20% - Accent2 16 5" xfId="6693" xr:uid="{00000000-0005-0000-0000-000084060000}"/>
    <cellStyle name="20% - Accent2 16 5 2" xfId="17981" xr:uid="{00000000-0005-0000-0000-000085060000}"/>
    <cellStyle name="20% - Accent2 16 6" xfId="4699" xr:uid="{00000000-0005-0000-0000-000086060000}"/>
    <cellStyle name="20% - Accent2 16 6 2" xfId="15987" xr:uid="{00000000-0005-0000-0000-000087060000}"/>
    <cellStyle name="20% - Accent2 16 7" xfId="13993" xr:uid="{00000000-0005-0000-0000-000088060000}"/>
    <cellStyle name="20% - Accent2 16 8" xfId="12679" xr:uid="{00000000-0005-0000-0000-000089060000}"/>
    <cellStyle name="20% - Accent2 17" xfId="744" xr:uid="{00000000-0005-0000-0000-00008A060000}"/>
    <cellStyle name="20% - Accent2 17 2" xfId="3700" xr:uid="{00000000-0005-0000-0000-00008B060000}"/>
    <cellStyle name="20% - Accent2 17 2 2" xfId="11679" xr:uid="{00000000-0005-0000-0000-00008C060000}"/>
    <cellStyle name="20% - Accent2 17 2 2 2" xfId="22967" xr:uid="{00000000-0005-0000-0000-00008D060000}"/>
    <cellStyle name="20% - Accent2 17 2 3" xfId="9685" xr:uid="{00000000-0005-0000-0000-00008E060000}"/>
    <cellStyle name="20% - Accent2 17 2 3 2" xfId="20973" xr:uid="{00000000-0005-0000-0000-00008F060000}"/>
    <cellStyle name="20% - Accent2 17 2 4" xfId="7691" xr:uid="{00000000-0005-0000-0000-000090060000}"/>
    <cellStyle name="20% - Accent2 17 2 4 2" xfId="18979" xr:uid="{00000000-0005-0000-0000-000091060000}"/>
    <cellStyle name="20% - Accent2 17 2 5" xfId="5697" xr:uid="{00000000-0005-0000-0000-000092060000}"/>
    <cellStyle name="20% - Accent2 17 2 5 2" xfId="16985" xr:uid="{00000000-0005-0000-0000-000093060000}"/>
    <cellStyle name="20% - Accent2 17 2 6" xfId="14991" xr:uid="{00000000-0005-0000-0000-000094060000}"/>
    <cellStyle name="20% - Accent2 17 3" xfId="10682" xr:uid="{00000000-0005-0000-0000-000095060000}"/>
    <cellStyle name="20% - Accent2 17 3 2" xfId="21970" xr:uid="{00000000-0005-0000-0000-000096060000}"/>
    <cellStyle name="20% - Accent2 17 4" xfId="8688" xr:uid="{00000000-0005-0000-0000-000097060000}"/>
    <cellStyle name="20% - Accent2 17 4 2" xfId="19976" xr:uid="{00000000-0005-0000-0000-000098060000}"/>
    <cellStyle name="20% - Accent2 17 5" xfId="6694" xr:uid="{00000000-0005-0000-0000-000099060000}"/>
    <cellStyle name="20% - Accent2 17 5 2" xfId="17982" xr:uid="{00000000-0005-0000-0000-00009A060000}"/>
    <cellStyle name="20% - Accent2 17 6" xfId="4700" xr:uid="{00000000-0005-0000-0000-00009B060000}"/>
    <cellStyle name="20% - Accent2 17 6 2" xfId="15988" xr:uid="{00000000-0005-0000-0000-00009C060000}"/>
    <cellStyle name="20% - Accent2 17 7" xfId="13994" xr:uid="{00000000-0005-0000-0000-00009D060000}"/>
    <cellStyle name="20% - Accent2 17 8" xfId="12680" xr:uid="{00000000-0005-0000-0000-00009E060000}"/>
    <cellStyle name="20% - Accent2 18" xfId="745" xr:uid="{00000000-0005-0000-0000-00009F060000}"/>
    <cellStyle name="20% - Accent2 18 2" xfId="3701" xr:uid="{00000000-0005-0000-0000-0000A0060000}"/>
    <cellStyle name="20% - Accent2 18 2 2" xfId="11680" xr:uid="{00000000-0005-0000-0000-0000A1060000}"/>
    <cellStyle name="20% - Accent2 18 2 2 2" xfId="22968" xr:uid="{00000000-0005-0000-0000-0000A2060000}"/>
    <cellStyle name="20% - Accent2 18 2 3" xfId="9686" xr:uid="{00000000-0005-0000-0000-0000A3060000}"/>
    <cellStyle name="20% - Accent2 18 2 3 2" xfId="20974" xr:uid="{00000000-0005-0000-0000-0000A4060000}"/>
    <cellStyle name="20% - Accent2 18 2 4" xfId="7692" xr:uid="{00000000-0005-0000-0000-0000A5060000}"/>
    <cellStyle name="20% - Accent2 18 2 4 2" xfId="18980" xr:uid="{00000000-0005-0000-0000-0000A6060000}"/>
    <cellStyle name="20% - Accent2 18 2 5" xfId="5698" xr:uid="{00000000-0005-0000-0000-0000A7060000}"/>
    <cellStyle name="20% - Accent2 18 2 5 2" xfId="16986" xr:uid="{00000000-0005-0000-0000-0000A8060000}"/>
    <cellStyle name="20% - Accent2 18 2 6" xfId="14992" xr:uid="{00000000-0005-0000-0000-0000A9060000}"/>
    <cellStyle name="20% - Accent2 18 3" xfId="10683" xr:uid="{00000000-0005-0000-0000-0000AA060000}"/>
    <cellStyle name="20% - Accent2 18 3 2" xfId="21971" xr:uid="{00000000-0005-0000-0000-0000AB060000}"/>
    <cellStyle name="20% - Accent2 18 4" xfId="8689" xr:uid="{00000000-0005-0000-0000-0000AC060000}"/>
    <cellStyle name="20% - Accent2 18 4 2" xfId="19977" xr:uid="{00000000-0005-0000-0000-0000AD060000}"/>
    <cellStyle name="20% - Accent2 18 5" xfId="6695" xr:uid="{00000000-0005-0000-0000-0000AE060000}"/>
    <cellStyle name="20% - Accent2 18 5 2" xfId="17983" xr:uid="{00000000-0005-0000-0000-0000AF060000}"/>
    <cellStyle name="20% - Accent2 18 6" xfId="4701" xr:uid="{00000000-0005-0000-0000-0000B0060000}"/>
    <cellStyle name="20% - Accent2 18 6 2" xfId="15989" xr:uid="{00000000-0005-0000-0000-0000B1060000}"/>
    <cellStyle name="20% - Accent2 18 7" xfId="13995" xr:uid="{00000000-0005-0000-0000-0000B2060000}"/>
    <cellStyle name="20% - Accent2 18 8" xfId="12681" xr:uid="{00000000-0005-0000-0000-0000B3060000}"/>
    <cellStyle name="20% - Accent2 19" xfId="746" xr:uid="{00000000-0005-0000-0000-0000B4060000}"/>
    <cellStyle name="20% - Accent2 19 2" xfId="3702" xr:uid="{00000000-0005-0000-0000-0000B5060000}"/>
    <cellStyle name="20% - Accent2 19 2 2" xfId="11681" xr:uid="{00000000-0005-0000-0000-0000B6060000}"/>
    <cellStyle name="20% - Accent2 19 2 2 2" xfId="22969" xr:uid="{00000000-0005-0000-0000-0000B7060000}"/>
    <cellStyle name="20% - Accent2 19 2 3" xfId="9687" xr:uid="{00000000-0005-0000-0000-0000B8060000}"/>
    <cellStyle name="20% - Accent2 19 2 3 2" xfId="20975" xr:uid="{00000000-0005-0000-0000-0000B9060000}"/>
    <cellStyle name="20% - Accent2 19 2 4" xfId="7693" xr:uid="{00000000-0005-0000-0000-0000BA060000}"/>
    <cellStyle name="20% - Accent2 19 2 4 2" xfId="18981" xr:uid="{00000000-0005-0000-0000-0000BB060000}"/>
    <cellStyle name="20% - Accent2 19 2 5" xfId="5699" xr:uid="{00000000-0005-0000-0000-0000BC060000}"/>
    <cellStyle name="20% - Accent2 19 2 5 2" xfId="16987" xr:uid="{00000000-0005-0000-0000-0000BD060000}"/>
    <cellStyle name="20% - Accent2 19 2 6" xfId="14993" xr:uid="{00000000-0005-0000-0000-0000BE060000}"/>
    <cellStyle name="20% - Accent2 19 3" xfId="10684" xr:uid="{00000000-0005-0000-0000-0000BF060000}"/>
    <cellStyle name="20% - Accent2 19 3 2" xfId="21972" xr:uid="{00000000-0005-0000-0000-0000C0060000}"/>
    <cellStyle name="20% - Accent2 19 4" xfId="8690" xr:uid="{00000000-0005-0000-0000-0000C1060000}"/>
    <cellStyle name="20% - Accent2 19 4 2" xfId="19978" xr:uid="{00000000-0005-0000-0000-0000C2060000}"/>
    <cellStyle name="20% - Accent2 19 5" xfId="6696" xr:uid="{00000000-0005-0000-0000-0000C3060000}"/>
    <cellStyle name="20% - Accent2 19 5 2" xfId="17984" xr:uid="{00000000-0005-0000-0000-0000C4060000}"/>
    <cellStyle name="20% - Accent2 19 6" xfId="4702" xr:uid="{00000000-0005-0000-0000-0000C5060000}"/>
    <cellStyle name="20% - Accent2 19 6 2" xfId="15990" xr:uid="{00000000-0005-0000-0000-0000C6060000}"/>
    <cellStyle name="20% - Accent2 19 7" xfId="13996" xr:uid="{00000000-0005-0000-0000-0000C7060000}"/>
    <cellStyle name="20% - Accent2 19 8" xfId="12682" xr:uid="{00000000-0005-0000-0000-0000C8060000}"/>
    <cellStyle name="20% - Accent2 2" xfId="747" xr:uid="{00000000-0005-0000-0000-0000C9060000}"/>
    <cellStyle name="20% - Accent2 2 10" xfId="24565" xr:uid="{00000000-0005-0000-0000-0000CA060000}"/>
    <cellStyle name="20% - Accent2 2 11" xfId="24955" xr:uid="{00000000-0005-0000-0000-0000CB060000}"/>
    <cellStyle name="20% - Accent2 2 2" xfId="3703" xr:uid="{00000000-0005-0000-0000-0000CC060000}"/>
    <cellStyle name="20% - Accent2 2 2 2" xfId="11682" xr:uid="{00000000-0005-0000-0000-0000CD060000}"/>
    <cellStyle name="20% - Accent2 2 2 2 2" xfId="22970" xr:uid="{00000000-0005-0000-0000-0000CE060000}"/>
    <cellStyle name="20% - Accent2 2 2 3" xfId="9688" xr:uid="{00000000-0005-0000-0000-0000CF060000}"/>
    <cellStyle name="20% - Accent2 2 2 3 2" xfId="20976" xr:uid="{00000000-0005-0000-0000-0000D0060000}"/>
    <cellStyle name="20% - Accent2 2 2 4" xfId="7694" xr:uid="{00000000-0005-0000-0000-0000D1060000}"/>
    <cellStyle name="20% - Accent2 2 2 4 2" xfId="18982" xr:uid="{00000000-0005-0000-0000-0000D2060000}"/>
    <cellStyle name="20% - Accent2 2 2 5" xfId="5700" xr:uid="{00000000-0005-0000-0000-0000D3060000}"/>
    <cellStyle name="20% - Accent2 2 2 5 2" xfId="16988" xr:uid="{00000000-0005-0000-0000-0000D4060000}"/>
    <cellStyle name="20% - Accent2 2 2 6" xfId="14994" xr:uid="{00000000-0005-0000-0000-0000D5060000}"/>
    <cellStyle name="20% - Accent2 2 2 7" xfId="24326" xr:uid="{00000000-0005-0000-0000-0000D6060000}"/>
    <cellStyle name="20% - Accent2 2 2 8" xfId="24790" xr:uid="{00000000-0005-0000-0000-0000D7060000}"/>
    <cellStyle name="20% - Accent2 2 2 9" xfId="25157" xr:uid="{00000000-0005-0000-0000-0000D8060000}"/>
    <cellStyle name="20% - Accent2 2 3" xfId="10685" xr:uid="{00000000-0005-0000-0000-0000D9060000}"/>
    <cellStyle name="20% - Accent2 2 3 2" xfId="21973" xr:uid="{00000000-0005-0000-0000-0000DA060000}"/>
    <cellStyle name="20% - Accent2 2 4" xfId="8691" xr:uid="{00000000-0005-0000-0000-0000DB060000}"/>
    <cellStyle name="20% - Accent2 2 4 2" xfId="19979" xr:uid="{00000000-0005-0000-0000-0000DC060000}"/>
    <cellStyle name="20% - Accent2 2 5" xfId="6697" xr:uid="{00000000-0005-0000-0000-0000DD060000}"/>
    <cellStyle name="20% - Accent2 2 5 2" xfId="17985" xr:uid="{00000000-0005-0000-0000-0000DE060000}"/>
    <cellStyle name="20% - Accent2 2 6" xfId="4703" xr:uid="{00000000-0005-0000-0000-0000DF060000}"/>
    <cellStyle name="20% - Accent2 2 6 2" xfId="15991" xr:uid="{00000000-0005-0000-0000-0000E0060000}"/>
    <cellStyle name="20% - Accent2 2 7" xfId="13997" xr:uid="{00000000-0005-0000-0000-0000E1060000}"/>
    <cellStyle name="20% - Accent2 2 8" xfId="12683" xr:uid="{00000000-0005-0000-0000-0000E2060000}"/>
    <cellStyle name="20% - Accent2 2 9" xfId="23938" xr:uid="{00000000-0005-0000-0000-0000E3060000}"/>
    <cellStyle name="20% - Accent2 20" xfId="748" xr:uid="{00000000-0005-0000-0000-0000E4060000}"/>
    <cellStyle name="20% - Accent2 20 2" xfId="3704" xr:uid="{00000000-0005-0000-0000-0000E5060000}"/>
    <cellStyle name="20% - Accent2 20 2 2" xfId="11683" xr:uid="{00000000-0005-0000-0000-0000E6060000}"/>
    <cellStyle name="20% - Accent2 20 2 2 2" xfId="22971" xr:uid="{00000000-0005-0000-0000-0000E7060000}"/>
    <cellStyle name="20% - Accent2 20 2 3" xfId="9689" xr:uid="{00000000-0005-0000-0000-0000E8060000}"/>
    <cellStyle name="20% - Accent2 20 2 3 2" xfId="20977" xr:uid="{00000000-0005-0000-0000-0000E9060000}"/>
    <cellStyle name="20% - Accent2 20 2 4" xfId="7695" xr:uid="{00000000-0005-0000-0000-0000EA060000}"/>
    <cellStyle name="20% - Accent2 20 2 4 2" xfId="18983" xr:uid="{00000000-0005-0000-0000-0000EB060000}"/>
    <cellStyle name="20% - Accent2 20 2 5" xfId="5701" xr:uid="{00000000-0005-0000-0000-0000EC060000}"/>
    <cellStyle name="20% - Accent2 20 2 5 2" xfId="16989" xr:uid="{00000000-0005-0000-0000-0000ED060000}"/>
    <cellStyle name="20% - Accent2 20 2 6" xfId="14995" xr:uid="{00000000-0005-0000-0000-0000EE060000}"/>
    <cellStyle name="20% - Accent2 20 3" xfId="10686" xr:uid="{00000000-0005-0000-0000-0000EF060000}"/>
    <cellStyle name="20% - Accent2 20 3 2" xfId="21974" xr:uid="{00000000-0005-0000-0000-0000F0060000}"/>
    <cellStyle name="20% - Accent2 20 4" xfId="8692" xr:uid="{00000000-0005-0000-0000-0000F1060000}"/>
    <cellStyle name="20% - Accent2 20 4 2" xfId="19980" xr:uid="{00000000-0005-0000-0000-0000F2060000}"/>
    <cellStyle name="20% - Accent2 20 5" xfId="6698" xr:uid="{00000000-0005-0000-0000-0000F3060000}"/>
    <cellStyle name="20% - Accent2 20 5 2" xfId="17986" xr:uid="{00000000-0005-0000-0000-0000F4060000}"/>
    <cellStyle name="20% - Accent2 20 6" xfId="4704" xr:uid="{00000000-0005-0000-0000-0000F5060000}"/>
    <cellStyle name="20% - Accent2 20 6 2" xfId="15992" xr:uid="{00000000-0005-0000-0000-0000F6060000}"/>
    <cellStyle name="20% - Accent2 20 7" xfId="13998" xr:uid="{00000000-0005-0000-0000-0000F7060000}"/>
    <cellStyle name="20% - Accent2 20 8" xfId="12684" xr:uid="{00000000-0005-0000-0000-0000F8060000}"/>
    <cellStyle name="20% - Accent2 21" xfId="749" xr:uid="{00000000-0005-0000-0000-0000F9060000}"/>
    <cellStyle name="20% - Accent2 21 2" xfId="3705" xr:uid="{00000000-0005-0000-0000-0000FA060000}"/>
    <cellStyle name="20% - Accent2 21 2 2" xfId="11684" xr:uid="{00000000-0005-0000-0000-0000FB060000}"/>
    <cellStyle name="20% - Accent2 21 2 2 2" xfId="22972" xr:uid="{00000000-0005-0000-0000-0000FC060000}"/>
    <cellStyle name="20% - Accent2 21 2 3" xfId="9690" xr:uid="{00000000-0005-0000-0000-0000FD060000}"/>
    <cellStyle name="20% - Accent2 21 2 3 2" xfId="20978" xr:uid="{00000000-0005-0000-0000-0000FE060000}"/>
    <cellStyle name="20% - Accent2 21 2 4" xfId="7696" xr:uid="{00000000-0005-0000-0000-0000FF060000}"/>
    <cellStyle name="20% - Accent2 21 2 4 2" xfId="18984" xr:uid="{00000000-0005-0000-0000-000000070000}"/>
    <cellStyle name="20% - Accent2 21 2 5" xfId="5702" xr:uid="{00000000-0005-0000-0000-000001070000}"/>
    <cellStyle name="20% - Accent2 21 2 5 2" xfId="16990" xr:uid="{00000000-0005-0000-0000-000002070000}"/>
    <cellStyle name="20% - Accent2 21 2 6" xfId="14996" xr:uid="{00000000-0005-0000-0000-000003070000}"/>
    <cellStyle name="20% - Accent2 21 3" xfId="10687" xr:uid="{00000000-0005-0000-0000-000004070000}"/>
    <cellStyle name="20% - Accent2 21 3 2" xfId="21975" xr:uid="{00000000-0005-0000-0000-000005070000}"/>
    <cellStyle name="20% - Accent2 21 4" xfId="8693" xr:uid="{00000000-0005-0000-0000-000006070000}"/>
    <cellStyle name="20% - Accent2 21 4 2" xfId="19981" xr:uid="{00000000-0005-0000-0000-000007070000}"/>
    <cellStyle name="20% - Accent2 21 5" xfId="6699" xr:uid="{00000000-0005-0000-0000-000008070000}"/>
    <cellStyle name="20% - Accent2 21 5 2" xfId="17987" xr:uid="{00000000-0005-0000-0000-000009070000}"/>
    <cellStyle name="20% - Accent2 21 6" xfId="4705" xr:uid="{00000000-0005-0000-0000-00000A070000}"/>
    <cellStyle name="20% - Accent2 21 6 2" xfId="15993" xr:uid="{00000000-0005-0000-0000-00000B070000}"/>
    <cellStyle name="20% - Accent2 21 7" xfId="13999" xr:uid="{00000000-0005-0000-0000-00000C070000}"/>
    <cellStyle name="20% - Accent2 21 8" xfId="12685" xr:uid="{00000000-0005-0000-0000-00000D070000}"/>
    <cellStyle name="20% - Accent2 22" xfId="750" xr:uid="{00000000-0005-0000-0000-00000E070000}"/>
    <cellStyle name="20% - Accent2 22 2" xfId="3706" xr:uid="{00000000-0005-0000-0000-00000F070000}"/>
    <cellStyle name="20% - Accent2 22 2 2" xfId="11685" xr:uid="{00000000-0005-0000-0000-000010070000}"/>
    <cellStyle name="20% - Accent2 22 2 2 2" xfId="22973" xr:uid="{00000000-0005-0000-0000-000011070000}"/>
    <cellStyle name="20% - Accent2 22 2 3" xfId="9691" xr:uid="{00000000-0005-0000-0000-000012070000}"/>
    <cellStyle name="20% - Accent2 22 2 3 2" xfId="20979" xr:uid="{00000000-0005-0000-0000-000013070000}"/>
    <cellStyle name="20% - Accent2 22 2 4" xfId="7697" xr:uid="{00000000-0005-0000-0000-000014070000}"/>
    <cellStyle name="20% - Accent2 22 2 4 2" xfId="18985" xr:uid="{00000000-0005-0000-0000-000015070000}"/>
    <cellStyle name="20% - Accent2 22 2 5" xfId="5703" xr:uid="{00000000-0005-0000-0000-000016070000}"/>
    <cellStyle name="20% - Accent2 22 2 5 2" xfId="16991" xr:uid="{00000000-0005-0000-0000-000017070000}"/>
    <cellStyle name="20% - Accent2 22 2 6" xfId="14997" xr:uid="{00000000-0005-0000-0000-000018070000}"/>
    <cellStyle name="20% - Accent2 22 3" xfId="10688" xr:uid="{00000000-0005-0000-0000-000019070000}"/>
    <cellStyle name="20% - Accent2 22 3 2" xfId="21976" xr:uid="{00000000-0005-0000-0000-00001A070000}"/>
    <cellStyle name="20% - Accent2 22 4" xfId="8694" xr:uid="{00000000-0005-0000-0000-00001B070000}"/>
    <cellStyle name="20% - Accent2 22 4 2" xfId="19982" xr:uid="{00000000-0005-0000-0000-00001C070000}"/>
    <cellStyle name="20% - Accent2 22 5" xfId="6700" xr:uid="{00000000-0005-0000-0000-00001D070000}"/>
    <cellStyle name="20% - Accent2 22 5 2" xfId="17988" xr:uid="{00000000-0005-0000-0000-00001E070000}"/>
    <cellStyle name="20% - Accent2 22 6" xfId="4706" xr:uid="{00000000-0005-0000-0000-00001F070000}"/>
    <cellStyle name="20% - Accent2 22 6 2" xfId="15994" xr:uid="{00000000-0005-0000-0000-000020070000}"/>
    <cellStyle name="20% - Accent2 22 7" xfId="14000" xr:uid="{00000000-0005-0000-0000-000021070000}"/>
    <cellStyle name="20% - Accent2 22 8" xfId="12686" xr:uid="{00000000-0005-0000-0000-000022070000}"/>
    <cellStyle name="20% - Accent2 23" xfId="751" xr:uid="{00000000-0005-0000-0000-000023070000}"/>
    <cellStyle name="20% - Accent2 23 2" xfId="3707" xr:uid="{00000000-0005-0000-0000-000024070000}"/>
    <cellStyle name="20% - Accent2 23 2 2" xfId="11686" xr:uid="{00000000-0005-0000-0000-000025070000}"/>
    <cellStyle name="20% - Accent2 23 2 2 2" xfId="22974" xr:uid="{00000000-0005-0000-0000-000026070000}"/>
    <cellStyle name="20% - Accent2 23 2 3" xfId="9692" xr:uid="{00000000-0005-0000-0000-000027070000}"/>
    <cellStyle name="20% - Accent2 23 2 3 2" xfId="20980" xr:uid="{00000000-0005-0000-0000-000028070000}"/>
    <cellStyle name="20% - Accent2 23 2 4" xfId="7698" xr:uid="{00000000-0005-0000-0000-000029070000}"/>
    <cellStyle name="20% - Accent2 23 2 4 2" xfId="18986" xr:uid="{00000000-0005-0000-0000-00002A070000}"/>
    <cellStyle name="20% - Accent2 23 2 5" xfId="5704" xr:uid="{00000000-0005-0000-0000-00002B070000}"/>
    <cellStyle name="20% - Accent2 23 2 5 2" xfId="16992" xr:uid="{00000000-0005-0000-0000-00002C070000}"/>
    <cellStyle name="20% - Accent2 23 2 6" xfId="14998" xr:uid="{00000000-0005-0000-0000-00002D070000}"/>
    <cellStyle name="20% - Accent2 23 3" xfId="10689" xr:uid="{00000000-0005-0000-0000-00002E070000}"/>
    <cellStyle name="20% - Accent2 23 3 2" xfId="21977" xr:uid="{00000000-0005-0000-0000-00002F070000}"/>
    <cellStyle name="20% - Accent2 23 4" xfId="8695" xr:uid="{00000000-0005-0000-0000-000030070000}"/>
    <cellStyle name="20% - Accent2 23 4 2" xfId="19983" xr:uid="{00000000-0005-0000-0000-000031070000}"/>
    <cellStyle name="20% - Accent2 23 5" xfId="6701" xr:uid="{00000000-0005-0000-0000-000032070000}"/>
    <cellStyle name="20% - Accent2 23 5 2" xfId="17989" xr:uid="{00000000-0005-0000-0000-000033070000}"/>
    <cellStyle name="20% - Accent2 23 6" xfId="4707" xr:uid="{00000000-0005-0000-0000-000034070000}"/>
    <cellStyle name="20% - Accent2 23 6 2" xfId="15995" xr:uid="{00000000-0005-0000-0000-000035070000}"/>
    <cellStyle name="20% - Accent2 23 7" xfId="14001" xr:uid="{00000000-0005-0000-0000-000036070000}"/>
    <cellStyle name="20% - Accent2 23 8" xfId="12687" xr:uid="{00000000-0005-0000-0000-000037070000}"/>
    <cellStyle name="20% - Accent2 24" xfId="752" xr:uid="{00000000-0005-0000-0000-000038070000}"/>
    <cellStyle name="20% - Accent2 24 2" xfId="3708" xr:uid="{00000000-0005-0000-0000-000039070000}"/>
    <cellStyle name="20% - Accent2 24 2 2" xfId="11687" xr:uid="{00000000-0005-0000-0000-00003A070000}"/>
    <cellStyle name="20% - Accent2 24 2 2 2" xfId="22975" xr:uid="{00000000-0005-0000-0000-00003B070000}"/>
    <cellStyle name="20% - Accent2 24 2 3" xfId="9693" xr:uid="{00000000-0005-0000-0000-00003C070000}"/>
    <cellStyle name="20% - Accent2 24 2 3 2" xfId="20981" xr:uid="{00000000-0005-0000-0000-00003D070000}"/>
    <cellStyle name="20% - Accent2 24 2 4" xfId="7699" xr:uid="{00000000-0005-0000-0000-00003E070000}"/>
    <cellStyle name="20% - Accent2 24 2 4 2" xfId="18987" xr:uid="{00000000-0005-0000-0000-00003F070000}"/>
    <cellStyle name="20% - Accent2 24 2 5" xfId="5705" xr:uid="{00000000-0005-0000-0000-000040070000}"/>
    <cellStyle name="20% - Accent2 24 2 5 2" xfId="16993" xr:uid="{00000000-0005-0000-0000-000041070000}"/>
    <cellStyle name="20% - Accent2 24 2 6" xfId="14999" xr:uid="{00000000-0005-0000-0000-000042070000}"/>
    <cellStyle name="20% - Accent2 24 3" xfId="10690" xr:uid="{00000000-0005-0000-0000-000043070000}"/>
    <cellStyle name="20% - Accent2 24 3 2" xfId="21978" xr:uid="{00000000-0005-0000-0000-000044070000}"/>
    <cellStyle name="20% - Accent2 24 4" xfId="8696" xr:uid="{00000000-0005-0000-0000-000045070000}"/>
    <cellStyle name="20% - Accent2 24 4 2" xfId="19984" xr:uid="{00000000-0005-0000-0000-000046070000}"/>
    <cellStyle name="20% - Accent2 24 5" xfId="6702" xr:uid="{00000000-0005-0000-0000-000047070000}"/>
    <cellStyle name="20% - Accent2 24 5 2" xfId="17990" xr:uid="{00000000-0005-0000-0000-000048070000}"/>
    <cellStyle name="20% - Accent2 24 6" xfId="4708" xr:uid="{00000000-0005-0000-0000-000049070000}"/>
    <cellStyle name="20% - Accent2 24 6 2" xfId="15996" xr:uid="{00000000-0005-0000-0000-00004A070000}"/>
    <cellStyle name="20% - Accent2 24 7" xfId="14002" xr:uid="{00000000-0005-0000-0000-00004B070000}"/>
    <cellStyle name="20% - Accent2 24 8" xfId="12688" xr:uid="{00000000-0005-0000-0000-00004C070000}"/>
    <cellStyle name="20% - Accent2 25" xfId="753" xr:uid="{00000000-0005-0000-0000-00004D070000}"/>
    <cellStyle name="20% - Accent2 25 2" xfId="3709" xr:uid="{00000000-0005-0000-0000-00004E070000}"/>
    <cellStyle name="20% - Accent2 25 2 2" xfId="11688" xr:uid="{00000000-0005-0000-0000-00004F070000}"/>
    <cellStyle name="20% - Accent2 25 2 2 2" xfId="22976" xr:uid="{00000000-0005-0000-0000-000050070000}"/>
    <cellStyle name="20% - Accent2 25 2 3" xfId="9694" xr:uid="{00000000-0005-0000-0000-000051070000}"/>
    <cellStyle name="20% - Accent2 25 2 3 2" xfId="20982" xr:uid="{00000000-0005-0000-0000-000052070000}"/>
    <cellStyle name="20% - Accent2 25 2 4" xfId="7700" xr:uid="{00000000-0005-0000-0000-000053070000}"/>
    <cellStyle name="20% - Accent2 25 2 4 2" xfId="18988" xr:uid="{00000000-0005-0000-0000-000054070000}"/>
    <cellStyle name="20% - Accent2 25 2 5" xfId="5706" xr:uid="{00000000-0005-0000-0000-000055070000}"/>
    <cellStyle name="20% - Accent2 25 2 5 2" xfId="16994" xr:uid="{00000000-0005-0000-0000-000056070000}"/>
    <cellStyle name="20% - Accent2 25 2 6" xfId="15000" xr:uid="{00000000-0005-0000-0000-000057070000}"/>
    <cellStyle name="20% - Accent2 25 3" xfId="10691" xr:uid="{00000000-0005-0000-0000-000058070000}"/>
    <cellStyle name="20% - Accent2 25 3 2" xfId="21979" xr:uid="{00000000-0005-0000-0000-000059070000}"/>
    <cellStyle name="20% - Accent2 25 4" xfId="8697" xr:uid="{00000000-0005-0000-0000-00005A070000}"/>
    <cellStyle name="20% - Accent2 25 4 2" xfId="19985" xr:uid="{00000000-0005-0000-0000-00005B070000}"/>
    <cellStyle name="20% - Accent2 25 5" xfId="6703" xr:uid="{00000000-0005-0000-0000-00005C070000}"/>
    <cellStyle name="20% - Accent2 25 5 2" xfId="17991" xr:uid="{00000000-0005-0000-0000-00005D070000}"/>
    <cellStyle name="20% - Accent2 25 6" xfId="4709" xr:uid="{00000000-0005-0000-0000-00005E070000}"/>
    <cellStyle name="20% - Accent2 25 6 2" xfId="15997" xr:uid="{00000000-0005-0000-0000-00005F070000}"/>
    <cellStyle name="20% - Accent2 25 7" xfId="14003" xr:uid="{00000000-0005-0000-0000-000060070000}"/>
    <cellStyle name="20% - Accent2 25 8" xfId="12689" xr:uid="{00000000-0005-0000-0000-000061070000}"/>
    <cellStyle name="20% - Accent2 26" xfId="754" xr:uid="{00000000-0005-0000-0000-000062070000}"/>
    <cellStyle name="20% - Accent2 26 2" xfId="3710" xr:uid="{00000000-0005-0000-0000-000063070000}"/>
    <cellStyle name="20% - Accent2 26 2 2" xfId="11689" xr:uid="{00000000-0005-0000-0000-000064070000}"/>
    <cellStyle name="20% - Accent2 26 2 2 2" xfId="22977" xr:uid="{00000000-0005-0000-0000-000065070000}"/>
    <cellStyle name="20% - Accent2 26 2 3" xfId="9695" xr:uid="{00000000-0005-0000-0000-000066070000}"/>
    <cellStyle name="20% - Accent2 26 2 3 2" xfId="20983" xr:uid="{00000000-0005-0000-0000-000067070000}"/>
    <cellStyle name="20% - Accent2 26 2 4" xfId="7701" xr:uid="{00000000-0005-0000-0000-000068070000}"/>
    <cellStyle name="20% - Accent2 26 2 4 2" xfId="18989" xr:uid="{00000000-0005-0000-0000-000069070000}"/>
    <cellStyle name="20% - Accent2 26 2 5" xfId="5707" xr:uid="{00000000-0005-0000-0000-00006A070000}"/>
    <cellStyle name="20% - Accent2 26 2 5 2" xfId="16995" xr:uid="{00000000-0005-0000-0000-00006B070000}"/>
    <cellStyle name="20% - Accent2 26 2 6" xfId="15001" xr:uid="{00000000-0005-0000-0000-00006C070000}"/>
    <cellStyle name="20% - Accent2 26 3" xfId="10692" xr:uid="{00000000-0005-0000-0000-00006D070000}"/>
    <cellStyle name="20% - Accent2 26 3 2" xfId="21980" xr:uid="{00000000-0005-0000-0000-00006E070000}"/>
    <cellStyle name="20% - Accent2 26 4" xfId="8698" xr:uid="{00000000-0005-0000-0000-00006F070000}"/>
    <cellStyle name="20% - Accent2 26 4 2" xfId="19986" xr:uid="{00000000-0005-0000-0000-000070070000}"/>
    <cellStyle name="20% - Accent2 26 5" xfId="6704" xr:uid="{00000000-0005-0000-0000-000071070000}"/>
    <cellStyle name="20% - Accent2 26 5 2" xfId="17992" xr:uid="{00000000-0005-0000-0000-000072070000}"/>
    <cellStyle name="20% - Accent2 26 6" xfId="4710" xr:uid="{00000000-0005-0000-0000-000073070000}"/>
    <cellStyle name="20% - Accent2 26 6 2" xfId="15998" xr:uid="{00000000-0005-0000-0000-000074070000}"/>
    <cellStyle name="20% - Accent2 26 7" xfId="14004" xr:uid="{00000000-0005-0000-0000-000075070000}"/>
    <cellStyle name="20% - Accent2 26 8" xfId="12690" xr:uid="{00000000-0005-0000-0000-000076070000}"/>
    <cellStyle name="20% - Accent2 27" xfId="755" xr:uid="{00000000-0005-0000-0000-000077070000}"/>
    <cellStyle name="20% - Accent2 27 2" xfId="3711" xr:uid="{00000000-0005-0000-0000-000078070000}"/>
    <cellStyle name="20% - Accent2 27 2 2" xfId="11690" xr:uid="{00000000-0005-0000-0000-000079070000}"/>
    <cellStyle name="20% - Accent2 27 2 2 2" xfId="22978" xr:uid="{00000000-0005-0000-0000-00007A070000}"/>
    <cellStyle name="20% - Accent2 27 2 3" xfId="9696" xr:uid="{00000000-0005-0000-0000-00007B070000}"/>
    <cellStyle name="20% - Accent2 27 2 3 2" xfId="20984" xr:uid="{00000000-0005-0000-0000-00007C070000}"/>
    <cellStyle name="20% - Accent2 27 2 4" xfId="7702" xr:uid="{00000000-0005-0000-0000-00007D070000}"/>
    <cellStyle name="20% - Accent2 27 2 4 2" xfId="18990" xr:uid="{00000000-0005-0000-0000-00007E070000}"/>
    <cellStyle name="20% - Accent2 27 2 5" xfId="5708" xr:uid="{00000000-0005-0000-0000-00007F070000}"/>
    <cellStyle name="20% - Accent2 27 2 5 2" xfId="16996" xr:uid="{00000000-0005-0000-0000-000080070000}"/>
    <cellStyle name="20% - Accent2 27 2 6" xfId="15002" xr:uid="{00000000-0005-0000-0000-000081070000}"/>
    <cellStyle name="20% - Accent2 27 3" xfId="10693" xr:uid="{00000000-0005-0000-0000-000082070000}"/>
    <cellStyle name="20% - Accent2 27 3 2" xfId="21981" xr:uid="{00000000-0005-0000-0000-000083070000}"/>
    <cellStyle name="20% - Accent2 27 4" xfId="8699" xr:uid="{00000000-0005-0000-0000-000084070000}"/>
    <cellStyle name="20% - Accent2 27 4 2" xfId="19987" xr:uid="{00000000-0005-0000-0000-000085070000}"/>
    <cellStyle name="20% - Accent2 27 5" xfId="6705" xr:uid="{00000000-0005-0000-0000-000086070000}"/>
    <cellStyle name="20% - Accent2 27 5 2" xfId="17993" xr:uid="{00000000-0005-0000-0000-000087070000}"/>
    <cellStyle name="20% - Accent2 27 6" xfId="4711" xr:uid="{00000000-0005-0000-0000-000088070000}"/>
    <cellStyle name="20% - Accent2 27 6 2" xfId="15999" xr:uid="{00000000-0005-0000-0000-000089070000}"/>
    <cellStyle name="20% - Accent2 27 7" xfId="14005" xr:uid="{00000000-0005-0000-0000-00008A070000}"/>
    <cellStyle name="20% - Accent2 27 8" xfId="12691" xr:uid="{00000000-0005-0000-0000-00008B070000}"/>
    <cellStyle name="20% - Accent2 28" xfId="756" xr:uid="{00000000-0005-0000-0000-00008C070000}"/>
    <cellStyle name="20% - Accent2 28 2" xfId="3712" xr:uid="{00000000-0005-0000-0000-00008D070000}"/>
    <cellStyle name="20% - Accent2 28 2 2" xfId="11691" xr:uid="{00000000-0005-0000-0000-00008E070000}"/>
    <cellStyle name="20% - Accent2 28 2 2 2" xfId="22979" xr:uid="{00000000-0005-0000-0000-00008F070000}"/>
    <cellStyle name="20% - Accent2 28 2 3" xfId="9697" xr:uid="{00000000-0005-0000-0000-000090070000}"/>
    <cellStyle name="20% - Accent2 28 2 3 2" xfId="20985" xr:uid="{00000000-0005-0000-0000-000091070000}"/>
    <cellStyle name="20% - Accent2 28 2 4" xfId="7703" xr:uid="{00000000-0005-0000-0000-000092070000}"/>
    <cellStyle name="20% - Accent2 28 2 4 2" xfId="18991" xr:uid="{00000000-0005-0000-0000-000093070000}"/>
    <cellStyle name="20% - Accent2 28 2 5" xfId="5709" xr:uid="{00000000-0005-0000-0000-000094070000}"/>
    <cellStyle name="20% - Accent2 28 2 5 2" xfId="16997" xr:uid="{00000000-0005-0000-0000-000095070000}"/>
    <cellStyle name="20% - Accent2 28 2 6" xfId="15003" xr:uid="{00000000-0005-0000-0000-000096070000}"/>
    <cellStyle name="20% - Accent2 28 3" xfId="10694" xr:uid="{00000000-0005-0000-0000-000097070000}"/>
    <cellStyle name="20% - Accent2 28 3 2" xfId="21982" xr:uid="{00000000-0005-0000-0000-000098070000}"/>
    <cellStyle name="20% - Accent2 28 4" xfId="8700" xr:uid="{00000000-0005-0000-0000-000099070000}"/>
    <cellStyle name="20% - Accent2 28 4 2" xfId="19988" xr:uid="{00000000-0005-0000-0000-00009A070000}"/>
    <cellStyle name="20% - Accent2 28 5" xfId="6706" xr:uid="{00000000-0005-0000-0000-00009B070000}"/>
    <cellStyle name="20% - Accent2 28 5 2" xfId="17994" xr:uid="{00000000-0005-0000-0000-00009C070000}"/>
    <cellStyle name="20% - Accent2 28 6" xfId="4712" xr:uid="{00000000-0005-0000-0000-00009D070000}"/>
    <cellStyle name="20% - Accent2 28 6 2" xfId="16000" xr:uid="{00000000-0005-0000-0000-00009E070000}"/>
    <cellStyle name="20% - Accent2 28 7" xfId="14006" xr:uid="{00000000-0005-0000-0000-00009F070000}"/>
    <cellStyle name="20% - Accent2 28 8" xfId="12692" xr:uid="{00000000-0005-0000-0000-0000A0070000}"/>
    <cellStyle name="20% - Accent2 29" xfId="757" xr:uid="{00000000-0005-0000-0000-0000A1070000}"/>
    <cellStyle name="20% - Accent2 29 2" xfId="3713" xr:uid="{00000000-0005-0000-0000-0000A2070000}"/>
    <cellStyle name="20% - Accent2 29 2 2" xfId="11692" xr:uid="{00000000-0005-0000-0000-0000A3070000}"/>
    <cellStyle name="20% - Accent2 29 2 2 2" xfId="22980" xr:uid="{00000000-0005-0000-0000-0000A4070000}"/>
    <cellStyle name="20% - Accent2 29 2 3" xfId="9698" xr:uid="{00000000-0005-0000-0000-0000A5070000}"/>
    <cellStyle name="20% - Accent2 29 2 3 2" xfId="20986" xr:uid="{00000000-0005-0000-0000-0000A6070000}"/>
    <cellStyle name="20% - Accent2 29 2 4" xfId="7704" xr:uid="{00000000-0005-0000-0000-0000A7070000}"/>
    <cellStyle name="20% - Accent2 29 2 4 2" xfId="18992" xr:uid="{00000000-0005-0000-0000-0000A8070000}"/>
    <cellStyle name="20% - Accent2 29 2 5" xfId="5710" xr:uid="{00000000-0005-0000-0000-0000A9070000}"/>
    <cellStyle name="20% - Accent2 29 2 5 2" xfId="16998" xr:uid="{00000000-0005-0000-0000-0000AA070000}"/>
    <cellStyle name="20% - Accent2 29 2 6" xfId="15004" xr:uid="{00000000-0005-0000-0000-0000AB070000}"/>
    <cellStyle name="20% - Accent2 29 3" xfId="10695" xr:uid="{00000000-0005-0000-0000-0000AC070000}"/>
    <cellStyle name="20% - Accent2 29 3 2" xfId="21983" xr:uid="{00000000-0005-0000-0000-0000AD070000}"/>
    <cellStyle name="20% - Accent2 29 4" xfId="8701" xr:uid="{00000000-0005-0000-0000-0000AE070000}"/>
    <cellStyle name="20% - Accent2 29 4 2" xfId="19989" xr:uid="{00000000-0005-0000-0000-0000AF070000}"/>
    <cellStyle name="20% - Accent2 29 5" xfId="6707" xr:uid="{00000000-0005-0000-0000-0000B0070000}"/>
    <cellStyle name="20% - Accent2 29 5 2" xfId="17995" xr:uid="{00000000-0005-0000-0000-0000B1070000}"/>
    <cellStyle name="20% - Accent2 29 6" xfId="4713" xr:uid="{00000000-0005-0000-0000-0000B2070000}"/>
    <cellStyle name="20% - Accent2 29 6 2" xfId="16001" xr:uid="{00000000-0005-0000-0000-0000B3070000}"/>
    <cellStyle name="20% - Accent2 29 7" xfId="14007" xr:uid="{00000000-0005-0000-0000-0000B4070000}"/>
    <cellStyle name="20% - Accent2 29 8" xfId="12693" xr:uid="{00000000-0005-0000-0000-0000B5070000}"/>
    <cellStyle name="20% - Accent2 3" xfId="758" xr:uid="{00000000-0005-0000-0000-0000B6070000}"/>
    <cellStyle name="20% - Accent2 3 10" xfId="24566" xr:uid="{00000000-0005-0000-0000-0000B7070000}"/>
    <cellStyle name="20% - Accent2 3 11" xfId="24956" xr:uid="{00000000-0005-0000-0000-0000B8070000}"/>
    <cellStyle name="20% - Accent2 3 2" xfId="3714" xr:uid="{00000000-0005-0000-0000-0000B9070000}"/>
    <cellStyle name="20% - Accent2 3 2 2" xfId="11693" xr:uid="{00000000-0005-0000-0000-0000BA070000}"/>
    <cellStyle name="20% - Accent2 3 2 2 2" xfId="22981" xr:uid="{00000000-0005-0000-0000-0000BB070000}"/>
    <cellStyle name="20% - Accent2 3 2 3" xfId="9699" xr:uid="{00000000-0005-0000-0000-0000BC070000}"/>
    <cellStyle name="20% - Accent2 3 2 3 2" xfId="20987" xr:uid="{00000000-0005-0000-0000-0000BD070000}"/>
    <cellStyle name="20% - Accent2 3 2 4" xfId="7705" xr:uid="{00000000-0005-0000-0000-0000BE070000}"/>
    <cellStyle name="20% - Accent2 3 2 4 2" xfId="18993" xr:uid="{00000000-0005-0000-0000-0000BF070000}"/>
    <cellStyle name="20% - Accent2 3 2 5" xfId="5711" xr:uid="{00000000-0005-0000-0000-0000C0070000}"/>
    <cellStyle name="20% - Accent2 3 2 5 2" xfId="16999" xr:uid="{00000000-0005-0000-0000-0000C1070000}"/>
    <cellStyle name="20% - Accent2 3 2 6" xfId="15005" xr:uid="{00000000-0005-0000-0000-0000C2070000}"/>
    <cellStyle name="20% - Accent2 3 2 7" xfId="24327" xr:uid="{00000000-0005-0000-0000-0000C3070000}"/>
    <cellStyle name="20% - Accent2 3 2 8" xfId="24791" xr:uid="{00000000-0005-0000-0000-0000C4070000}"/>
    <cellStyle name="20% - Accent2 3 2 9" xfId="25158" xr:uid="{00000000-0005-0000-0000-0000C5070000}"/>
    <cellStyle name="20% - Accent2 3 3" xfId="10696" xr:uid="{00000000-0005-0000-0000-0000C6070000}"/>
    <cellStyle name="20% - Accent2 3 3 2" xfId="21984" xr:uid="{00000000-0005-0000-0000-0000C7070000}"/>
    <cellStyle name="20% - Accent2 3 4" xfId="8702" xr:uid="{00000000-0005-0000-0000-0000C8070000}"/>
    <cellStyle name="20% - Accent2 3 4 2" xfId="19990" xr:uid="{00000000-0005-0000-0000-0000C9070000}"/>
    <cellStyle name="20% - Accent2 3 5" xfId="6708" xr:uid="{00000000-0005-0000-0000-0000CA070000}"/>
    <cellStyle name="20% - Accent2 3 5 2" xfId="17996" xr:uid="{00000000-0005-0000-0000-0000CB070000}"/>
    <cellStyle name="20% - Accent2 3 6" xfId="4714" xr:uid="{00000000-0005-0000-0000-0000CC070000}"/>
    <cellStyle name="20% - Accent2 3 6 2" xfId="16002" xr:uid="{00000000-0005-0000-0000-0000CD070000}"/>
    <cellStyle name="20% - Accent2 3 7" xfId="14008" xr:uid="{00000000-0005-0000-0000-0000CE070000}"/>
    <cellStyle name="20% - Accent2 3 8" xfId="12694" xr:uid="{00000000-0005-0000-0000-0000CF070000}"/>
    <cellStyle name="20% - Accent2 3 9" xfId="23939" xr:uid="{00000000-0005-0000-0000-0000D0070000}"/>
    <cellStyle name="20% - Accent2 30" xfId="759" xr:uid="{00000000-0005-0000-0000-0000D1070000}"/>
    <cellStyle name="20% - Accent2 30 2" xfId="3715" xr:uid="{00000000-0005-0000-0000-0000D2070000}"/>
    <cellStyle name="20% - Accent2 30 2 2" xfId="11694" xr:uid="{00000000-0005-0000-0000-0000D3070000}"/>
    <cellStyle name="20% - Accent2 30 2 2 2" xfId="22982" xr:uid="{00000000-0005-0000-0000-0000D4070000}"/>
    <cellStyle name="20% - Accent2 30 2 3" xfId="9700" xr:uid="{00000000-0005-0000-0000-0000D5070000}"/>
    <cellStyle name="20% - Accent2 30 2 3 2" xfId="20988" xr:uid="{00000000-0005-0000-0000-0000D6070000}"/>
    <cellStyle name="20% - Accent2 30 2 4" xfId="7706" xr:uid="{00000000-0005-0000-0000-0000D7070000}"/>
    <cellStyle name="20% - Accent2 30 2 4 2" xfId="18994" xr:uid="{00000000-0005-0000-0000-0000D8070000}"/>
    <cellStyle name="20% - Accent2 30 2 5" xfId="5712" xr:uid="{00000000-0005-0000-0000-0000D9070000}"/>
    <cellStyle name="20% - Accent2 30 2 5 2" xfId="17000" xr:uid="{00000000-0005-0000-0000-0000DA070000}"/>
    <cellStyle name="20% - Accent2 30 2 6" xfId="15006" xr:uid="{00000000-0005-0000-0000-0000DB070000}"/>
    <cellStyle name="20% - Accent2 30 3" xfId="10697" xr:uid="{00000000-0005-0000-0000-0000DC070000}"/>
    <cellStyle name="20% - Accent2 30 3 2" xfId="21985" xr:uid="{00000000-0005-0000-0000-0000DD070000}"/>
    <cellStyle name="20% - Accent2 30 4" xfId="8703" xr:uid="{00000000-0005-0000-0000-0000DE070000}"/>
    <cellStyle name="20% - Accent2 30 4 2" xfId="19991" xr:uid="{00000000-0005-0000-0000-0000DF070000}"/>
    <cellStyle name="20% - Accent2 30 5" xfId="6709" xr:uid="{00000000-0005-0000-0000-0000E0070000}"/>
    <cellStyle name="20% - Accent2 30 5 2" xfId="17997" xr:uid="{00000000-0005-0000-0000-0000E1070000}"/>
    <cellStyle name="20% - Accent2 30 6" xfId="4715" xr:uid="{00000000-0005-0000-0000-0000E2070000}"/>
    <cellStyle name="20% - Accent2 30 6 2" xfId="16003" xr:uid="{00000000-0005-0000-0000-0000E3070000}"/>
    <cellStyle name="20% - Accent2 30 7" xfId="14009" xr:uid="{00000000-0005-0000-0000-0000E4070000}"/>
    <cellStyle name="20% - Accent2 30 8" xfId="12695" xr:uid="{00000000-0005-0000-0000-0000E5070000}"/>
    <cellStyle name="20% - Accent2 31" xfId="760" xr:uid="{00000000-0005-0000-0000-0000E6070000}"/>
    <cellStyle name="20% - Accent2 31 2" xfId="3716" xr:uid="{00000000-0005-0000-0000-0000E7070000}"/>
    <cellStyle name="20% - Accent2 31 2 2" xfId="11695" xr:uid="{00000000-0005-0000-0000-0000E8070000}"/>
    <cellStyle name="20% - Accent2 31 2 2 2" xfId="22983" xr:uid="{00000000-0005-0000-0000-0000E9070000}"/>
    <cellStyle name="20% - Accent2 31 2 3" xfId="9701" xr:uid="{00000000-0005-0000-0000-0000EA070000}"/>
    <cellStyle name="20% - Accent2 31 2 3 2" xfId="20989" xr:uid="{00000000-0005-0000-0000-0000EB070000}"/>
    <cellStyle name="20% - Accent2 31 2 4" xfId="7707" xr:uid="{00000000-0005-0000-0000-0000EC070000}"/>
    <cellStyle name="20% - Accent2 31 2 4 2" xfId="18995" xr:uid="{00000000-0005-0000-0000-0000ED070000}"/>
    <cellStyle name="20% - Accent2 31 2 5" xfId="5713" xr:uid="{00000000-0005-0000-0000-0000EE070000}"/>
    <cellStyle name="20% - Accent2 31 2 5 2" xfId="17001" xr:uid="{00000000-0005-0000-0000-0000EF070000}"/>
    <cellStyle name="20% - Accent2 31 2 6" xfId="15007" xr:uid="{00000000-0005-0000-0000-0000F0070000}"/>
    <cellStyle name="20% - Accent2 31 3" xfId="10698" xr:uid="{00000000-0005-0000-0000-0000F1070000}"/>
    <cellStyle name="20% - Accent2 31 3 2" xfId="21986" xr:uid="{00000000-0005-0000-0000-0000F2070000}"/>
    <cellStyle name="20% - Accent2 31 4" xfId="8704" xr:uid="{00000000-0005-0000-0000-0000F3070000}"/>
    <cellStyle name="20% - Accent2 31 4 2" xfId="19992" xr:uid="{00000000-0005-0000-0000-0000F4070000}"/>
    <cellStyle name="20% - Accent2 31 5" xfId="6710" xr:uid="{00000000-0005-0000-0000-0000F5070000}"/>
    <cellStyle name="20% - Accent2 31 5 2" xfId="17998" xr:uid="{00000000-0005-0000-0000-0000F6070000}"/>
    <cellStyle name="20% - Accent2 31 6" xfId="4716" xr:uid="{00000000-0005-0000-0000-0000F7070000}"/>
    <cellStyle name="20% - Accent2 31 6 2" xfId="16004" xr:uid="{00000000-0005-0000-0000-0000F8070000}"/>
    <cellStyle name="20% - Accent2 31 7" xfId="14010" xr:uid="{00000000-0005-0000-0000-0000F9070000}"/>
    <cellStyle name="20% - Accent2 31 8" xfId="12696" xr:uid="{00000000-0005-0000-0000-0000FA070000}"/>
    <cellStyle name="20% - Accent2 32" xfId="761" xr:uid="{00000000-0005-0000-0000-0000FB070000}"/>
    <cellStyle name="20% - Accent2 32 2" xfId="3717" xr:uid="{00000000-0005-0000-0000-0000FC070000}"/>
    <cellStyle name="20% - Accent2 32 2 2" xfId="11696" xr:uid="{00000000-0005-0000-0000-0000FD070000}"/>
    <cellStyle name="20% - Accent2 32 2 2 2" xfId="22984" xr:uid="{00000000-0005-0000-0000-0000FE070000}"/>
    <cellStyle name="20% - Accent2 32 2 3" xfId="9702" xr:uid="{00000000-0005-0000-0000-0000FF070000}"/>
    <cellStyle name="20% - Accent2 32 2 3 2" xfId="20990" xr:uid="{00000000-0005-0000-0000-000000080000}"/>
    <cellStyle name="20% - Accent2 32 2 4" xfId="7708" xr:uid="{00000000-0005-0000-0000-000001080000}"/>
    <cellStyle name="20% - Accent2 32 2 4 2" xfId="18996" xr:uid="{00000000-0005-0000-0000-000002080000}"/>
    <cellStyle name="20% - Accent2 32 2 5" xfId="5714" xr:uid="{00000000-0005-0000-0000-000003080000}"/>
    <cellStyle name="20% - Accent2 32 2 5 2" xfId="17002" xr:uid="{00000000-0005-0000-0000-000004080000}"/>
    <cellStyle name="20% - Accent2 32 2 6" xfId="15008" xr:uid="{00000000-0005-0000-0000-000005080000}"/>
    <cellStyle name="20% - Accent2 32 3" xfId="10699" xr:uid="{00000000-0005-0000-0000-000006080000}"/>
    <cellStyle name="20% - Accent2 32 3 2" xfId="21987" xr:uid="{00000000-0005-0000-0000-000007080000}"/>
    <cellStyle name="20% - Accent2 32 4" xfId="8705" xr:uid="{00000000-0005-0000-0000-000008080000}"/>
    <cellStyle name="20% - Accent2 32 4 2" xfId="19993" xr:uid="{00000000-0005-0000-0000-000009080000}"/>
    <cellStyle name="20% - Accent2 32 5" xfId="6711" xr:uid="{00000000-0005-0000-0000-00000A080000}"/>
    <cellStyle name="20% - Accent2 32 5 2" xfId="17999" xr:uid="{00000000-0005-0000-0000-00000B080000}"/>
    <cellStyle name="20% - Accent2 32 6" xfId="4717" xr:uid="{00000000-0005-0000-0000-00000C080000}"/>
    <cellStyle name="20% - Accent2 32 6 2" xfId="16005" xr:uid="{00000000-0005-0000-0000-00000D080000}"/>
    <cellStyle name="20% - Accent2 32 7" xfId="14011" xr:uid="{00000000-0005-0000-0000-00000E080000}"/>
    <cellStyle name="20% - Accent2 32 8" xfId="12697" xr:uid="{00000000-0005-0000-0000-00000F080000}"/>
    <cellStyle name="20% - Accent2 33" xfId="762" xr:uid="{00000000-0005-0000-0000-000010080000}"/>
    <cellStyle name="20% - Accent2 33 2" xfId="3718" xr:uid="{00000000-0005-0000-0000-000011080000}"/>
    <cellStyle name="20% - Accent2 33 2 2" xfId="11697" xr:uid="{00000000-0005-0000-0000-000012080000}"/>
    <cellStyle name="20% - Accent2 33 2 2 2" xfId="22985" xr:uid="{00000000-0005-0000-0000-000013080000}"/>
    <cellStyle name="20% - Accent2 33 2 3" xfId="9703" xr:uid="{00000000-0005-0000-0000-000014080000}"/>
    <cellStyle name="20% - Accent2 33 2 3 2" xfId="20991" xr:uid="{00000000-0005-0000-0000-000015080000}"/>
    <cellStyle name="20% - Accent2 33 2 4" xfId="7709" xr:uid="{00000000-0005-0000-0000-000016080000}"/>
    <cellStyle name="20% - Accent2 33 2 4 2" xfId="18997" xr:uid="{00000000-0005-0000-0000-000017080000}"/>
    <cellStyle name="20% - Accent2 33 2 5" xfId="5715" xr:uid="{00000000-0005-0000-0000-000018080000}"/>
    <cellStyle name="20% - Accent2 33 2 5 2" xfId="17003" xr:uid="{00000000-0005-0000-0000-000019080000}"/>
    <cellStyle name="20% - Accent2 33 2 6" xfId="15009" xr:uid="{00000000-0005-0000-0000-00001A080000}"/>
    <cellStyle name="20% - Accent2 33 3" xfId="10700" xr:uid="{00000000-0005-0000-0000-00001B080000}"/>
    <cellStyle name="20% - Accent2 33 3 2" xfId="21988" xr:uid="{00000000-0005-0000-0000-00001C080000}"/>
    <cellStyle name="20% - Accent2 33 4" xfId="8706" xr:uid="{00000000-0005-0000-0000-00001D080000}"/>
    <cellStyle name="20% - Accent2 33 4 2" xfId="19994" xr:uid="{00000000-0005-0000-0000-00001E080000}"/>
    <cellStyle name="20% - Accent2 33 5" xfId="6712" xr:uid="{00000000-0005-0000-0000-00001F080000}"/>
    <cellStyle name="20% - Accent2 33 5 2" xfId="18000" xr:uid="{00000000-0005-0000-0000-000020080000}"/>
    <cellStyle name="20% - Accent2 33 6" xfId="4718" xr:uid="{00000000-0005-0000-0000-000021080000}"/>
    <cellStyle name="20% - Accent2 33 6 2" xfId="16006" xr:uid="{00000000-0005-0000-0000-000022080000}"/>
    <cellStyle name="20% - Accent2 33 7" xfId="14012" xr:uid="{00000000-0005-0000-0000-000023080000}"/>
    <cellStyle name="20% - Accent2 33 8" xfId="12698" xr:uid="{00000000-0005-0000-0000-000024080000}"/>
    <cellStyle name="20% - Accent2 34" xfId="763" xr:uid="{00000000-0005-0000-0000-000025080000}"/>
    <cellStyle name="20% - Accent2 34 2" xfId="3719" xr:uid="{00000000-0005-0000-0000-000026080000}"/>
    <cellStyle name="20% - Accent2 34 2 2" xfId="11698" xr:uid="{00000000-0005-0000-0000-000027080000}"/>
    <cellStyle name="20% - Accent2 34 2 2 2" xfId="22986" xr:uid="{00000000-0005-0000-0000-000028080000}"/>
    <cellStyle name="20% - Accent2 34 2 3" xfId="9704" xr:uid="{00000000-0005-0000-0000-000029080000}"/>
    <cellStyle name="20% - Accent2 34 2 3 2" xfId="20992" xr:uid="{00000000-0005-0000-0000-00002A080000}"/>
    <cellStyle name="20% - Accent2 34 2 4" xfId="7710" xr:uid="{00000000-0005-0000-0000-00002B080000}"/>
    <cellStyle name="20% - Accent2 34 2 4 2" xfId="18998" xr:uid="{00000000-0005-0000-0000-00002C080000}"/>
    <cellStyle name="20% - Accent2 34 2 5" xfId="5716" xr:uid="{00000000-0005-0000-0000-00002D080000}"/>
    <cellStyle name="20% - Accent2 34 2 5 2" xfId="17004" xr:uid="{00000000-0005-0000-0000-00002E080000}"/>
    <cellStyle name="20% - Accent2 34 2 6" xfId="15010" xr:uid="{00000000-0005-0000-0000-00002F080000}"/>
    <cellStyle name="20% - Accent2 34 3" xfId="10701" xr:uid="{00000000-0005-0000-0000-000030080000}"/>
    <cellStyle name="20% - Accent2 34 3 2" xfId="21989" xr:uid="{00000000-0005-0000-0000-000031080000}"/>
    <cellStyle name="20% - Accent2 34 4" xfId="8707" xr:uid="{00000000-0005-0000-0000-000032080000}"/>
    <cellStyle name="20% - Accent2 34 4 2" xfId="19995" xr:uid="{00000000-0005-0000-0000-000033080000}"/>
    <cellStyle name="20% - Accent2 34 5" xfId="6713" xr:uid="{00000000-0005-0000-0000-000034080000}"/>
    <cellStyle name="20% - Accent2 34 5 2" xfId="18001" xr:uid="{00000000-0005-0000-0000-000035080000}"/>
    <cellStyle name="20% - Accent2 34 6" xfId="4719" xr:uid="{00000000-0005-0000-0000-000036080000}"/>
    <cellStyle name="20% - Accent2 34 6 2" xfId="16007" xr:uid="{00000000-0005-0000-0000-000037080000}"/>
    <cellStyle name="20% - Accent2 34 7" xfId="14013" xr:uid="{00000000-0005-0000-0000-000038080000}"/>
    <cellStyle name="20% - Accent2 34 8" xfId="12699" xr:uid="{00000000-0005-0000-0000-000039080000}"/>
    <cellStyle name="20% - Accent2 35" xfId="764" xr:uid="{00000000-0005-0000-0000-00003A080000}"/>
    <cellStyle name="20% - Accent2 35 2" xfId="3720" xr:uid="{00000000-0005-0000-0000-00003B080000}"/>
    <cellStyle name="20% - Accent2 35 2 2" xfId="11699" xr:uid="{00000000-0005-0000-0000-00003C080000}"/>
    <cellStyle name="20% - Accent2 35 2 2 2" xfId="22987" xr:uid="{00000000-0005-0000-0000-00003D080000}"/>
    <cellStyle name="20% - Accent2 35 2 3" xfId="9705" xr:uid="{00000000-0005-0000-0000-00003E080000}"/>
    <cellStyle name="20% - Accent2 35 2 3 2" xfId="20993" xr:uid="{00000000-0005-0000-0000-00003F080000}"/>
    <cellStyle name="20% - Accent2 35 2 4" xfId="7711" xr:uid="{00000000-0005-0000-0000-000040080000}"/>
    <cellStyle name="20% - Accent2 35 2 4 2" xfId="18999" xr:uid="{00000000-0005-0000-0000-000041080000}"/>
    <cellStyle name="20% - Accent2 35 2 5" xfId="5717" xr:uid="{00000000-0005-0000-0000-000042080000}"/>
    <cellStyle name="20% - Accent2 35 2 5 2" xfId="17005" xr:uid="{00000000-0005-0000-0000-000043080000}"/>
    <cellStyle name="20% - Accent2 35 2 6" xfId="15011" xr:uid="{00000000-0005-0000-0000-000044080000}"/>
    <cellStyle name="20% - Accent2 35 3" xfId="10702" xr:uid="{00000000-0005-0000-0000-000045080000}"/>
    <cellStyle name="20% - Accent2 35 3 2" xfId="21990" xr:uid="{00000000-0005-0000-0000-000046080000}"/>
    <cellStyle name="20% - Accent2 35 4" xfId="8708" xr:uid="{00000000-0005-0000-0000-000047080000}"/>
    <cellStyle name="20% - Accent2 35 4 2" xfId="19996" xr:uid="{00000000-0005-0000-0000-000048080000}"/>
    <cellStyle name="20% - Accent2 35 5" xfId="6714" xr:uid="{00000000-0005-0000-0000-000049080000}"/>
    <cellStyle name="20% - Accent2 35 5 2" xfId="18002" xr:uid="{00000000-0005-0000-0000-00004A080000}"/>
    <cellStyle name="20% - Accent2 35 6" xfId="4720" xr:uid="{00000000-0005-0000-0000-00004B080000}"/>
    <cellStyle name="20% - Accent2 35 6 2" xfId="16008" xr:uid="{00000000-0005-0000-0000-00004C080000}"/>
    <cellStyle name="20% - Accent2 35 7" xfId="14014" xr:uid="{00000000-0005-0000-0000-00004D080000}"/>
    <cellStyle name="20% - Accent2 35 8" xfId="12700" xr:uid="{00000000-0005-0000-0000-00004E080000}"/>
    <cellStyle name="20% - Accent2 36" xfId="765" xr:uid="{00000000-0005-0000-0000-00004F080000}"/>
    <cellStyle name="20% - Accent2 36 2" xfId="3721" xr:uid="{00000000-0005-0000-0000-000050080000}"/>
    <cellStyle name="20% - Accent2 36 2 2" xfId="11700" xr:uid="{00000000-0005-0000-0000-000051080000}"/>
    <cellStyle name="20% - Accent2 36 2 2 2" xfId="22988" xr:uid="{00000000-0005-0000-0000-000052080000}"/>
    <cellStyle name="20% - Accent2 36 2 3" xfId="9706" xr:uid="{00000000-0005-0000-0000-000053080000}"/>
    <cellStyle name="20% - Accent2 36 2 3 2" xfId="20994" xr:uid="{00000000-0005-0000-0000-000054080000}"/>
    <cellStyle name="20% - Accent2 36 2 4" xfId="7712" xr:uid="{00000000-0005-0000-0000-000055080000}"/>
    <cellStyle name="20% - Accent2 36 2 4 2" xfId="19000" xr:uid="{00000000-0005-0000-0000-000056080000}"/>
    <cellStyle name="20% - Accent2 36 2 5" xfId="5718" xr:uid="{00000000-0005-0000-0000-000057080000}"/>
    <cellStyle name="20% - Accent2 36 2 5 2" xfId="17006" xr:uid="{00000000-0005-0000-0000-000058080000}"/>
    <cellStyle name="20% - Accent2 36 2 6" xfId="15012" xr:uid="{00000000-0005-0000-0000-000059080000}"/>
    <cellStyle name="20% - Accent2 36 3" xfId="10703" xr:uid="{00000000-0005-0000-0000-00005A080000}"/>
    <cellStyle name="20% - Accent2 36 3 2" xfId="21991" xr:uid="{00000000-0005-0000-0000-00005B080000}"/>
    <cellStyle name="20% - Accent2 36 4" xfId="8709" xr:uid="{00000000-0005-0000-0000-00005C080000}"/>
    <cellStyle name="20% - Accent2 36 4 2" xfId="19997" xr:uid="{00000000-0005-0000-0000-00005D080000}"/>
    <cellStyle name="20% - Accent2 36 5" xfId="6715" xr:uid="{00000000-0005-0000-0000-00005E080000}"/>
    <cellStyle name="20% - Accent2 36 5 2" xfId="18003" xr:uid="{00000000-0005-0000-0000-00005F080000}"/>
    <cellStyle name="20% - Accent2 36 6" xfId="4721" xr:uid="{00000000-0005-0000-0000-000060080000}"/>
    <cellStyle name="20% - Accent2 36 6 2" xfId="16009" xr:uid="{00000000-0005-0000-0000-000061080000}"/>
    <cellStyle name="20% - Accent2 36 7" xfId="14015" xr:uid="{00000000-0005-0000-0000-000062080000}"/>
    <cellStyle name="20% - Accent2 36 8" xfId="12701" xr:uid="{00000000-0005-0000-0000-000063080000}"/>
    <cellStyle name="20% - Accent2 37" xfId="766" xr:uid="{00000000-0005-0000-0000-000064080000}"/>
    <cellStyle name="20% - Accent2 37 2" xfId="3722" xr:uid="{00000000-0005-0000-0000-000065080000}"/>
    <cellStyle name="20% - Accent2 37 2 2" xfId="11701" xr:uid="{00000000-0005-0000-0000-000066080000}"/>
    <cellStyle name="20% - Accent2 37 2 2 2" xfId="22989" xr:uid="{00000000-0005-0000-0000-000067080000}"/>
    <cellStyle name="20% - Accent2 37 2 3" xfId="9707" xr:uid="{00000000-0005-0000-0000-000068080000}"/>
    <cellStyle name="20% - Accent2 37 2 3 2" xfId="20995" xr:uid="{00000000-0005-0000-0000-000069080000}"/>
    <cellStyle name="20% - Accent2 37 2 4" xfId="7713" xr:uid="{00000000-0005-0000-0000-00006A080000}"/>
    <cellStyle name="20% - Accent2 37 2 4 2" xfId="19001" xr:uid="{00000000-0005-0000-0000-00006B080000}"/>
    <cellStyle name="20% - Accent2 37 2 5" xfId="5719" xr:uid="{00000000-0005-0000-0000-00006C080000}"/>
    <cellStyle name="20% - Accent2 37 2 5 2" xfId="17007" xr:uid="{00000000-0005-0000-0000-00006D080000}"/>
    <cellStyle name="20% - Accent2 37 2 6" xfId="15013" xr:uid="{00000000-0005-0000-0000-00006E080000}"/>
    <cellStyle name="20% - Accent2 37 3" xfId="10704" xr:uid="{00000000-0005-0000-0000-00006F080000}"/>
    <cellStyle name="20% - Accent2 37 3 2" xfId="21992" xr:uid="{00000000-0005-0000-0000-000070080000}"/>
    <cellStyle name="20% - Accent2 37 4" xfId="8710" xr:uid="{00000000-0005-0000-0000-000071080000}"/>
    <cellStyle name="20% - Accent2 37 4 2" xfId="19998" xr:uid="{00000000-0005-0000-0000-000072080000}"/>
    <cellStyle name="20% - Accent2 37 5" xfId="6716" xr:uid="{00000000-0005-0000-0000-000073080000}"/>
    <cellStyle name="20% - Accent2 37 5 2" xfId="18004" xr:uid="{00000000-0005-0000-0000-000074080000}"/>
    <cellStyle name="20% - Accent2 37 6" xfId="4722" xr:uid="{00000000-0005-0000-0000-000075080000}"/>
    <cellStyle name="20% - Accent2 37 6 2" xfId="16010" xr:uid="{00000000-0005-0000-0000-000076080000}"/>
    <cellStyle name="20% - Accent2 37 7" xfId="14016" xr:uid="{00000000-0005-0000-0000-000077080000}"/>
    <cellStyle name="20% - Accent2 37 8" xfId="12702" xr:uid="{00000000-0005-0000-0000-000078080000}"/>
    <cellStyle name="20% - Accent2 38" xfId="767" xr:uid="{00000000-0005-0000-0000-000079080000}"/>
    <cellStyle name="20% - Accent2 38 2" xfId="3723" xr:uid="{00000000-0005-0000-0000-00007A080000}"/>
    <cellStyle name="20% - Accent2 38 2 2" xfId="11702" xr:uid="{00000000-0005-0000-0000-00007B080000}"/>
    <cellStyle name="20% - Accent2 38 2 2 2" xfId="22990" xr:uid="{00000000-0005-0000-0000-00007C080000}"/>
    <cellStyle name="20% - Accent2 38 2 3" xfId="9708" xr:uid="{00000000-0005-0000-0000-00007D080000}"/>
    <cellStyle name="20% - Accent2 38 2 3 2" xfId="20996" xr:uid="{00000000-0005-0000-0000-00007E080000}"/>
    <cellStyle name="20% - Accent2 38 2 4" xfId="7714" xr:uid="{00000000-0005-0000-0000-00007F080000}"/>
    <cellStyle name="20% - Accent2 38 2 4 2" xfId="19002" xr:uid="{00000000-0005-0000-0000-000080080000}"/>
    <cellStyle name="20% - Accent2 38 2 5" xfId="5720" xr:uid="{00000000-0005-0000-0000-000081080000}"/>
    <cellStyle name="20% - Accent2 38 2 5 2" xfId="17008" xr:uid="{00000000-0005-0000-0000-000082080000}"/>
    <cellStyle name="20% - Accent2 38 2 6" xfId="15014" xr:uid="{00000000-0005-0000-0000-000083080000}"/>
    <cellStyle name="20% - Accent2 38 3" xfId="10705" xr:uid="{00000000-0005-0000-0000-000084080000}"/>
    <cellStyle name="20% - Accent2 38 3 2" xfId="21993" xr:uid="{00000000-0005-0000-0000-000085080000}"/>
    <cellStyle name="20% - Accent2 38 4" xfId="8711" xr:uid="{00000000-0005-0000-0000-000086080000}"/>
    <cellStyle name="20% - Accent2 38 4 2" xfId="19999" xr:uid="{00000000-0005-0000-0000-000087080000}"/>
    <cellStyle name="20% - Accent2 38 5" xfId="6717" xr:uid="{00000000-0005-0000-0000-000088080000}"/>
    <cellStyle name="20% - Accent2 38 5 2" xfId="18005" xr:uid="{00000000-0005-0000-0000-000089080000}"/>
    <cellStyle name="20% - Accent2 38 6" xfId="4723" xr:uid="{00000000-0005-0000-0000-00008A080000}"/>
    <cellStyle name="20% - Accent2 38 6 2" xfId="16011" xr:uid="{00000000-0005-0000-0000-00008B080000}"/>
    <cellStyle name="20% - Accent2 38 7" xfId="14017" xr:uid="{00000000-0005-0000-0000-00008C080000}"/>
    <cellStyle name="20% - Accent2 38 8" xfId="12703" xr:uid="{00000000-0005-0000-0000-00008D080000}"/>
    <cellStyle name="20% - Accent2 39" xfId="768" xr:uid="{00000000-0005-0000-0000-00008E080000}"/>
    <cellStyle name="20% - Accent2 39 2" xfId="3724" xr:uid="{00000000-0005-0000-0000-00008F080000}"/>
    <cellStyle name="20% - Accent2 39 2 2" xfId="11703" xr:uid="{00000000-0005-0000-0000-000090080000}"/>
    <cellStyle name="20% - Accent2 39 2 2 2" xfId="22991" xr:uid="{00000000-0005-0000-0000-000091080000}"/>
    <cellStyle name="20% - Accent2 39 2 3" xfId="9709" xr:uid="{00000000-0005-0000-0000-000092080000}"/>
    <cellStyle name="20% - Accent2 39 2 3 2" xfId="20997" xr:uid="{00000000-0005-0000-0000-000093080000}"/>
    <cellStyle name="20% - Accent2 39 2 4" xfId="7715" xr:uid="{00000000-0005-0000-0000-000094080000}"/>
    <cellStyle name="20% - Accent2 39 2 4 2" xfId="19003" xr:uid="{00000000-0005-0000-0000-000095080000}"/>
    <cellStyle name="20% - Accent2 39 2 5" xfId="5721" xr:uid="{00000000-0005-0000-0000-000096080000}"/>
    <cellStyle name="20% - Accent2 39 2 5 2" xfId="17009" xr:uid="{00000000-0005-0000-0000-000097080000}"/>
    <cellStyle name="20% - Accent2 39 2 6" xfId="15015" xr:uid="{00000000-0005-0000-0000-000098080000}"/>
    <cellStyle name="20% - Accent2 39 3" xfId="10706" xr:uid="{00000000-0005-0000-0000-000099080000}"/>
    <cellStyle name="20% - Accent2 39 3 2" xfId="21994" xr:uid="{00000000-0005-0000-0000-00009A080000}"/>
    <cellStyle name="20% - Accent2 39 4" xfId="8712" xr:uid="{00000000-0005-0000-0000-00009B080000}"/>
    <cellStyle name="20% - Accent2 39 4 2" xfId="20000" xr:uid="{00000000-0005-0000-0000-00009C080000}"/>
    <cellStyle name="20% - Accent2 39 5" xfId="6718" xr:uid="{00000000-0005-0000-0000-00009D080000}"/>
    <cellStyle name="20% - Accent2 39 5 2" xfId="18006" xr:uid="{00000000-0005-0000-0000-00009E080000}"/>
    <cellStyle name="20% - Accent2 39 6" xfId="4724" xr:uid="{00000000-0005-0000-0000-00009F080000}"/>
    <cellStyle name="20% - Accent2 39 6 2" xfId="16012" xr:uid="{00000000-0005-0000-0000-0000A0080000}"/>
    <cellStyle name="20% - Accent2 39 7" xfId="14018" xr:uid="{00000000-0005-0000-0000-0000A1080000}"/>
    <cellStyle name="20% - Accent2 39 8" xfId="12704" xr:uid="{00000000-0005-0000-0000-0000A2080000}"/>
    <cellStyle name="20% - Accent2 4" xfId="769" xr:uid="{00000000-0005-0000-0000-0000A3080000}"/>
    <cellStyle name="20% - Accent2 4 10" xfId="24567" xr:uid="{00000000-0005-0000-0000-0000A4080000}"/>
    <cellStyle name="20% - Accent2 4 11" xfId="24957" xr:uid="{00000000-0005-0000-0000-0000A5080000}"/>
    <cellStyle name="20% - Accent2 4 2" xfId="3725" xr:uid="{00000000-0005-0000-0000-0000A6080000}"/>
    <cellStyle name="20% - Accent2 4 2 2" xfId="11704" xr:uid="{00000000-0005-0000-0000-0000A7080000}"/>
    <cellStyle name="20% - Accent2 4 2 2 2" xfId="22992" xr:uid="{00000000-0005-0000-0000-0000A8080000}"/>
    <cellStyle name="20% - Accent2 4 2 3" xfId="9710" xr:uid="{00000000-0005-0000-0000-0000A9080000}"/>
    <cellStyle name="20% - Accent2 4 2 3 2" xfId="20998" xr:uid="{00000000-0005-0000-0000-0000AA080000}"/>
    <cellStyle name="20% - Accent2 4 2 4" xfId="7716" xr:uid="{00000000-0005-0000-0000-0000AB080000}"/>
    <cellStyle name="20% - Accent2 4 2 4 2" xfId="19004" xr:uid="{00000000-0005-0000-0000-0000AC080000}"/>
    <cellStyle name="20% - Accent2 4 2 5" xfId="5722" xr:uid="{00000000-0005-0000-0000-0000AD080000}"/>
    <cellStyle name="20% - Accent2 4 2 5 2" xfId="17010" xr:uid="{00000000-0005-0000-0000-0000AE080000}"/>
    <cellStyle name="20% - Accent2 4 2 6" xfId="15016" xr:uid="{00000000-0005-0000-0000-0000AF080000}"/>
    <cellStyle name="20% - Accent2 4 2 7" xfId="24328" xr:uid="{00000000-0005-0000-0000-0000B0080000}"/>
    <cellStyle name="20% - Accent2 4 2 8" xfId="24792" xr:uid="{00000000-0005-0000-0000-0000B1080000}"/>
    <cellStyle name="20% - Accent2 4 2 9" xfId="25159" xr:uid="{00000000-0005-0000-0000-0000B2080000}"/>
    <cellStyle name="20% - Accent2 4 3" xfId="10707" xr:uid="{00000000-0005-0000-0000-0000B3080000}"/>
    <cellStyle name="20% - Accent2 4 3 2" xfId="21995" xr:uid="{00000000-0005-0000-0000-0000B4080000}"/>
    <cellStyle name="20% - Accent2 4 4" xfId="8713" xr:uid="{00000000-0005-0000-0000-0000B5080000}"/>
    <cellStyle name="20% - Accent2 4 4 2" xfId="20001" xr:uid="{00000000-0005-0000-0000-0000B6080000}"/>
    <cellStyle name="20% - Accent2 4 5" xfId="6719" xr:uid="{00000000-0005-0000-0000-0000B7080000}"/>
    <cellStyle name="20% - Accent2 4 5 2" xfId="18007" xr:uid="{00000000-0005-0000-0000-0000B8080000}"/>
    <cellStyle name="20% - Accent2 4 6" xfId="4725" xr:uid="{00000000-0005-0000-0000-0000B9080000}"/>
    <cellStyle name="20% - Accent2 4 6 2" xfId="16013" xr:uid="{00000000-0005-0000-0000-0000BA080000}"/>
    <cellStyle name="20% - Accent2 4 7" xfId="14019" xr:uid="{00000000-0005-0000-0000-0000BB080000}"/>
    <cellStyle name="20% - Accent2 4 8" xfId="12705" xr:uid="{00000000-0005-0000-0000-0000BC080000}"/>
    <cellStyle name="20% - Accent2 4 9" xfId="23940" xr:uid="{00000000-0005-0000-0000-0000BD080000}"/>
    <cellStyle name="20% - Accent2 40" xfId="770" xr:uid="{00000000-0005-0000-0000-0000BE080000}"/>
    <cellStyle name="20% - Accent2 40 2" xfId="3726" xr:uid="{00000000-0005-0000-0000-0000BF080000}"/>
    <cellStyle name="20% - Accent2 40 2 2" xfId="11705" xr:uid="{00000000-0005-0000-0000-0000C0080000}"/>
    <cellStyle name="20% - Accent2 40 2 2 2" xfId="22993" xr:uid="{00000000-0005-0000-0000-0000C1080000}"/>
    <cellStyle name="20% - Accent2 40 2 3" xfId="9711" xr:uid="{00000000-0005-0000-0000-0000C2080000}"/>
    <cellStyle name="20% - Accent2 40 2 3 2" xfId="20999" xr:uid="{00000000-0005-0000-0000-0000C3080000}"/>
    <cellStyle name="20% - Accent2 40 2 4" xfId="7717" xr:uid="{00000000-0005-0000-0000-0000C4080000}"/>
    <cellStyle name="20% - Accent2 40 2 4 2" xfId="19005" xr:uid="{00000000-0005-0000-0000-0000C5080000}"/>
    <cellStyle name="20% - Accent2 40 2 5" xfId="5723" xr:uid="{00000000-0005-0000-0000-0000C6080000}"/>
    <cellStyle name="20% - Accent2 40 2 5 2" xfId="17011" xr:uid="{00000000-0005-0000-0000-0000C7080000}"/>
    <cellStyle name="20% - Accent2 40 2 6" xfId="15017" xr:uid="{00000000-0005-0000-0000-0000C8080000}"/>
    <cellStyle name="20% - Accent2 40 3" xfId="10708" xr:uid="{00000000-0005-0000-0000-0000C9080000}"/>
    <cellStyle name="20% - Accent2 40 3 2" xfId="21996" xr:uid="{00000000-0005-0000-0000-0000CA080000}"/>
    <cellStyle name="20% - Accent2 40 4" xfId="8714" xr:uid="{00000000-0005-0000-0000-0000CB080000}"/>
    <cellStyle name="20% - Accent2 40 4 2" xfId="20002" xr:uid="{00000000-0005-0000-0000-0000CC080000}"/>
    <cellStyle name="20% - Accent2 40 5" xfId="6720" xr:uid="{00000000-0005-0000-0000-0000CD080000}"/>
    <cellStyle name="20% - Accent2 40 5 2" xfId="18008" xr:uid="{00000000-0005-0000-0000-0000CE080000}"/>
    <cellStyle name="20% - Accent2 40 6" xfId="4726" xr:uid="{00000000-0005-0000-0000-0000CF080000}"/>
    <cellStyle name="20% - Accent2 40 6 2" xfId="16014" xr:uid="{00000000-0005-0000-0000-0000D0080000}"/>
    <cellStyle name="20% - Accent2 40 7" xfId="14020" xr:uid="{00000000-0005-0000-0000-0000D1080000}"/>
    <cellStyle name="20% - Accent2 40 8" xfId="12706" xr:uid="{00000000-0005-0000-0000-0000D2080000}"/>
    <cellStyle name="20% - Accent2 41" xfId="771" xr:uid="{00000000-0005-0000-0000-0000D3080000}"/>
    <cellStyle name="20% - Accent2 41 2" xfId="3727" xr:uid="{00000000-0005-0000-0000-0000D4080000}"/>
    <cellStyle name="20% - Accent2 41 2 2" xfId="11706" xr:uid="{00000000-0005-0000-0000-0000D5080000}"/>
    <cellStyle name="20% - Accent2 41 2 2 2" xfId="22994" xr:uid="{00000000-0005-0000-0000-0000D6080000}"/>
    <cellStyle name="20% - Accent2 41 2 3" xfId="9712" xr:uid="{00000000-0005-0000-0000-0000D7080000}"/>
    <cellStyle name="20% - Accent2 41 2 3 2" xfId="21000" xr:uid="{00000000-0005-0000-0000-0000D8080000}"/>
    <cellStyle name="20% - Accent2 41 2 4" xfId="7718" xr:uid="{00000000-0005-0000-0000-0000D9080000}"/>
    <cellStyle name="20% - Accent2 41 2 4 2" xfId="19006" xr:uid="{00000000-0005-0000-0000-0000DA080000}"/>
    <cellStyle name="20% - Accent2 41 2 5" xfId="5724" xr:uid="{00000000-0005-0000-0000-0000DB080000}"/>
    <cellStyle name="20% - Accent2 41 2 5 2" xfId="17012" xr:uid="{00000000-0005-0000-0000-0000DC080000}"/>
    <cellStyle name="20% - Accent2 41 2 6" xfId="15018" xr:uid="{00000000-0005-0000-0000-0000DD080000}"/>
    <cellStyle name="20% - Accent2 41 3" xfId="10709" xr:uid="{00000000-0005-0000-0000-0000DE080000}"/>
    <cellStyle name="20% - Accent2 41 3 2" xfId="21997" xr:uid="{00000000-0005-0000-0000-0000DF080000}"/>
    <cellStyle name="20% - Accent2 41 4" xfId="8715" xr:uid="{00000000-0005-0000-0000-0000E0080000}"/>
    <cellStyle name="20% - Accent2 41 4 2" xfId="20003" xr:uid="{00000000-0005-0000-0000-0000E1080000}"/>
    <cellStyle name="20% - Accent2 41 5" xfId="6721" xr:uid="{00000000-0005-0000-0000-0000E2080000}"/>
    <cellStyle name="20% - Accent2 41 5 2" xfId="18009" xr:uid="{00000000-0005-0000-0000-0000E3080000}"/>
    <cellStyle name="20% - Accent2 41 6" xfId="4727" xr:uid="{00000000-0005-0000-0000-0000E4080000}"/>
    <cellStyle name="20% - Accent2 41 6 2" xfId="16015" xr:uid="{00000000-0005-0000-0000-0000E5080000}"/>
    <cellStyle name="20% - Accent2 41 7" xfId="14021" xr:uid="{00000000-0005-0000-0000-0000E6080000}"/>
    <cellStyle name="20% - Accent2 41 8" xfId="12707" xr:uid="{00000000-0005-0000-0000-0000E7080000}"/>
    <cellStyle name="20% - Accent2 42" xfId="772" xr:uid="{00000000-0005-0000-0000-0000E8080000}"/>
    <cellStyle name="20% - Accent2 42 2" xfId="3728" xr:uid="{00000000-0005-0000-0000-0000E9080000}"/>
    <cellStyle name="20% - Accent2 42 2 2" xfId="11707" xr:uid="{00000000-0005-0000-0000-0000EA080000}"/>
    <cellStyle name="20% - Accent2 42 2 2 2" xfId="22995" xr:uid="{00000000-0005-0000-0000-0000EB080000}"/>
    <cellStyle name="20% - Accent2 42 2 3" xfId="9713" xr:uid="{00000000-0005-0000-0000-0000EC080000}"/>
    <cellStyle name="20% - Accent2 42 2 3 2" xfId="21001" xr:uid="{00000000-0005-0000-0000-0000ED080000}"/>
    <cellStyle name="20% - Accent2 42 2 4" xfId="7719" xr:uid="{00000000-0005-0000-0000-0000EE080000}"/>
    <cellStyle name="20% - Accent2 42 2 4 2" xfId="19007" xr:uid="{00000000-0005-0000-0000-0000EF080000}"/>
    <cellStyle name="20% - Accent2 42 2 5" xfId="5725" xr:uid="{00000000-0005-0000-0000-0000F0080000}"/>
    <cellStyle name="20% - Accent2 42 2 5 2" xfId="17013" xr:uid="{00000000-0005-0000-0000-0000F1080000}"/>
    <cellStyle name="20% - Accent2 42 2 6" xfId="15019" xr:uid="{00000000-0005-0000-0000-0000F2080000}"/>
    <cellStyle name="20% - Accent2 42 3" xfId="10710" xr:uid="{00000000-0005-0000-0000-0000F3080000}"/>
    <cellStyle name="20% - Accent2 42 3 2" xfId="21998" xr:uid="{00000000-0005-0000-0000-0000F4080000}"/>
    <cellStyle name="20% - Accent2 42 4" xfId="8716" xr:uid="{00000000-0005-0000-0000-0000F5080000}"/>
    <cellStyle name="20% - Accent2 42 4 2" xfId="20004" xr:uid="{00000000-0005-0000-0000-0000F6080000}"/>
    <cellStyle name="20% - Accent2 42 5" xfId="6722" xr:uid="{00000000-0005-0000-0000-0000F7080000}"/>
    <cellStyle name="20% - Accent2 42 5 2" xfId="18010" xr:uid="{00000000-0005-0000-0000-0000F8080000}"/>
    <cellStyle name="20% - Accent2 42 6" xfId="4728" xr:uid="{00000000-0005-0000-0000-0000F9080000}"/>
    <cellStyle name="20% - Accent2 42 6 2" xfId="16016" xr:uid="{00000000-0005-0000-0000-0000FA080000}"/>
    <cellStyle name="20% - Accent2 42 7" xfId="14022" xr:uid="{00000000-0005-0000-0000-0000FB080000}"/>
    <cellStyle name="20% - Accent2 42 8" xfId="12708" xr:uid="{00000000-0005-0000-0000-0000FC080000}"/>
    <cellStyle name="20% - Accent2 43" xfId="773" xr:uid="{00000000-0005-0000-0000-0000FD080000}"/>
    <cellStyle name="20% - Accent2 43 2" xfId="3729" xr:uid="{00000000-0005-0000-0000-0000FE080000}"/>
    <cellStyle name="20% - Accent2 43 2 2" xfId="11708" xr:uid="{00000000-0005-0000-0000-0000FF080000}"/>
    <cellStyle name="20% - Accent2 43 2 2 2" xfId="22996" xr:uid="{00000000-0005-0000-0000-000000090000}"/>
    <cellStyle name="20% - Accent2 43 2 3" xfId="9714" xr:uid="{00000000-0005-0000-0000-000001090000}"/>
    <cellStyle name="20% - Accent2 43 2 3 2" xfId="21002" xr:uid="{00000000-0005-0000-0000-000002090000}"/>
    <cellStyle name="20% - Accent2 43 2 4" xfId="7720" xr:uid="{00000000-0005-0000-0000-000003090000}"/>
    <cellStyle name="20% - Accent2 43 2 4 2" xfId="19008" xr:uid="{00000000-0005-0000-0000-000004090000}"/>
    <cellStyle name="20% - Accent2 43 2 5" xfId="5726" xr:uid="{00000000-0005-0000-0000-000005090000}"/>
    <cellStyle name="20% - Accent2 43 2 5 2" xfId="17014" xr:uid="{00000000-0005-0000-0000-000006090000}"/>
    <cellStyle name="20% - Accent2 43 2 6" xfId="15020" xr:uid="{00000000-0005-0000-0000-000007090000}"/>
    <cellStyle name="20% - Accent2 43 3" xfId="10711" xr:uid="{00000000-0005-0000-0000-000008090000}"/>
    <cellStyle name="20% - Accent2 43 3 2" xfId="21999" xr:uid="{00000000-0005-0000-0000-000009090000}"/>
    <cellStyle name="20% - Accent2 43 4" xfId="8717" xr:uid="{00000000-0005-0000-0000-00000A090000}"/>
    <cellStyle name="20% - Accent2 43 4 2" xfId="20005" xr:uid="{00000000-0005-0000-0000-00000B090000}"/>
    <cellStyle name="20% - Accent2 43 5" xfId="6723" xr:uid="{00000000-0005-0000-0000-00000C090000}"/>
    <cellStyle name="20% - Accent2 43 5 2" xfId="18011" xr:uid="{00000000-0005-0000-0000-00000D090000}"/>
    <cellStyle name="20% - Accent2 43 6" xfId="4729" xr:uid="{00000000-0005-0000-0000-00000E090000}"/>
    <cellStyle name="20% - Accent2 43 6 2" xfId="16017" xr:uid="{00000000-0005-0000-0000-00000F090000}"/>
    <cellStyle name="20% - Accent2 43 7" xfId="14023" xr:uid="{00000000-0005-0000-0000-000010090000}"/>
    <cellStyle name="20% - Accent2 43 8" xfId="12709" xr:uid="{00000000-0005-0000-0000-000011090000}"/>
    <cellStyle name="20% - Accent2 44" xfId="774" xr:uid="{00000000-0005-0000-0000-000012090000}"/>
    <cellStyle name="20% - Accent2 44 2" xfId="3730" xr:uid="{00000000-0005-0000-0000-000013090000}"/>
    <cellStyle name="20% - Accent2 44 2 2" xfId="11709" xr:uid="{00000000-0005-0000-0000-000014090000}"/>
    <cellStyle name="20% - Accent2 44 2 2 2" xfId="22997" xr:uid="{00000000-0005-0000-0000-000015090000}"/>
    <cellStyle name="20% - Accent2 44 2 3" xfId="9715" xr:uid="{00000000-0005-0000-0000-000016090000}"/>
    <cellStyle name="20% - Accent2 44 2 3 2" xfId="21003" xr:uid="{00000000-0005-0000-0000-000017090000}"/>
    <cellStyle name="20% - Accent2 44 2 4" xfId="7721" xr:uid="{00000000-0005-0000-0000-000018090000}"/>
    <cellStyle name="20% - Accent2 44 2 4 2" xfId="19009" xr:uid="{00000000-0005-0000-0000-000019090000}"/>
    <cellStyle name="20% - Accent2 44 2 5" xfId="5727" xr:uid="{00000000-0005-0000-0000-00001A090000}"/>
    <cellStyle name="20% - Accent2 44 2 5 2" xfId="17015" xr:uid="{00000000-0005-0000-0000-00001B090000}"/>
    <cellStyle name="20% - Accent2 44 2 6" xfId="15021" xr:uid="{00000000-0005-0000-0000-00001C090000}"/>
    <cellStyle name="20% - Accent2 44 3" xfId="10712" xr:uid="{00000000-0005-0000-0000-00001D090000}"/>
    <cellStyle name="20% - Accent2 44 3 2" xfId="22000" xr:uid="{00000000-0005-0000-0000-00001E090000}"/>
    <cellStyle name="20% - Accent2 44 4" xfId="8718" xr:uid="{00000000-0005-0000-0000-00001F090000}"/>
    <cellStyle name="20% - Accent2 44 4 2" xfId="20006" xr:uid="{00000000-0005-0000-0000-000020090000}"/>
    <cellStyle name="20% - Accent2 44 5" xfId="6724" xr:uid="{00000000-0005-0000-0000-000021090000}"/>
    <cellStyle name="20% - Accent2 44 5 2" xfId="18012" xr:uid="{00000000-0005-0000-0000-000022090000}"/>
    <cellStyle name="20% - Accent2 44 6" xfId="4730" xr:uid="{00000000-0005-0000-0000-000023090000}"/>
    <cellStyle name="20% - Accent2 44 6 2" xfId="16018" xr:uid="{00000000-0005-0000-0000-000024090000}"/>
    <cellStyle name="20% - Accent2 44 7" xfId="14024" xr:uid="{00000000-0005-0000-0000-000025090000}"/>
    <cellStyle name="20% - Accent2 44 8" xfId="12710" xr:uid="{00000000-0005-0000-0000-000026090000}"/>
    <cellStyle name="20% - Accent2 45" xfId="775" xr:uid="{00000000-0005-0000-0000-000027090000}"/>
    <cellStyle name="20% - Accent2 45 2" xfId="3731" xr:uid="{00000000-0005-0000-0000-000028090000}"/>
    <cellStyle name="20% - Accent2 45 2 2" xfId="11710" xr:uid="{00000000-0005-0000-0000-000029090000}"/>
    <cellStyle name="20% - Accent2 45 2 2 2" xfId="22998" xr:uid="{00000000-0005-0000-0000-00002A090000}"/>
    <cellStyle name="20% - Accent2 45 2 3" xfId="9716" xr:uid="{00000000-0005-0000-0000-00002B090000}"/>
    <cellStyle name="20% - Accent2 45 2 3 2" xfId="21004" xr:uid="{00000000-0005-0000-0000-00002C090000}"/>
    <cellStyle name="20% - Accent2 45 2 4" xfId="7722" xr:uid="{00000000-0005-0000-0000-00002D090000}"/>
    <cellStyle name="20% - Accent2 45 2 4 2" xfId="19010" xr:uid="{00000000-0005-0000-0000-00002E090000}"/>
    <cellStyle name="20% - Accent2 45 2 5" xfId="5728" xr:uid="{00000000-0005-0000-0000-00002F090000}"/>
    <cellStyle name="20% - Accent2 45 2 5 2" xfId="17016" xr:uid="{00000000-0005-0000-0000-000030090000}"/>
    <cellStyle name="20% - Accent2 45 2 6" xfId="15022" xr:uid="{00000000-0005-0000-0000-000031090000}"/>
    <cellStyle name="20% - Accent2 45 3" xfId="10713" xr:uid="{00000000-0005-0000-0000-000032090000}"/>
    <cellStyle name="20% - Accent2 45 3 2" xfId="22001" xr:uid="{00000000-0005-0000-0000-000033090000}"/>
    <cellStyle name="20% - Accent2 45 4" xfId="8719" xr:uid="{00000000-0005-0000-0000-000034090000}"/>
    <cellStyle name="20% - Accent2 45 4 2" xfId="20007" xr:uid="{00000000-0005-0000-0000-000035090000}"/>
    <cellStyle name="20% - Accent2 45 5" xfId="6725" xr:uid="{00000000-0005-0000-0000-000036090000}"/>
    <cellStyle name="20% - Accent2 45 5 2" xfId="18013" xr:uid="{00000000-0005-0000-0000-000037090000}"/>
    <cellStyle name="20% - Accent2 45 6" xfId="4731" xr:uid="{00000000-0005-0000-0000-000038090000}"/>
    <cellStyle name="20% - Accent2 45 6 2" xfId="16019" xr:uid="{00000000-0005-0000-0000-000039090000}"/>
    <cellStyle name="20% - Accent2 45 7" xfId="14025" xr:uid="{00000000-0005-0000-0000-00003A090000}"/>
    <cellStyle name="20% - Accent2 45 8" xfId="12711" xr:uid="{00000000-0005-0000-0000-00003B090000}"/>
    <cellStyle name="20% - Accent2 46" xfId="776" xr:uid="{00000000-0005-0000-0000-00003C090000}"/>
    <cellStyle name="20% - Accent2 46 2" xfId="3732" xr:uid="{00000000-0005-0000-0000-00003D090000}"/>
    <cellStyle name="20% - Accent2 46 2 2" xfId="11711" xr:uid="{00000000-0005-0000-0000-00003E090000}"/>
    <cellStyle name="20% - Accent2 46 2 2 2" xfId="22999" xr:uid="{00000000-0005-0000-0000-00003F090000}"/>
    <cellStyle name="20% - Accent2 46 2 3" xfId="9717" xr:uid="{00000000-0005-0000-0000-000040090000}"/>
    <cellStyle name="20% - Accent2 46 2 3 2" xfId="21005" xr:uid="{00000000-0005-0000-0000-000041090000}"/>
    <cellStyle name="20% - Accent2 46 2 4" xfId="7723" xr:uid="{00000000-0005-0000-0000-000042090000}"/>
    <cellStyle name="20% - Accent2 46 2 4 2" xfId="19011" xr:uid="{00000000-0005-0000-0000-000043090000}"/>
    <cellStyle name="20% - Accent2 46 2 5" xfId="5729" xr:uid="{00000000-0005-0000-0000-000044090000}"/>
    <cellStyle name="20% - Accent2 46 2 5 2" xfId="17017" xr:uid="{00000000-0005-0000-0000-000045090000}"/>
    <cellStyle name="20% - Accent2 46 2 6" xfId="15023" xr:uid="{00000000-0005-0000-0000-000046090000}"/>
    <cellStyle name="20% - Accent2 46 3" xfId="10714" xr:uid="{00000000-0005-0000-0000-000047090000}"/>
    <cellStyle name="20% - Accent2 46 3 2" xfId="22002" xr:uid="{00000000-0005-0000-0000-000048090000}"/>
    <cellStyle name="20% - Accent2 46 4" xfId="8720" xr:uid="{00000000-0005-0000-0000-000049090000}"/>
    <cellStyle name="20% - Accent2 46 4 2" xfId="20008" xr:uid="{00000000-0005-0000-0000-00004A090000}"/>
    <cellStyle name="20% - Accent2 46 5" xfId="6726" xr:uid="{00000000-0005-0000-0000-00004B090000}"/>
    <cellStyle name="20% - Accent2 46 5 2" xfId="18014" xr:uid="{00000000-0005-0000-0000-00004C090000}"/>
    <cellStyle name="20% - Accent2 46 6" xfId="4732" xr:uid="{00000000-0005-0000-0000-00004D090000}"/>
    <cellStyle name="20% - Accent2 46 6 2" xfId="16020" xr:uid="{00000000-0005-0000-0000-00004E090000}"/>
    <cellStyle name="20% - Accent2 46 7" xfId="14026" xr:uid="{00000000-0005-0000-0000-00004F090000}"/>
    <cellStyle name="20% - Accent2 46 8" xfId="12712" xr:uid="{00000000-0005-0000-0000-000050090000}"/>
    <cellStyle name="20% - Accent2 47" xfId="777" xr:uid="{00000000-0005-0000-0000-000051090000}"/>
    <cellStyle name="20% - Accent2 47 2" xfId="3733" xr:uid="{00000000-0005-0000-0000-000052090000}"/>
    <cellStyle name="20% - Accent2 47 2 2" xfId="11712" xr:uid="{00000000-0005-0000-0000-000053090000}"/>
    <cellStyle name="20% - Accent2 47 2 2 2" xfId="23000" xr:uid="{00000000-0005-0000-0000-000054090000}"/>
    <cellStyle name="20% - Accent2 47 2 3" xfId="9718" xr:uid="{00000000-0005-0000-0000-000055090000}"/>
    <cellStyle name="20% - Accent2 47 2 3 2" xfId="21006" xr:uid="{00000000-0005-0000-0000-000056090000}"/>
    <cellStyle name="20% - Accent2 47 2 4" xfId="7724" xr:uid="{00000000-0005-0000-0000-000057090000}"/>
    <cellStyle name="20% - Accent2 47 2 4 2" xfId="19012" xr:uid="{00000000-0005-0000-0000-000058090000}"/>
    <cellStyle name="20% - Accent2 47 2 5" xfId="5730" xr:uid="{00000000-0005-0000-0000-000059090000}"/>
    <cellStyle name="20% - Accent2 47 2 5 2" xfId="17018" xr:uid="{00000000-0005-0000-0000-00005A090000}"/>
    <cellStyle name="20% - Accent2 47 2 6" xfId="15024" xr:uid="{00000000-0005-0000-0000-00005B090000}"/>
    <cellStyle name="20% - Accent2 47 3" xfId="10715" xr:uid="{00000000-0005-0000-0000-00005C090000}"/>
    <cellStyle name="20% - Accent2 47 3 2" xfId="22003" xr:uid="{00000000-0005-0000-0000-00005D090000}"/>
    <cellStyle name="20% - Accent2 47 4" xfId="8721" xr:uid="{00000000-0005-0000-0000-00005E090000}"/>
    <cellStyle name="20% - Accent2 47 4 2" xfId="20009" xr:uid="{00000000-0005-0000-0000-00005F090000}"/>
    <cellStyle name="20% - Accent2 47 5" xfId="6727" xr:uid="{00000000-0005-0000-0000-000060090000}"/>
    <cellStyle name="20% - Accent2 47 5 2" xfId="18015" xr:uid="{00000000-0005-0000-0000-000061090000}"/>
    <cellStyle name="20% - Accent2 47 6" xfId="4733" xr:uid="{00000000-0005-0000-0000-000062090000}"/>
    <cellStyle name="20% - Accent2 47 6 2" xfId="16021" xr:uid="{00000000-0005-0000-0000-000063090000}"/>
    <cellStyle name="20% - Accent2 47 7" xfId="14027" xr:uid="{00000000-0005-0000-0000-000064090000}"/>
    <cellStyle name="20% - Accent2 47 8" xfId="12713" xr:uid="{00000000-0005-0000-0000-000065090000}"/>
    <cellStyle name="20% - Accent2 48" xfId="778" xr:uid="{00000000-0005-0000-0000-000066090000}"/>
    <cellStyle name="20% - Accent2 48 2" xfId="3734" xr:uid="{00000000-0005-0000-0000-000067090000}"/>
    <cellStyle name="20% - Accent2 48 2 2" xfId="11713" xr:uid="{00000000-0005-0000-0000-000068090000}"/>
    <cellStyle name="20% - Accent2 48 2 2 2" xfId="23001" xr:uid="{00000000-0005-0000-0000-000069090000}"/>
    <cellStyle name="20% - Accent2 48 2 3" xfId="9719" xr:uid="{00000000-0005-0000-0000-00006A090000}"/>
    <cellStyle name="20% - Accent2 48 2 3 2" xfId="21007" xr:uid="{00000000-0005-0000-0000-00006B090000}"/>
    <cellStyle name="20% - Accent2 48 2 4" xfId="7725" xr:uid="{00000000-0005-0000-0000-00006C090000}"/>
    <cellStyle name="20% - Accent2 48 2 4 2" xfId="19013" xr:uid="{00000000-0005-0000-0000-00006D090000}"/>
    <cellStyle name="20% - Accent2 48 2 5" xfId="5731" xr:uid="{00000000-0005-0000-0000-00006E090000}"/>
    <cellStyle name="20% - Accent2 48 2 5 2" xfId="17019" xr:uid="{00000000-0005-0000-0000-00006F090000}"/>
    <cellStyle name="20% - Accent2 48 2 6" xfId="15025" xr:uid="{00000000-0005-0000-0000-000070090000}"/>
    <cellStyle name="20% - Accent2 48 3" xfId="10716" xr:uid="{00000000-0005-0000-0000-000071090000}"/>
    <cellStyle name="20% - Accent2 48 3 2" xfId="22004" xr:uid="{00000000-0005-0000-0000-000072090000}"/>
    <cellStyle name="20% - Accent2 48 4" xfId="8722" xr:uid="{00000000-0005-0000-0000-000073090000}"/>
    <cellStyle name="20% - Accent2 48 4 2" xfId="20010" xr:uid="{00000000-0005-0000-0000-000074090000}"/>
    <cellStyle name="20% - Accent2 48 5" xfId="6728" xr:uid="{00000000-0005-0000-0000-000075090000}"/>
    <cellStyle name="20% - Accent2 48 5 2" xfId="18016" xr:uid="{00000000-0005-0000-0000-000076090000}"/>
    <cellStyle name="20% - Accent2 48 6" xfId="4734" xr:uid="{00000000-0005-0000-0000-000077090000}"/>
    <cellStyle name="20% - Accent2 48 6 2" xfId="16022" xr:uid="{00000000-0005-0000-0000-000078090000}"/>
    <cellStyle name="20% - Accent2 48 7" xfId="14028" xr:uid="{00000000-0005-0000-0000-000079090000}"/>
    <cellStyle name="20% - Accent2 48 8" xfId="12714" xr:uid="{00000000-0005-0000-0000-00007A090000}"/>
    <cellStyle name="20% - Accent2 49" xfId="779" xr:uid="{00000000-0005-0000-0000-00007B090000}"/>
    <cellStyle name="20% - Accent2 49 2" xfId="3735" xr:uid="{00000000-0005-0000-0000-00007C090000}"/>
    <cellStyle name="20% - Accent2 49 2 2" xfId="11714" xr:uid="{00000000-0005-0000-0000-00007D090000}"/>
    <cellStyle name="20% - Accent2 49 2 2 2" xfId="23002" xr:uid="{00000000-0005-0000-0000-00007E090000}"/>
    <cellStyle name="20% - Accent2 49 2 3" xfId="9720" xr:uid="{00000000-0005-0000-0000-00007F090000}"/>
    <cellStyle name="20% - Accent2 49 2 3 2" xfId="21008" xr:uid="{00000000-0005-0000-0000-000080090000}"/>
    <cellStyle name="20% - Accent2 49 2 4" xfId="7726" xr:uid="{00000000-0005-0000-0000-000081090000}"/>
    <cellStyle name="20% - Accent2 49 2 4 2" xfId="19014" xr:uid="{00000000-0005-0000-0000-000082090000}"/>
    <cellStyle name="20% - Accent2 49 2 5" xfId="5732" xr:uid="{00000000-0005-0000-0000-000083090000}"/>
    <cellStyle name="20% - Accent2 49 2 5 2" xfId="17020" xr:uid="{00000000-0005-0000-0000-000084090000}"/>
    <cellStyle name="20% - Accent2 49 2 6" xfId="15026" xr:uid="{00000000-0005-0000-0000-000085090000}"/>
    <cellStyle name="20% - Accent2 49 3" xfId="10717" xr:uid="{00000000-0005-0000-0000-000086090000}"/>
    <cellStyle name="20% - Accent2 49 3 2" xfId="22005" xr:uid="{00000000-0005-0000-0000-000087090000}"/>
    <cellStyle name="20% - Accent2 49 4" xfId="8723" xr:uid="{00000000-0005-0000-0000-000088090000}"/>
    <cellStyle name="20% - Accent2 49 4 2" xfId="20011" xr:uid="{00000000-0005-0000-0000-000089090000}"/>
    <cellStyle name="20% - Accent2 49 5" xfId="6729" xr:uid="{00000000-0005-0000-0000-00008A090000}"/>
    <cellStyle name="20% - Accent2 49 5 2" xfId="18017" xr:uid="{00000000-0005-0000-0000-00008B090000}"/>
    <cellStyle name="20% - Accent2 49 6" xfId="4735" xr:uid="{00000000-0005-0000-0000-00008C090000}"/>
    <cellStyle name="20% - Accent2 49 6 2" xfId="16023" xr:uid="{00000000-0005-0000-0000-00008D090000}"/>
    <cellStyle name="20% - Accent2 49 7" xfId="14029" xr:uid="{00000000-0005-0000-0000-00008E090000}"/>
    <cellStyle name="20% - Accent2 49 8" xfId="12715" xr:uid="{00000000-0005-0000-0000-00008F090000}"/>
    <cellStyle name="20% - Accent2 5" xfId="780" xr:uid="{00000000-0005-0000-0000-000090090000}"/>
    <cellStyle name="20% - Accent2 5 10" xfId="24568" xr:uid="{00000000-0005-0000-0000-000091090000}"/>
    <cellStyle name="20% - Accent2 5 11" xfId="24958" xr:uid="{00000000-0005-0000-0000-000092090000}"/>
    <cellStyle name="20% - Accent2 5 2" xfId="3736" xr:uid="{00000000-0005-0000-0000-000093090000}"/>
    <cellStyle name="20% - Accent2 5 2 2" xfId="11715" xr:uid="{00000000-0005-0000-0000-000094090000}"/>
    <cellStyle name="20% - Accent2 5 2 2 2" xfId="23003" xr:uid="{00000000-0005-0000-0000-000095090000}"/>
    <cellStyle name="20% - Accent2 5 2 3" xfId="9721" xr:uid="{00000000-0005-0000-0000-000096090000}"/>
    <cellStyle name="20% - Accent2 5 2 3 2" xfId="21009" xr:uid="{00000000-0005-0000-0000-000097090000}"/>
    <cellStyle name="20% - Accent2 5 2 4" xfId="7727" xr:uid="{00000000-0005-0000-0000-000098090000}"/>
    <cellStyle name="20% - Accent2 5 2 4 2" xfId="19015" xr:uid="{00000000-0005-0000-0000-000099090000}"/>
    <cellStyle name="20% - Accent2 5 2 5" xfId="5733" xr:uid="{00000000-0005-0000-0000-00009A090000}"/>
    <cellStyle name="20% - Accent2 5 2 5 2" xfId="17021" xr:uid="{00000000-0005-0000-0000-00009B090000}"/>
    <cellStyle name="20% - Accent2 5 2 6" xfId="15027" xr:uid="{00000000-0005-0000-0000-00009C090000}"/>
    <cellStyle name="20% - Accent2 5 2 7" xfId="24329" xr:uid="{00000000-0005-0000-0000-00009D090000}"/>
    <cellStyle name="20% - Accent2 5 2 8" xfId="24793" xr:uid="{00000000-0005-0000-0000-00009E090000}"/>
    <cellStyle name="20% - Accent2 5 2 9" xfId="25160" xr:uid="{00000000-0005-0000-0000-00009F090000}"/>
    <cellStyle name="20% - Accent2 5 3" xfId="10718" xr:uid="{00000000-0005-0000-0000-0000A0090000}"/>
    <cellStyle name="20% - Accent2 5 3 2" xfId="22006" xr:uid="{00000000-0005-0000-0000-0000A1090000}"/>
    <cellStyle name="20% - Accent2 5 4" xfId="8724" xr:uid="{00000000-0005-0000-0000-0000A2090000}"/>
    <cellStyle name="20% - Accent2 5 4 2" xfId="20012" xr:uid="{00000000-0005-0000-0000-0000A3090000}"/>
    <cellStyle name="20% - Accent2 5 5" xfId="6730" xr:uid="{00000000-0005-0000-0000-0000A4090000}"/>
    <cellStyle name="20% - Accent2 5 5 2" xfId="18018" xr:uid="{00000000-0005-0000-0000-0000A5090000}"/>
    <cellStyle name="20% - Accent2 5 6" xfId="4736" xr:uid="{00000000-0005-0000-0000-0000A6090000}"/>
    <cellStyle name="20% - Accent2 5 6 2" xfId="16024" xr:uid="{00000000-0005-0000-0000-0000A7090000}"/>
    <cellStyle name="20% - Accent2 5 7" xfId="14030" xr:uid="{00000000-0005-0000-0000-0000A8090000}"/>
    <cellStyle name="20% - Accent2 5 8" xfId="12716" xr:uid="{00000000-0005-0000-0000-0000A9090000}"/>
    <cellStyle name="20% - Accent2 5 9" xfId="23941" xr:uid="{00000000-0005-0000-0000-0000AA090000}"/>
    <cellStyle name="20% - Accent2 50" xfId="781" xr:uid="{00000000-0005-0000-0000-0000AB090000}"/>
    <cellStyle name="20% - Accent2 50 2" xfId="3737" xr:uid="{00000000-0005-0000-0000-0000AC090000}"/>
    <cellStyle name="20% - Accent2 50 2 2" xfId="11716" xr:uid="{00000000-0005-0000-0000-0000AD090000}"/>
    <cellStyle name="20% - Accent2 50 2 2 2" xfId="23004" xr:uid="{00000000-0005-0000-0000-0000AE090000}"/>
    <cellStyle name="20% - Accent2 50 2 3" xfId="9722" xr:uid="{00000000-0005-0000-0000-0000AF090000}"/>
    <cellStyle name="20% - Accent2 50 2 3 2" xfId="21010" xr:uid="{00000000-0005-0000-0000-0000B0090000}"/>
    <cellStyle name="20% - Accent2 50 2 4" xfId="7728" xr:uid="{00000000-0005-0000-0000-0000B1090000}"/>
    <cellStyle name="20% - Accent2 50 2 4 2" xfId="19016" xr:uid="{00000000-0005-0000-0000-0000B2090000}"/>
    <cellStyle name="20% - Accent2 50 2 5" xfId="5734" xr:uid="{00000000-0005-0000-0000-0000B3090000}"/>
    <cellStyle name="20% - Accent2 50 2 5 2" xfId="17022" xr:uid="{00000000-0005-0000-0000-0000B4090000}"/>
    <cellStyle name="20% - Accent2 50 2 6" xfId="15028" xr:uid="{00000000-0005-0000-0000-0000B5090000}"/>
    <cellStyle name="20% - Accent2 50 3" xfId="10719" xr:uid="{00000000-0005-0000-0000-0000B6090000}"/>
    <cellStyle name="20% - Accent2 50 3 2" xfId="22007" xr:uid="{00000000-0005-0000-0000-0000B7090000}"/>
    <cellStyle name="20% - Accent2 50 4" xfId="8725" xr:uid="{00000000-0005-0000-0000-0000B8090000}"/>
    <cellStyle name="20% - Accent2 50 4 2" xfId="20013" xr:uid="{00000000-0005-0000-0000-0000B9090000}"/>
    <cellStyle name="20% - Accent2 50 5" xfId="6731" xr:uid="{00000000-0005-0000-0000-0000BA090000}"/>
    <cellStyle name="20% - Accent2 50 5 2" xfId="18019" xr:uid="{00000000-0005-0000-0000-0000BB090000}"/>
    <cellStyle name="20% - Accent2 50 6" xfId="4737" xr:uid="{00000000-0005-0000-0000-0000BC090000}"/>
    <cellStyle name="20% - Accent2 50 6 2" xfId="16025" xr:uid="{00000000-0005-0000-0000-0000BD090000}"/>
    <cellStyle name="20% - Accent2 50 7" xfId="14031" xr:uid="{00000000-0005-0000-0000-0000BE090000}"/>
    <cellStyle name="20% - Accent2 50 8" xfId="12717" xr:uid="{00000000-0005-0000-0000-0000BF090000}"/>
    <cellStyle name="20% - Accent2 51" xfId="782" xr:uid="{00000000-0005-0000-0000-0000C0090000}"/>
    <cellStyle name="20% - Accent2 51 2" xfId="3738" xr:uid="{00000000-0005-0000-0000-0000C1090000}"/>
    <cellStyle name="20% - Accent2 51 2 2" xfId="11717" xr:uid="{00000000-0005-0000-0000-0000C2090000}"/>
    <cellStyle name="20% - Accent2 51 2 2 2" xfId="23005" xr:uid="{00000000-0005-0000-0000-0000C3090000}"/>
    <cellStyle name="20% - Accent2 51 2 3" xfId="9723" xr:uid="{00000000-0005-0000-0000-0000C4090000}"/>
    <cellStyle name="20% - Accent2 51 2 3 2" xfId="21011" xr:uid="{00000000-0005-0000-0000-0000C5090000}"/>
    <cellStyle name="20% - Accent2 51 2 4" xfId="7729" xr:uid="{00000000-0005-0000-0000-0000C6090000}"/>
    <cellStyle name="20% - Accent2 51 2 4 2" xfId="19017" xr:uid="{00000000-0005-0000-0000-0000C7090000}"/>
    <cellStyle name="20% - Accent2 51 2 5" xfId="5735" xr:uid="{00000000-0005-0000-0000-0000C8090000}"/>
    <cellStyle name="20% - Accent2 51 2 5 2" xfId="17023" xr:uid="{00000000-0005-0000-0000-0000C9090000}"/>
    <cellStyle name="20% - Accent2 51 2 6" xfId="15029" xr:uid="{00000000-0005-0000-0000-0000CA090000}"/>
    <cellStyle name="20% - Accent2 51 3" xfId="10720" xr:uid="{00000000-0005-0000-0000-0000CB090000}"/>
    <cellStyle name="20% - Accent2 51 3 2" xfId="22008" xr:uid="{00000000-0005-0000-0000-0000CC090000}"/>
    <cellStyle name="20% - Accent2 51 4" xfId="8726" xr:uid="{00000000-0005-0000-0000-0000CD090000}"/>
    <cellStyle name="20% - Accent2 51 4 2" xfId="20014" xr:uid="{00000000-0005-0000-0000-0000CE090000}"/>
    <cellStyle name="20% - Accent2 51 5" xfId="6732" xr:uid="{00000000-0005-0000-0000-0000CF090000}"/>
    <cellStyle name="20% - Accent2 51 5 2" xfId="18020" xr:uid="{00000000-0005-0000-0000-0000D0090000}"/>
    <cellStyle name="20% - Accent2 51 6" xfId="4738" xr:uid="{00000000-0005-0000-0000-0000D1090000}"/>
    <cellStyle name="20% - Accent2 51 6 2" xfId="16026" xr:uid="{00000000-0005-0000-0000-0000D2090000}"/>
    <cellStyle name="20% - Accent2 51 7" xfId="14032" xr:uid="{00000000-0005-0000-0000-0000D3090000}"/>
    <cellStyle name="20% - Accent2 51 8" xfId="12718" xr:uid="{00000000-0005-0000-0000-0000D4090000}"/>
    <cellStyle name="20% - Accent2 52" xfId="783" xr:uid="{00000000-0005-0000-0000-0000D5090000}"/>
    <cellStyle name="20% - Accent2 52 2" xfId="3739" xr:uid="{00000000-0005-0000-0000-0000D6090000}"/>
    <cellStyle name="20% - Accent2 52 2 2" xfId="11718" xr:uid="{00000000-0005-0000-0000-0000D7090000}"/>
    <cellStyle name="20% - Accent2 52 2 2 2" xfId="23006" xr:uid="{00000000-0005-0000-0000-0000D8090000}"/>
    <cellStyle name="20% - Accent2 52 2 3" xfId="9724" xr:uid="{00000000-0005-0000-0000-0000D9090000}"/>
    <cellStyle name="20% - Accent2 52 2 3 2" xfId="21012" xr:uid="{00000000-0005-0000-0000-0000DA090000}"/>
    <cellStyle name="20% - Accent2 52 2 4" xfId="7730" xr:uid="{00000000-0005-0000-0000-0000DB090000}"/>
    <cellStyle name="20% - Accent2 52 2 4 2" xfId="19018" xr:uid="{00000000-0005-0000-0000-0000DC090000}"/>
    <cellStyle name="20% - Accent2 52 2 5" xfId="5736" xr:uid="{00000000-0005-0000-0000-0000DD090000}"/>
    <cellStyle name="20% - Accent2 52 2 5 2" xfId="17024" xr:uid="{00000000-0005-0000-0000-0000DE090000}"/>
    <cellStyle name="20% - Accent2 52 2 6" xfId="15030" xr:uid="{00000000-0005-0000-0000-0000DF090000}"/>
    <cellStyle name="20% - Accent2 52 3" xfId="10721" xr:uid="{00000000-0005-0000-0000-0000E0090000}"/>
    <cellStyle name="20% - Accent2 52 3 2" xfId="22009" xr:uid="{00000000-0005-0000-0000-0000E1090000}"/>
    <cellStyle name="20% - Accent2 52 4" xfId="8727" xr:uid="{00000000-0005-0000-0000-0000E2090000}"/>
    <cellStyle name="20% - Accent2 52 4 2" xfId="20015" xr:uid="{00000000-0005-0000-0000-0000E3090000}"/>
    <cellStyle name="20% - Accent2 52 5" xfId="6733" xr:uid="{00000000-0005-0000-0000-0000E4090000}"/>
    <cellStyle name="20% - Accent2 52 5 2" xfId="18021" xr:uid="{00000000-0005-0000-0000-0000E5090000}"/>
    <cellStyle name="20% - Accent2 52 6" xfId="4739" xr:uid="{00000000-0005-0000-0000-0000E6090000}"/>
    <cellStyle name="20% - Accent2 52 6 2" xfId="16027" xr:uid="{00000000-0005-0000-0000-0000E7090000}"/>
    <cellStyle name="20% - Accent2 52 7" xfId="14033" xr:uid="{00000000-0005-0000-0000-0000E8090000}"/>
    <cellStyle name="20% - Accent2 52 8" xfId="12719" xr:uid="{00000000-0005-0000-0000-0000E9090000}"/>
    <cellStyle name="20% - Accent2 53" xfId="784" xr:uid="{00000000-0005-0000-0000-0000EA090000}"/>
    <cellStyle name="20% - Accent2 53 2" xfId="3740" xr:uid="{00000000-0005-0000-0000-0000EB090000}"/>
    <cellStyle name="20% - Accent2 53 2 2" xfId="11719" xr:uid="{00000000-0005-0000-0000-0000EC090000}"/>
    <cellStyle name="20% - Accent2 53 2 2 2" xfId="23007" xr:uid="{00000000-0005-0000-0000-0000ED090000}"/>
    <cellStyle name="20% - Accent2 53 2 3" xfId="9725" xr:uid="{00000000-0005-0000-0000-0000EE090000}"/>
    <cellStyle name="20% - Accent2 53 2 3 2" xfId="21013" xr:uid="{00000000-0005-0000-0000-0000EF090000}"/>
    <cellStyle name="20% - Accent2 53 2 4" xfId="7731" xr:uid="{00000000-0005-0000-0000-0000F0090000}"/>
    <cellStyle name="20% - Accent2 53 2 4 2" xfId="19019" xr:uid="{00000000-0005-0000-0000-0000F1090000}"/>
    <cellStyle name="20% - Accent2 53 2 5" xfId="5737" xr:uid="{00000000-0005-0000-0000-0000F2090000}"/>
    <cellStyle name="20% - Accent2 53 2 5 2" xfId="17025" xr:uid="{00000000-0005-0000-0000-0000F3090000}"/>
    <cellStyle name="20% - Accent2 53 2 6" xfId="15031" xr:uid="{00000000-0005-0000-0000-0000F4090000}"/>
    <cellStyle name="20% - Accent2 53 3" xfId="10722" xr:uid="{00000000-0005-0000-0000-0000F5090000}"/>
    <cellStyle name="20% - Accent2 53 3 2" xfId="22010" xr:uid="{00000000-0005-0000-0000-0000F6090000}"/>
    <cellStyle name="20% - Accent2 53 4" xfId="8728" xr:uid="{00000000-0005-0000-0000-0000F7090000}"/>
    <cellStyle name="20% - Accent2 53 4 2" xfId="20016" xr:uid="{00000000-0005-0000-0000-0000F8090000}"/>
    <cellStyle name="20% - Accent2 53 5" xfId="6734" xr:uid="{00000000-0005-0000-0000-0000F9090000}"/>
    <cellStyle name="20% - Accent2 53 5 2" xfId="18022" xr:uid="{00000000-0005-0000-0000-0000FA090000}"/>
    <cellStyle name="20% - Accent2 53 6" xfId="4740" xr:uid="{00000000-0005-0000-0000-0000FB090000}"/>
    <cellStyle name="20% - Accent2 53 6 2" xfId="16028" xr:uid="{00000000-0005-0000-0000-0000FC090000}"/>
    <cellStyle name="20% - Accent2 53 7" xfId="14034" xr:uid="{00000000-0005-0000-0000-0000FD090000}"/>
    <cellStyle name="20% - Accent2 53 8" xfId="12720" xr:uid="{00000000-0005-0000-0000-0000FE090000}"/>
    <cellStyle name="20% - Accent2 54" xfId="785" xr:uid="{00000000-0005-0000-0000-0000FF090000}"/>
    <cellStyle name="20% - Accent2 54 2" xfId="3741" xr:uid="{00000000-0005-0000-0000-0000000A0000}"/>
    <cellStyle name="20% - Accent2 54 2 2" xfId="11720" xr:uid="{00000000-0005-0000-0000-0000010A0000}"/>
    <cellStyle name="20% - Accent2 54 2 2 2" xfId="23008" xr:uid="{00000000-0005-0000-0000-0000020A0000}"/>
    <cellStyle name="20% - Accent2 54 2 3" xfId="9726" xr:uid="{00000000-0005-0000-0000-0000030A0000}"/>
    <cellStyle name="20% - Accent2 54 2 3 2" xfId="21014" xr:uid="{00000000-0005-0000-0000-0000040A0000}"/>
    <cellStyle name="20% - Accent2 54 2 4" xfId="7732" xr:uid="{00000000-0005-0000-0000-0000050A0000}"/>
    <cellStyle name="20% - Accent2 54 2 4 2" xfId="19020" xr:uid="{00000000-0005-0000-0000-0000060A0000}"/>
    <cellStyle name="20% - Accent2 54 2 5" xfId="5738" xr:uid="{00000000-0005-0000-0000-0000070A0000}"/>
    <cellStyle name="20% - Accent2 54 2 5 2" xfId="17026" xr:uid="{00000000-0005-0000-0000-0000080A0000}"/>
    <cellStyle name="20% - Accent2 54 2 6" xfId="15032" xr:uid="{00000000-0005-0000-0000-0000090A0000}"/>
    <cellStyle name="20% - Accent2 54 3" xfId="10723" xr:uid="{00000000-0005-0000-0000-00000A0A0000}"/>
    <cellStyle name="20% - Accent2 54 3 2" xfId="22011" xr:uid="{00000000-0005-0000-0000-00000B0A0000}"/>
    <cellStyle name="20% - Accent2 54 4" xfId="8729" xr:uid="{00000000-0005-0000-0000-00000C0A0000}"/>
    <cellStyle name="20% - Accent2 54 4 2" xfId="20017" xr:uid="{00000000-0005-0000-0000-00000D0A0000}"/>
    <cellStyle name="20% - Accent2 54 5" xfId="6735" xr:uid="{00000000-0005-0000-0000-00000E0A0000}"/>
    <cellStyle name="20% - Accent2 54 5 2" xfId="18023" xr:uid="{00000000-0005-0000-0000-00000F0A0000}"/>
    <cellStyle name="20% - Accent2 54 6" xfId="4741" xr:uid="{00000000-0005-0000-0000-0000100A0000}"/>
    <cellStyle name="20% - Accent2 54 6 2" xfId="16029" xr:uid="{00000000-0005-0000-0000-0000110A0000}"/>
    <cellStyle name="20% - Accent2 54 7" xfId="14035" xr:uid="{00000000-0005-0000-0000-0000120A0000}"/>
    <cellStyle name="20% - Accent2 54 8" xfId="12721" xr:uid="{00000000-0005-0000-0000-0000130A0000}"/>
    <cellStyle name="20% - Accent2 55" xfId="786" xr:uid="{00000000-0005-0000-0000-0000140A0000}"/>
    <cellStyle name="20% - Accent2 55 2" xfId="3742" xr:uid="{00000000-0005-0000-0000-0000150A0000}"/>
    <cellStyle name="20% - Accent2 55 2 2" xfId="11721" xr:uid="{00000000-0005-0000-0000-0000160A0000}"/>
    <cellStyle name="20% - Accent2 55 2 2 2" xfId="23009" xr:uid="{00000000-0005-0000-0000-0000170A0000}"/>
    <cellStyle name="20% - Accent2 55 2 3" xfId="9727" xr:uid="{00000000-0005-0000-0000-0000180A0000}"/>
    <cellStyle name="20% - Accent2 55 2 3 2" xfId="21015" xr:uid="{00000000-0005-0000-0000-0000190A0000}"/>
    <cellStyle name="20% - Accent2 55 2 4" xfId="7733" xr:uid="{00000000-0005-0000-0000-00001A0A0000}"/>
    <cellStyle name="20% - Accent2 55 2 4 2" xfId="19021" xr:uid="{00000000-0005-0000-0000-00001B0A0000}"/>
    <cellStyle name="20% - Accent2 55 2 5" xfId="5739" xr:uid="{00000000-0005-0000-0000-00001C0A0000}"/>
    <cellStyle name="20% - Accent2 55 2 5 2" xfId="17027" xr:uid="{00000000-0005-0000-0000-00001D0A0000}"/>
    <cellStyle name="20% - Accent2 55 2 6" xfId="15033" xr:uid="{00000000-0005-0000-0000-00001E0A0000}"/>
    <cellStyle name="20% - Accent2 55 3" xfId="10724" xr:uid="{00000000-0005-0000-0000-00001F0A0000}"/>
    <cellStyle name="20% - Accent2 55 3 2" xfId="22012" xr:uid="{00000000-0005-0000-0000-0000200A0000}"/>
    <cellStyle name="20% - Accent2 55 4" xfId="8730" xr:uid="{00000000-0005-0000-0000-0000210A0000}"/>
    <cellStyle name="20% - Accent2 55 4 2" xfId="20018" xr:uid="{00000000-0005-0000-0000-0000220A0000}"/>
    <cellStyle name="20% - Accent2 55 5" xfId="6736" xr:uid="{00000000-0005-0000-0000-0000230A0000}"/>
    <cellStyle name="20% - Accent2 55 5 2" xfId="18024" xr:uid="{00000000-0005-0000-0000-0000240A0000}"/>
    <cellStyle name="20% - Accent2 55 6" xfId="4742" xr:uid="{00000000-0005-0000-0000-0000250A0000}"/>
    <cellStyle name="20% - Accent2 55 6 2" xfId="16030" xr:uid="{00000000-0005-0000-0000-0000260A0000}"/>
    <cellStyle name="20% - Accent2 55 7" xfId="14036" xr:uid="{00000000-0005-0000-0000-0000270A0000}"/>
    <cellStyle name="20% - Accent2 55 8" xfId="12722" xr:uid="{00000000-0005-0000-0000-0000280A0000}"/>
    <cellStyle name="20% - Accent2 56" xfId="787" xr:uid="{00000000-0005-0000-0000-0000290A0000}"/>
    <cellStyle name="20% - Accent2 56 2" xfId="3743" xr:uid="{00000000-0005-0000-0000-00002A0A0000}"/>
    <cellStyle name="20% - Accent2 56 2 2" xfId="11722" xr:uid="{00000000-0005-0000-0000-00002B0A0000}"/>
    <cellStyle name="20% - Accent2 56 2 2 2" xfId="23010" xr:uid="{00000000-0005-0000-0000-00002C0A0000}"/>
    <cellStyle name="20% - Accent2 56 2 3" xfId="9728" xr:uid="{00000000-0005-0000-0000-00002D0A0000}"/>
    <cellStyle name="20% - Accent2 56 2 3 2" xfId="21016" xr:uid="{00000000-0005-0000-0000-00002E0A0000}"/>
    <cellStyle name="20% - Accent2 56 2 4" xfId="7734" xr:uid="{00000000-0005-0000-0000-00002F0A0000}"/>
    <cellStyle name="20% - Accent2 56 2 4 2" xfId="19022" xr:uid="{00000000-0005-0000-0000-0000300A0000}"/>
    <cellStyle name="20% - Accent2 56 2 5" xfId="5740" xr:uid="{00000000-0005-0000-0000-0000310A0000}"/>
    <cellStyle name="20% - Accent2 56 2 5 2" xfId="17028" xr:uid="{00000000-0005-0000-0000-0000320A0000}"/>
    <cellStyle name="20% - Accent2 56 2 6" xfId="15034" xr:uid="{00000000-0005-0000-0000-0000330A0000}"/>
    <cellStyle name="20% - Accent2 56 3" xfId="10725" xr:uid="{00000000-0005-0000-0000-0000340A0000}"/>
    <cellStyle name="20% - Accent2 56 3 2" xfId="22013" xr:uid="{00000000-0005-0000-0000-0000350A0000}"/>
    <cellStyle name="20% - Accent2 56 4" xfId="8731" xr:uid="{00000000-0005-0000-0000-0000360A0000}"/>
    <cellStyle name="20% - Accent2 56 4 2" xfId="20019" xr:uid="{00000000-0005-0000-0000-0000370A0000}"/>
    <cellStyle name="20% - Accent2 56 5" xfId="6737" xr:uid="{00000000-0005-0000-0000-0000380A0000}"/>
    <cellStyle name="20% - Accent2 56 5 2" xfId="18025" xr:uid="{00000000-0005-0000-0000-0000390A0000}"/>
    <cellStyle name="20% - Accent2 56 6" xfId="4743" xr:uid="{00000000-0005-0000-0000-00003A0A0000}"/>
    <cellStyle name="20% - Accent2 56 6 2" xfId="16031" xr:uid="{00000000-0005-0000-0000-00003B0A0000}"/>
    <cellStyle name="20% - Accent2 56 7" xfId="14037" xr:uid="{00000000-0005-0000-0000-00003C0A0000}"/>
    <cellStyle name="20% - Accent2 56 8" xfId="12723" xr:uid="{00000000-0005-0000-0000-00003D0A0000}"/>
    <cellStyle name="20% - Accent2 57" xfId="788" xr:uid="{00000000-0005-0000-0000-00003E0A0000}"/>
    <cellStyle name="20% - Accent2 57 2" xfId="3744" xr:uid="{00000000-0005-0000-0000-00003F0A0000}"/>
    <cellStyle name="20% - Accent2 57 2 2" xfId="11723" xr:uid="{00000000-0005-0000-0000-0000400A0000}"/>
    <cellStyle name="20% - Accent2 57 2 2 2" xfId="23011" xr:uid="{00000000-0005-0000-0000-0000410A0000}"/>
    <cellStyle name="20% - Accent2 57 2 3" xfId="9729" xr:uid="{00000000-0005-0000-0000-0000420A0000}"/>
    <cellStyle name="20% - Accent2 57 2 3 2" xfId="21017" xr:uid="{00000000-0005-0000-0000-0000430A0000}"/>
    <cellStyle name="20% - Accent2 57 2 4" xfId="7735" xr:uid="{00000000-0005-0000-0000-0000440A0000}"/>
    <cellStyle name="20% - Accent2 57 2 4 2" xfId="19023" xr:uid="{00000000-0005-0000-0000-0000450A0000}"/>
    <cellStyle name="20% - Accent2 57 2 5" xfId="5741" xr:uid="{00000000-0005-0000-0000-0000460A0000}"/>
    <cellStyle name="20% - Accent2 57 2 5 2" xfId="17029" xr:uid="{00000000-0005-0000-0000-0000470A0000}"/>
    <cellStyle name="20% - Accent2 57 2 6" xfId="15035" xr:uid="{00000000-0005-0000-0000-0000480A0000}"/>
    <cellStyle name="20% - Accent2 57 3" xfId="10726" xr:uid="{00000000-0005-0000-0000-0000490A0000}"/>
    <cellStyle name="20% - Accent2 57 3 2" xfId="22014" xr:uid="{00000000-0005-0000-0000-00004A0A0000}"/>
    <cellStyle name="20% - Accent2 57 4" xfId="8732" xr:uid="{00000000-0005-0000-0000-00004B0A0000}"/>
    <cellStyle name="20% - Accent2 57 4 2" xfId="20020" xr:uid="{00000000-0005-0000-0000-00004C0A0000}"/>
    <cellStyle name="20% - Accent2 57 5" xfId="6738" xr:uid="{00000000-0005-0000-0000-00004D0A0000}"/>
    <cellStyle name="20% - Accent2 57 5 2" xfId="18026" xr:uid="{00000000-0005-0000-0000-00004E0A0000}"/>
    <cellStyle name="20% - Accent2 57 6" xfId="4744" xr:uid="{00000000-0005-0000-0000-00004F0A0000}"/>
    <cellStyle name="20% - Accent2 57 6 2" xfId="16032" xr:uid="{00000000-0005-0000-0000-0000500A0000}"/>
    <cellStyle name="20% - Accent2 57 7" xfId="14038" xr:uid="{00000000-0005-0000-0000-0000510A0000}"/>
    <cellStyle name="20% - Accent2 57 8" xfId="12724" xr:uid="{00000000-0005-0000-0000-0000520A0000}"/>
    <cellStyle name="20% - Accent2 58" xfId="789" xr:uid="{00000000-0005-0000-0000-0000530A0000}"/>
    <cellStyle name="20% - Accent2 58 2" xfId="3745" xr:uid="{00000000-0005-0000-0000-0000540A0000}"/>
    <cellStyle name="20% - Accent2 58 2 2" xfId="11724" xr:uid="{00000000-0005-0000-0000-0000550A0000}"/>
    <cellStyle name="20% - Accent2 58 2 2 2" xfId="23012" xr:uid="{00000000-0005-0000-0000-0000560A0000}"/>
    <cellStyle name="20% - Accent2 58 2 3" xfId="9730" xr:uid="{00000000-0005-0000-0000-0000570A0000}"/>
    <cellStyle name="20% - Accent2 58 2 3 2" xfId="21018" xr:uid="{00000000-0005-0000-0000-0000580A0000}"/>
    <cellStyle name="20% - Accent2 58 2 4" xfId="7736" xr:uid="{00000000-0005-0000-0000-0000590A0000}"/>
    <cellStyle name="20% - Accent2 58 2 4 2" xfId="19024" xr:uid="{00000000-0005-0000-0000-00005A0A0000}"/>
    <cellStyle name="20% - Accent2 58 2 5" xfId="5742" xr:uid="{00000000-0005-0000-0000-00005B0A0000}"/>
    <cellStyle name="20% - Accent2 58 2 5 2" xfId="17030" xr:uid="{00000000-0005-0000-0000-00005C0A0000}"/>
    <cellStyle name="20% - Accent2 58 2 6" xfId="15036" xr:uid="{00000000-0005-0000-0000-00005D0A0000}"/>
    <cellStyle name="20% - Accent2 58 3" xfId="10727" xr:uid="{00000000-0005-0000-0000-00005E0A0000}"/>
    <cellStyle name="20% - Accent2 58 3 2" xfId="22015" xr:uid="{00000000-0005-0000-0000-00005F0A0000}"/>
    <cellStyle name="20% - Accent2 58 4" xfId="8733" xr:uid="{00000000-0005-0000-0000-0000600A0000}"/>
    <cellStyle name="20% - Accent2 58 4 2" xfId="20021" xr:uid="{00000000-0005-0000-0000-0000610A0000}"/>
    <cellStyle name="20% - Accent2 58 5" xfId="6739" xr:uid="{00000000-0005-0000-0000-0000620A0000}"/>
    <cellStyle name="20% - Accent2 58 5 2" xfId="18027" xr:uid="{00000000-0005-0000-0000-0000630A0000}"/>
    <cellStyle name="20% - Accent2 58 6" xfId="4745" xr:uid="{00000000-0005-0000-0000-0000640A0000}"/>
    <cellStyle name="20% - Accent2 58 6 2" xfId="16033" xr:uid="{00000000-0005-0000-0000-0000650A0000}"/>
    <cellStyle name="20% - Accent2 58 7" xfId="14039" xr:uid="{00000000-0005-0000-0000-0000660A0000}"/>
    <cellStyle name="20% - Accent2 58 8" xfId="12725" xr:uid="{00000000-0005-0000-0000-0000670A0000}"/>
    <cellStyle name="20% - Accent2 59" xfId="790" xr:uid="{00000000-0005-0000-0000-0000680A0000}"/>
    <cellStyle name="20% - Accent2 59 2" xfId="3746" xr:uid="{00000000-0005-0000-0000-0000690A0000}"/>
    <cellStyle name="20% - Accent2 59 2 2" xfId="11725" xr:uid="{00000000-0005-0000-0000-00006A0A0000}"/>
    <cellStyle name="20% - Accent2 59 2 2 2" xfId="23013" xr:uid="{00000000-0005-0000-0000-00006B0A0000}"/>
    <cellStyle name="20% - Accent2 59 2 3" xfId="9731" xr:uid="{00000000-0005-0000-0000-00006C0A0000}"/>
    <cellStyle name="20% - Accent2 59 2 3 2" xfId="21019" xr:uid="{00000000-0005-0000-0000-00006D0A0000}"/>
    <cellStyle name="20% - Accent2 59 2 4" xfId="7737" xr:uid="{00000000-0005-0000-0000-00006E0A0000}"/>
    <cellStyle name="20% - Accent2 59 2 4 2" xfId="19025" xr:uid="{00000000-0005-0000-0000-00006F0A0000}"/>
    <cellStyle name="20% - Accent2 59 2 5" xfId="5743" xr:uid="{00000000-0005-0000-0000-0000700A0000}"/>
    <cellStyle name="20% - Accent2 59 2 5 2" xfId="17031" xr:uid="{00000000-0005-0000-0000-0000710A0000}"/>
    <cellStyle name="20% - Accent2 59 2 6" xfId="15037" xr:uid="{00000000-0005-0000-0000-0000720A0000}"/>
    <cellStyle name="20% - Accent2 59 3" xfId="10728" xr:uid="{00000000-0005-0000-0000-0000730A0000}"/>
    <cellStyle name="20% - Accent2 59 3 2" xfId="22016" xr:uid="{00000000-0005-0000-0000-0000740A0000}"/>
    <cellStyle name="20% - Accent2 59 4" xfId="8734" xr:uid="{00000000-0005-0000-0000-0000750A0000}"/>
    <cellStyle name="20% - Accent2 59 4 2" xfId="20022" xr:uid="{00000000-0005-0000-0000-0000760A0000}"/>
    <cellStyle name="20% - Accent2 59 5" xfId="6740" xr:uid="{00000000-0005-0000-0000-0000770A0000}"/>
    <cellStyle name="20% - Accent2 59 5 2" xfId="18028" xr:uid="{00000000-0005-0000-0000-0000780A0000}"/>
    <cellStyle name="20% - Accent2 59 6" xfId="4746" xr:uid="{00000000-0005-0000-0000-0000790A0000}"/>
    <cellStyle name="20% - Accent2 59 6 2" xfId="16034" xr:uid="{00000000-0005-0000-0000-00007A0A0000}"/>
    <cellStyle name="20% - Accent2 59 7" xfId="14040" xr:uid="{00000000-0005-0000-0000-00007B0A0000}"/>
    <cellStyle name="20% - Accent2 59 8" xfId="12726" xr:uid="{00000000-0005-0000-0000-00007C0A0000}"/>
    <cellStyle name="20% - Accent2 6" xfId="791" xr:uid="{00000000-0005-0000-0000-00007D0A0000}"/>
    <cellStyle name="20% - Accent2 6 10" xfId="24569" xr:uid="{00000000-0005-0000-0000-00007E0A0000}"/>
    <cellStyle name="20% - Accent2 6 11" xfId="24959" xr:uid="{00000000-0005-0000-0000-00007F0A0000}"/>
    <cellStyle name="20% - Accent2 6 2" xfId="3747" xr:uid="{00000000-0005-0000-0000-0000800A0000}"/>
    <cellStyle name="20% - Accent2 6 2 2" xfId="11726" xr:uid="{00000000-0005-0000-0000-0000810A0000}"/>
    <cellStyle name="20% - Accent2 6 2 2 2" xfId="23014" xr:uid="{00000000-0005-0000-0000-0000820A0000}"/>
    <cellStyle name="20% - Accent2 6 2 3" xfId="9732" xr:uid="{00000000-0005-0000-0000-0000830A0000}"/>
    <cellStyle name="20% - Accent2 6 2 3 2" xfId="21020" xr:uid="{00000000-0005-0000-0000-0000840A0000}"/>
    <cellStyle name="20% - Accent2 6 2 4" xfId="7738" xr:uid="{00000000-0005-0000-0000-0000850A0000}"/>
    <cellStyle name="20% - Accent2 6 2 4 2" xfId="19026" xr:uid="{00000000-0005-0000-0000-0000860A0000}"/>
    <cellStyle name="20% - Accent2 6 2 5" xfId="5744" xr:uid="{00000000-0005-0000-0000-0000870A0000}"/>
    <cellStyle name="20% - Accent2 6 2 5 2" xfId="17032" xr:uid="{00000000-0005-0000-0000-0000880A0000}"/>
    <cellStyle name="20% - Accent2 6 2 6" xfId="15038" xr:uid="{00000000-0005-0000-0000-0000890A0000}"/>
    <cellStyle name="20% - Accent2 6 2 7" xfId="24330" xr:uid="{00000000-0005-0000-0000-00008A0A0000}"/>
    <cellStyle name="20% - Accent2 6 2 8" xfId="24794" xr:uid="{00000000-0005-0000-0000-00008B0A0000}"/>
    <cellStyle name="20% - Accent2 6 2 9" xfId="25161" xr:uid="{00000000-0005-0000-0000-00008C0A0000}"/>
    <cellStyle name="20% - Accent2 6 3" xfId="10729" xr:uid="{00000000-0005-0000-0000-00008D0A0000}"/>
    <cellStyle name="20% - Accent2 6 3 2" xfId="22017" xr:uid="{00000000-0005-0000-0000-00008E0A0000}"/>
    <cellStyle name="20% - Accent2 6 4" xfId="8735" xr:uid="{00000000-0005-0000-0000-00008F0A0000}"/>
    <cellStyle name="20% - Accent2 6 4 2" xfId="20023" xr:uid="{00000000-0005-0000-0000-0000900A0000}"/>
    <cellStyle name="20% - Accent2 6 5" xfId="6741" xr:uid="{00000000-0005-0000-0000-0000910A0000}"/>
    <cellStyle name="20% - Accent2 6 5 2" xfId="18029" xr:uid="{00000000-0005-0000-0000-0000920A0000}"/>
    <cellStyle name="20% - Accent2 6 6" xfId="4747" xr:uid="{00000000-0005-0000-0000-0000930A0000}"/>
    <cellStyle name="20% - Accent2 6 6 2" xfId="16035" xr:uid="{00000000-0005-0000-0000-0000940A0000}"/>
    <cellStyle name="20% - Accent2 6 7" xfId="14041" xr:uid="{00000000-0005-0000-0000-0000950A0000}"/>
    <cellStyle name="20% - Accent2 6 8" xfId="12727" xr:uid="{00000000-0005-0000-0000-0000960A0000}"/>
    <cellStyle name="20% - Accent2 6 9" xfId="23942" xr:uid="{00000000-0005-0000-0000-0000970A0000}"/>
    <cellStyle name="20% - Accent2 60" xfId="792" xr:uid="{00000000-0005-0000-0000-0000980A0000}"/>
    <cellStyle name="20% - Accent2 60 2" xfId="3748" xr:uid="{00000000-0005-0000-0000-0000990A0000}"/>
    <cellStyle name="20% - Accent2 60 2 2" xfId="11727" xr:uid="{00000000-0005-0000-0000-00009A0A0000}"/>
    <cellStyle name="20% - Accent2 60 2 2 2" xfId="23015" xr:uid="{00000000-0005-0000-0000-00009B0A0000}"/>
    <cellStyle name="20% - Accent2 60 2 3" xfId="9733" xr:uid="{00000000-0005-0000-0000-00009C0A0000}"/>
    <cellStyle name="20% - Accent2 60 2 3 2" xfId="21021" xr:uid="{00000000-0005-0000-0000-00009D0A0000}"/>
    <cellStyle name="20% - Accent2 60 2 4" xfId="7739" xr:uid="{00000000-0005-0000-0000-00009E0A0000}"/>
    <cellStyle name="20% - Accent2 60 2 4 2" xfId="19027" xr:uid="{00000000-0005-0000-0000-00009F0A0000}"/>
    <cellStyle name="20% - Accent2 60 2 5" xfId="5745" xr:uid="{00000000-0005-0000-0000-0000A00A0000}"/>
    <cellStyle name="20% - Accent2 60 2 5 2" xfId="17033" xr:uid="{00000000-0005-0000-0000-0000A10A0000}"/>
    <cellStyle name="20% - Accent2 60 2 6" xfId="15039" xr:uid="{00000000-0005-0000-0000-0000A20A0000}"/>
    <cellStyle name="20% - Accent2 60 3" xfId="10730" xr:uid="{00000000-0005-0000-0000-0000A30A0000}"/>
    <cellStyle name="20% - Accent2 60 3 2" xfId="22018" xr:uid="{00000000-0005-0000-0000-0000A40A0000}"/>
    <cellStyle name="20% - Accent2 60 4" xfId="8736" xr:uid="{00000000-0005-0000-0000-0000A50A0000}"/>
    <cellStyle name="20% - Accent2 60 4 2" xfId="20024" xr:uid="{00000000-0005-0000-0000-0000A60A0000}"/>
    <cellStyle name="20% - Accent2 60 5" xfId="6742" xr:uid="{00000000-0005-0000-0000-0000A70A0000}"/>
    <cellStyle name="20% - Accent2 60 5 2" xfId="18030" xr:uid="{00000000-0005-0000-0000-0000A80A0000}"/>
    <cellStyle name="20% - Accent2 60 6" xfId="4748" xr:uid="{00000000-0005-0000-0000-0000A90A0000}"/>
    <cellStyle name="20% - Accent2 60 6 2" xfId="16036" xr:uid="{00000000-0005-0000-0000-0000AA0A0000}"/>
    <cellStyle name="20% - Accent2 60 7" xfId="14042" xr:uid="{00000000-0005-0000-0000-0000AB0A0000}"/>
    <cellStyle name="20% - Accent2 60 8" xfId="12728" xr:uid="{00000000-0005-0000-0000-0000AC0A0000}"/>
    <cellStyle name="20% - Accent2 61" xfId="793" xr:uid="{00000000-0005-0000-0000-0000AD0A0000}"/>
    <cellStyle name="20% - Accent2 61 2" xfId="3749" xr:uid="{00000000-0005-0000-0000-0000AE0A0000}"/>
    <cellStyle name="20% - Accent2 61 2 2" xfId="11728" xr:uid="{00000000-0005-0000-0000-0000AF0A0000}"/>
    <cellStyle name="20% - Accent2 61 2 2 2" xfId="23016" xr:uid="{00000000-0005-0000-0000-0000B00A0000}"/>
    <cellStyle name="20% - Accent2 61 2 3" xfId="9734" xr:uid="{00000000-0005-0000-0000-0000B10A0000}"/>
    <cellStyle name="20% - Accent2 61 2 3 2" xfId="21022" xr:uid="{00000000-0005-0000-0000-0000B20A0000}"/>
    <cellStyle name="20% - Accent2 61 2 4" xfId="7740" xr:uid="{00000000-0005-0000-0000-0000B30A0000}"/>
    <cellStyle name="20% - Accent2 61 2 4 2" xfId="19028" xr:uid="{00000000-0005-0000-0000-0000B40A0000}"/>
    <cellStyle name="20% - Accent2 61 2 5" xfId="5746" xr:uid="{00000000-0005-0000-0000-0000B50A0000}"/>
    <cellStyle name="20% - Accent2 61 2 5 2" xfId="17034" xr:uid="{00000000-0005-0000-0000-0000B60A0000}"/>
    <cellStyle name="20% - Accent2 61 2 6" xfId="15040" xr:uid="{00000000-0005-0000-0000-0000B70A0000}"/>
    <cellStyle name="20% - Accent2 61 3" xfId="10731" xr:uid="{00000000-0005-0000-0000-0000B80A0000}"/>
    <cellStyle name="20% - Accent2 61 3 2" xfId="22019" xr:uid="{00000000-0005-0000-0000-0000B90A0000}"/>
    <cellStyle name="20% - Accent2 61 4" xfId="8737" xr:uid="{00000000-0005-0000-0000-0000BA0A0000}"/>
    <cellStyle name="20% - Accent2 61 4 2" xfId="20025" xr:uid="{00000000-0005-0000-0000-0000BB0A0000}"/>
    <cellStyle name="20% - Accent2 61 5" xfId="6743" xr:uid="{00000000-0005-0000-0000-0000BC0A0000}"/>
    <cellStyle name="20% - Accent2 61 5 2" xfId="18031" xr:uid="{00000000-0005-0000-0000-0000BD0A0000}"/>
    <cellStyle name="20% - Accent2 61 6" xfId="4749" xr:uid="{00000000-0005-0000-0000-0000BE0A0000}"/>
    <cellStyle name="20% - Accent2 61 6 2" xfId="16037" xr:uid="{00000000-0005-0000-0000-0000BF0A0000}"/>
    <cellStyle name="20% - Accent2 61 7" xfId="14043" xr:uid="{00000000-0005-0000-0000-0000C00A0000}"/>
    <cellStyle name="20% - Accent2 61 8" xfId="12729" xr:uid="{00000000-0005-0000-0000-0000C10A0000}"/>
    <cellStyle name="20% - Accent2 62" xfId="794" xr:uid="{00000000-0005-0000-0000-0000C20A0000}"/>
    <cellStyle name="20% - Accent2 62 2" xfId="3750" xr:uid="{00000000-0005-0000-0000-0000C30A0000}"/>
    <cellStyle name="20% - Accent2 62 2 2" xfId="11729" xr:uid="{00000000-0005-0000-0000-0000C40A0000}"/>
    <cellStyle name="20% - Accent2 62 2 2 2" xfId="23017" xr:uid="{00000000-0005-0000-0000-0000C50A0000}"/>
    <cellStyle name="20% - Accent2 62 2 3" xfId="9735" xr:uid="{00000000-0005-0000-0000-0000C60A0000}"/>
    <cellStyle name="20% - Accent2 62 2 3 2" xfId="21023" xr:uid="{00000000-0005-0000-0000-0000C70A0000}"/>
    <cellStyle name="20% - Accent2 62 2 4" xfId="7741" xr:uid="{00000000-0005-0000-0000-0000C80A0000}"/>
    <cellStyle name="20% - Accent2 62 2 4 2" xfId="19029" xr:uid="{00000000-0005-0000-0000-0000C90A0000}"/>
    <cellStyle name="20% - Accent2 62 2 5" xfId="5747" xr:uid="{00000000-0005-0000-0000-0000CA0A0000}"/>
    <cellStyle name="20% - Accent2 62 2 5 2" xfId="17035" xr:uid="{00000000-0005-0000-0000-0000CB0A0000}"/>
    <cellStyle name="20% - Accent2 62 2 6" xfId="15041" xr:uid="{00000000-0005-0000-0000-0000CC0A0000}"/>
    <cellStyle name="20% - Accent2 62 3" xfId="10732" xr:uid="{00000000-0005-0000-0000-0000CD0A0000}"/>
    <cellStyle name="20% - Accent2 62 3 2" xfId="22020" xr:uid="{00000000-0005-0000-0000-0000CE0A0000}"/>
    <cellStyle name="20% - Accent2 62 4" xfId="8738" xr:uid="{00000000-0005-0000-0000-0000CF0A0000}"/>
    <cellStyle name="20% - Accent2 62 4 2" xfId="20026" xr:uid="{00000000-0005-0000-0000-0000D00A0000}"/>
    <cellStyle name="20% - Accent2 62 5" xfId="6744" xr:uid="{00000000-0005-0000-0000-0000D10A0000}"/>
    <cellStyle name="20% - Accent2 62 5 2" xfId="18032" xr:uid="{00000000-0005-0000-0000-0000D20A0000}"/>
    <cellStyle name="20% - Accent2 62 6" xfId="4750" xr:uid="{00000000-0005-0000-0000-0000D30A0000}"/>
    <cellStyle name="20% - Accent2 62 6 2" xfId="16038" xr:uid="{00000000-0005-0000-0000-0000D40A0000}"/>
    <cellStyle name="20% - Accent2 62 7" xfId="14044" xr:uid="{00000000-0005-0000-0000-0000D50A0000}"/>
    <cellStyle name="20% - Accent2 62 8" xfId="12730" xr:uid="{00000000-0005-0000-0000-0000D60A0000}"/>
    <cellStyle name="20% - Accent2 63" xfId="795" xr:uid="{00000000-0005-0000-0000-0000D70A0000}"/>
    <cellStyle name="20% - Accent2 63 2" xfId="3751" xr:uid="{00000000-0005-0000-0000-0000D80A0000}"/>
    <cellStyle name="20% - Accent2 63 2 2" xfId="11730" xr:uid="{00000000-0005-0000-0000-0000D90A0000}"/>
    <cellStyle name="20% - Accent2 63 2 2 2" xfId="23018" xr:uid="{00000000-0005-0000-0000-0000DA0A0000}"/>
    <cellStyle name="20% - Accent2 63 2 3" xfId="9736" xr:uid="{00000000-0005-0000-0000-0000DB0A0000}"/>
    <cellStyle name="20% - Accent2 63 2 3 2" xfId="21024" xr:uid="{00000000-0005-0000-0000-0000DC0A0000}"/>
    <cellStyle name="20% - Accent2 63 2 4" xfId="7742" xr:uid="{00000000-0005-0000-0000-0000DD0A0000}"/>
    <cellStyle name="20% - Accent2 63 2 4 2" xfId="19030" xr:uid="{00000000-0005-0000-0000-0000DE0A0000}"/>
    <cellStyle name="20% - Accent2 63 2 5" xfId="5748" xr:uid="{00000000-0005-0000-0000-0000DF0A0000}"/>
    <cellStyle name="20% - Accent2 63 2 5 2" xfId="17036" xr:uid="{00000000-0005-0000-0000-0000E00A0000}"/>
    <cellStyle name="20% - Accent2 63 2 6" xfId="15042" xr:uid="{00000000-0005-0000-0000-0000E10A0000}"/>
    <cellStyle name="20% - Accent2 63 3" xfId="10733" xr:uid="{00000000-0005-0000-0000-0000E20A0000}"/>
    <cellStyle name="20% - Accent2 63 3 2" xfId="22021" xr:uid="{00000000-0005-0000-0000-0000E30A0000}"/>
    <cellStyle name="20% - Accent2 63 4" xfId="8739" xr:uid="{00000000-0005-0000-0000-0000E40A0000}"/>
    <cellStyle name="20% - Accent2 63 4 2" xfId="20027" xr:uid="{00000000-0005-0000-0000-0000E50A0000}"/>
    <cellStyle name="20% - Accent2 63 5" xfId="6745" xr:uid="{00000000-0005-0000-0000-0000E60A0000}"/>
    <cellStyle name="20% - Accent2 63 5 2" xfId="18033" xr:uid="{00000000-0005-0000-0000-0000E70A0000}"/>
    <cellStyle name="20% - Accent2 63 6" xfId="4751" xr:uid="{00000000-0005-0000-0000-0000E80A0000}"/>
    <cellStyle name="20% - Accent2 63 6 2" xfId="16039" xr:uid="{00000000-0005-0000-0000-0000E90A0000}"/>
    <cellStyle name="20% - Accent2 63 7" xfId="14045" xr:uid="{00000000-0005-0000-0000-0000EA0A0000}"/>
    <cellStyle name="20% - Accent2 63 8" xfId="12731" xr:uid="{00000000-0005-0000-0000-0000EB0A0000}"/>
    <cellStyle name="20% - Accent2 64" xfId="796" xr:uid="{00000000-0005-0000-0000-0000EC0A0000}"/>
    <cellStyle name="20% - Accent2 64 2" xfId="3752" xr:uid="{00000000-0005-0000-0000-0000ED0A0000}"/>
    <cellStyle name="20% - Accent2 64 2 2" xfId="11731" xr:uid="{00000000-0005-0000-0000-0000EE0A0000}"/>
    <cellStyle name="20% - Accent2 64 2 2 2" xfId="23019" xr:uid="{00000000-0005-0000-0000-0000EF0A0000}"/>
    <cellStyle name="20% - Accent2 64 2 3" xfId="9737" xr:uid="{00000000-0005-0000-0000-0000F00A0000}"/>
    <cellStyle name="20% - Accent2 64 2 3 2" xfId="21025" xr:uid="{00000000-0005-0000-0000-0000F10A0000}"/>
    <cellStyle name="20% - Accent2 64 2 4" xfId="7743" xr:uid="{00000000-0005-0000-0000-0000F20A0000}"/>
    <cellStyle name="20% - Accent2 64 2 4 2" xfId="19031" xr:uid="{00000000-0005-0000-0000-0000F30A0000}"/>
    <cellStyle name="20% - Accent2 64 2 5" xfId="5749" xr:uid="{00000000-0005-0000-0000-0000F40A0000}"/>
    <cellStyle name="20% - Accent2 64 2 5 2" xfId="17037" xr:uid="{00000000-0005-0000-0000-0000F50A0000}"/>
    <cellStyle name="20% - Accent2 64 2 6" xfId="15043" xr:uid="{00000000-0005-0000-0000-0000F60A0000}"/>
    <cellStyle name="20% - Accent2 64 3" xfId="10734" xr:uid="{00000000-0005-0000-0000-0000F70A0000}"/>
    <cellStyle name="20% - Accent2 64 3 2" xfId="22022" xr:uid="{00000000-0005-0000-0000-0000F80A0000}"/>
    <cellStyle name="20% - Accent2 64 4" xfId="8740" xr:uid="{00000000-0005-0000-0000-0000F90A0000}"/>
    <cellStyle name="20% - Accent2 64 4 2" xfId="20028" xr:uid="{00000000-0005-0000-0000-0000FA0A0000}"/>
    <cellStyle name="20% - Accent2 64 5" xfId="6746" xr:uid="{00000000-0005-0000-0000-0000FB0A0000}"/>
    <cellStyle name="20% - Accent2 64 5 2" xfId="18034" xr:uid="{00000000-0005-0000-0000-0000FC0A0000}"/>
    <cellStyle name="20% - Accent2 64 6" xfId="4752" xr:uid="{00000000-0005-0000-0000-0000FD0A0000}"/>
    <cellStyle name="20% - Accent2 64 6 2" xfId="16040" xr:uid="{00000000-0005-0000-0000-0000FE0A0000}"/>
    <cellStyle name="20% - Accent2 64 7" xfId="14046" xr:uid="{00000000-0005-0000-0000-0000FF0A0000}"/>
    <cellStyle name="20% - Accent2 64 8" xfId="12732" xr:uid="{00000000-0005-0000-0000-0000000B0000}"/>
    <cellStyle name="20% - Accent2 65" xfId="797" xr:uid="{00000000-0005-0000-0000-0000010B0000}"/>
    <cellStyle name="20% - Accent2 65 2" xfId="3753" xr:uid="{00000000-0005-0000-0000-0000020B0000}"/>
    <cellStyle name="20% - Accent2 65 2 2" xfId="11732" xr:uid="{00000000-0005-0000-0000-0000030B0000}"/>
    <cellStyle name="20% - Accent2 65 2 2 2" xfId="23020" xr:uid="{00000000-0005-0000-0000-0000040B0000}"/>
    <cellStyle name="20% - Accent2 65 2 3" xfId="9738" xr:uid="{00000000-0005-0000-0000-0000050B0000}"/>
    <cellStyle name="20% - Accent2 65 2 3 2" xfId="21026" xr:uid="{00000000-0005-0000-0000-0000060B0000}"/>
    <cellStyle name="20% - Accent2 65 2 4" xfId="7744" xr:uid="{00000000-0005-0000-0000-0000070B0000}"/>
    <cellStyle name="20% - Accent2 65 2 4 2" xfId="19032" xr:uid="{00000000-0005-0000-0000-0000080B0000}"/>
    <cellStyle name="20% - Accent2 65 2 5" xfId="5750" xr:uid="{00000000-0005-0000-0000-0000090B0000}"/>
    <cellStyle name="20% - Accent2 65 2 5 2" xfId="17038" xr:uid="{00000000-0005-0000-0000-00000A0B0000}"/>
    <cellStyle name="20% - Accent2 65 2 6" xfId="15044" xr:uid="{00000000-0005-0000-0000-00000B0B0000}"/>
    <cellStyle name="20% - Accent2 65 3" xfId="10735" xr:uid="{00000000-0005-0000-0000-00000C0B0000}"/>
    <cellStyle name="20% - Accent2 65 3 2" xfId="22023" xr:uid="{00000000-0005-0000-0000-00000D0B0000}"/>
    <cellStyle name="20% - Accent2 65 4" xfId="8741" xr:uid="{00000000-0005-0000-0000-00000E0B0000}"/>
    <cellStyle name="20% - Accent2 65 4 2" xfId="20029" xr:uid="{00000000-0005-0000-0000-00000F0B0000}"/>
    <cellStyle name="20% - Accent2 65 5" xfId="6747" xr:uid="{00000000-0005-0000-0000-0000100B0000}"/>
    <cellStyle name="20% - Accent2 65 5 2" xfId="18035" xr:uid="{00000000-0005-0000-0000-0000110B0000}"/>
    <cellStyle name="20% - Accent2 65 6" xfId="4753" xr:uid="{00000000-0005-0000-0000-0000120B0000}"/>
    <cellStyle name="20% - Accent2 65 6 2" xfId="16041" xr:uid="{00000000-0005-0000-0000-0000130B0000}"/>
    <cellStyle name="20% - Accent2 65 7" xfId="14047" xr:uid="{00000000-0005-0000-0000-0000140B0000}"/>
    <cellStyle name="20% - Accent2 65 8" xfId="12733" xr:uid="{00000000-0005-0000-0000-0000150B0000}"/>
    <cellStyle name="20% - Accent2 66" xfId="798" xr:uid="{00000000-0005-0000-0000-0000160B0000}"/>
    <cellStyle name="20% - Accent2 66 2" xfId="3754" xr:uid="{00000000-0005-0000-0000-0000170B0000}"/>
    <cellStyle name="20% - Accent2 66 2 2" xfId="11733" xr:uid="{00000000-0005-0000-0000-0000180B0000}"/>
    <cellStyle name="20% - Accent2 66 2 2 2" xfId="23021" xr:uid="{00000000-0005-0000-0000-0000190B0000}"/>
    <cellStyle name="20% - Accent2 66 2 3" xfId="9739" xr:uid="{00000000-0005-0000-0000-00001A0B0000}"/>
    <cellStyle name="20% - Accent2 66 2 3 2" xfId="21027" xr:uid="{00000000-0005-0000-0000-00001B0B0000}"/>
    <cellStyle name="20% - Accent2 66 2 4" xfId="7745" xr:uid="{00000000-0005-0000-0000-00001C0B0000}"/>
    <cellStyle name="20% - Accent2 66 2 4 2" xfId="19033" xr:uid="{00000000-0005-0000-0000-00001D0B0000}"/>
    <cellStyle name="20% - Accent2 66 2 5" xfId="5751" xr:uid="{00000000-0005-0000-0000-00001E0B0000}"/>
    <cellStyle name="20% - Accent2 66 2 5 2" xfId="17039" xr:uid="{00000000-0005-0000-0000-00001F0B0000}"/>
    <cellStyle name="20% - Accent2 66 2 6" xfId="15045" xr:uid="{00000000-0005-0000-0000-0000200B0000}"/>
    <cellStyle name="20% - Accent2 66 3" xfId="10736" xr:uid="{00000000-0005-0000-0000-0000210B0000}"/>
    <cellStyle name="20% - Accent2 66 3 2" xfId="22024" xr:uid="{00000000-0005-0000-0000-0000220B0000}"/>
    <cellStyle name="20% - Accent2 66 4" xfId="8742" xr:uid="{00000000-0005-0000-0000-0000230B0000}"/>
    <cellStyle name="20% - Accent2 66 4 2" xfId="20030" xr:uid="{00000000-0005-0000-0000-0000240B0000}"/>
    <cellStyle name="20% - Accent2 66 5" xfId="6748" xr:uid="{00000000-0005-0000-0000-0000250B0000}"/>
    <cellStyle name="20% - Accent2 66 5 2" xfId="18036" xr:uid="{00000000-0005-0000-0000-0000260B0000}"/>
    <cellStyle name="20% - Accent2 66 6" xfId="4754" xr:uid="{00000000-0005-0000-0000-0000270B0000}"/>
    <cellStyle name="20% - Accent2 66 6 2" xfId="16042" xr:uid="{00000000-0005-0000-0000-0000280B0000}"/>
    <cellStyle name="20% - Accent2 66 7" xfId="14048" xr:uid="{00000000-0005-0000-0000-0000290B0000}"/>
    <cellStyle name="20% - Accent2 66 8" xfId="12734" xr:uid="{00000000-0005-0000-0000-00002A0B0000}"/>
    <cellStyle name="20% - Accent2 67" xfId="799" xr:uid="{00000000-0005-0000-0000-00002B0B0000}"/>
    <cellStyle name="20% - Accent2 67 2" xfId="3755" xr:uid="{00000000-0005-0000-0000-00002C0B0000}"/>
    <cellStyle name="20% - Accent2 67 2 2" xfId="11734" xr:uid="{00000000-0005-0000-0000-00002D0B0000}"/>
    <cellStyle name="20% - Accent2 67 2 2 2" xfId="23022" xr:uid="{00000000-0005-0000-0000-00002E0B0000}"/>
    <cellStyle name="20% - Accent2 67 2 3" xfId="9740" xr:uid="{00000000-0005-0000-0000-00002F0B0000}"/>
    <cellStyle name="20% - Accent2 67 2 3 2" xfId="21028" xr:uid="{00000000-0005-0000-0000-0000300B0000}"/>
    <cellStyle name="20% - Accent2 67 2 4" xfId="7746" xr:uid="{00000000-0005-0000-0000-0000310B0000}"/>
    <cellStyle name="20% - Accent2 67 2 4 2" xfId="19034" xr:uid="{00000000-0005-0000-0000-0000320B0000}"/>
    <cellStyle name="20% - Accent2 67 2 5" xfId="5752" xr:uid="{00000000-0005-0000-0000-0000330B0000}"/>
    <cellStyle name="20% - Accent2 67 2 5 2" xfId="17040" xr:uid="{00000000-0005-0000-0000-0000340B0000}"/>
    <cellStyle name="20% - Accent2 67 2 6" xfId="15046" xr:uid="{00000000-0005-0000-0000-0000350B0000}"/>
    <cellStyle name="20% - Accent2 67 3" xfId="10737" xr:uid="{00000000-0005-0000-0000-0000360B0000}"/>
    <cellStyle name="20% - Accent2 67 3 2" xfId="22025" xr:uid="{00000000-0005-0000-0000-0000370B0000}"/>
    <cellStyle name="20% - Accent2 67 4" xfId="8743" xr:uid="{00000000-0005-0000-0000-0000380B0000}"/>
    <cellStyle name="20% - Accent2 67 4 2" xfId="20031" xr:uid="{00000000-0005-0000-0000-0000390B0000}"/>
    <cellStyle name="20% - Accent2 67 5" xfId="6749" xr:uid="{00000000-0005-0000-0000-00003A0B0000}"/>
    <cellStyle name="20% - Accent2 67 5 2" xfId="18037" xr:uid="{00000000-0005-0000-0000-00003B0B0000}"/>
    <cellStyle name="20% - Accent2 67 6" xfId="4755" xr:uid="{00000000-0005-0000-0000-00003C0B0000}"/>
    <cellStyle name="20% - Accent2 67 6 2" xfId="16043" xr:uid="{00000000-0005-0000-0000-00003D0B0000}"/>
    <cellStyle name="20% - Accent2 67 7" xfId="14049" xr:uid="{00000000-0005-0000-0000-00003E0B0000}"/>
    <cellStyle name="20% - Accent2 67 8" xfId="12735" xr:uid="{00000000-0005-0000-0000-00003F0B0000}"/>
    <cellStyle name="20% - Accent2 68" xfId="800" xr:uid="{00000000-0005-0000-0000-0000400B0000}"/>
    <cellStyle name="20% - Accent2 68 2" xfId="3756" xr:uid="{00000000-0005-0000-0000-0000410B0000}"/>
    <cellStyle name="20% - Accent2 68 2 2" xfId="11735" xr:uid="{00000000-0005-0000-0000-0000420B0000}"/>
    <cellStyle name="20% - Accent2 68 2 2 2" xfId="23023" xr:uid="{00000000-0005-0000-0000-0000430B0000}"/>
    <cellStyle name="20% - Accent2 68 2 3" xfId="9741" xr:uid="{00000000-0005-0000-0000-0000440B0000}"/>
    <cellStyle name="20% - Accent2 68 2 3 2" xfId="21029" xr:uid="{00000000-0005-0000-0000-0000450B0000}"/>
    <cellStyle name="20% - Accent2 68 2 4" xfId="7747" xr:uid="{00000000-0005-0000-0000-0000460B0000}"/>
    <cellStyle name="20% - Accent2 68 2 4 2" xfId="19035" xr:uid="{00000000-0005-0000-0000-0000470B0000}"/>
    <cellStyle name="20% - Accent2 68 2 5" xfId="5753" xr:uid="{00000000-0005-0000-0000-0000480B0000}"/>
    <cellStyle name="20% - Accent2 68 2 5 2" xfId="17041" xr:uid="{00000000-0005-0000-0000-0000490B0000}"/>
    <cellStyle name="20% - Accent2 68 2 6" xfId="15047" xr:uid="{00000000-0005-0000-0000-00004A0B0000}"/>
    <cellStyle name="20% - Accent2 68 3" xfId="10738" xr:uid="{00000000-0005-0000-0000-00004B0B0000}"/>
    <cellStyle name="20% - Accent2 68 3 2" xfId="22026" xr:uid="{00000000-0005-0000-0000-00004C0B0000}"/>
    <cellStyle name="20% - Accent2 68 4" xfId="8744" xr:uid="{00000000-0005-0000-0000-00004D0B0000}"/>
    <cellStyle name="20% - Accent2 68 4 2" xfId="20032" xr:uid="{00000000-0005-0000-0000-00004E0B0000}"/>
    <cellStyle name="20% - Accent2 68 5" xfId="6750" xr:uid="{00000000-0005-0000-0000-00004F0B0000}"/>
    <cellStyle name="20% - Accent2 68 5 2" xfId="18038" xr:uid="{00000000-0005-0000-0000-0000500B0000}"/>
    <cellStyle name="20% - Accent2 68 6" xfId="4756" xr:uid="{00000000-0005-0000-0000-0000510B0000}"/>
    <cellStyle name="20% - Accent2 68 6 2" xfId="16044" xr:uid="{00000000-0005-0000-0000-0000520B0000}"/>
    <cellStyle name="20% - Accent2 68 7" xfId="14050" xr:uid="{00000000-0005-0000-0000-0000530B0000}"/>
    <cellStyle name="20% - Accent2 68 8" xfId="12736" xr:uid="{00000000-0005-0000-0000-0000540B0000}"/>
    <cellStyle name="20% - Accent2 69" xfId="801" xr:uid="{00000000-0005-0000-0000-0000550B0000}"/>
    <cellStyle name="20% - Accent2 69 2" xfId="3757" xr:uid="{00000000-0005-0000-0000-0000560B0000}"/>
    <cellStyle name="20% - Accent2 69 2 2" xfId="11736" xr:uid="{00000000-0005-0000-0000-0000570B0000}"/>
    <cellStyle name="20% - Accent2 69 2 2 2" xfId="23024" xr:uid="{00000000-0005-0000-0000-0000580B0000}"/>
    <cellStyle name="20% - Accent2 69 2 3" xfId="9742" xr:uid="{00000000-0005-0000-0000-0000590B0000}"/>
    <cellStyle name="20% - Accent2 69 2 3 2" xfId="21030" xr:uid="{00000000-0005-0000-0000-00005A0B0000}"/>
    <cellStyle name="20% - Accent2 69 2 4" xfId="7748" xr:uid="{00000000-0005-0000-0000-00005B0B0000}"/>
    <cellStyle name="20% - Accent2 69 2 4 2" xfId="19036" xr:uid="{00000000-0005-0000-0000-00005C0B0000}"/>
    <cellStyle name="20% - Accent2 69 2 5" xfId="5754" xr:uid="{00000000-0005-0000-0000-00005D0B0000}"/>
    <cellStyle name="20% - Accent2 69 2 5 2" xfId="17042" xr:uid="{00000000-0005-0000-0000-00005E0B0000}"/>
    <cellStyle name="20% - Accent2 69 2 6" xfId="15048" xr:uid="{00000000-0005-0000-0000-00005F0B0000}"/>
    <cellStyle name="20% - Accent2 69 3" xfId="10739" xr:uid="{00000000-0005-0000-0000-0000600B0000}"/>
    <cellStyle name="20% - Accent2 69 3 2" xfId="22027" xr:uid="{00000000-0005-0000-0000-0000610B0000}"/>
    <cellStyle name="20% - Accent2 69 4" xfId="8745" xr:uid="{00000000-0005-0000-0000-0000620B0000}"/>
    <cellStyle name="20% - Accent2 69 4 2" xfId="20033" xr:uid="{00000000-0005-0000-0000-0000630B0000}"/>
    <cellStyle name="20% - Accent2 69 5" xfId="6751" xr:uid="{00000000-0005-0000-0000-0000640B0000}"/>
    <cellStyle name="20% - Accent2 69 5 2" xfId="18039" xr:uid="{00000000-0005-0000-0000-0000650B0000}"/>
    <cellStyle name="20% - Accent2 69 6" xfId="4757" xr:uid="{00000000-0005-0000-0000-0000660B0000}"/>
    <cellStyle name="20% - Accent2 69 6 2" xfId="16045" xr:uid="{00000000-0005-0000-0000-0000670B0000}"/>
    <cellStyle name="20% - Accent2 69 7" xfId="14051" xr:uid="{00000000-0005-0000-0000-0000680B0000}"/>
    <cellStyle name="20% - Accent2 69 8" xfId="12737" xr:uid="{00000000-0005-0000-0000-0000690B0000}"/>
    <cellStyle name="20% - Accent2 7" xfId="802" xr:uid="{00000000-0005-0000-0000-00006A0B0000}"/>
    <cellStyle name="20% - Accent2 7 10" xfId="24570" xr:uid="{00000000-0005-0000-0000-00006B0B0000}"/>
    <cellStyle name="20% - Accent2 7 11" xfId="24960" xr:uid="{00000000-0005-0000-0000-00006C0B0000}"/>
    <cellStyle name="20% - Accent2 7 2" xfId="3758" xr:uid="{00000000-0005-0000-0000-00006D0B0000}"/>
    <cellStyle name="20% - Accent2 7 2 2" xfId="11737" xr:uid="{00000000-0005-0000-0000-00006E0B0000}"/>
    <cellStyle name="20% - Accent2 7 2 2 2" xfId="23025" xr:uid="{00000000-0005-0000-0000-00006F0B0000}"/>
    <cellStyle name="20% - Accent2 7 2 3" xfId="9743" xr:uid="{00000000-0005-0000-0000-0000700B0000}"/>
    <cellStyle name="20% - Accent2 7 2 3 2" xfId="21031" xr:uid="{00000000-0005-0000-0000-0000710B0000}"/>
    <cellStyle name="20% - Accent2 7 2 4" xfId="7749" xr:uid="{00000000-0005-0000-0000-0000720B0000}"/>
    <cellStyle name="20% - Accent2 7 2 4 2" xfId="19037" xr:uid="{00000000-0005-0000-0000-0000730B0000}"/>
    <cellStyle name="20% - Accent2 7 2 5" xfId="5755" xr:uid="{00000000-0005-0000-0000-0000740B0000}"/>
    <cellStyle name="20% - Accent2 7 2 5 2" xfId="17043" xr:uid="{00000000-0005-0000-0000-0000750B0000}"/>
    <cellStyle name="20% - Accent2 7 2 6" xfId="15049" xr:uid="{00000000-0005-0000-0000-0000760B0000}"/>
    <cellStyle name="20% - Accent2 7 2 7" xfId="24331" xr:uid="{00000000-0005-0000-0000-0000770B0000}"/>
    <cellStyle name="20% - Accent2 7 2 8" xfId="24795" xr:uid="{00000000-0005-0000-0000-0000780B0000}"/>
    <cellStyle name="20% - Accent2 7 2 9" xfId="25162" xr:uid="{00000000-0005-0000-0000-0000790B0000}"/>
    <cellStyle name="20% - Accent2 7 3" xfId="10740" xr:uid="{00000000-0005-0000-0000-00007A0B0000}"/>
    <cellStyle name="20% - Accent2 7 3 2" xfId="22028" xr:uid="{00000000-0005-0000-0000-00007B0B0000}"/>
    <cellStyle name="20% - Accent2 7 4" xfId="8746" xr:uid="{00000000-0005-0000-0000-00007C0B0000}"/>
    <cellStyle name="20% - Accent2 7 4 2" xfId="20034" xr:uid="{00000000-0005-0000-0000-00007D0B0000}"/>
    <cellStyle name="20% - Accent2 7 5" xfId="6752" xr:uid="{00000000-0005-0000-0000-00007E0B0000}"/>
    <cellStyle name="20% - Accent2 7 5 2" xfId="18040" xr:uid="{00000000-0005-0000-0000-00007F0B0000}"/>
    <cellStyle name="20% - Accent2 7 6" xfId="4758" xr:uid="{00000000-0005-0000-0000-0000800B0000}"/>
    <cellStyle name="20% - Accent2 7 6 2" xfId="16046" xr:uid="{00000000-0005-0000-0000-0000810B0000}"/>
    <cellStyle name="20% - Accent2 7 7" xfId="14052" xr:uid="{00000000-0005-0000-0000-0000820B0000}"/>
    <cellStyle name="20% - Accent2 7 8" xfId="12738" xr:uid="{00000000-0005-0000-0000-0000830B0000}"/>
    <cellStyle name="20% - Accent2 7 9" xfId="23943" xr:uid="{00000000-0005-0000-0000-0000840B0000}"/>
    <cellStyle name="20% - Accent2 70" xfId="803" xr:uid="{00000000-0005-0000-0000-0000850B0000}"/>
    <cellStyle name="20% - Accent2 70 2" xfId="3759" xr:uid="{00000000-0005-0000-0000-0000860B0000}"/>
    <cellStyle name="20% - Accent2 70 2 2" xfId="11738" xr:uid="{00000000-0005-0000-0000-0000870B0000}"/>
    <cellStyle name="20% - Accent2 70 2 2 2" xfId="23026" xr:uid="{00000000-0005-0000-0000-0000880B0000}"/>
    <cellStyle name="20% - Accent2 70 2 3" xfId="9744" xr:uid="{00000000-0005-0000-0000-0000890B0000}"/>
    <cellStyle name="20% - Accent2 70 2 3 2" xfId="21032" xr:uid="{00000000-0005-0000-0000-00008A0B0000}"/>
    <cellStyle name="20% - Accent2 70 2 4" xfId="7750" xr:uid="{00000000-0005-0000-0000-00008B0B0000}"/>
    <cellStyle name="20% - Accent2 70 2 4 2" xfId="19038" xr:uid="{00000000-0005-0000-0000-00008C0B0000}"/>
    <cellStyle name="20% - Accent2 70 2 5" xfId="5756" xr:uid="{00000000-0005-0000-0000-00008D0B0000}"/>
    <cellStyle name="20% - Accent2 70 2 5 2" xfId="17044" xr:uid="{00000000-0005-0000-0000-00008E0B0000}"/>
    <cellStyle name="20% - Accent2 70 2 6" xfId="15050" xr:uid="{00000000-0005-0000-0000-00008F0B0000}"/>
    <cellStyle name="20% - Accent2 70 3" xfId="10741" xr:uid="{00000000-0005-0000-0000-0000900B0000}"/>
    <cellStyle name="20% - Accent2 70 3 2" xfId="22029" xr:uid="{00000000-0005-0000-0000-0000910B0000}"/>
    <cellStyle name="20% - Accent2 70 4" xfId="8747" xr:uid="{00000000-0005-0000-0000-0000920B0000}"/>
    <cellStyle name="20% - Accent2 70 4 2" xfId="20035" xr:uid="{00000000-0005-0000-0000-0000930B0000}"/>
    <cellStyle name="20% - Accent2 70 5" xfId="6753" xr:uid="{00000000-0005-0000-0000-0000940B0000}"/>
    <cellStyle name="20% - Accent2 70 5 2" xfId="18041" xr:uid="{00000000-0005-0000-0000-0000950B0000}"/>
    <cellStyle name="20% - Accent2 70 6" xfId="4759" xr:uid="{00000000-0005-0000-0000-0000960B0000}"/>
    <cellStyle name="20% - Accent2 70 6 2" xfId="16047" xr:uid="{00000000-0005-0000-0000-0000970B0000}"/>
    <cellStyle name="20% - Accent2 70 7" xfId="14053" xr:uid="{00000000-0005-0000-0000-0000980B0000}"/>
    <cellStyle name="20% - Accent2 70 8" xfId="12739" xr:uid="{00000000-0005-0000-0000-0000990B0000}"/>
    <cellStyle name="20% - Accent2 71" xfId="804" xr:uid="{00000000-0005-0000-0000-00009A0B0000}"/>
    <cellStyle name="20% - Accent2 71 2" xfId="3760" xr:uid="{00000000-0005-0000-0000-00009B0B0000}"/>
    <cellStyle name="20% - Accent2 71 2 2" xfId="11739" xr:uid="{00000000-0005-0000-0000-00009C0B0000}"/>
    <cellStyle name="20% - Accent2 71 2 2 2" xfId="23027" xr:uid="{00000000-0005-0000-0000-00009D0B0000}"/>
    <cellStyle name="20% - Accent2 71 2 3" xfId="9745" xr:uid="{00000000-0005-0000-0000-00009E0B0000}"/>
    <cellStyle name="20% - Accent2 71 2 3 2" xfId="21033" xr:uid="{00000000-0005-0000-0000-00009F0B0000}"/>
    <cellStyle name="20% - Accent2 71 2 4" xfId="7751" xr:uid="{00000000-0005-0000-0000-0000A00B0000}"/>
    <cellStyle name="20% - Accent2 71 2 4 2" xfId="19039" xr:uid="{00000000-0005-0000-0000-0000A10B0000}"/>
    <cellStyle name="20% - Accent2 71 2 5" xfId="5757" xr:uid="{00000000-0005-0000-0000-0000A20B0000}"/>
    <cellStyle name="20% - Accent2 71 2 5 2" xfId="17045" xr:uid="{00000000-0005-0000-0000-0000A30B0000}"/>
    <cellStyle name="20% - Accent2 71 2 6" xfId="15051" xr:uid="{00000000-0005-0000-0000-0000A40B0000}"/>
    <cellStyle name="20% - Accent2 71 3" xfId="10742" xr:uid="{00000000-0005-0000-0000-0000A50B0000}"/>
    <cellStyle name="20% - Accent2 71 3 2" xfId="22030" xr:uid="{00000000-0005-0000-0000-0000A60B0000}"/>
    <cellStyle name="20% - Accent2 71 4" xfId="8748" xr:uid="{00000000-0005-0000-0000-0000A70B0000}"/>
    <cellStyle name="20% - Accent2 71 4 2" xfId="20036" xr:uid="{00000000-0005-0000-0000-0000A80B0000}"/>
    <cellStyle name="20% - Accent2 71 5" xfId="6754" xr:uid="{00000000-0005-0000-0000-0000A90B0000}"/>
    <cellStyle name="20% - Accent2 71 5 2" xfId="18042" xr:uid="{00000000-0005-0000-0000-0000AA0B0000}"/>
    <cellStyle name="20% - Accent2 71 6" xfId="4760" xr:uid="{00000000-0005-0000-0000-0000AB0B0000}"/>
    <cellStyle name="20% - Accent2 71 6 2" xfId="16048" xr:uid="{00000000-0005-0000-0000-0000AC0B0000}"/>
    <cellStyle name="20% - Accent2 71 7" xfId="14054" xr:uid="{00000000-0005-0000-0000-0000AD0B0000}"/>
    <cellStyle name="20% - Accent2 71 8" xfId="12740" xr:uid="{00000000-0005-0000-0000-0000AE0B0000}"/>
    <cellStyle name="20% - Accent2 72" xfId="805" xr:uid="{00000000-0005-0000-0000-0000AF0B0000}"/>
    <cellStyle name="20% - Accent2 72 2" xfId="3761" xr:uid="{00000000-0005-0000-0000-0000B00B0000}"/>
    <cellStyle name="20% - Accent2 72 2 2" xfId="11740" xr:uid="{00000000-0005-0000-0000-0000B10B0000}"/>
    <cellStyle name="20% - Accent2 72 2 2 2" xfId="23028" xr:uid="{00000000-0005-0000-0000-0000B20B0000}"/>
    <cellStyle name="20% - Accent2 72 2 3" xfId="9746" xr:uid="{00000000-0005-0000-0000-0000B30B0000}"/>
    <cellStyle name="20% - Accent2 72 2 3 2" xfId="21034" xr:uid="{00000000-0005-0000-0000-0000B40B0000}"/>
    <cellStyle name="20% - Accent2 72 2 4" xfId="7752" xr:uid="{00000000-0005-0000-0000-0000B50B0000}"/>
    <cellStyle name="20% - Accent2 72 2 4 2" xfId="19040" xr:uid="{00000000-0005-0000-0000-0000B60B0000}"/>
    <cellStyle name="20% - Accent2 72 2 5" xfId="5758" xr:uid="{00000000-0005-0000-0000-0000B70B0000}"/>
    <cellStyle name="20% - Accent2 72 2 5 2" xfId="17046" xr:uid="{00000000-0005-0000-0000-0000B80B0000}"/>
    <cellStyle name="20% - Accent2 72 2 6" xfId="15052" xr:uid="{00000000-0005-0000-0000-0000B90B0000}"/>
    <cellStyle name="20% - Accent2 72 3" xfId="10743" xr:uid="{00000000-0005-0000-0000-0000BA0B0000}"/>
    <cellStyle name="20% - Accent2 72 3 2" xfId="22031" xr:uid="{00000000-0005-0000-0000-0000BB0B0000}"/>
    <cellStyle name="20% - Accent2 72 4" xfId="8749" xr:uid="{00000000-0005-0000-0000-0000BC0B0000}"/>
    <cellStyle name="20% - Accent2 72 4 2" xfId="20037" xr:uid="{00000000-0005-0000-0000-0000BD0B0000}"/>
    <cellStyle name="20% - Accent2 72 5" xfId="6755" xr:uid="{00000000-0005-0000-0000-0000BE0B0000}"/>
    <cellStyle name="20% - Accent2 72 5 2" xfId="18043" xr:uid="{00000000-0005-0000-0000-0000BF0B0000}"/>
    <cellStyle name="20% - Accent2 72 6" xfId="4761" xr:uid="{00000000-0005-0000-0000-0000C00B0000}"/>
    <cellStyle name="20% - Accent2 72 6 2" xfId="16049" xr:uid="{00000000-0005-0000-0000-0000C10B0000}"/>
    <cellStyle name="20% - Accent2 72 7" xfId="14055" xr:uid="{00000000-0005-0000-0000-0000C20B0000}"/>
    <cellStyle name="20% - Accent2 72 8" xfId="12741" xr:uid="{00000000-0005-0000-0000-0000C30B0000}"/>
    <cellStyle name="20% - Accent2 8" xfId="806" xr:uid="{00000000-0005-0000-0000-0000C40B0000}"/>
    <cellStyle name="20% - Accent2 8 2" xfId="3762" xr:uid="{00000000-0005-0000-0000-0000C50B0000}"/>
    <cellStyle name="20% - Accent2 8 2 2" xfId="11741" xr:uid="{00000000-0005-0000-0000-0000C60B0000}"/>
    <cellStyle name="20% - Accent2 8 2 2 2" xfId="23029" xr:uid="{00000000-0005-0000-0000-0000C70B0000}"/>
    <cellStyle name="20% - Accent2 8 2 3" xfId="9747" xr:uid="{00000000-0005-0000-0000-0000C80B0000}"/>
    <cellStyle name="20% - Accent2 8 2 3 2" xfId="21035" xr:uid="{00000000-0005-0000-0000-0000C90B0000}"/>
    <cellStyle name="20% - Accent2 8 2 4" xfId="7753" xr:uid="{00000000-0005-0000-0000-0000CA0B0000}"/>
    <cellStyle name="20% - Accent2 8 2 4 2" xfId="19041" xr:uid="{00000000-0005-0000-0000-0000CB0B0000}"/>
    <cellStyle name="20% - Accent2 8 2 5" xfId="5759" xr:uid="{00000000-0005-0000-0000-0000CC0B0000}"/>
    <cellStyle name="20% - Accent2 8 2 5 2" xfId="17047" xr:uid="{00000000-0005-0000-0000-0000CD0B0000}"/>
    <cellStyle name="20% - Accent2 8 2 6" xfId="15053" xr:uid="{00000000-0005-0000-0000-0000CE0B0000}"/>
    <cellStyle name="20% - Accent2 8 3" xfId="10744" xr:uid="{00000000-0005-0000-0000-0000CF0B0000}"/>
    <cellStyle name="20% - Accent2 8 3 2" xfId="22032" xr:uid="{00000000-0005-0000-0000-0000D00B0000}"/>
    <cellStyle name="20% - Accent2 8 4" xfId="8750" xr:uid="{00000000-0005-0000-0000-0000D10B0000}"/>
    <cellStyle name="20% - Accent2 8 4 2" xfId="20038" xr:uid="{00000000-0005-0000-0000-0000D20B0000}"/>
    <cellStyle name="20% - Accent2 8 5" xfId="6756" xr:uid="{00000000-0005-0000-0000-0000D30B0000}"/>
    <cellStyle name="20% - Accent2 8 5 2" xfId="18044" xr:uid="{00000000-0005-0000-0000-0000D40B0000}"/>
    <cellStyle name="20% - Accent2 8 6" xfId="4762" xr:uid="{00000000-0005-0000-0000-0000D50B0000}"/>
    <cellStyle name="20% - Accent2 8 6 2" xfId="16050" xr:uid="{00000000-0005-0000-0000-0000D60B0000}"/>
    <cellStyle name="20% - Accent2 8 7" xfId="14056" xr:uid="{00000000-0005-0000-0000-0000D70B0000}"/>
    <cellStyle name="20% - Accent2 8 8" xfId="12742" xr:uid="{00000000-0005-0000-0000-0000D80B0000}"/>
    <cellStyle name="20% - Accent2 9" xfId="807" xr:uid="{00000000-0005-0000-0000-0000D90B0000}"/>
    <cellStyle name="20% - Accent2 9 2" xfId="3763" xr:uid="{00000000-0005-0000-0000-0000DA0B0000}"/>
    <cellStyle name="20% - Accent2 9 2 2" xfId="11742" xr:uid="{00000000-0005-0000-0000-0000DB0B0000}"/>
    <cellStyle name="20% - Accent2 9 2 2 2" xfId="23030" xr:uid="{00000000-0005-0000-0000-0000DC0B0000}"/>
    <cellStyle name="20% - Accent2 9 2 3" xfId="9748" xr:uid="{00000000-0005-0000-0000-0000DD0B0000}"/>
    <cellStyle name="20% - Accent2 9 2 3 2" xfId="21036" xr:uid="{00000000-0005-0000-0000-0000DE0B0000}"/>
    <cellStyle name="20% - Accent2 9 2 4" xfId="7754" xr:uid="{00000000-0005-0000-0000-0000DF0B0000}"/>
    <cellStyle name="20% - Accent2 9 2 4 2" xfId="19042" xr:uid="{00000000-0005-0000-0000-0000E00B0000}"/>
    <cellStyle name="20% - Accent2 9 2 5" xfId="5760" xr:uid="{00000000-0005-0000-0000-0000E10B0000}"/>
    <cellStyle name="20% - Accent2 9 2 5 2" xfId="17048" xr:uid="{00000000-0005-0000-0000-0000E20B0000}"/>
    <cellStyle name="20% - Accent2 9 2 6" xfId="15054" xr:uid="{00000000-0005-0000-0000-0000E30B0000}"/>
    <cellStyle name="20% - Accent2 9 3" xfId="10745" xr:uid="{00000000-0005-0000-0000-0000E40B0000}"/>
    <cellStyle name="20% - Accent2 9 3 2" xfId="22033" xr:uid="{00000000-0005-0000-0000-0000E50B0000}"/>
    <cellStyle name="20% - Accent2 9 4" xfId="8751" xr:uid="{00000000-0005-0000-0000-0000E60B0000}"/>
    <cellStyle name="20% - Accent2 9 4 2" xfId="20039" xr:uid="{00000000-0005-0000-0000-0000E70B0000}"/>
    <cellStyle name="20% - Accent2 9 5" xfId="6757" xr:uid="{00000000-0005-0000-0000-0000E80B0000}"/>
    <cellStyle name="20% - Accent2 9 5 2" xfId="18045" xr:uid="{00000000-0005-0000-0000-0000E90B0000}"/>
    <cellStyle name="20% - Accent2 9 6" xfId="4763" xr:uid="{00000000-0005-0000-0000-0000EA0B0000}"/>
    <cellStyle name="20% - Accent2 9 6 2" xfId="16051" xr:uid="{00000000-0005-0000-0000-0000EB0B0000}"/>
    <cellStyle name="20% - Accent2 9 7" xfId="14057" xr:uid="{00000000-0005-0000-0000-0000EC0B0000}"/>
    <cellStyle name="20% - Accent2 9 8" xfId="12743" xr:uid="{00000000-0005-0000-0000-0000ED0B0000}"/>
    <cellStyle name="20% - Accent3 10" xfId="808" xr:uid="{00000000-0005-0000-0000-0000EE0B0000}"/>
    <cellStyle name="20% - Accent3 10 2" xfId="3764" xr:uid="{00000000-0005-0000-0000-0000EF0B0000}"/>
    <cellStyle name="20% - Accent3 10 2 2" xfId="11743" xr:uid="{00000000-0005-0000-0000-0000F00B0000}"/>
    <cellStyle name="20% - Accent3 10 2 2 2" xfId="23031" xr:uid="{00000000-0005-0000-0000-0000F10B0000}"/>
    <cellStyle name="20% - Accent3 10 2 3" xfId="9749" xr:uid="{00000000-0005-0000-0000-0000F20B0000}"/>
    <cellStyle name="20% - Accent3 10 2 3 2" xfId="21037" xr:uid="{00000000-0005-0000-0000-0000F30B0000}"/>
    <cellStyle name="20% - Accent3 10 2 4" xfId="7755" xr:uid="{00000000-0005-0000-0000-0000F40B0000}"/>
    <cellStyle name="20% - Accent3 10 2 4 2" xfId="19043" xr:uid="{00000000-0005-0000-0000-0000F50B0000}"/>
    <cellStyle name="20% - Accent3 10 2 5" xfId="5761" xr:uid="{00000000-0005-0000-0000-0000F60B0000}"/>
    <cellStyle name="20% - Accent3 10 2 5 2" xfId="17049" xr:uid="{00000000-0005-0000-0000-0000F70B0000}"/>
    <cellStyle name="20% - Accent3 10 2 6" xfId="15055" xr:uid="{00000000-0005-0000-0000-0000F80B0000}"/>
    <cellStyle name="20% - Accent3 10 3" xfId="10746" xr:uid="{00000000-0005-0000-0000-0000F90B0000}"/>
    <cellStyle name="20% - Accent3 10 3 2" xfId="22034" xr:uid="{00000000-0005-0000-0000-0000FA0B0000}"/>
    <cellStyle name="20% - Accent3 10 4" xfId="8752" xr:uid="{00000000-0005-0000-0000-0000FB0B0000}"/>
    <cellStyle name="20% - Accent3 10 4 2" xfId="20040" xr:uid="{00000000-0005-0000-0000-0000FC0B0000}"/>
    <cellStyle name="20% - Accent3 10 5" xfId="6758" xr:uid="{00000000-0005-0000-0000-0000FD0B0000}"/>
    <cellStyle name="20% - Accent3 10 5 2" xfId="18046" xr:uid="{00000000-0005-0000-0000-0000FE0B0000}"/>
    <cellStyle name="20% - Accent3 10 6" xfId="4764" xr:uid="{00000000-0005-0000-0000-0000FF0B0000}"/>
    <cellStyle name="20% - Accent3 10 6 2" xfId="16052" xr:uid="{00000000-0005-0000-0000-0000000C0000}"/>
    <cellStyle name="20% - Accent3 10 7" xfId="14058" xr:uid="{00000000-0005-0000-0000-0000010C0000}"/>
    <cellStyle name="20% - Accent3 10 8" xfId="12744" xr:uid="{00000000-0005-0000-0000-0000020C0000}"/>
    <cellStyle name="20% - Accent3 11" xfId="809" xr:uid="{00000000-0005-0000-0000-0000030C0000}"/>
    <cellStyle name="20% - Accent3 11 2" xfId="3765" xr:uid="{00000000-0005-0000-0000-0000040C0000}"/>
    <cellStyle name="20% - Accent3 11 2 2" xfId="11744" xr:uid="{00000000-0005-0000-0000-0000050C0000}"/>
    <cellStyle name="20% - Accent3 11 2 2 2" xfId="23032" xr:uid="{00000000-0005-0000-0000-0000060C0000}"/>
    <cellStyle name="20% - Accent3 11 2 3" xfId="9750" xr:uid="{00000000-0005-0000-0000-0000070C0000}"/>
    <cellStyle name="20% - Accent3 11 2 3 2" xfId="21038" xr:uid="{00000000-0005-0000-0000-0000080C0000}"/>
    <cellStyle name="20% - Accent3 11 2 4" xfId="7756" xr:uid="{00000000-0005-0000-0000-0000090C0000}"/>
    <cellStyle name="20% - Accent3 11 2 4 2" xfId="19044" xr:uid="{00000000-0005-0000-0000-00000A0C0000}"/>
    <cellStyle name="20% - Accent3 11 2 5" xfId="5762" xr:uid="{00000000-0005-0000-0000-00000B0C0000}"/>
    <cellStyle name="20% - Accent3 11 2 5 2" xfId="17050" xr:uid="{00000000-0005-0000-0000-00000C0C0000}"/>
    <cellStyle name="20% - Accent3 11 2 6" xfId="15056" xr:uid="{00000000-0005-0000-0000-00000D0C0000}"/>
    <cellStyle name="20% - Accent3 11 3" xfId="10747" xr:uid="{00000000-0005-0000-0000-00000E0C0000}"/>
    <cellStyle name="20% - Accent3 11 3 2" xfId="22035" xr:uid="{00000000-0005-0000-0000-00000F0C0000}"/>
    <cellStyle name="20% - Accent3 11 4" xfId="8753" xr:uid="{00000000-0005-0000-0000-0000100C0000}"/>
    <cellStyle name="20% - Accent3 11 4 2" xfId="20041" xr:uid="{00000000-0005-0000-0000-0000110C0000}"/>
    <cellStyle name="20% - Accent3 11 5" xfId="6759" xr:uid="{00000000-0005-0000-0000-0000120C0000}"/>
    <cellStyle name="20% - Accent3 11 5 2" xfId="18047" xr:uid="{00000000-0005-0000-0000-0000130C0000}"/>
    <cellStyle name="20% - Accent3 11 6" xfId="4765" xr:uid="{00000000-0005-0000-0000-0000140C0000}"/>
    <cellStyle name="20% - Accent3 11 6 2" xfId="16053" xr:uid="{00000000-0005-0000-0000-0000150C0000}"/>
    <cellStyle name="20% - Accent3 11 7" xfId="14059" xr:uid="{00000000-0005-0000-0000-0000160C0000}"/>
    <cellStyle name="20% - Accent3 11 8" xfId="12745" xr:uid="{00000000-0005-0000-0000-0000170C0000}"/>
    <cellStyle name="20% - Accent3 12" xfId="810" xr:uid="{00000000-0005-0000-0000-0000180C0000}"/>
    <cellStyle name="20% - Accent3 12 2" xfId="3766" xr:uid="{00000000-0005-0000-0000-0000190C0000}"/>
    <cellStyle name="20% - Accent3 12 2 2" xfId="11745" xr:uid="{00000000-0005-0000-0000-00001A0C0000}"/>
    <cellStyle name="20% - Accent3 12 2 2 2" xfId="23033" xr:uid="{00000000-0005-0000-0000-00001B0C0000}"/>
    <cellStyle name="20% - Accent3 12 2 3" xfId="9751" xr:uid="{00000000-0005-0000-0000-00001C0C0000}"/>
    <cellStyle name="20% - Accent3 12 2 3 2" xfId="21039" xr:uid="{00000000-0005-0000-0000-00001D0C0000}"/>
    <cellStyle name="20% - Accent3 12 2 4" xfId="7757" xr:uid="{00000000-0005-0000-0000-00001E0C0000}"/>
    <cellStyle name="20% - Accent3 12 2 4 2" xfId="19045" xr:uid="{00000000-0005-0000-0000-00001F0C0000}"/>
    <cellStyle name="20% - Accent3 12 2 5" xfId="5763" xr:uid="{00000000-0005-0000-0000-0000200C0000}"/>
    <cellStyle name="20% - Accent3 12 2 5 2" xfId="17051" xr:uid="{00000000-0005-0000-0000-0000210C0000}"/>
    <cellStyle name="20% - Accent3 12 2 6" xfId="15057" xr:uid="{00000000-0005-0000-0000-0000220C0000}"/>
    <cellStyle name="20% - Accent3 12 3" xfId="10748" xr:uid="{00000000-0005-0000-0000-0000230C0000}"/>
    <cellStyle name="20% - Accent3 12 3 2" xfId="22036" xr:uid="{00000000-0005-0000-0000-0000240C0000}"/>
    <cellStyle name="20% - Accent3 12 4" xfId="8754" xr:uid="{00000000-0005-0000-0000-0000250C0000}"/>
    <cellStyle name="20% - Accent3 12 4 2" xfId="20042" xr:uid="{00000000-0005-0000-0000-0000260C0000}"/>
    <cellStyle name="20% - Accent3 12 5" xfId="6760" xr:uid="{00000000-0005-0000-0000-0000270C0000}"/>
    <cellStyle name="20% - Accent3 12 5 2" xfId="18048" xr:uid="{00000000-0005-0000-0000-0000280C0000}"/>
    <cellStyle name="20% - Accent3 12 6" xfId="4766" xr:uid="{00000000-0005-0000-0000-0000290C0000}"/>
    <cellStyle name="20% - Accent3 12 6 2" xfId="16054" xr:uid="{00000000-0005-0000-0000-00002A0C0000}"/>
    <cellStyle name="20% - Accent3 12 7" xfId="14060" xr:uid="{00000000-0005-0000-0000-00002B0C0000}"/>
    <cellStyle name="20% - Accent3 12 8" xfId="12746" xr:uid="{00000000-0005-0000-0000-00002C0C0000}"/>
    <cellStyle name="20% - Accent3 13" xfId="811" xr:uid="{00000000-0005-0000-0000-00002D0C0000}"/>
    <cellStyle name="20% - Accent3 13 2" xfId="3767" xr:uid="{00000000-0005-0000-0000-00002E0C0000}"/>
    <cellStyle name="20% - Accent3 13 2 2" xfId="11746" xr:uid="{00000000-0005-0000-0000-00002F0C0000}"/>
    <cellStyle name="20% - Accent3 13 2 2 2" xfId="23034" xr:uid="{00000000-0005-0000-0000-0000300C0000}"/>
    <cellStyle name="20% - Accent3 13 2 3" xfId="9752" xr:uid="{00000000-0005-0000-0000-0000310C0000}"/>
    <cellStyle name="20% - Accent3 13 2 3 2" xfId="21040" xr:uid="{00000000-0005-0000-0000-0000320C0000}"/>
    <cellStyle name="20% - Accent3 13 2 4" xfId="7758" xr:uid="{00000000-0005-0000-0000-0000330C0000}"/>
    <cellStyle name="20% - Accent3 13 2 4 2" xfId="19046" xr:uid="{00000000-0005-0000-0000-0000340C0000}"/>
    <cellStyle name="20% - Accent3 13 2 5" xfId="5764" xr:uid="{00000000-0005-0000-0000-0000350C0000}"/>
    <cellStyle name="20% - Accent3 13 2 5 2" xfId="17052" xr:uid="{00000000-0005-0000-0000-0000360C0000}"/>
    <cellStyle name="20% - Accent3 13 2 6" xfId="15058" xr:uid="{00000000-0005-0000-0000-0000370C0000}"/>
    <cellStyle name="20% - Accent3 13 3" xfId="10749" xr:uid="{00000000-0005-0000-0000-0000380C0000}"/>
    <cellStyle name="20% - Accent3 13 3 2" xfId="22037" xr:uid="{00000000-0005-0000-0000-0000390C0000}"/>
    <cellStyle name="20% - Accent3 13 4" xfId="8755" xr:uid="{00000000-0005-0000-0000-00003A0C0000}"/>
    <cellStyle name="20% - Accent3 13 4 2" xfId="20043" xr:uid="{00000000-0005-0000-0000-00003B0C0000}"/>
    <cellStyle name="20% - Accent3 13 5" xfId="6761" xr:uid="{00000000-0005-0000-0000-00003C0C0000}"/>
    <cellStyle name="20% - Accent3 13 5 2" xfId="18049" xr:uid="{00000000-0005-0000-0000-00003D0C0000}"/>
    <cellStyle name="20% - Accent3 13 6" xfId="4767" xr:uid="{00000000-0005-0000-0000-00003E0C0000}"/>
    <cellStyle name="20% - Accent3 13 6 2" xfId="16055" xr:uid="{00000000-0005-0000-0000-00003F0C0000}"/>
    <cellStyle name="20% - Accent3 13 7" xfId="14061" xr:uid="{00000000-0005-0000-0000-0000400C0000}"/>
    <cellStyle name="20% - Accent3 13 8" xfId="12747" xr:uid="{00000000-0005-0000-0000-0000410C0000}"/>
    <cellStyle name="20% - Accent3 14" xfId="812" xr:uid="{00000000-0005-0000-0000-0000420C0000}"/>
    <cellStyle name="20% - Accent3 14 2" xfId="3768" xr:uid="{00000000-0005-0000-0000-0000430C0000}"/>
    <cellStyle name="20% - Accent3 14 2 2" xfId="11747" xr:uid="{00000000-0005-0000-0000-0000440C0000}"/>
    <cellStyle name="20% - Accent3 14 2 2 2" xfId="23035" xr:uid="{00000000-0005-0000-0000-0000450C0000}"/>
    <cellStyle name="20% - Accent3 14 2 3" xfId="9753" xr:uid="{00000000-0005-0000-0000-0000460C0000}"/>
    <cellStyle name="20% - Accent3 14 2 3 2" xfId="21041" xr:uid="{00000000-0005-0000-0000-0000470C0000}"/>
    <cellStyle name="20% - Accent3 14 2 4" xfId="7759" xr:uid="{00000000-0005-0000-0000-0000480C0000}"/>
    <cellStyle name="20% - Accent3 14 2 4 2" xfId="19047" xr:uid="{00000000-0005-0000-0000-0000490C0000}"/>
    <cellStyle name="20% - Accent3 14 2 5" xfId="5765" xr:uid="{00000000-0005-0000-0000-00004A0C0000}"/>
    <cellStyle name="20% - Accent3 14 2 5 2" xfId="17053" xr:uid="{00000000-0005-0000-0000-00004B0C0000}"/>
    <cellStyle name="20% - Accent3 14 2 6" xfId="15059" xr:uid="{00000000-0005-0000-0000-00004C0C0000}"/>
    <cellStyle name="20% - Accent3 14 3" xfId="10750" xr:uid="{00000000-0005-0000-0000-00004D0C0000}"/>
    <cellStyle name="20% - Accent3 14 3 2" xfId="22038" xr:uid="{00000000-0005-0000-0000-00004E0C0000}"/>
    <cellStyle name="20% - Accent3 14 4" xfId="8756" xr:uid="{00000000-0005-0000-0000-00004F0C0000}"/>
    <cellStyle name="20% - Accent3 14 4 2" xfId="20044" xr:uid="{00000000-0005-0000-0000-0000500C0000}"/>
    <cellStyle name="20% - Accent3 14 5" xfId="6762" xr:uid="{00000000-0005-0000-0000-0000510C0000}"/>
    <cellStyle name="20% - Accent3 14 5 2" xfId="18050" xr:uid="{00000000-0005-0000-0000-0000520C0000}"/>
    <cellStyle name="20% - Accent3 14 6" xfId="4768" xr:uid="{00000000-0005-0000-0000-0000530C0000}"/>
    <cellStyle name="20% - Accent3 14 6 2" xfId="16056" xr:uid="{00000000-0005-0000-0000-0000540C0000}"/>
    <cellStyle name="20% - Accent3 14 7" xfId="14062" xr:uid="{00000000-0005-0000-0000-0000550C0000}"/>
    <cellStyle name="20% - Accent3 14 8" xfId="12748" xr:uid="{00000000-0005-0000-0000-0000560C0000}"/>
    <cellStyle name="20% - Accent3 15" xfId="813" xr:uid="{00000000-0005-0000-0000-0000570C0000}"/>
    <cellStyle name="20% - Accent3 15 2" xfId="3769" xr:uid="{00000000-0005-0000-0000-0000580C0000}"/>
    <cellStyle name="20% - Accent3 15 2 2" xfId="11748" xr:uid="{00000000-0005-0000-0000-0000590C0000}"/>
    <cellStyle name="20% - Accent3 15 2 2 2" xfId="23036" xr:uid="{00000000-0005-0000-0000-00005A0C0000}"/>
    <cellStyle name="20% - Accent3 15 2 3" xfId="9754" xr:uid="{00000000-0005-0000-0000-00005B0C0000}"/>
    <cellStyle name="20% - Accent3 15 2 3 2" xfId="21042" xr:uid="{00000000-0005-0000-0000-00005C0C0000}"/>
    <cellStyle name="20% - Accent3 15 2 4" xfId="7760" xr:uid="{00000000-0005-0000-0000-00005D0C0000}"/>
    <cellStyle name="20% - Accent3 15 2 4 2" xfId="19048" xr:uid="{00000000-0005-0000-0000-00005E0C0000}"/>
    <cellStyle name="20% - Accent3 15 2 5" xfId="5766" xr:uid="{00000000-0005-0000-0000-00005F0C0000}"/>
    <cellStyle name="20% - Accent3 15 2 5 2" xfId="17054" xr:uid="{00000000-0005-0000-0000-0000600C0000}"/>
    <cellStyle name="20% - Accent3 15 2 6" xfId="15060" xr:uid="{00000000-0005-0000-0000-0000610C0000}"/>
    <cellStyle name="20% - Accent3 15 3" xfId="10751" xr:uid="{00000000-0005-0000-0000-0000620C0000}"/>
    <cellStyle name="20% - Accent3 15 3 2" xfId="22039" xr:uid="{00000000-0005-0000-0000-0000630C0000}"/>
    <cellStyle name="20% - Accent3 15 4" xfId="8757" xr:uid="{00000000-0005-0000-0000-0000640C0000}"/>
    <cellStyle name="20% - Accent3 15 4 2" xfId="20045" xr:uid="{00000000-0005-0000-0000-0000650C0000}"/>
    <cellStyle name="20% - Accent3 15 5" xfId="6763" xr:uid="{00000000-0005-0000-0000-0000660C0000}"/>
    <cellStyle name="20% - Accent3 15 5 2" xfId="18051" xr:uid="{00000000-0005-0000-0000-0000670C0000}"/>
    <cellStyle name="20% - Accent3 15 6" xfId="4769" xr:uid="{00000000-0005-0000-0000-0000680C0000}"/>
    <cellStyle name="20% - Accent3 15 6 2" xfId="16057" xr:uid="{00000000-0005-0000-0000-0000690C0000}"/>
    <cellStyle name="20% - Accent3 15 7" xfId="14063" xr:uid="{00000000-0005-0000-0000-00006A0C0000}"/>
    <cellStyle name="20% - Accent3 15 8" xfId="12749" xr:uid="{00000000-0005-0000-0000-00006B0C0000}"/>
    <cellStyle name="20% - Accent3 16" xfId="814" xr:uid="{00000000-0005-0000-0000-00006C0C0000}"/>
    <cellStyle name="20% - Accent3 16 2" xfId="3770" xr:uid="{00000000-0005-0000-0000-00006D0C0000}"/>
    <cellStyle name="20% - Accent3 16 2 2" xfId="11749" xr:uid="{00000000-0005-0000-0000-00006E0C0000}"/>
    <cellStyle name="20% - Accent3 16 2 2 2" xfId="23037" xr:uid="{00000000-0005-0000-0000-00006F0C0000}"/>
    <cellStyle name="20% - Accent3 16 2 3" xfId="9755" xr:uid="{00000000-0005-0000-0000-0000700C0000}"/>
    <cellStyle name="20% - Accent3 16 2 3 2" xfId="21043" xr:uid="{00000000-0005-0000-0000-0000710C0000}"/>
    <cellStyle name="20% - Accent3 16 2 4" xfId="7761" xr:uid="{00000000-0005-0000-0000-0000720C0000}"/>
    <cellStyle name="20% - Accent3 16 2 4 2" xfId="19049" xr:uid="{00000000-0005-0000-0000-0000730C0000}"/>
    <cellStyle name="20% - Accent3 16 2 5" xfId="5767" xr:uid="{00000000-0005-0000-0000-0000740C0000}"/>
    <cellStyle name="20% - Accent3 16 2 5 2" xfId="17055" xr:uid="{00000000-0005-0000-0000-0000750C0000}"/>
    <cellStyle name="20% - Accent3 16 2 6" xfId="15061" xr:uid="{00000000-0005-0000-0000-0000760C0000}"/>
    <cellStyle name="20% - Accent3 16 3" xfId="10752" xr:uid="{00000000-0005-0000-0000-0000770C0000}"/>
    <cellStyle name="20% - Accent3 16 3 2" xfId="22040" xr:uid="{00000000-0005-0000-0000-0000780C0000}"/>
    <cellStyle name="20% - Accent3 16 4" xfId="8758" xr:uid="{00000000-0005-0000-0000-0000790C0000}"/>
    <cellStyle name="20% - Accent3 16 4 2" xfId="20046" xr:uid="{00000000-0005-0000-0000-00007A0C0000}"/>
    <cellStyle name="20% - Accent3 16 5" xfId="6764" xr:uid="{00000000-0005-0000-0000-00007B0C0000}"/>
    <cellStyle name="20% - Accent3 16 5 2" xfId="18052" xr:uid="{00000000-0005-0000-0000-00007C0C0000}"/>
    <cellStyle name="20% - Accent3 16 6" xfId="4770" xr:uid="{00000000-0005-0000-0000-00007D0C0000}"/>
    <cellStyle name="20% - Accent3 16 6 2" xfId="16058" xr:uid="{00000000-0005-0000-0000-00007E0C0000}"/>
    <cellStyle name="20% - Accent3 16 7" xfId="14064" xr:uid="{00000000-0005-0000-0000-00007F0C0000}"/>
    <cellStyle name="20% - Accent3 16 8" xfId="12750" xr:uid="{00000000-0005-0000-0000-0000800C0000}"/>
    <cellStyle name="20% - Accent3 17" xfId="815" xr:uid="{00000000-0005-0000-0000-0000810C0000}"/>
    <cellStyle name="20% - Accent3 17 2" xfId="3771" xr:uid="{00000000-0005-0000-0000-0000820C0000}"/>
    <cellStyle name="20% - Accent3 17 2 2" xfId="11750" xr:uid="{00000000-0005-0000-0000-0000830C0000}"/>
    <cellStyle name="20% - Accent3 17 2 2 2" xfId="23038" xr:uid="{00000000-0005-0000-0000-0000840C0000}"/>
    <cellStyle name="20% - Accent3 17 2 3" xfId="9756" xr:uid="{00000000-0005-0000-0000-0000850C0000}"/>
    <cellStyle name="20% - Accent3 17 2 3 2" xfId="21044" xr:uid="{00000000-0005-0000-0000-0000860C0000}"/>
    <cellStyle name="20% - Accent3 17 2 4" xfId="7762" xr:uid="{00000000-0005-0000-0000-0000870C0000}"/>
    <cellStyle name="20% - Accent3 17 2 4 2" xfId="19050" xr:uid="{00000000-0005-0000-0000-0000880C0000}"/>
    <cellStyle name="20% - Accent3 17 2 5" xfId="5768" xr:uid="{00000000-0005-0000-0000-0000890C0000}"/>
    <cellStyle name="20% - Accent3 17 2 5 2" xfId="17056" xr:uid="{00000000-0005-0000-0000-00008A0C0000}"/>
    <cellStyle name="20% - Accent3 17 2 6" xfId="15062" xr:uid="{00000000-0005-0000-0000-00008B0C0000}"/>
    <cellStyle name="20% - Accent3 17 3" xfId="10753" xr:uid="{00000000-0005-0000-0000-00008C0C0000}"/>
    <cellStyle name="20% - Accent3 17 3 2" xfId="22041" xr:uid="{00000000-0005-0000-0000-00008D0C0000}"/>
    <cellStyle name="20% - Accent3 17 4" xfId="8759" xr:uid="{00000000-0005-0000-0000-00008E0C0000}"/>
    <cellStyle name="20% - Accent3 17 4 2" xfId="20047" xr:uid="{00000000-0005-0000-0000-00008F0C0000}"/>
    <cellStyle name="20% - Accent3 17 5" xfId="6765" xr:uid="{00000000-0005-0000-0000-0000900C0000}"/>
    <cellStyle name="20% - Accent3 17 5 2" xfId="18053" xr:uid="{00000000-0005-0000-0000-0000910C0000}"/>
    <cellStyle name="20% - Accent3 17 6" xfId="4771" xr:uid="{00000000-0005-0000-0000-0000920C0000}"/>
    <cellStyle name="20% - Accent3 17 6 2" xfId="16059" xr:uid="{00000000-0005-0000-0000-0000930C0000}"/>
    <cellStyle name="20% - Accent3 17 7" xfId="14065" xr:uid="{00000000-0005-0000-0000-0000940C0000}"/>
    <cellStyle name="20% - Accent3 17 8" xfId="12751" xr:uid="{00000000-0005-0000-0000-0000950C0000}"/>
    <cellStyle name="20% - Accent3 18" xfId="816" xr:uid="{00000000-0005-0000-0000-0000960C0000}"/>
    <cellStyle name="20% - Accent3 18 2" xfId="3772" xr:uid="{00000000-0005-0000-0000-0000970C0000}"/>
    <cellStyle name="20% - Accent3 18 2 2" xfId="11751" xr:uid="{00000000-0005-0000-0000-0000980C0000}"/>
    <cellStyle name="20% - Accent3 18 2 2 2" xfId="23039" xr:uid="{00000000-0005-0000-0000-0000990C0000}"/>
    <cellStyle name="20% - Accent3 18 2 3" xfId="9757" xr:uid="{00000000-0005-0000-0000-00009A0C0000}"/>
    <cellStyle name="20% - Accent3 18 2 3 2" xfId="21045" xr:uid="{00000000-0005-0000-0000-00009B0C0000}"/>
    <cellStyle name="20% - Accent3 18 2 4" xfId="7763" xr:uid="{00000000-0005-0000-0000-00009C0C0000}"/>
    <cellStyle name="20% - Accent3 18 2 4 2" xfId="19051" xr:uid="{00000000-0005-0000-0000-00009D0C0000}"/>
    <cellStyle name="20% - Accent3 18 2 5" xfId="5769" xr:uid="{00000000-0005-0000-0000-00009E0C0000}"/>
    <cellStyle name="20% - Accent3 18 2 5 2" xfId="17057" xr:uid="{00000000-0005-0000-0000-00009F0C0000}"/>
    <cellStyle name="20% - Accent3 18 2 6" xfId="15063" xr:uid="{00000000-0005-0000-0000-0000A00C0000}"/>
    <cellStyle name="20% - Accent3 18 3" xfId="10754" xr:uid="{00000000-0005-0000-0000-0000A10C0000}"/>
    <cellStyle name="20% - Accent3 18 3 2" xfId="22042" xr:uid="{00000000-0005-0000-0000-0000A20C0000}"/>
    <cellStyle name="20% - Accent3 18 4" xfId="8760" xr:uid="{00000000-0005-0000-0000-0000A30C0000}"/>
    <cellStyle name="20% - Accent3 18 4 2" xfId="20048" xr:uid="{00000000-0005-0000-0000-0000A40C0000}"/>
    <cellStyle name="20% - Accent3 18 5" xfId="6766" xr:uid="{00000000-0005-0000-0000-0000A50C0000}"/>
    <cellStyle name="20% - Accent3 18 5 2" xfId="18054" xr:uid="{00000000-0005-0000-0000-0000A60C0000}"/>
    <cellStyle name="20% - Accent3 18 6" xfId="4772" xr:uid="{00000000-0005-0000-0000-0000A70C0000}"/>
    <cellStyle name="20% - Accent3 18 6 2" xfId="16060" xr:uid="{00000000-0005-0000-0000-0000A80C0000}"/>
    <cellStyle name="20% - Accent3 18 7" xfId="14066" xr:uid="{00000000-0005-0000-0000-0000A90C0000}"/>
    <cellStyle name="20% - Accent3 18 8" xfId="12752" xr:uid="{00000000-0005-0000-0000-0000AA0C0000}"/>
    <cellStyle name="20% - Accent3 19" xfId="817" xr:uid="{00000000-0005-0000-0000-0000AB0C0000}"/>
    <cellStyle name="20% - Accent3 19 2" xfId="3773" xr:uid="{00000000-0005-0000-0000-0000AC0C0000}"/>
    <cellStyle name="20% - Accent3 19 2 2" xfId="11752" xr:uid="{00000000-0005-0000-0000-0000AD0C0000}"/>
    <cellStyle name="20% - Accent3 19 2 2 2" xfId="23040" xr:uid="{00000000-0005-0000-0000-0000AE0C0000}"/>
    <cellStyle name="20% - Accent3 19 2 3" xfId="9758" xr:uid="{00000000-0005-0000-0000-0000AF0C0000}"/>
    <cellStyle name="20% - Accent3 19 2 3 2" xfId="21046" xr:uid="{00000000-0005-0000-0000-0000B00C0000}"/>
    <cellStyle name="20% - Accent3 19 2 4" xfId="7764" xr:uid="{00000000-0005-0000-0000-0000B10C0000}"/>
    <cellStyle name="20% - Accent3 19 2 4 2" xfId="19052" xr:uid="{00000000-0005-0000-0000-0000B20C0000}"/>
    <cellStyle name="20% - Accent3 19 2 5" xfId="5770" xr:uid="{00000000-0005-0000-0000-0000B30C0000}"/>
    <cellStyle name="20% - Accent3 19 2 5 2" xfId="17058" xr:uid="{00000000-0005-0000-0000-0000B40C0000}"/>
    <cellStyle name="20% - Accent3 19 2 6" xfId="15064" xr:uid="{00000000-0005-0000-0000-0000B50C0000}"/>
    <cellStyle name="20% - Accent3 19 3" xfId="10755" xr:uid="{00000000-0005-0000-0000-0000B60C0000}"/>
    <cellStyle name="20% - Accent3 19 3 2" xfId="22043" xr:uid="{00000000-0005-0000-0000-0000B70C0000}"/>
    <cellStyle name="20% - Accent3 19 4" xfId="8761" xr:uid="{00000000-0005-0000-0000-0000B80C0000}"/>
    <cellStyle name="20% - Accent3 19 4 2" xfId="20049" xr:uid="{00000000-0005-0000-0000-0000B90C0000}"/>
    <cellStyle name="20% - Accent3 19 5" xfId="6767" xr:uid="{00000000-0005-0000-0000-0000BA0C0000}"/>
    <cellStyle name="20% - Accent3 19 5 2" xfId="18055" xr:uid="{00000000-0005-0000-0000-0000BB0C0000}"/>
    <cellStyle name="20% - Accent3 19 6" xfId="4773" xr:uid="{00000000-0005-0000-0000-0000BC0C0000}"/>
    <cellStyle name="20% - Accent3 19 6 2" xfId="16061" xr:uid="{00000000-0005-0000-0000-0000BD0C0000}"/>
    <cellStyle name="20% - Accent3 19 7" xfId="14067" xr:uid="{00000000-0005-0000-0000-0000BE0C0000}"/>
    <cellStyle name="20% - Accent3 19 8" xfId="12753" xr:uid="{00000000-0005-0000-0000-0000BF0C0000}"/>
    <cellStyle name="20% - Accent3 2" xfId="818" xr:uid="{00000000-0005-0000-0000-0000C00C0000}"/>
    <cellStyle name="20% - Accent3 2 10" xfId="24571" xr:uid="{00000000-0005-0000-0000-0000C10C0000}"/>
    <cellStyle name="20% - Accent3 2 11" xfId="24961" xr:uid="{00000000-0005-0000-0000-0000C20C0000}"/>
    <cellStyle name="20% - Accent3 2 2" xfId="3774" xr:uid="{00000000-0005-0000-0000-0000C30C0000}"/>
    <cellStyle name="20% - Accent3 2 2 2" xfId="11753" xr:uid="{00000000-0005-0000-0000-0000C40C0000}"/>
    <cellStyle name="20% - Accent3 2 2 2 2" xfId="23041" xr:uid="{00000000-0005-0000-0000-0000C50C0000}"/>
    <cellStyle name="20% - Accent3 2 2 3" xfId="9759" xr:uid="{00000000-0005-0000-0000-0000C60C0000}"/>
    <cellStyle name="20% - Accent3 2 2 3 2" xfId="21047" xr:uid="{00000000-0005-0000-0000-0000C70C0000}"/>
    <cellStyle name="20% - Accent3 2 2 4" xfId="7765" xr:uid="{00000000-0005-0000-0000-0000C80C0000}"/>
    <cellStyle name="20% - Accent3 2 2 4 2" xfId="19053" xr:uid="{00000000-0005-0000-0000-0000C90C0000}"/>
    <cellStyle name="20% - Accent3 2 2 5" xfId="5771" xr:uid="{00000000-0005-0000-0000-0000CA0C0000}"/>
    <cellStyle name="20% - Accent3 2 2 5 2" xfId="17059" xr:uid="{00000000-0005-0000-0000-0000CB0C0000}"/>
    <cellStyle name="20% - Accent3 2 2 6" xfId="15065" xr:uid="{00000000-0005-0000-0000-0000CC0C0000}"/>
    <cellStyle name="20% - Accent3 2 2 7" xfId="24332" xr:uid="{00000000-0005-0000-0000-0000CD0C0000}"/>
    <cellStyle name="20% - Accent3 2 2 8" xfId="24796" xr:uid="{00000000-0005-0000-0000-0000CE0C0000}"/>
    <cellStyle name="20% - Accent3 2 2 9" xfId="25163" xr:uid="{00000000-0005-0000-0000-0000CF0C0000}"/>
    <cellStyle name="20% - Accent3 2 3" xfId="10756" xr:uid="{00000000-0005-0000-0000-0000D00C0000}"/>
    <cellStyle name="20% - Accent3 2 3 2" xfId="22044" xr:uid="{00000000-0005-0000-0000-0000D10C0000}"/>
    <cellStyle name="20% - Accent3 2 4" xfId="8762" xr:uid="{00000000-0005-0000-0000-0000D20C0000}"/>
    <cellStyle name="20% - Accent3 2 4 2" xfId="20050" xr:uid="{00000000-0005-0000-0000-0000D30C0000}"/>
    <cellStyle name="20% - Accent3 2 5" xfId="6768" xr:uid="{00000000-0005-0000-0000-0000D40C0000}"/>
    <cellStyle name="20% - Accent3 2 5 2" xfId="18056" xr:uid="{00000000-0005-0000-0000-0000D50C0000}"/>
    <cellStyle name="20% - Accent3 2 6" xfId="4774" xr:uid="{00000000-0005-0000-0000-0000D60C0000}"/>
    <cellStyle name="20% - Accent3 2 6 2" xfId="16062" xr:uid="{00000000-0005-0000-0000-0000D70C0000}"/>
    <cellStyle name="20% - Accent3 2 7" xfId="14068" xr:uid="{00000000-0005-0000-0000-0000D80C0000}"/>
    <cellStyle name="20% - Accent3 2 8" xfId="12754" xr:uid="{00000000-0005-0000-0000-0000D90C0000}"/>
    <cellStyle name="20% - Accent3 2 9" xfId="23944" xr:uid="{00000000-0005-0000-0000-0000DA0C0000}"/>
    <cellStyle name="20% - Accent3 20" xfId="819" xr:uid="{00000000-0005-0000-0000-0000DB0C0000}"/>
    <cellStyle name="20% - Accent3 20 2" xfId="3775" xr:uid="{00000000-0005-0000-0000-0000DC0C0000}"/>
    <cellStyle name="20% - Accent3 20 2 2" xfId="11754" xr:uid="{00000000-0005-0000-0000-0000DD0C0000}"/>
    <cellStyle name="20% - Accent3 20 2 2 2" xfId="23042" xr:uid="{00000000-0005-0000-0000-0000DE0C0000}"/>
    <cellStyle name="20% - Accent3 20 2 3" xfId="9760" xr:uid="{00000000-0005-0000-0000-0000DF0C0000}"/>
    <cellStyle name="20% - Accent3 20 2 3 2" xfId="21048" xr:uid="{00000000-0005-0000-0000-0000E00C0000}"/>
    <cellStyle name="20% - Accent3 20 2 4" xfId="7766" xr:uid="{00000000-0005-0000-0000-0000E10C0000}"/>
    <cellStyle name="20% - Accent3 20 2 4 2" xfId="19054" xr:uid="{00000000-0005-0000-0000-0000E20C0000}"/>
    <cellStyle name="20% - Accent3 20 2 5" xfId="5772" xr:uid="{00000000-0005-0000-0000-0000E30C0000}"/>
    <cellStyle name="20% - Accent3 20 2 5 2" xfId="17060" xr:uid="{00000000-0005-0000-0000-0000E40C0000}"/>
    <cellStyle name="20% - Accent3 20 2 6" xfId="15066" xr:uid="{00000000-0005-0000-0000-0000E50C0000}"/>
    <cellStyle name="20% - Accent3 20 3" xfId="10757" xr:uid="{00000000-0005-0000-0000-0000E60C0000}"/>
    <cellStyle name="20% - Accent3 20 3 2" xfId="22045" xr:uid="{00000000-0005-0000-0000-0000E70C0000}"/>
    <cellStyle name="20% - Accent3 20 4" xfId="8763" xr:uid="{00000000-0005-0000-0000-0000E80C0000}"/>
    <cellStyle name="20% - Accent3 20 4 2" xfId="20051" xr:uid="{00000000-0005-0000-0000-0000E90C0000}"/>
    <cellStyle name="20% - Accent3 20 5" xfId="6769" xr:uid="{00000000-0005-0000-0000-0000EA0C0000}"/>
    <cellStyle name="20% - Accent3 20 5 2" xfId="18057" xr:uid="{00000000-0005-0000-0000-0000EB0C0000}"/>
    <cellStyle name="20% - Accent3 20 6" xfId="4775" xr:uid="{00000000-0005-0000-0000-0000EC0C0000}"/>
    <cellStyle name="20% - Accent3 20 6 2" xfId="16063" xr:uid="{00000000-0005-0000-0000-0000ED0C0000}"/>
    <cellStyle name="20% - Accent3 20 7" xfId="14069" xr:uid="{00000000-0005-0000-0000-0000EE0C0000}"/>
    <cellStyle name="20% - Accent3 20 8" xfId="12755" xr:uid="{00000000-0005-0000-0000-0000EF0C0000}"/>
    <cellStyle name="20% - Accent3 21" xfId="820" xr:uid="{00000000-0005-0000-0000-0000F00C0000}"/>
    <cellStyle name="20% - Accent3 21 2" xfId="3776" xr:uid="{00000000-0005-0000-0000-0000F10C0000}"/>
    <cellStyle name="20% - Accent3 21 2 2" xfId="11755" xr:uid="{00000000-0005-0000-0000-0000F20C0000}"/>
    <cellStyle name="20% - Accent3 21 2 2 2" xfId="23043" xr:uid="{00000000-0005-0000-0000-0000F30C0000}"/>
    <cellStyle name="20% - Accent3 21 2 3" xfId="9761" xr:uid="{00000000-0005-0000-0000-0000F40C0000}"/>
    <cellStyle name="20% - Accent3 21 2 3 2" xfId="21049" xr:uid="{00000000-0005-0000-0000-0000F50C0000}"/>
    <cellStyle name="20% - Accent3 21 2 4" xfId="7767" xr:uid="{00000000-0005-0000-0000-0000F60C0000}"/>
    <cellStyle name="20% - Accent3 21 2 4 2" xfId="19055" xr:uid="{00000000-0005-0000-0000-0000F70C0000}"/>
    <cellStyle name="20% - Accent3 21 2 5" xfId="5773" xr:uid="{00000000-0005-0000-0000-0000F80C0000}"/>
    <cellStyle name="20% - Accent3 21 2 5 2" xfId="17061" xr:uid="{00000000-0005-0000-0000-0000F90C0000}"/>
    <cellStyle name="20% - Accent3 21 2 6" xfId="15067" xr:uid="{00000000-0005-0000-0000-0000FA0C0000}"/>
    <cellStyle name="20% - Accent3 21 3" xfId="10758" xr:uid="{00000000-0005-0000-0000-0000FB0C0000}"/>
    <cellStyle name="20% - Accent3 21 3 2" xfId="22046" xr:uid="{00000000-0005-0000-0000-0000FC0C0000}"/>
    <cellStyle name="20% - Accent3 21 4" xfId="8764" xr:uid="{00000000-0005-0000-0000-0000FD0C0000}"/>
    <cellStyle name="20% - Accent3 21 4 2" xfId="20052" xr:uid="{00000000-0005-0000-0000-0000FE0C0000}"/>
    <cellStyle name="20% - Accent3 21 5" xfId="6770" xr:uid="{00000000-0005-0000-0000-0000FF0C0000}"/>
    <cellStyle name="20% - Accent3 21 5 2" xfId="18058" xr:uid="{00000000-0005-0000-0000-0000000D0000}"/>
    <cellStyle name="20% - Accent3 21 6" xfId="4776" xr:uid="{00000000-0005-0000-0000-0000010D0000}"/>
    <cellStyle name="20% - Accent3 21 6 2" xfId="16064" xr:uid="{00000000-0005-0000-0000-0000020D0000}"/>
    <cellStyle name="20% - Accent3 21 7" xfId="14070" xr:uid="{00000000-0005-0000-0000-0000030D0000}"/>
    <cellStyle name="20% - Accent3 21 8" xfId="12756" xr:uid="{00000000-0005-0000-0000-0000040D0000}"/>
    <cellStyle name="20% - Accent3 22" xfId="821" xr:uid="{00000000-0005-0000-0000-0000050D0000}"/>
    <cellStyle name="20% - Accent3 22 2" xfId="3777" xr:uid="{00000000-0005-0000-0000-0000060D0000}"/>
    <cellStyle name="20% - Accent3 22 2 2" xfId="11756" xr:uid="{00000000-0005-0000-0000-0000070D0000}"/>
    <cellStyle name="20% - Accent3 22 2 2 2" xfId="23044" xr:uid="{00000000-0005-0000-0000-0000080D0000}"/>
    <cellStyle name="20% - Accent3 22 2 3" xfId="9762" xr:uid="{00000000-0005-0000-0000-0000090D0000}"/>
    <cellStyle name="20% - Accent3 22 2 3 2" xfId="21050" xr:uid="{00000000-0005-0000-0000-00000A0D0000}"/>
    <cellStyle name="20% - Accent3 22 2 4" xfId="7768" xr:uid="{00000000-0005-0000-0000-00000B0D0000}"/>
    <cellStyle name="20% - Accent3 22 2 4 2" xfId="19056" xr:uid="{00000000-0005-0000-0000-00000C0D0000}"/>
    <cellStyle name="20% - Accent3 22 2 5" xfId="5774" xr:uid="{00000000-0005-0000-0000-00000D0D0000}"/>
    <cellStyle name="20% - Accent3 22 2 5 2" xfId="17062" xr:uid="{00000000-0005-0000-0000-00000E0D0000}"/>
    <cellStyle name="20% - Accent3 22 2 6" xfId="15068" xr:uid="{00000000-0005-0000-0000-00000F0D0000}"/>
    <cellStyle name="20% - Accent3 22 3" xfId="10759" xr:uid="{00000000-0005-0000-0000-0000100D0000}"/>
    <cellStyle name="20% - Accent3 22 3 2" xfId="22047" xr:uid="{00000000-0005-0000-0000-0000110D0000}"/>
    <cellStyle name="20% - Accent3 22 4" xfId="8765" xr:uid="{00000000-0005-0000-0000-0000120D0000}"/>
    <cellStyle name="20% - Accent3 22 4 2" xfId="20053" xr:uid="{00000000-0005-0000-0000-0000130D0000}"/>
    <cellStyle name="20% - Accent3 22 5" xfId="6771" xr:uid="{00000000-0005-0000-0000-0000140D0000}"/>
    <cellStyle name="20% - Accent3 22 5 2" xfId="18059" xr:uid="{00000000-0005-0000-0000-0000150D0000}"/>
    <cellStyle name="20% - Accent3 22 6" xfId="4777" xr:uid="{00000000-0005-0000-0000-0000160D0000}"/>
    <cellStyle name="20% - Accent3 22 6 2" xfId="16065" xr:uid="{00000000-0005-0000-0000-0000170D0000}"/>
    <cellStyle name="20% - Accent3 22 7" xfId="14071" xr:uid="{00000000-0005-0000-0000-0000180D0000}"/>
    <cellStyle name="20% - Accent3 22 8" xfId="12757" xr:uid="{00000000-0005-0000-0000-0000190D0000}"/>
    <cellStyle name="20% - Accent3 23" xfId="822" xr:uid="{00000000-0005-0000-0000-00001A0D0000}"/>
    <cellStyle name="20% - Accent3 23 2" xfId="3778" xr:uid="{00000000-0005-0000-0000-00001B0D0000}"/>
    <cellStyle name="20% - Accent3 23 2 2" xfId="11757" xr:uid="{00000000-0005-0000-0000-00001C0D0000}"/>
    <cellStyle name="20% - Accent3 23 2 2 2" xfId="23045" xr:uid="{00000000-0005-0000-0000-00001D0D0000}"/>
    <cellStyle name="20% - Accent3 23 2 3" xfId="9763" xr:uid="{00000000-0005-0000-0000-00001E0D0000}"/>
    <cellStyle name="20% - Accent3 23 2 3 2" xfId="21051" xr:uid="{00000000-0005-0000-0000-00001F0D0000}"/>
    <cellStyle name="20% - Accent3 23 2 4" xfId="7769" xr:uid="{00000000-0005-0000-0000-0000200D0000}"/>
    <cellStyle name="20% - Accent3 23 2 4 2" xfId="19057" xr:uid="{00000000-0005-0000-0000-0000210D0000}"/>
    <cellStyle name="20% - Accent3 23 2 5" xfId="5775" xr:uid="{00000000-0005-0000-0000-0000220D0000}"/>
    <cellStyle name="20% - Accent3 23 2 5 2" xfId="17063" xr:uid="{00000000-0005-0000-0000-0000230D0000}"/>
    <cellStyle name="20% - Accent3 23 2 6" xfId="15069" xr:uid="{00000000-0005-0000-0000-0000240D0000}"/>
    <cellStyle name="20% - Accent3 23 3" xfId="10760" xr:uid="{00000000-0005-0000-0000-0000250D0000}"/>
    <cellStyle name="20% - Accent3 23 3 2" xfId="22048" xr:uid="{00000000-0005-0000-0000-0000260D0000}"/>
    <cellStyle name="20% - Accent3 23 4" xfId="8766" xr:uid="{00000000-0005-0000-0000-0000270D0000}"/>
    <cellStyle name="20% - Accent3 23 4 2" xfId="20054" xr:uid="{00000000-0005-0000-0000-0000280D0000}"/>
    <cellStyle name="20% - Accent3 23 5" xfId="6772" xr:uid="{00000000-0005-0000-0000-0000290D0000}"/>
    <cellStyle name="20% - Accent3 23 5 2" xfId="18060" xr:uid="{00000000-0005-0000-0000-00002A0D0000}"/>
    <cellStyle name="20% - Accent3 23 6" xfId="4778" xr:uid="{00000000-0005-0000-0000-00002B0D0000}"/>
    <cellStyle name="20% - Accent3 23 6 2" xfId="16066" xr:uid="{00000000-0005-0000-0000-00002C0D0000}"/>
    <cellStyle name="20% - Accent3 23 7" xfId="14072" xr:uid="{00000000-0005-0000-0000-00002D0D0000}"/>
    <cellStyle name="20% - Accent3 23 8" xfId="12758" xr:uid="{00000000-0005-0000-0000-00002E0D0000}"/>
    <cellStyle name="20% - Accent3 24" xfId="823" xr:uid="{00000000-0005-0000-0000-00002F0D0000}"/>
    <cellStyle name="20% - Accent3 24 2" xfId="3779" xr:uid="{00000000-0005-0000-0000-0000300D0000}"/>
    <cellStyle name="20% - Accent3 24 2 2" xfId="11758" xr:uid="{00000000-0005-0000-0000-0000310D0000}"/>
    <cellStyle name="20% - Accent3 24 2 2 2" xfId="23046" xr:uid="{00000000-0005-0000-0000-0000320D0000}"/>
    <cellStyle name="20% - Accent3 24 2 3" xfId="9764" xr:uid="{00000000-0005-0000-0000-0000330D0000}"/>
    <cellStyle name="20% - Accent3 24 2 3 2" xfId="21052" xr:uid="{00000000-0005-0000-0000-0000340D0000}"/>
    <cellStyle name="20% - Accent3 24 2 4" xfId="7770" xr:uid="{00000000-0005-0000-0000-0000350D0000}"/>
    <cellStyle name="20% - Accent3 24 2 4 2" xfId="19058" xr:uid="{00000000-0005-0000-0000-0000360D0000}"/>
    <cellStyle name="20% - Accent3 24 2 5" xfId="5776" xr:uid="{00000000-0005-0000-0000-0000370D0000}"/>
    <cellStyle name="20% - Accent3 24 2 5 2" xfId="17064" xr:uid="{00000000-0005-0000-0000-0000380D0000}"/>
    <cellStyle name="20% - Accent3 24 2 6" xfId="15070" xr:uid="{00000000-0005-0000-0000-0000390D0000}"/>
    <cellStyle name="20% - Accent3 24 3" xfId="10761" xr:uid="{00000000-0005-0000-0000-00003A0D0000}"/>
    <cellStyle name="20% - Accent3 24 3 2" xfId="22049" xr:uid="{00000000-0005-0000-0000-00003B0D0000}"/>
    <cellStyle name="20% - Accent3 24 4" xfId="8767" xr:uid="{00000000-0005-0000-0000-00003C0D0000}"/>
    <cellStyle name="20% - Accent3 24 4 2" xfId="20055" xr:uid="{00000000-0005-0000-0000-00003D0D0000}"/>
    <cellStyle name="20% - Accent3 24 5" xfId="6773" xr:uid="{00000000-0005-0000-0000-00003E0D0000}"/>
    <cellStyle name="20% - Accent3 24 5 2" xfId="18061" xr:uid="{00000000-0005-0000-0000-00003F0D0000}"/>
    <cellStyle name="20% - Accent3 24 6" xfId="4779" xr:uid="{00000000-0005-0000-0000-0000400D0000}"/>
    <cellStyle name="20% - Accent3 24 6 2" xfId="16067" xr:uid="{00000000-0005-0000-0000-0000410D0000}"/>
    <cellStyle name="20% - Accent3 24 7" xfId="14073" xr:uid="{00000000-0005-0000-0000-0000420D0000}"/>
    <cellStyle name="20% - Accent3 24 8" xfId="12759" xr:uid="{00000000-0005-0000-0000-0000430D0000}"/>
    <cellStyle name="20% - Accent3 25" xfId="824" xr:uid="{00000000-0005-0000-0000-0000440D0000}"/>
    <cellStyle name="20% - Accent3 25 2" xfId="3780" xr:uid="{00000000-0005-0000-0000-0000450D0000}"/>
    <cellStyle name="20% - Accent3 25 2 2" xfId="11759" xr:uid="{00000000-0005-0000-0000-0000460D0000}"/>
    <cellStyle name="20% - Accent3 25 2 2 2" xfId="23047" xr:uid="{00000000-0005-0000-0000-0000470D0000}"/>
    <cellStyle name="20% - Accent3 25 2 3" xfId="9765" xr:uid="{00000000-0005-0000-0000-0000480D0000}"/>
    <cellStyle name="20% - Accent3 25 2 3 2" xfId="21053" xr:uid="{00000000-0005-0000-0000-0000490D0000}"/>
    <cellStyle name="20% - Accent3 25 2 4" xfId="7771" xr:uid="{00000000-0005-0000-0000-00004A0D0000}"/>
    <cellStyle name="20% - Accent3 25 2 4 2" xfId="19059" xr:uid="{00000000-0005-0000-0000-00004B0D0000}"/>
    <cellStyle name="20% - Accent3 25 2 5" xfId="5777" xr:uid="{00000000-0005-0000-0000-00004C0D0000}"/>
    <cellStyle name="20% - Accent3 25 2 5 2" xfId="17065" xr:uid="{00000000-0005-0000-0000-00004D0D0000}"/>
    <cellStyle name="20% - Accent3 25 2 6" xfId="15071" xr:uid="{00000000-0005-0000-0000-00004E0D0000}"/>
    <cellStyle name="20% - Accent3 25 3" xfId="10762" xr:uid="{00000000-0005-0000-0000-00004F0D0000}"/>
    <cellStyle name="20% - Accent3 25 3 2" xfId="22050" xr:uid="{00000000-0005-0000-0000-0000500D0000}"/>
    <cellStyle name="20% - Accent3 25 4" xfId="8768" xr:uid="{00000000-0005-0000-0000-0000510D0000}"/>
    <cellStyle name="20% - Accent3 25 4 2" xfId="20056" xr:uid="{00000000-0005-0000-0000-0000520D0000}"/>
    <cellStyle name="20% - Accent3 25 5" xfId="6774" xr:uid="{00000000-0005-0000-0000-0000530D0000}"/>
    <cellStyle name="20% - Accent3 25 5 2" xfId="18062" xr:uid="{00000000-0005-0000-0000-0000540D0000}"/>
    <cellStyle name="20% - Accent3 25 6" xfId="4780" xr:uid="{00000000-0005-0000-0000-0000550D0000}"/>
    <cellStyle name="20% - Accent3 25 6 2" xfId="16068" xr:uid="{00000000-0005-0000-0000-0000560D0000}"/>
    <cellStyle name="20% - Accent3 25 7" xfId="14074" xr:uid="{00000000-0005-0000-0000-0000570D0000}"/>
    <cellStyle name="20% - Accent3 25 8" xfId="12760" xr:uid="{00000000-0005-0000-0000-0000580D0000}"/>
    <cellStyle name="20% - Accent3 26" xfId="825" xr:uid="{00000000-0005-0000-0000-0000590D0000}"/>
    <cellStyle name="20% - Accent3 26 2" xfId="3781" xr:uid="{00000000-0005-0000-0000-00005A0D0000}"/>
    <cellStyle name="20% - Accent3 26 2 2" xfId="11760" xr:uid="{00000000-0005-0000-0000-00005B0D0000}"/>
    <cellStyle name="20% - Accent3 26 2 2 2" xfId="23048" xr:uid="{00000000-0005-0000-0000-00005C0D0000}"/>
    <cellStyle name="20% - Accent3 26 2 3" xfId="9766" xr:uid="{00000000-0005-0000-0000-00005D0D0000}"/>
    <cellStyle name="20% - Accent3 26 2 3 2" xfId="21054" xr:uid="{00000000-0005-0000-0000-00005E0D0000}"/>
    <cellStyle name="20% - Accent3 26 2 4" xfId="7772" xr:uid="{00000000-0005-0000-0000-00005F0D0000}"/>
    <cellStyle name="20% - Accent3 26 2 4 2" xfId="19060" xr:uid="{00000000-0005-0000-0000-0000600D0000}"/>
    <cellStyle name="20% - Accent3 26 2 5" xfId="5778" xr:uid="{00000000-0005-0000-0000-0000610D0000}"/>
    <cellStyle name="20% - Accent3 26 2 5 2" xfId="17066" xr:uid="{00000000-0005-0000-0000-0000620D0000}"/>
    <cellStyle name="20% - Accent3 26 2 6" xfId="15072" xr:uid="{00000000-0005-0000-0000-0000630D0000}"/>
    <cellStyle name="20% - Accent3 26 3" xfId="10763" xr:uid="{00000000-0005-0000-0000-0000640D0000}"/>
    <cellStyle name="20% - Accent3 26 3 2" xfId="22051" xr:uid="{00000000-0005-0000-0000-0000650D0000}"/>
    <cellStyle name="20% - Accent3 26 4" xfId="8769" xr:uid="{00000000-0005-0000-0000-0000660D0000}"/>
    <cellStyle name="20% - Accent3 26 4 2" xfId="20057" xr:uid="{00000000-0005-0000-0000-0000670D0000}"/>
    <cellStyle name="20% - Accent3 26 5" xfId="6775" xr:uid="{00000000-0005-0000-0000-0000680D0000}"/>
    <cellStyle name="20% - Accent3 26 5 2" xfId="18063" xr:uid="{00000000-0005-0000-0000-0000690D0000}"/>
    <cellStyle name="20% - Accent3 26 6" xfId="4781" xr:uid="{00000000-0005-0000-0000-00006A0D0000}"/>
    <cellStyle name="20% - Accent3 26 6 2" xfId="16069" xr:uid="{00000000-0005-0000-0000-00006B0D0000}"/>
    <cellStyle name="20% - Accent3 26 7" xfId="14075" xr:uid="{00000000-0005-0000-0000-00006C0D0000}"/>
    <cellStyle name="20% - Accent3 26 8" xfId="12761" xr:uid="{00000000-0005-0000-0000-00006D0D0000}"/>
    <cellStyle name="20% - Accent3 27" xfId="826" xr:uid="{00000000-0005-0000-0000-00006E0D0000}"/>
    <cellStyle name="20% - Accent3 27 2" xfId="3782" xr:uid="{00000000-0005-0000-0000-00006F0D0000}"/>
    <cellStyle name="20% - Accent3 27 2 2" xfId="11761" xr:uid="{00000000-0005-0000-0000-0000700D0000}"/>
    <cellStyle name="20% - Accent3 27 2 2 2" xfId="23049" xr:uid="{00000000-0005-0000-0000-0000710D0000}"/>
    <cellStyle name="20% - Accent3 27 2 3" xfId="9767" xr:uid="{00000000-0005-0000-0000-0000720D0000}"/>
    <cellStyle name="20% - Accent3 27 2 3 2" xfId="21055" xr:uid="{00000000-0005-0000-0000-0000730D0000}"/>
    <cellStyle name="20% - Accent3 27 2 4" xfId="7773" xr:uid="{00000000-0005-0000-0000-0000740D0000}"/>
    <cellStyle name="20% - Accent3 27 2 4 2" xfId="19061" xr:uid="{00000000-0005-0000-0000-0000750D0000}"/>
    <cellStyle name="20% - Accent3 27 2 5" xfId="5779" xr:uid="{00000000-0005-0000-0000-0000760D0000}"/>
    <cellStyle name="20% - Accent3 27 2 5 2" xfId="17067" xr:uid="{00000000-0005-0000-0000-0000770D0000}"/>
    <cellStyle name="20% - Accent3 27 2 6" xfId="15073" xr:uid="{00000000-0005-0000-0000-0000780D0000}"/>
    <cellStyle name="20% - Accent3 27 3" xfId="10764" xr:uid="{00000000-0005-0000-0000-0000790D0000}"/>
    <cellStyle name="20% - Accent3 27 3 2" xfId="22052" xr:uid="{00000000-0005-0000-0000-00007A0D0000}"/>
    <cellStyle name="20% - Accent3 27 4" xfId="8770" xr:uid="{00000000-0005-0000-0000-00007B0D0000}"/>
    <cellStyle name="20% - Accent3 27 4 2" xfId="20058" xr:uid="{00000000-0005-0000-0000-00007C0D0000}"/>
    <cellStyle name="20% - Accent3 27 5" xfId="6776" xr:uid="{00000000-0005-0000-0000-00007D0D0000}"/>
    <cellStyle name="20% - Accent3 27 5 2" xfId="18064" xr:uid="{00000000-0005-0000-0000-00007E0D0000}"/>
    <cellStyle name="20% - Accent3 27 6" xfId="4782" xr:uid="{00000000-0005-0000-0000-00007F0D0000}"/>
    <cellStyle name="20% - Accent3 27 6 2" xfId="16070" xr:uid="{00000000-0005-0000-0000-0000800D0000}"/>
    <cellStyle name="20% - Accent3 27 7" xfId="14076" xr:uid="{00000000-0005-0000-0000-0000810D0000}"/>
    <cellStyle name="20% - Accent3 27 8" xfId="12762" xr:uid="{00000000-0005-0000-0000-0000820D0000}"/>
    <cellStyle name="20% - Accent3 28" xfId="827" xr:uid="{00000000-0005-0000-0000-0000830D0000}"/>
    <cellStyle name="20% - Accent3 28 2" xfId="3783" xr:uid="{00000000-0005-0000-0000-0000840D0000}"/>
    <cellStyle name="20% - Accent3 28 2 2" xfId="11762" xr:uid="{00000000-0005-0000-0000-0000850D0000}"/>
    <cellStyle name="20% - Accent3 28 2 2 2" xfId="23050" xr:uid="{00000000-0005-0000-0000-0000860D0000}"/>
    <cellStyle name="20% - Accent3 28 2 3" xfId="9768" xr:uid="{00000000-0005-0000-0000-0000870D0000}"/>
    <cellStyle name="20% - Accent3 28 2 3 2" xfId="21056" xr:uid="{00000000-0005-0000-0000-0000880D0000}"/>
    <cellStyle name="20% - Accent3 28 2 4" xfId="7774" xr:uid="{00000000-0005-0000-0000-0000890D0000}"/>
    <cellStyle name="20% - Accent3 28 2 4 2" xfId="19062" xr:uid="{00000000-0005-0000-0000-00008A0D0000}"/>
    <cellStyle name="20% - Accent3 28 2 5" xfId="5780" xr:uid="{00000000-0005-0000-0000-00008B0D0000}"/>
    <cellStyle name="20% - Accent3 28 2 5 2" xfId="17068" xr:uid="{00000000-0005-0000-0000-00008C0D0000}"/>
    <cellStyle name="20% - Accent3 28 2 6" xfId="15074" xr:uid="{00000000-0005-0000-0000-00008D0D0000}"/>
    <cellStyle name="20% - Accent3 28 3" xfId="10765" xr:uid="{00000000-0005-0000-0000-00008E0D0000}"/>
    <cellStyle name="20% - Accent3 28 3 2" xfId="22053" xr:uid="{00000000-0005-0000-0000-00008F0D0000}"/>
    <cellStyle name="20% - Accent3 28 4" xfId="8771" xr:uid="{00000000-0005-0000-0000-0000900D0000}"/>
    <cellStyle name="20% - Accent3 28 4 2" xfId="20059" xr:uid="{00000000-0005-0000-0000-0000910D0000}"/>
    <cellStyle name="20% - Accent3 28 5" xfId="6777" xr:uid="{00000000-0005-0000-0000-0000920D0000}"/>
    <cellStyle name="20% - Accent3 28 5 2" xfId="18065" xr:uid="{00000000-0005-0000-0000-0000930D0000}"/>
    <cellStyle name="20% - Accent3 28 6" xfId="4783" xr:uid="{00000000-0005-0000-0000-0000940D0000}"/>
    <cellStyle name="20% - Accent3 28 6 2" xfId="16071" xr:uid="{00000000-0005-0000-0000-0000950D0000}"/>
    <cellStyle name="20% - Accent3 28 7" xfId="14077" xr:uid="{00000000-0005-0000-0000-0000960D0000}"/>
    <cellStyle name="20% - Accent3 28 8" xfId="12763" xr:uid="{00000000-0005-0000-0000-0000970D0000}"/>
    <cellStyle name="20% - Accent3 29" xfId="828" xr:uid="{00000000-0005-0000-0000-0000980D0000}"/>
    <cellStyle name="20% - Accent3 29 2" xfId="3784" xr:uid="{00000000-0005-0000-0000-0000990D0000}"/>
    <cellStyle name="20% - Accent3 29 2 2" xfId="11763" xr:uid="{00000000-0005-0000-0000-00009A0D0000}"/>
    <cellStyle name="20% - Accent3 29 2 2 2" xfId="23051" xr:uid="{00000000-0005-0000-0000-00009B0D0000}"/>
    <cellStyle name="20% - Accent3 29 2 3" xfId="9769" xr:uid="{00000000-0005-0000-0000-00009C0D0000}"/>
    <cellStyle name="20% - Accent3 29 2 3 2" xfId="21057" xr:uid="{00000000-0005-0000-0000-00009D0D0000}"/>
    <cellStyle name="20% - Accent3 29 2 4" xfId="7775" xr:uid="{00000000-0005-0000-0000-00009E0D0000}"/>
    <cellStyle name="20% - Accent3 29 2 4 2" xfId="19063" xr:uid="{00000000-0005-0000-0000-00009F0D0000}"/>
    <cellStyle name="20% - Accent3 29 2 5" xfId="5781" xr:uid="{00000000-0005-0000-0000-0000A00D0000}"/>
    <cellStyle name="20% - Accent3 29 2 5 2" xfId="17069" xr:uid="{00000000-0005-0000-0000-0000A10D0000}"/>
    <cellStyle name="20% - Accent3 29 2 6" xfId="15075" xr:uid="{00000000-0005-0000-0000-0000A20D0000}"/>
    <cellStyle name="20% - Accent3 29 3" xfId="10766" xr:uid="{00000000-0005-0000-0000-0000A30D0000}"/>
    <cellStyle name="20% - Accent3 29 3 2" xfId="22054" xr:uid="{00000000-0005-0000-0000-0000A40D0000}"/>
    <cellStyle name="20% - Accent3 29 4" xfId="8772" xr:uid="{00000000-0005-0000-0000-0000A50D0000}"/>
    <cellStyle name="20% - Accent3 29 4 2" xfId="20060" xr:uid="{00000000-0005-0000-0000-0000A60D0000}"/>
    <cellStyle name="20% - Accent3 29 5" xfId="6778" xr:uid="{00000000-0005-0000-0000-0000A70D0000}"/>
    <cellStyle name="20% - Accent3 29 5 2" xfId="18066" xr:uid="{00000000-0005-0000-0000-0000A80D0000}"/>
    <cellStyle name="20% - Accent3 29 6" xfId="4784" xr:uid="{00000000-0005-0000-0000-0000A90D0000}"/>
    <cellStyle name="20% - Accent3 29 6 2" xfId="16072" xr:uid="{00000000-0005-0000-0000-0000AA0D0000}"/>
    <cellStyle name="20% - Accent3 29 7" xfId="14078" xr:uid="{00000000-0005-0000-0000-0000AB0D0000}"/>
    <cellStyle name="20% - Accent3 29 8" xfId="12764" xr:uid="{00000000-0005-0000-0000-0000AC0D0000}"/>
    <cellStyle name="20% - Accent3 3" xfId="829" xr:uid="{00000000-0005-0000-0000-0000AD0D0000}"/>
    <cellStyle name="20% - Accent3 3 10" xfId="24572" xr:uid="{00000000-0005-0000-0000-0000AE0D0000}"/>
    <cellStyle name="20% - Accent3 3 11" xfId="24962" xr:uid="{00000000-0005-0000-0000-0000AF0D0000}"/>
    <cellStyle name="20% - Accent3 3 2" xfId="3785" xr:uid="{00000000-0005-0000-0000-0000B00D0000}"/>
    <cellStyle name="20% - Accent3 3 2 2" xfId="11764" xr:uid="{00000000-0005-0000-0000-0000B10D0000}"/>
    <cellStyle name="20% - Accent3 3 2 2 2" xfId="23052" xr:uid="{00000000-0005-0000-0000-0000B20D0000}"/>
    <cellStyle name="20% - Accent3 3 2 3" xfId="9770" xr:uid="{00000000-0005-0000-0000-0000B30D0000}"/>
    <cellStyle name="20% - Accent3 3 2 3 2" xfId="21058" xr:uid="{00000000-0005-0000-0000-0000B40D0000}"/>
    <cellStyle name="20% - Accent3 3 2 4" xfId="7776" xr:uid="{00000000-0005-0000-0000-0000B50D0000}"/>
    <cellStyle name="20% - Accent3 3 2 4 2" xfId="19064" xr:uid="{00000000-0005-0000-0000-0000B60D0000}"/>
    <cellStyle name="20% - Accent3 3 2 5" xfId="5782" xr:uid="{00000000-0005-0000-0000-0000B70D0000}"/>
    <cellStyle name="20% - Accent3 3 2 5 2" xfId="17070" xr:uid="{00000000-0005-0000-0000-0000B80D0000}"/>
    <cellStyle name="20% - Accent3 3 2 6" xfId="15076" xr:uid="{00000000-0005-0000-0000-0000B90D0000}"/>
    <cellStyle name="20% - Accent3 3 2 7" xfId="24333" xr:uid="{00000000-0005-0000-0000-0000BA0D0000}"/>
    <cellStyle name="20% - Accent3 3 2 8" xfId="24797" xr:uid="{00000000-0005-0000-0000-0000BB0D0000}"/>
    <cellStyle name="20% - Accent3 3 2 9" xfId="25164" xr:uid="{00000000-0005-0000-0000-0000BC0D0000}"/>
    <cellStyle name="20% - Accent3 3 3" xfId="10767" xr:uid="{00000000-0005-0000-0000-0000BD0D0000}"/>
    <cellStyle name="20% - Accent3 3 3 2" xfId="22055" xr:uid="{00000000-0005-0000-0000-0000BE0D0000}"/>
    <cellStyle name="20% - Accent3 3 4" xfId="8773" xr:uid="{00000000-0005-0000-0000-0000BF0D0000}"/>
    <cellStyle name="20% - Accent3 3 4 2" xfId="20061" xr:uid="{00000000-0005-0000-0000-0000C00D0000}"/>
    <cellStyle name="20% - Accent3 3 5" xfId="6779" xr:uid="{00000000-0005-0000-0000-0000C10D0000}"/>
    <cellStyle name="20% - Accent3 3 5 2" xfId="18067" xr:uid="{00000000-0005-0000-0000-0000C20D0000}"/>
    <cellStyle name="20% - Accent3 3 6" xfId="4785" xr:uid="{00000000-0005-0000-0000-0000C30D0000}"/>
    <cellStyle name="20% - Accent3 3 6 2" xfId="16073" xr:uid="{00000000-0005-0000-0000-0000C40D0000}"/>
    <cellStyle name="20% - Accent3 3 7" xfId="14079" xr:uid="{00000000-0005-0000-0000-0000C50D0000}"/>
    <cellStyle name="20% - Accent3 3 8" xfId="12765" xr:uid="{00000000-0005-0000-0000-0000C60D0000}"/>
    <cellStyle name="20% - Accent3 3 9" xfId="23945" xr:uid="{00000000-0005-0000-0000-0000C70D0000}"/>
    <cellStyle name="20% - Accent3 30" xfId="830" xr:uid="{00000000-0005-0000-0000-0000C80D0000}"/>
    <cellStyle name="20% - Accent3 30 2" xfId="3786" xr:uid="{00000000-0005-0000-0000-0000C90D0000}"/>
    <cellStyle name="20% - Accent3 30 2 2" xfId="11765" xr:uid="{00000000-0005-0000-0000-0000CA0D0000}"/>
    <cellStyle name="20% - Accent3 30 2 2 2" xfId="23053" xr:uid="{00000000-0005-0000-0000-0000CB0D0000}"/>
    <cellStyle name="20% - Accent3 30 2 3" xfId="9771" xr:uid="{00000000-0005-0000-0000-0000CC0D0000}"/>
    <cellStyle name="20% - Accent3 30 2 3 2" xfId="21059" xr:uid="{00000000-0005-0000-0000-0000CD0D0000}"/>
    <cellStyle name="20% - Accent3 30 2 4" xfId="7777" xr:uid="{00000000-0005-0000-0000-0000CE0D0000}"/>
    <cellStyle name="20% - Accent3 30 2 4 2" xfId="19065" xr:uid="{00000000-0005-0000-0000-0000CF0D0000}"/>
    <cellStyle name="20% - Accent3 30 2 5" xfId="5783" xr:uid="{00000000-0005-0000-0000-0000D00D0000}"/>
    <cellStyle name="20% - Accent3 30 2 5 2" xfId="17071" xr:uid="{00000000-0005-0000-0000-0000D10D0000}"/>
    <cellStyle name="20% - Accent3 30 2 6" xfId="15077" xr:uid="{00000000-0005-0000-0000-0000D20D0000}"/>
    <cellStyle name="20% - Accent3 30 3" xfId="10768" xr:uid="{00000000-0005-0000-0000-0000D30D0000}"/>
    <cellStyle name="20% - Accent3 30 3 2" xfId="22056" xr:uid="{00000000-0005-0000-0000-0000D40D0000}"/>
    <cellStyle name="20% - Accent3 30 4" xfId="8774" xr:uid="{00000000-0005-0000-0000-0000D50D0000}"/>
    <cellStyle name="20% - Accent3 30 4 2" xfId="20062" xr:uid="{00000000-0005-0000-0000-0000D60D0000}"/>
    <cellStyle name="20% - Accent3 30 5" xfId="6780" xr:uid="{00000000-0005-0000-0000-0000D70D0000}"/>
    <cellStyle name="20% - Accent3 30 5 2" xfId="18068" xr:uid="{00000000-0005-0000-0000-0000D80D0000}"/>
    <cellStyle name="20% - Accent3 30 6" xfId="4786" xr:uid="{00000000-0005-0000-0000-0000D90D0000}"/>
    <cellStyle name="20% - Accent3 30 6 2" xfId="16074" xr:uid="{00000000-0005-0000-0000-0000DA0D0000}"/>
    <cellStyle name="20% - Accent3 30 7" xfId="14080" xr:uid="{00000000-0005-0000-0000-0000DB0D0000}"/>
    <cellStyle name="20% - Accent3 30 8" xfId="12766" xr:uid="{00000000-0005-0000-0000-0000DC0D0000}"/>
    <cellStyle name="20% - Accent3 31" xfId="831" xr:uid="{00000000-0005-0000-0000-0000DD0D0000}"/>
    <cellStyle name="20% - Accent3 31 2" xfId="3787" xr:uid="{00000000-0005-0000-0000-0000DE0D0000}"/>
    <cellStyle name="20% - Accent3 31 2 2" xfId="11766" xr:uid="{00000000-0005-0000-0000-0000DF0D0000}"/>
    <cellStyle name="20% - Accent3 31 2 2 2" xfId="23054" xr:uid="{00000000-0005-0000-0000-0000E00D0000}"/>
    <cellStyle name="20% - Accent3 31 2 3" xfId="9772" xr:uid="{00000000-0005-0000-0000-0000E10D0000}"/>
    <cellStyle name="20% - Accent3 31 2 3 2" xfId="21060" xr:uid="{00000000-0005-0000-0000-0000E20D0000}"/>
    <cellStyle name="20% - Accent3 31 2 4" xfId="7778" xr:uid="{00000000-0005-0000-0000-0000E30D0000}"/>
    <cellStyle name="20% - Accent3 31 2 4 2" xfId="19066" xr:uid="{00000000-0005-0000-0000-0000E40D0000}"/>
    <cellStyle name="20% - Accent3 31 2 5" xfId="5784" xr:uid="{00000000-0005-0000-0000-0000E50D0000}"/>
    <cellStyle name="20% - Accent3 31 2 5 2" xfId="17072" xr:uid="{00000000-0005-0000-0000-0000E60D0000}"/>
    <cellStyle name="20% - Accent3 31 2 6" xfId="15078" xr:uid="{00000000-0005-0000-0000-0000E70D0000}"/>
    <cellStyle name="20% - Accent3 31 3" xfId="10769" xr:uid="{00000000-0005-0000-0000-0000E80D0000}"/>
    <cellStyle name="20% - Accent3 31 3 2" xfId="22057" xr:uid="{00000000-0005-0000-0000-0000E90D0000}"/>
    <cellStyle name="20% - Accent3 31 4" xfId="8775" xr:uid="{00000000-0005-0000-0000-0000EA0D0000}"/>
    <cellStyle name="20% - Accent3 31 4 2" xfId="20063" xr:uid="{00000000-0005-0000-0000-0000EB0D0000}"/>
    <cellStyle name="20% - Accent3 31 5" xfId="6781" xr:uid="{00000000-0005-0000-0000-0000EC0D0000}"/>
    <cellStyle name="20% - Accent3 31 5 2" xfId="18069" xr:uid="{00000000-0005-0000-0000-0000ED0D0000}"/>
    <cellStyle name="20% - Accent3 31 6" xfId="4787" xr:uid="{00000000-0005-0000-0000-0000EE0D0000}"/>
    <cellStyle name="20% - Accent3 31 6 2" xfId="16075" xr:uid="{00000000-0005-0000-0000-0000EF0D0000}"/>
    <cellStyle name="20% - Accent3 31 7" xfId="14081" xr:uid="{00000000-0005-0000-0000-0000F00D0000}"/>
    <cellStyle name="20% - Accent3 31 8" xfId="12767" xr:uid="{00000000-0005-0000-0000-0000F10D0000}"/>
    <cellStyle name="20% - Accent3 32" xfId="832" xr:uid="{00000000-0005-0000-0000-0000F20D0000}"/>
    <cellStyle name="20% - Accent3 32 2" xfId="3788" xr:uid="{00000000-0005-0000-0000-0000F30D0000}"/>
    <cellStyle name="20% - Accent3 32 2 2" xfId="11767" xr:uid="{00000000-0005-0000-0000-0000F40D0000}"/>
    <cellStyle name="20% - Accent3 32 2 2 2" xfId="23055" xr:uid="{00000000-0005-0000-0000-0000F50D0000}"/>
    <cellStyle name="20% - Accent3 32 2 3" xfId="9773" xr:uid="{00000000-0005-0000-0000-0000F60D0000}"/>
    <cellStyle name="20% - Accent3 32 2 3 2" xfId="21061" xr:uid="{00000000-0005-0000-0000-0000F70D0000}"/>
    <cellStyle name="20% - Accent3 32 2 4" xfId="7779" xr:uid="{00000000-0005-0000-0000-0000F80D0000}"/>
    <cellStyle name="20% - Accent3 32 2 4 2" xfId="19067" xr:uid="{00000000-0005-0000-0000-0000F90D0000}"/>
    <cellStyle name="20% - Accent3 32 2 5" xfId="5785" xr:uid="{00000000-0005-0000-0000-0000FA0D0000}"/>
    <cellStyle name="20% - Accent3 32 2 5 2" xfId="17073" xr:uid="{00000000-0005-0000-0000-0000FB0D0000}"/>
    <cellStyle name="20% - Accent3 32 2 6" xfId="15079" xr:uid="{00000000-0005-0000-0000-0000FC0D0000}"/>
    <cellStyle name="20% - Accent3 32 3" xfId="10770" xr:uid="{00000000-0005-0000-0000-0000FD0D0000}"/>
    <cellStyle name="20% - Accent3 32 3 2" xfId="22058" xr:uid="{00000000-0005-0000-0000-0000FE0D0000}"/>
    <cellStyle name="20% - Accent3 32 4" xfId="8776" xr:uid="{00000000-0005-0000-0000-0000FF0D0000}"/>
    <cellStyle name="20% - Accent3 32 4 2" xfId="20064" xr:uid="{00000000-0005-0000-0000-0000000E0000}"/>
    <cellStyle name="20% - Accent3 32 5" xfId="6782" xr:uid="{00000000-0005-0000-0000-0000010E0000}"/>
    <cellStyle name="20% - Accent3 32 5 2" xfId="18070" xr:uid="{00000000-0005-0000-0000-0000020E0000}"/>
    <cellStyle name="20% - Accent3 32 6" xfId="4788" xr:uid="{00000000-0005-0000-0000-0000030E0000}"/>
    <cellStyle name="20% - Accent3 32 6 2" xfId="16076" xr:uid="{00000000-0005-0000-0000-0000040E0000}"/>
    <cellStyle name="20% - Accent3 32 7" xfId="14082" xr:uid="{00000000-0005-0000-0000-0000050E0000}"/>
    <cellStyle name="20% - Accent3 32 8" xfId="12768" xr:uid="{00000000-0005-0000-0000-0000060E0000}"/>
    <cellStyle name="20% - Accent3 33" xfId="833" xr:uid="{00000000-0005-0000-0000-0000070E0000}"/>
    <cellStyle name="20% - Accent3 33 2" xfId="3789" xr:uid="{00000000-0005-0000-0000-0000080E0000}"/>
    <cellStyle name="20% - Accent3 33 2 2" xfId="11768" xr:uid="{00000000-0005-0000-0000-0000090E0000}"/>
    <cellStyle name="20% - Accent3 33 2 2 2" xfId="23056" xr:uid="{00000000-0005-0000-0000-00000A0E0000}"/>
    <cellStyle name="20% - Accent3 33 2 3" xfId="9774" xr:uid="{00000000-0005-0000-0000-00000B0E0000}"/>
    <cellStyle name="20% - Accent3 33 2 3 2" xfId="21062" xr:uid="{00000000-0005-0000-0000-00000C0E0000}"/>
    <cellStyle name="20% - Accent3 33 2 4" xfId="7780" xr:uid="{00000000-0005-0000-0000-00000D0E0000}"/>
    <cellStyle name="20% - Accent3 33 2 4 2" xfId="19068" xr:uid="{00000000-0005-0000-0000-00000E0E0000}"/>
    <cellStyle name="20% - Accent3 33 2 5" xfId="5786" xr:uid="{00000000-0005-0000-0000-00000F0E0000}"/>
    <cellStyle name="20% - Accent3 33 2 5 2" xfId="17074" xr:uid="{00000000-0005-0000-0000-0000100E0000}"/>
    <cellStyle name="20% - Accent3 33 2 6" xfId="15080" xr:uid="{00000000-0005-0000-0000-0000110E0000}"/>
    <cellStyle name="20% - Accent3 33 3" xfId="10771" xr:uid="{00000000-0005-0000-0000-0000120E0000}"/>
    <cellStyle name="20% - Accent3 33 3 2" xfId="22059" xr:uid="{00000000-0005-0000-0000-0000130E0000}"/>
    <cellStyle name="20% - Accent3 33 4" xfId="8777" xr:uid="{00000000-0005-0000-0000-0000140E0000}"/>
    <cellStyle name="20% - Accent3 33 4 2" xfId="20065" xr:uid="{00000000-0005-0000-0000-0000150E0000}"/>
    <cellStyle name="20% - Accent3 33 5" xfId="6783" xr:uid="{00000000-0005-0000-0000-0000160E0000}"/>
    <cellStyle name="20% - Accent3 33 5 2" xfId="18071" xr:uid="{00000000-0005-0000-0000-0000170E0000}"/>
    <cellStyle name="20% - Accent3 33 6" xfId="4789" xr:uid="{00000000-0005-0000-0000-0000180E0000}"/>
    <cellStyle name="20% - Accent3 33 6 2" xfId="16077" xr:uid="{00000000-0005-0000-0000-0000190E0000}"/>
    <cellStyle name="20% - Accent3 33 7" xfId="14083" xr:uid="{00000000-0005-0000-0000-00001A0E0000}"/>
    <cellStyle name="20% - Accent3 33 8" xfId="12769" xr:uid="{00000000-0005-0000-0000-00001B0E0000}"/>
    <cellStyle name="20% - Accent3 34" xfId="834" xr:uid="{00000000-0005-0000-0000-00001C0E0000}"/>
    <cellStyle name="20% - Accent3 34 2" xfId="3790" xr:uid="{00000000-0005-0000-0000-00001D0E0000}"/>
    <cellStyle name="20% - Accent3 34 2 2" xfId="11769" xr:uid="{00000000-0005-0000-0000-00001E0E0000}"/>
    <cellStyle name="20% - Accent3 34 2 2 2" xfId="23057" xr:uid="{00000000-0005-0000-0000-00001F0E0000}"/>
    <cellStyle name="20% - Accent3 34 2 3" xfId="9775" xr:uid="{00000000-0005-0000-0000-0000200E0000}"/>
    <cellStyle name="20% - Accent3 34 2 3 2" xfId="21063" xr:uid="{00000000-0005-0000-0000-0000210E0000}"/>
    <cellStyle name="20% - Accent3 34 2 4" xfId="7781" xr:uid="{00000000-0005-0000-0000-0000220E0000}"/>
    <cellStyle name="20% - Accent3 34 2 4 2" xfId="19069" xr:uid="{00000000-0005-0000-0000-0000230E0000}"/>
    <cellStyle name="20% - Accent3 34 2 5" xfId="5787" xr:uid="{00000000-0005-0000-0000-0000240E0000}"/>
    <cellStyle name="20% - Accent3 34 2 5 2" xfId="17075" xr:uid="{00000000-0005-0000-0000-0000250E0000}"/>
    <cellStyle name="20% - Accent3 34 2 6" xfId="15081" xr:uid="{00000000-0005-0000-0000-0000260E0000}"/>
    <cellStyle name="20% - Accent3 34 3" xfId="10772" xr:uid="{00000000-0005-0000-0000-0000270E0000}"/>
    <cellStyle name="20% - Accent3 34 3 2" xfId="22060" xr:uid="{00000000-0005-0000-0000-0000280E0000}"/>
    <cellStyle name="20% - Accent3 34 4" xfId="8778" xr:uid="{00000000-0005-0000-0000-0000290E0000}"/>
    <cellStyle name="20% - Accent3 34 4 2" xfId="20066" xr:uid="{00000000-0005-0000-0000-00002A0E0000}"/>
    <cellStyle name="20% - Accent3 34 5" xfId="6784" xr:uid="{00000000-0005-0000-0000-00002B0E0000}"/>
    <cellStyle name="20% - Accent3 34 5 2" xfId="18072" xr:uid="{00000000-0005-0000-0000-00002C0E0000}"/>
    <cellStyle name="20% - Accent3 34 6" xfId="4790" xr:uid="{00000000-0005-0000-0000-00002D0E0000}"/>
    <cellStyle name="20% - Accent3 34 6 2" xfId="16078" xr:uid="{00000000-0005-0000-0000-00002E0E0000}"/>
    <cellStyle name="20% - Accent3 34 7" xfId="14084" xr:uid="{00000000-0005-0000-0000-00002F0E0000}"/>
    <cellStyle name="20% - Accent3 34 8" xfId="12770" xr:uid="{00000000-0005-0000-0000-0000300E0000}"/>
    <cellStyle name="20% - Accent3 35" xfId="835" xr:uid="{00000000-0005-0000-0000-0000310E0000}"/>
    <cellStyle name="20% - Accent3 35 2" xfId="3791" xr:uid="{00000000-0005-0000-0000-0000320E0000}"/>
    <cellStyle name="20% - Accent3 35 2 2" xfId="11770" xr:uid="{00000000-0005-0000-0000-0000330E0000}"/>
    <cellStyle name="20% - Accent3 35 2 2 2" xfId="23058" xr:uid="{00000000-0005-0000-0000-0000340E0000}"/>
    <cellStyle name="20% - Accent3 35 2 3" xfId="9776" xr:uid="{00000000-0005-0000-0000-0000350E0000}"/>
    <cellStyle name="20% - Accent3 35 2 3 2" xfId="21064" xr:uid="{00000000-0005-0000-0000-0000360E0000}"/>
    <cellStyle name="20% - Accent3 35 2 4" xfId="7782" xr:uid="{00000000-0005-0000-0000-0000370E0000}"/>
    <cellStyle name="20% - Accent3 35 2 4 2" xfId="19070" xr:uid="{00000000-0005-0000-0000-0000380E0000}"/>
    <cellStyle name="20% - Accent3 35 2 5" xfId="5788" xr:uid="{00000000-0005-0000-0000-0000390E0000}"/>
    <cellStyle name="20% - Accent3 35 2 5 2" xfId="17076" xr:uid="{00000000-0005-0000-0000-00003A0E0000}"/>
    <cellStyle name="20% - Accent3 35 2 6" xfId="15082" xr:uid="{00000000-0005-0000-0000-00003B0E0000}"/>
    <cellStyle name="20% - Accent3 35 3" xfId="10773" xr:uid="{00000000-0005-0000-0000-00003C0E0000}"/>
    <cellStyle name="20% - Accent3 35 3 2" xfId="22061" xr:uid="{00000000-0005-0000-0000-00003D0E0000}"/>
    <cellStyle name="20% - Accent3 35 4" xfId="8779" xr:uid="{00000000-0005-0000-0000-00003E0E0000}"/>
    <cellStyle name="20% - Accent3 35 4 2" xfId="20067" xr:uid="{00000000-0005-0000-0000-00003F0E0000}"/>
    <cellStyle name="20% - Accent3 35 5" xfId="6785" xr:uid="{00000000-0005-0000-0000-0000400E0000}"/>
    <cellStyle name="20% - Accent3 35 5 2" xfId="18073" xr:uid="{00000000-0005-0000-0000-0000410E0000}"/>
    <cellStyle name="20% - Accent3 35 6" xfId="4791" xr:uid="{00000000-0005-0000-0000-0000420E0000}"/>
    <cellStyle name="20% - Accent3 35 6 2" xfId="16079" xr:uid="{00000000-0005-0000-0000-0000430E0000}"/>
    <cellStyle name="20% - Accent3 35 7" xfId="14085" xr:uid="{00000000-0005-0000-0000-0000440E0000}"/>
    <cellStyle name="20% - Accent3 35 8" xfId="12771" xr:uid="{00000000-0005-0000-0000-0000450E0000}"/>
    <cellStyle name="20% - Accent3 36" xfId="836" xr:uid="{00000000-0005-0000-0000-0000460E0000}"/>
    <cellStyle name="20% - Accent3 36 2" xfId="3792" xr:uid="{00000000-0005-0000-0000-0000470E0000}"/>
    <cellStyle name="20% - Accent3 36 2 2" xfId="11771" xr:uid="{00000000-0005-0000-0000-0000480E0000}"/>
    <cellStyle name="20% - Accent3 36 2 2 2" xfId="23059" xr:uid="{00000000-0005-0000-0000-0000490E0000}"/>
    <cellStyle name="20% - Accent3 36 2 3" xfId="9777" xr:uid="{00000000-0005-0000-0000-00004A0E0000}"/>
    <cellStyle name="20% - Accent3 36 2 3 2" xfId="21065" xr:uid="{00000000-0005-0000-0000-00004B0E0000}"/>
    <cellStyle name="20% - Accent3 36 2 4" xfId="7783" xr:uid="{00000000-0005-0000-0000-00004C0E0000}"/>
    <cellStyle name="20% - Accent3 36 2 4 2" xfId="19071" xr:uid="{00000000-0005-0000-0000-00004D0E0000}"/>
    <cellStyle name="20% - Accent3 36 2 5" xfId="5789" xr:uid="{00000000-0005-0000-0000-00004E0E0000}"/>
    <cellStyle name="20% - Accent3 36 2 5 2" xfId="17077" xr:uid="{00000000-0005-0000-0000-00004F0E0000}"/>
    <cellStyle name="20% - Accent3 36 2 6" xfId="15083" xr:uid="{00000000-0005-0000-0000-0000500E0000}"/>
    <cellStyle name="20% - Accent3 36 3" xfId="10774" xr:uid="{00000000-0005-0000-0000-0000510E0000}"/>
    <cellStyle name="20% - Accent3 36 3 2" xfId="22062" xr:uid="{00000000-0005-0000-0000-0000520E0000}"/>
    <cellStyle name="20% - Accent3 36 4" xfId="8780" xr:uid="{00000000-0005-0000-0000-0000530E0000}"/>
    <cellStyle name="20% - Accent3 36 4 2" xfId="20068" xr:uid="{00000000-0005-0000-0000-0000540E0000}"/>
    <cellStyle name="20% - Accent3 36 5" xfId="6786" xr:uid="{00000000-0005-0000-0000-0000550E0000}"/>
    <cellStyle name="20% - Accent3 36 5 2" xfId="18074" xr:uid="{00000000-0005-0000-0000-0000560E0000}"/>
    <cellStyle name="20% - Accent3 36 6" xfId="4792" xr:uid="{00000000-0005-0000-0000-0000570E0000}"/>
    <cellStyle name="20% - Accent3 36 6 2" xfId="16080" xr:uid="{00000000-0005-0000-0000-0000580E0000}"/>
    <cellStyle name="20% - Accent3 36 7" xfId="14086" xr:uid="{00000000-0005-0000-0000-0000590E0000}"/>
    <cellStyle name="20% - Accent3 36 8" xfId="12772" xr:uid="{00000000-0005-0000-0000-00005A0E0000}"/>
    <cellStyle name="20% - Accent3 37" xfId="837" xr:uid="{00000000-0005-0000-0000-00005B0E0000}"/>
    <cellStyle name="20% - Accent3 37 2" xfId="3793" xr:uid="{00000000-0005-0000-0000-00005C0E0000}"/>
    <cellStyle name="20% - Accent3 37 2 2" xfId="11772" xr:uid="{00000000-0005-0000-0000-00005D0E0000}"/>
    <cellStyle name="20% - Accent3 37 2 2 2" xfId="23060" xr:uid="{00000000-0005-0000-0000-00005E0E0000}"/>
    <cellStyle name="20% - Accent3 37 2 3" xfId="9778" xr:uid="{00000000-0005-0000-0000-00005F0E0000}"/>
    <cellStyle name="20% - Accent3 37 2 3 2" xfId="21066" xr:uid="{00000000-0005-0000-0000-0000600E0000}"/>
    <cellStyle name="20% - Accent3 37 2 4" xfId="7784" xr:uid="{00000000-0005-0000-0000-0000610E0000}"/>
    <cellStyle name="20% - Accent3 37 2 4 2" xfId="19072" xr:uid="{00000000-0005-0000-0000-0000620E0000}"/>
    <cellStyle name="20% - Accent3 37 2 5" xfId="5790" xr:uid="{00000000-0005-0000-0000-0000630E0000}"/>
    <cellStyle name="20% - Accent3 37 2 5 2" xfId="17078" xr:uid="{00000000-0005-0000-0000-0000640E0000}"/>
    <cellStyle name="20% - Accent3 37 2 6" xfId="15084" xr:uid="{00000000-0005-0000-0000-0000650E0000}"/>
    <cellStyle name="20% - Accent3 37 3" xfId="10775" xr:uid="{00000000-0005-0000-0000-0000660E0000}"/>
    <cellStyle name="20% - Accent3 37 3 2" xfId="22063" xr:uid="{00000000-0005-0000-0000-0000670E0000}"/>
    <cellStyle name="20% - Accent3 37 4" xfId="8781" xr:uid="{00000000-0005-0000-0000-0000680E0000}"/>
    <cellStyle name="20% - Accent3 37 4 2" xfId="20069" xr:uid="{00000000-0005-0000-0000-0000690E0000}"/>
    <cellStyle name="20% - Accent3 37 5" xfId="6787" xr:uid="{00000000-0005-0000-0000-00006A0E0000}"/>
    <cellStyle name="20% - Accent3 37 5 2" xfId="18075" xr:uid="{00000000-0005-0000-0000-00006B0E0000}"/>
    <cellStyle name="20% - Accent3 37 6" xfId="4793" xr:uid="{00000000-0005-0000-0000-00006C0E0000}"/>
    <cellStyle name="20% - Accent3 37 6 2" xfId="16081" xr:uid="{00000000-0005-0000-0000-00006D0E0000}"/>
    <cellStyle name="20% - Accent3 37 7" xfId="14087" xr:uid="{00000000-0005-0000-0000-00006E0E0000}"/>
    <cellStyle name="20% - Accent3 37 8" xfId="12773" xr:uid="{00000000-0005-0000-0000-00006F0E0000}"/>
    <cellStyle name="20% - Accent3 38" xfId="838" xr:uid="{00000000-0005-0000-0000-0000700E0000}"/>
    <cellStyle name="20% - Accent3 38 2" xfId="3794" xr:uid="{00000000-0005-0000-0000-0000710E0000}"/>
    <cellStyle name="20% - Accent3 38 2 2" xfId="11773" xr:uid="{00000000-0005-0000-0000-0000720E0000}"/>
    <cellStyle name="20% - Accent3 38 2 2 2" xfId="23061" xr:uid="{00000000-0005-0000-0000-0000730E0000}"/>
    <cellStyle name="20% - Accent3 38 2 3" xfId="9779" xr:uid="{00000000-0005-0000-0000-0000740E0000}"/>
    <cellStyle name="20% - Accent3 38 2 3 2" xfId="21067" xr:uid="{00000000-0005-0000-0000-0000750E0000}"/>
    <cellStyle name="20% - Accent3 38 2 4" xfId="7785" xr:uid="{00000000-0005-0000-0000-0000760E0000}"/>
    <cellStyle name="20% - Accent3 38 2 4 2" xfId="19073" xr:uid="{00000000-0005-0000-0000-0000770E0000}"/>
    <cellStyle name="20% - Accent3 38 2 5" xfId="5791" xr:uid="{00000000-0005-0000-0000-0000780E0000}"/>
    <cellStyle name="20% - Accent3 38 2 5 2" xfId="17079" xr:uid="{00000000-0005-0000-0000-0000790E0000}"/>
    <cellStyle name="20% - Accent3 38 2 6" xfId="15085" xr:uid="{00000000-0005-0000-0000-00007A0E0000}"/>
    <cellStyle name="20% - Accent3 38 3" xfId="10776" xr:uid="{00000000-0005-0000-0000-00007B0E0000}"/>
    <cellStyle name="20% - Accent3 38 3 2" xfId="22064" xr:uid="{00000000-0005-0000-0000-00007C0E0000}"/>
    <cellStyle name="20% - Accent3 38 4" xfId="8782" xr:uid="{00000000-0005-0000-0000-00007D0E0000}"/>
    <cellStyle name="20% - Accent3 38 4 2" xfId="20070" xr:uid="{00000000-0005-0000-0000-00007E0E0000}"/>
    <cellStyle name="20% - Accent3 38 5" xfId="6788" xr:uid="{00000000-0005-0000-0000-00007F0E0000}"/>
    <cellStyle name="20% - Accent3 38 5 2" xfId="18076" xr:uid="{00000000-0005-0000-0000-0000800E0000}"/>
    <cellStyle name="20% - Accent3 38 6" xfId="4794" xr:uid="{00000000-0005-0000-0000-0000810E0000}"/>
    <cellStyle name="20% - Accent3 38 6 2" xfId="16082" xr:uid="{00000000-0005-0000-0000-0000820E0000}"/>
    <cellStyle name="20% - Accent3 38 7" xfId="14088" xr:uid="{00000000-0005-0000-0000-0000830E0000}"/>
    <cellStyle name="20% - Accent3 38 8" xfId="12774" xr:uid="{00000000-0005-0000-0000-0000840E0000}"/>
    <cellStyle name="20% - Accent3 39" xfId="839" xr:uid="{00000000-0005-0000-0000-0000850E0000}"/>
    <cellStyle name="20% - Accent3 39 2" xfId="3795" xr:uid="{00000000-0005-0000-0000-0000860E0000}"/>
    <cellStyle name="20% - Accent3 39 2 2" xfId="11774" xr:uid="{00000000-0005-0000-0000-0000870E0000}"/>
    <cellStyle name="20% - Accent3 39 2 2 2" xfId="23062" xr:uid="{00000000-0005-0000-0000-0000880E0000}"/>
    <cellStyle name="20% - Accent3 39 2 3" xfId="9780" xr:uid="{00000000-0005-0000-0000-0000890E0000}"/>
    <cellStyle name="20% - Accent3 39 2 3 2" xfId="21068" xr:uid="{00000000-0005-0000-0000-00008A0E0000}"/>
    <cellStyle name="20% - Accent3 39 2 4" xfId="7786" xr:uid="{00000000-0005-0000-0000-00008B0E0000}"/>
    <cellStyle name="20% - Accent3 39 2 4 2" xfId="19074" xr:uid="{00000000-0005-0000-0000-00008C0E0000}"/>
    <cellStyle name="20% - Accent3 39 2 5" xfId="5792" xr:uid="{00000000-0005-0000-0000-00008D0E0000}"/>
    <cellStyle name="20% - Accent3 39 2 5 2" xfId="17080" xr:uid="{00000000-0005-0000-0000-00008E0E0000}"/>
    <cellStyle name="20% - Accent3 39 2 6" xfId="15086" xr:uid="{00000000-0005-0000-0000-00008F0E0000}"/>
    <cellStyle name="20% - Accent3 39 3" xfId="10777" xr:uid="{00000000-0005-0000-0000-0000900E0000}"/>
    <cellStyle name="20% - Accent3 39 3 2" xfId="22065" xr:uid="{00000000-0005-0000-0000-0000910E0000}"/>
    <cellStyle name="20% - Accent3 39 4" xfId="8783" xr:uid="{00000000-0005-0000-0000-0000920E0000}"/>
    <cellStyle name="20% - Accent3 39 4 2" xfId="20071" xr:uid="{00000000-0005-0000-0000-0000930E0000}"/>
    <cellStyle name="20% - Accent3 39 5" xfId="6789" xr:uid="{00000000-0005-0000-0000-0000940E0000}"/>
    <cellStyle name="20% - Accent3 39 5 2" xfId="18077" xr:uid="{00000000-0005-0000-0000-0000950E0000}"/>
    <cellStyle name="20% - Accent3 39 6" xfId="4795" xr:uid="{00000000-0005-0000-0000-0000960E0000}"/>
    <cellStyle name="20% - Accent3 39 6 2" xfId="16083" xr:uid="{00000000-0005-0000-0000-0000970E0000}"/>
    <cellStyle name="20% - Accent3 39 7" xfId="14089" xr:uid="{00000000-0005-0000-0000-0000980E0000}"/>
    <cellStyle name="20% - Accent3 39 8" xfId="12775" xr:uid="{00000000-0005-0000-0000-0000990E0000}"/>
    <cellStyle name="20% - Accent3 4" xfId="840" xr:uid="{00000000-0005-0000-0000-00009A0E0000}"/>
    <cellStyle name="20% - Accent3 4 10" xfId="24573" xr:uid="{00000000-0005-0000-0000-00009B0E0000}"/>
    <cellStyle name="20% - Accent3 4 11" xfId="24963" xr:uid="{00000000-0005-0000-0000-00009C0E0000}"/>
    <cellStyle name="20% - Accent3 4 2" xfId="3796" xr:uid="{00000000-0005-0000-0000-00009D0E0000}"/>
    <cellStyle name="20% - Accent3 4 2 2" xfId="11775" xr:uid="{00000000-0005-0000-0000-00009E0E0000}"/>
    <cellStyle name="20% - Accent3 4 2 2 2" xfId="23063" xr:uid="{00000000-0005-0000-0000-00009F0E0000}"/>
    <cellStyle name="20% - Accent3 4 2 3" xfId="9781" xr:uid="{00000000-0005-0000-0000-0000A00E0000}"/>
    <cellStyle name="20% - Accent3 4 2 3 2" xfId="21069" xr:uid="{00000000-0005-0000-0000-0000A10E0000}"/>
    <cellStyle name="20% - Accent3 4 2 4" xfId="7787" xr:uid="{00000000-0005-0000-0000-0000A20E0000}"/>
    <cellStyle name="20% - Accent3 4 2 4 2" xfId="19075" xr:uid="{00000000-0005-0000-0000-0000A30E0000}"/>
    <cellStyle name="20% - Accent3 4 2 5" xfId="5793" xr:uid="{00000000-0005-0000-0000-0000A40E0000}"/>
    <cellStyle name="20% - Accent3 4 2 5 2" xfId="17081" xr:uid="{00000000-0005-0000-0000-0000A50E0000}"/>
    <cellStyle name="20% - Accent3 4 2 6" xfId="15087" xr:uid="{00000000-0005-0000-0000-0000A60E0000}"/>
    <cellStyle name="20% - Accent3 4 2 7" xfId="24334" xr:uid="{00000000-0005-0000-0000-0000A70E0000}"/>
    <cellStyle name="20% - Accent3 4 2 8" xfId="24798" xr:uid="{00000000-0005-0000-0000-0000A80E0000}"/>
    <cellStyle name="20% - Accent3 4 2 9" xfId="25165" xr:uid="{00000000-0005-0000-0000-0000A90E0000}"/>
    <cellStyle name="20% - Accent3 4 3" xfId="10778" xr:uid="{00000000-0005-0000-0000-0000AA0E0000}"/>
    <cellStyle name="20% - Accent3 4 3 2" xfId="22066" xr:uid="{00000000-0005-0000-0000-0000AB0E0000}"/>
    <cellStyle name="20% - Accent3 4 4" xfId="8784" xr:uid="{00000000-0005-0000-0000-0000AC0E0000}"/>
    <cellStyle name="20% - Accent3 4 4 2" xfId="20072" xr:uid="{00000000-0005-0000-0000-0000AD0E0000}"/>
    <cellStyle name="20% - Accent3 4 5" xfId="6790" xr:uid="{00000000-0005-0000-0000-0000AE0E0000}"/>
    <cellStyle name="20% - Accent3 4 5 2" xfId="18078" xr:uid="{00000000-0005-0000-0000-0000AF0E0000}"/>
    <cellStyle name="20% - Accent3 4 6" xfId="4796" xr:uid="{00000000-0005-0000-0000-0000B00E0000}"/>
    <cellStyle name="20% - Accent3 4 6 2" xfId="16084" xr:uid="{00000000-0005-0000-0000-0000B10E0000}"/>
    <cellStyle name="20% - Accent3 4 7" xfId="14090" xr:uid="{00000000-0005-0000-0000-0000B20E0000}"/>
    <cellStyle name="20% - Accent3 4 8" xfId="12776" xr:uid="{00000000-0005-0000-0000-0000B30E0000}"/>
    <cellStyle name="20% - Accent3 4 9" xfId="23946" xr:uid="{00000000-0005-0000-0000-0000B40E0000}"/>
    <cellStyle name="20% - Accent3 40" xfId="841" xr:uid="{00000000-0005-0000-0000-0000B50E0000}"/>
    <cellStyle name="20% - Accent3 40 2" xfId="3797" xr:uid="{00000000-0005-0000-0000-0000B60E0000}"/>
    <cellStyle name="20% - Accent3 40 2 2" xfId="11776" xr:uid="{00000000-0005-0000-0000-0000B70E0000}"/>
    <cellStyle name="20% - Accent3 40 2 2 2" xfId="23064" xr:uid="{00000000-0005-0000-0000-0000B80E0000}"/>
    <cellStyle name="20% - Accent3 40 2 3" xfId="9782" xr:uid="{00000000-0005-0000-0000-0000B90E0000}"/>
    <cellStyle name="20% - Accent3 40 2 3 2" xfId="21070" xr:uid="{00000000-0005-0000-0000-0000BA0E0000}"/>
    <cellStyle name="20% - Accent3 40 2 4" xfId="7788" xr:uid="{00000000-0005-0000-0000-0000BB0E0000}"/>
    <cellStyle name="20% - Accent3 40 2 4 2" xfId="19076" xr:uid="{00000000-0005-0000-0000-0000BC0E0000}"/>
    <cellStyle name="20% - Accent3 40 2 5" xfId="5794" xr:uid="{00000000-0005-0000-0000-0000BD0E0000}"/>
    <cellStyle name="20% - Accent3 40 2 5 2" xfId="17082" xr:uid="{00000000-0005-0000-0000-0000BE0E0000}"/>
    <cellStyle name="20% - Accent3 40 2 6" xfId="15088" xr:uid="{00000000-0005-0000-0000-0000BF0E0000}"/>
    <cellStyle name="20% - Accent3 40 3" xfId="10779" xr:uid="{00000000-0005-0000-0000-0000C00E0000}"/>
    <cellStyle name="20% - Accent3 40 3 2" xfId="22067" xr:uid="{00000000-0005-0000-0000-0000C10E0000}"/>
    <cellStyle name="20% - Accent3 40 4" xfId="8785" xr:uid="{00000000-0005-0000-0000-0000C20E0000}"/>
    <cellStyle name="20% - Accent3 40 4 2" xfId="20073" xr:uid="{00000000-0005-0000-0000-0000C30E0000}"/>
    <cellStyle name="20% - Accent3 40 5" xfId="6791" xr:uid="{00000000-0005-0000-0000-0000C40E0000}"/>
    <cellStyle name="20% - Accent3 40 5 2" xfId="18079" xr:uid="{00000000-0005-0000-0000-0000C50E0000}"/>
    <cellStyle name="20% - Accent3 40 6" xfId="4797" xr:uid="{00000000-0005-0000-0000-0000C60E0000}"/>
    <cellStyle name="20% - Accent3 40 6 2" xfId="16085" xr:uid="{00000000-0005-0000-0000-0000C70E0000}"/>
    <cellStyle name="20% - Accent3 40 7" xfId="14091" xr:uid="{00000000-0005-0000-0000-0000C80E0000}"/>
    <cellStyle name="20% - Accent3 40 8" xfId="12777" xr:uid="{00000000-0005-0000-0000-0000C90E0000}"/>
    <cellStyle name="20% - Accent3 41" xfId="842" xr:uid="{00000000-0005-0000-0000-0000CA0E0000}"/>
    <cellStyle name="20% - Accent3 41 2" xfId="3798" xr:uid="{00000000-0005-0000-0000-0000CB0E0000}"/>
    <cellStyle name="20% - Accent3 41 2 2" xfId="11777" xr:uid="{00000000-0005-0000-0000-0000CC0E0000}"/>
    <cellStyle name="20% - Accent3 41 2 2 2" xfId="23065" xr:uid="{00000000-0005-0000-0000-0000CD0E0000}"/>
    <cellStyle name="20% - Accent3 41 2 3" xfId="9783" xr:uid="{00000000-0005-0000-0000-0000CE0E0000}"/>
    <cellStyle name="20% - Accent3 41 2 3 2" xfId="21071" xr:uid="{00000000-0005-0000-0000-0000CF0E0000}"/>
    <cellStyle name="20% - Accent3 41 2 4" xfId="7789" xr:uid="{00000000-0005-0000-0000-0000D00E0000}"/>
    <cellStyle name="20% - Accent3 41 2 4 2" xfId="19077" xr:uid="{00000000-0005-0000-0000-0000D10E0000}"/>
    <cellStyle name="20% - Accent3 41 2 5" xfId="5795" xr:uid="{00000000-0005-0000-0000-0000D20E0000}"/>
    <cellStyle name="20% - Accent3 41 2 5 2" xfId="17083" xr:uid="{00000000-0005-0000-0000-0000D30E0000}"/>
    <cellStyle name="20% - Accent3 41 2 6" xfId="15089" xr:uid="{00000000-0005-0000-0000-0000D40E0000}"/>
    <cellStyle name="20% - Accent3 41 3" xfId="10780" xr:uid="{00000000-0005-0000-0000-0000D50E0000}"/>
    <cellStyle name="20% - Accent3 41 3 2" xfId="22068" xr:uid="{00000000-0005-0000-0000-0000D60E0000}"/>
    <cellStyle name="20% - Accent3 41 4" xfId="8786" xr:uid="{00000000-0005-0000-0000-0000D70E0000}"/>
    <cellStyle name="20% - Accent3 41 4 2" xfId="20074" xr:uid="{00000000-0005-0000-0000-0000D80E0000}"/>
    <cellStyle name="20% - Accent3 41 5" xfId="6792" xr:uid="{00000000-0005-0000-0000-0000D90E0000}"/>
    <cellStyle name="20% - Accent3 41 5 2" xfId="18080" xr:uid="{00000000-0005-0000-0000-0000DA0E0000}"/>
    <cellStyle name="20% - Accent3 41 6" xfId="4798" xr:uid="{00000000-0005-0000-0000-0000DB0E0000}"/>
    <cellStyle name="20% - Accent3 41 6 2" xfId="16086" xr:uid="{00000000-0005-0000-0000-0000DC0E0000}"/>
    <cellStyle name="20% - Accent3 41 7" xfId="14092" xr:uid="{00000000-0005-0000-0000-0000DD0E0000}"/>
    <cellStyle name="20% - Accent3 41 8" xfId="12778" xr:uid="{00000000-0005-0000-0000-0000DE0E0000}"/>
    <cellStyle name="20% - Accent3 42" xfId="843" xr:uid="{00000000-0005-0000-0000-0000DF0E0000}"/>
    <cellStyle name="20% - Accent3 42 2" xfId="3799" xr:uid="{00000000-0005-0000-0000-0000E00E0000}"/>
    <cellStyle name="20% - Accent3 42 2 2" xfId="11778" xr:uid="{00000000-0005-0000-0000-0000E10E0000}"/>
    <cellStyle name="20% - Accent3 42 2 2 2" xfId="23066" xr:uid="{00000000-0005-0000-0000-0000E20E0000}"/>
    <cellStyle name="20% - Accent3 42 2 3" xfId="9784" xr:uid="{00000000-0005-0000-0000-0000E30E0000}"/>
    <cellStyle name="20% - Accent3 42 2 3 2" xfId="21072" xr:uid="{00000000-0005-0000-0000-0000E40E0000}"/>
    <cellStyle name="20% - Accent3 42 2 4" xfId="7790" xr:uid="{00000000-0005-0000-0000-0000E50E0000}"/>
    <cellStyle name="20% - Accent3 42 2 4 2" xfId="19078" xr:uid="{00000000-0005-0000-0000-0000E60E0000}"/>
    <cellStyle name="20% - Accent3 42 2 5" xfId="5796" xr:uid="{00000000-0005-0000-0000-0000E70E0000}"/>
    <cellStyle name="20% - Accent3 42 2 5 2" xfId="17084" xr:uid="{00000000-0005-0000-0000-0000E80E0000}"/>
    <cellStyle name="20% - Accent3 42 2 6" xfId="15090" xr:uid="{00000000-0005-0000-0000-0000E90E0000}"/>
    <cellStyle name="20% - Accent3 42 3" xfId="10781" xr:uid="{00000000-0005-0000-0000-0000EA0E0000}"/>
    <cellStyle name="20% - Accent3 42 3 2" xfId="22069" xr:uid="{00000000-0005-0000-0000-0000EB0E0000}"/>
    <cellStyle name="20% - Accent3 42 4" xfId="8787" xr:uid="{00000000-0005-0000-0000-0000EC0E0000}"/>
    <cellStyle name="20% - Accent3 42 4 2" xfId="20075" xr:uid="{00000000-0005-0000-0000-0000ED0E0000}"/>
    <cellStyle name="20% - Accent3 42 5" xfId="6793" xr:uid="{00000000-0005-0000-0000-0000EE0E0000}"/>
    <cellStyle name="20% - Accent3 42 5 2" xfId="18081" xr:uid="{00000000-0005-0000-0000-0000EF0E0000}"/>
    <cellStyle name="20% - Accent3 42 6" xfId="4799" xr:uid="{00000000-0005-0000-0000-0000F00E0000}"/>
    <cellStyle name="20% - Accent3 42 6 2" xfId="16087" xr:uid="{00000000-0005-0000-0000-0000F10E0000}"/>
    <cellStyle name="20% - Accent3 42 7" xfId="14093" xr:uid="{00000000-0005-0000-0000-0000F20E0000}"/>
    <cellStyle name="20% - Accent3 42 8" xfId="12779" xr:uid="{00000000-0005-0000-0000-0000F30E0000}"/>
    <cellStyle name="20% - Accent3 43" xfId="844" xr:uid="{00000000-0005-0000-0000-0000F40E0000}"/>
    <cellStyle name="20% - Accent3 43 2" xfId="3800" xr:uid="{00000000-0005-0000-0000-0000F50E0000}"/>
    <cellStyle name="20% - Accent3 43 2 2" xfId="11779" xr:uid="{00000000-0005-0000-0000-0000F60E0000}"/>
    <cellStyle name="20% - Accent3 43 2 2 2" xfId="23067" xr:uid="{00000000-0005-0000-0000-0000F70E0000}"/>
    <cellStyle name="20% - Accent3 43 2 3" xfId="9785" xr:uid="{00000000-0005-0000-0000-0000F80E0000}"/>
    <cellStyle name="20% - Accent3 43 2 3 2" xfId="21073" xr:uid="{00000000-0005-0000-0000-0000F90E0000}"/>
    <cellStyle name="20% - Accent3 43 2 4" xfId="7791" xr:uid="{00000000-0005-0000-0000-0000FA0E0000}"/>
    <cellStyle name="20% - Accent3 43 2 4 2" xfId="19079" xr:uid="{00000000-0005-0000-0000-0000FB0E0000}"/>
    <cellStyle name="20% - Accent3 43 2 5" xfId="5797" xr:uid="{00000000-0005-0000-0000-0000FC0E0000}"/>
    <cellStyle name="20% - Accent3 43 2 5 2" xfId="17085" xr:uid="{00000000-0005-0000-0000-0000FD0E0000}"/>
    <cellStyle name="20% - Accent3 43 2 6" xfId="15091" xr:uid="{00000000-0005-0000-0000-0000FE0E0000}"/>
    <cellStyle name="20% - Accent3 43 3" xfId="10782" xr:uid="{00000000-0005-0000-0000-0000FF0E0000}"/>
    <cellStyle name="20% - Accent3 43 3 2" xfId="22070" xr:uid="{00000000-0005-0000-0000-0000000F0000}"/>
    <cellStyle name="20% - Accent3 43 4" xfId="8788" xr:uid="{00000000-0005-0000-0000-0000010F0000}"/>
    <cellStyle name="20% - Accent3 43 4 2" xfId="20076" xr:uid="{00000000-0005-0000-0000-0000020F0000}"/>
    <cellStyle name="20% - Accent3 43 5" xfId="6794" xr:uid="{00000000-0005-0000-0000-0000030F0000}"/>
    <cellStyle name="20% - Accent3 43 5 2" xfId="18082" xr:uid="{00000000-0005-0000-0000-0000040F0000}"/>
    <cellStyle name="20% - Accent3 43 6" xfId="4800" xr:uid="{00000000-0005-0000-0000-0000050F0000}"/>
    <cellStyle name="20% - Accent3 43 6 2" xfId="16088" xr:uid="{00000000-0005-0000-0000-0000060F0000}"/>
    <cellStyle name="20% - Accent3 43 7" xfId="14094" xr:uid="{00000000-0005-0000-0000-0000070F0000}"/>
    <cellStyle name="20% - Accent3 43 8" xfId="12780" xr:uid="{00000000-0005-0000-0000-0000080F0000}"/>
    <cellStyle name="20% - Accent3 44" xfId="845" xr:uid="{00000000-0005-0000-0000-0000090F0000}"/>
    <cellStyle name="20% - Accent3 44 2" xfId="3801" xr:uid="{00000000-0005-0000-0000-00000A0F0000}"/>
    <cellStyle name="20% - Accent3 44 2 2" xfId="11780" xr:uid="{00000000-0005-0000-0000-00000B0F0000}"/>
    <cellStyle name="20% - Accent3 44 2 2 2" xfId="23068" xr:uid="{00000000-0005-0000-0000-00000C0F0000}"/>
    <cellStyle name="20% - Accent3 44 2 3" xfId="9786" xr:uid="{00000000-0005-0000-0000-00000D0F0000}"/>
    <cellStyle name="20% - Accent3 44 2 3 2" xfId="21074" xr:uid="{00000000-0005-0000-0000-00000E0F0000}"/>
    <cellStyle name="20% - Accent3 44 2 4" xfId="7792" xr:uid="{00000000-0005-0000-0000-00000F0F0000}"/>
    <cellStyle name="20% - Accent3 44 2 4 2" xfId="19080" xr:uid="{00000000-0005-0000-0000-0000100F0000}"/>
    <cellStyle name="20% - Accent3 44 2 5" xfId="5798" xr:uid="{00000000-0005-0000-0000-0000110F0000}"/>
    <cellStyle name="20% - Accent3 44 2 5 2" xfId="17086" xr:uid="{00000000-0005-0000-0000-0000120F0000}"/>
    <cellStyle name="20% - Accent3 44 2 6" xfId="15092" xr:uid="{00000000-0005-0000-0000-0000130F0000}"/>
    <cellStyle name="20% - Accent3 44 3" xfId="10783" xr:uid="{00000000-0005-0000-0000-0000140F0000}"/>
    <cellStyle name="20% - Accent3 44 3 2" xfId="22071" xr:uid="{00000000-0005-0000-0000-0000150F0000}"/>
    <cellStyle name="20% - Accent3 44 4" xfId="8789" xr:uid="{00000000-0005-0000-0000-0000160F0000}"/>
    <cellStyle name="20% - Accent3 44 4 2" xfId="20077" xr:uid="{00000000-0005-0000-0000-0000170F0000}"/>
    <cellStyle name="20% - Accent3 44 5" xfId="6795" xr:uid="{00000000-0005-0000-0000-0000180F0000}"/>
    <cellStyle name="20% - Accent3 44 5 2" xfId="18083" xr:uid="{00000000-0005-0000-0000-0000190F0000}"/>
    <cellStyle name="20% - Accent3 44 6" xfId="4801" xr:uid="{00000000-0005-0000-0000-00001A0F0000}"/>
    <cellStyle name="20% - Accent3 44 6 2" xfId="16089" xr:uid="{00000000-0005-0000-0000-00001B0F0000}"/>
    <cellStyle name="20% - Accent3 44 7" xfId="14095" xr:uid="{00000000-0005-0000-0000-00001C0F0000}"/>
    <cellStyle name="20% - Accent3 44 8" xfId="12781" xr:uid="{00000000-0005-0000-0000-00001D0F0000}"/>
    <cellStyle name="20% - Accent3 45" xfId="846" xr:uid="{00000000-0005-0000-0000-00001E0F0000}"/>
    <cellStyle name="20% - Accent3 45 2" xfId="3802" xr:uid="{00000000-0005-0000-0000-00001F0F0000}"/>
    <cellStyle name="20% - Accent3 45 2 2" xfId="11781" xr:uid="{00000000-0005-0000-0000-0000200F0000}"/>
    <cellStyle name="20% - Accent3 45 2 2 2" xfId="23069" xr:uid="{00000000-0005-0000-0000-0000210F0000}"/>
    <cellStyle name="20% - Accent3 45 2 3" xfId="9787" xr:uid="{00000000-0005-0000-0000-0000220F0000}"/>
    <cellStyle name="20% - Accent3 45 2 3 2" xfId="21075" xr:uid="{00000000-0005-0000-0000-0000230F0000}"/>
    <cellStyle name="20% - Accent3 45 2 4" xfId="7793" xr:uid="{00000000-0005-0000-0000-0000240F0000}"/>
    <cellStyle name="20% - Accent3 45 2 4 2" xfId="19081" xr:uid="{00000000-0005-0000-0000-0000250F0000}"/>
    <cellStyle name="20% - Accent3 45 2 5" xfId="5799" xr:uid="{00000000-0005-0000-0000-0000260F0000}"/>
    <cellStyle name="20% - Accent3 45 2 5 2" xfId="17087" xr:uid="{00000000-0005-0000-0000-0000270F0000}"/>
    <cellStyle name="20% - Accent3 45 2 6" xfId="15093" xr:uid="{00000000-0005-0000-0000-0000280F0000}"/>
    <cellStyle name="20% - Accent3 45 3" xfId="10784" xr:uid="{00000000-0005-0000-0000-0000290F0000}"/>
    <cellStyle name="20% - Accent3 45 3 2" xfId="22072" xr:uid="{00000000-0005-0000-0000-00002A0F0000}"/>
    <cellStyle name="20% - Accent3 45 4" xfId="8790" xr:uid="{00000000-0005-0000-0000-00002B0F0000}"/>
    <cellStyle name="20% - Accent3 45 4 2" xfId="20078" xr:uid="{00000000-0005-0000-0000-00002C0F0000}"/>
    <cellStyle name="20% - Accent3 45 5" xfId="6796" xr:uid="{00000000-0005-0000-0000-00002D0F0000}"/>
    <cellStyle name="20% - Accent3 45 5 2" xfId="18084" xr:uid="{00000000-0005-0000-0000-00002E0F0000}"/>
    <cellStyle name="20% - Accent3 45 6" xfId="4802" xr:uid="{00000000-0005-0000-0000-00002F0F0000}"/>
    <cellStyle name="20% - Accent3 45 6 2" xfId="16090" xr:uid="{00000000-0005-0000-0000-0000300F0000}"/>
    <cellStyle name="20% - Accent3 45 7" xfId="14096" xr:uid="{00000000-0005-0000-0000-0000310F0000}"/>
    <cellStyle name="20% - Accent3 45 8" xfId="12782" xr:uid="{00000000-0005-0000-0000-0000320F0000}"/>
    <cellStyle name="20% - Accent3 46" xfId="847" xr:uid="{00000000-0005-0000-0000-0000330F0000}"/>
    <cellStyle name="20% - Accent3 46 2" xfId="3803" xr:uid="{00000000-0005-0000-0000-0000340F0000}"/>
    <cellStyle name="20% - Accent3 46 2 2" xfId="11782" xr:uid="{00000000-0005-0000-0000-0000350F0000}"/>
    <cellStyle name="20% - Accent3 46 2 2 2" xfId="23070" xr:uid="{00000000-0005-0000-0000-0000360F0000}"/>
    <cellStyle name="20% - Accent3 46 2 3" xfId="9788" xr:uid="{00000000-0005-0000-0000-0000370F0000}"/>
    <cellStyle name="20% - Accent3 46 2 3 2" xfId="21076" xr:uid="{00000000-0005-0000-0000-0000380F0000}"/>
    <cellStyle name="20% - Accent3 46 2 4" xfId="7794" xr:uid="{00000000-0005-0000-0000-0000390F0000}"/>
    <cellStyle name="20% - Accent3 46 2 4 2" xfId="19082" xr:uid="{00000000-0005-0000-0000-00003A0F0000}"/>
    <cellStyle name="20% - Accent3 46 2 5" xfId="5800" xr:uid="{00000000-0005-0000-0000-00003B0F0000}"/>
    <cellStyle name="20% - Accent3 46 2 5 2" xfId="17088" xr:uid="{00000000-0005-0000-0000-00003C0F0000}"/>
    <cellStyle name="20% - Accent3 46 2 6" xfId="15094" xr:uid="{00000000-0005-0000-0000-00003D0F0000}"/>
    <cellStyle name="20% - Accent3 46 3" xfId="10785" xr:uid="{00000000-0005-0000-0000-00003E0F0000}"/>
    <cellStyle name="20% - Accent3 46 3 2" xfId="22073" xr:uid="{00000000-0005-0000-0000-00003F0F0000}"/>
    <cellStyle name="20% - Accent3 46 4" xfId="8791" xr:uid="{00000000-0005-0000-0000-0000400F0000}"/>
    <cellStyle name="20% - Accent3 46 4 2" xfId="20079" xr:uid="{00000000-0005-0000-0000-0000410F0000}"/>
    <cellStyle name="20% - Accent3 46 5" xfId="6797" xr:uid="{00000000-0005-0000-0000-0000420F0000}"/>
    <cellStyle name="20% - Accent3 46 5 2" xfId="18085" xr:uid="{00000000-0005-0000-0000-0000430F0000}"/>
    <cellStyle name="20% - Accent3 46 6" xfId="4803" xr:uid="{00000000-0005-0000-0000-0000440F0000}"/>
    <cellStyle name="20% - Accent3 46 6 2" xfId="16091" xr:uid="{00000000-0005-0000-0000-0000450F0000}"/>
    <cellStyle name="20% - Accent3 46 7" xfId="14097" xr:uid="{00000000-0005-0000-0000-0000460F0000}"/>
    <cellStyle name="20% - Accent3 46 8" xfId="12783" xr:uid="{00000000-0005-0000-0000-0000470F0000}"/>
    <cellStyle name="20% - Accent3 47" xfId="848" xr:uid="{00000000-0005-0000-0000-0000480F0000}"/>
    <cellStyle name="20% - Accent3 47 2" xfId="3804" xr:uid="{00000000-0005-0000-0000-0000490F0000}"/>
    <cellStyle name="20% - Accent3 47 2 2" xfId="11783" xr:uid="{00000000-0005-0000-0000-00004A0F0000}"/>
    <cellStyle name="20% - Accent3 47 2 2 2" xfId="23071" xr:uid="{00000000-0005-0000-0000-00004B0F0000}"/>
    <cellStyle name="20% - Accent3 47 2 3" xfId="9789" xr:uid="{00000000-0005-0000-0000-00004C0F0000}"/>
    <cellStyle name="20% - Accent3 47 2 3 2" xfId="21077" xr:uid="{00000000-0005-0000-0000-00004D0F0000}"/>
    <cellStyle name="20% - Accent3 47 2 4" xfId="7795" xr:uid="{00000000-0005-0000-0000-00004E0F0000}"/>
    <cellStyle name="20% - Accent3 47 2 4 2" xfId="19083" xr:uid="{00000000-0005-0000-0000-00004F0F0000}"/>
    <cellStyle name="20% - Accent3 47 2 5" xfId="5801" xr:uid="{00000000-0005-0000-0000-0000500F0000}"/>
    <cellStyle name="20% - Accent3 47 2 5 2" xfId="17089" xr:uid="{00000000-0005-0000-0000-0000510F0000}"/>
    <cellStyle name="20% - Accent3 47 2 6" xfId="15095" xr:uid="{00000000-0005-0000-0000-0000520F0000}"/>
    <cellStyle name="20% - Accent3 47 3" xfId="10786" xr:uid="{00000000-0005-0000-0000-0000530F0000}"/>
    <cellStyle name="20% - Accent3 47 3 2" xfId="22074" xr:uid="{00000000-0005-0000-0000-0000540F0000}"/>
    <cellStyle name="20% - Accent3 47 4" xfId="8792" xr:uid="{00000000-0005-0000-0000-0000550F0000}"/>
    <cellStyle name="20% - Accent3 47 4 2" xfId="20080" xr:uid="{00000000-0005-0000-0000-0000560F0000}"/>
    <cellStyle name="20% - Accent3 47 5" xfId="6798" xr:uid="{00000000-0005-0000-0000-0000570F0000}"/>
    <cellStyle name="20% - Accent3 47 5 2" xfId="18086" xr:uid="{00000000-0005-0000-0000-0000580F0000}"/>
    <cellStyle name="20% - Accent3 47 6" xfId="4804" xr:uid="{00000000-0005-0000-0000-0000590F0000}"/>
    <cellStyle name="20% - Accent3 47 6 2" xfId="16092" xr:uid="{00000000-0005-0000-0000-00005A0F0000}"/>
    <cellStyle name="20% - Accent3 47 7" xfId="14098" xr:uid="{00000000-0005-0000-0000-00005B0F0000}"/>
    <cellStyle name="20% - Accent3 47 8" xfId="12784" xr:uid="{00000000-0005-0000-0000-00005C0F0000}"/>
    <cellStyle name="20% - Accent3 48" xfId="849" xr:uid="{00000000-0005-0000-0000-00005D0F0000}"/>
    <cellStyle name="20% - Accent3 48 2" xfId="3805" xr:uid="{00000000-0005-0000-0000-00005E0F0000}"/>
    <cellStyle name="20% - Accent3 48 2 2" xfId="11784" xr:uid="{00000000-0005-0000-0000-00005F0F0000}"/>
    <cellStyle name="20% - Accent3 48 2 2 2" xfId="23072" xr:uid="{00000000-0005-0000-0000-0000600F0000}"/>
    <cellStyle name="20% - Accent3 48 2 3" xfId="9790" xr:uid="{00000000-0005-0000-0000-0000610F0000}"/>
    <cellStyle name="20% - Accent3 48 2 3 2" xfId="21078" xr:uid="{00000000-0005-0000-0000-0000620F0000}"/>
    <cellStyle name="20% - Accent3 48 2 4" xfId="7796" xr:uid="{00000000-0005-0000-0000-0000630F0000}"/>
    <cellStyle name="20% - Accent3 48 2 4 2" xfId="19084" xr:uid="{00000000-0005-0000-0000-0000640F0000}"/>
    <cellStyle name="20% - Accent3 48 2 5" xfId="5802" xr:uid="{00000000-0005-0000-0000-0000650F0000}"/>
    <cellStyle name="20% - Accent3 48 2 5 2" xfId="17090" xr:uid="{00000000-0005-0000-0000-0000660F0000}"/>
    <cellStyle name="20% - Accent3 48 2 6" xfId="15096" xr:uid="{00000000-0005-0000-0000-0000670F0000}"/>
    <cellStyle name="20% - Accent3 48 3" xfId="10787" xr:uid="{00000000-0005-0000-0000-0000680F0000}"/>
    <cellStyle name="20% - Accent3 48 3 2" xfId="22075" xr:uid="{00000000-0005-0000-0000-0000690F0000}"/>
    <cellStyle name="20% - Accent3 48 4" xfId="8793" xr:uid="{00000000-0005-0000-0000-00006A0F0000}"/>
    <cellStyle name="20% - Accent3 48 4 2" xfId="20081" xr:uid="{00000000-0005-0000-0000-00006B0F0000}"/>
    <cellStyle name="20% - Accent3 48 5" xfId="6799" xr:uid="{00000000-0005-0000-0000-00006C0F0000}"/>
    <cellStyle name="20% - Accent3 48 5 2" xfId="18087" xr:uid="{00000000-0005-0000-0000-00006D0F0000}"/>
    <cellStyle name="20% - Accent3 48 6" xfId="4805" xr:uid="{00000000-0005-0000-0000-00006E0F0000}"/>
    <cellStyle name="20% - Accent3 48 6 2" xfId="16093" xr:uid="{00000000-0005-0000-0000-00006F0F0000}"/>
    <cellStyle name="20% - Accent3 48 7" xfId="14099" xr:uid="{00000000-0005-0000-0000-0000700F0000}"/>
    <cellStyle name="20% - Accent3 48 8" xfId="12785" xr:uid="{00000000-0005-0000-0000-0000710F0000}"/>
    <cellStyle name="20% - Accent3 49" xfId="850" xr:uid="{00000000-0005-0000-0000-0000720F0000}"/>
    <cellStyle name="20% - Accent3 49 2" xfId="3806" xr:uid="{00000000-0005-0000-0000-0000730F0000}"/>
    <cellStyle name="20% - Accent3 49 2 2" xfId="11785" xr:uid="{00000000-0005-0000-0000-0000740F0000}"/>
    <cellStyle name="20% - Accent3 49 2 2 2" xfId="23073" xr:uid="{00000000-0005-0000-0000-0000750F0000}"/>
    <cellStyle name="20% - Accent3 49 2 3" xfId="9791" xr:uid="{00000000-0005-0000-0000-0000760F0000}"/>
    <cellStyle name="20% - Accent3 49 2 3 2" xfId="21079" xr:uid="{00000000-0005-0000-0000-0000770F0000}"/>
    <cellStyle name="20% - Accent3 49 2 4" xfId="7797" xr:uid="{00000000-0005-0000-0000-0000780F0000}"/>
    <cellStyle name="20% - Accent3 49 2 4 2" xfId="19085" xr:uid="{00000000-0005-0000-0000-0000790F0000}"/>
    <cellStyle name="20% - Accent3 49 2 5" xfId="5803" xr:uid="{00000000-0005-0000-0000-00007A0F0000}"/>
    <cellStyle name="20% - Accent3 49 2 5 2" xfId="17091" xr:uid="{00000000-0005-0000-0000-00007B0F0000}"/>
    <cellStyle name="20% - Accent3 49 2 6" xfId="15097" xr:uid="{00000000-0005-0000-0000-00007C0F0000}"/>
    <cellStyle name="20% - Accent3 49 3" xfId="10788" xr:uid="{00000000-0005-0000-0000-00007D0F0000}"/>
    <cellStyle name="20% - Accent3 49 3 2" xfId="22076" xr:uid="{00000000-0005-0000-0000-00007E0F0000}"/>
    <cellStyle name="20% - Accent3 49 4" xfId="8794" xr:uid="{00000000-0005-0000-0000-00007F0F0000}"/>
    <cellStyle name="20% - Accent3 49 4 2" xfId="20082" xr:uid="{00000000-0005-0000-0000-0000800F0000}"/>
    <cellStyle name="20% - Accent3 49 5" xfId="6800" xr:uid="{00000000-0005-0000-0000-0000810F0000}"/>
    <cellStyle name="20% - Accent3 49 5 2" xfId="18088" xr:uid="{00000000-0005-0000-0000-0000820F0000}"/>
    <cellStyle name="20% - Accent3 49 6" xfId="4806" xr:uid="{00000000-0005-0000-0000-0000830F0000}"/>
    <cellStyle name="20% - Accent3 49 6 2" xfId="16094" xr:uid="{00000000-0005-0000-0000-0000840F0000}"/>
    <cellStyle name="20% - Accent3 49 7" xfId="14100" xr:uid="{00000000-0005-0000-0000-0000850F0000}"/>
    <cellStyle name="20% - Accent3 49 8" xfId="12786" xr:uid="{00000000-0005-0000-0000-0000860F0000}"/>
    <cellStyle name="20% - Accent3 5" xfId="851" xr:uid="{00000000-0005-0000-0000-0000870F0000}"/>
    <cellStyle name="20% - Accent3 5 10" xfId="24574" xr:uid="{00000000-0005-0000-0000-0000880F0000}"/>
    <cellStyle name="20% - Accent3 5 11" xfId="24964" xr:uid="{00000000-0005-0000-0000-0000890F0000}"/>
    <cellStyle name="20% - Accent3 5 2" xfId="3807" xr:uid="{00000000-0005-0000-0000-00008A0F0000}"/>
    <cellStyle name="20% - Accent3 5 2 2" xfId="11786" xr:uid="{00000000-0005-0000-0000-00008B0F0000}"/>
    <cellStyle name="20% - Accent3 5 2 2 2" xfId="23074" xr:uid="{00000000-0005-0000-0000-00008C0F0000}"/>
    <cellStyle name="20% - Accent3 5 2 3" xfId="9792" xr:uid="{00000000-0005-0000-0000-00008D0F0000}"/>
    <cellStyle name="20% - Accent3 5 2 3 2" xfId="21080" xr:uid="{00000000-0005-0000-0000-00008E0F0000}"/>
    <cellStyle name="20% - Accent3 5 2 4" xfId="7798" xr:uid="{00000000-0005-0000-0000-00008F0F0000}"/>
    <cellStyle name="20% - Accent3 5 2 4 2" xfId="19086" xr:uid="{00000000-0005-0000-0000-0000900F0000}"/>
    <cellStyle name="20% - Accent3 5 2 5" xfId="5804" xr:uid="{00000000-0005-0000-0000-0000910F0000}"/>
    <cellStyle name="20% - Accent3 5 2 5 2" xfId="17092" xr:uid="{00000000-0005-0000-0000-0000920F0000}"/>
    <cellStyle name="20% - Accent3 5 2 6" xfId="15098" xr:uid="{00000000-0005-0000-0000-0000930F0000}"/>
    <cellStyle name="20% - Accent3 5 2 7" xfId="24335" xr:uid="{00000000-0005-0000-0000-0000940F0000}"/>
    <cellStyle name="20% - Accent3 5 2 8" xfId="24799" xr:uid="{00000000-0005-0000-0000-0000950F0000}"/>
    <cellStyle name="20% - Accent3 5 2 9" xfId="25166" xr:uid="{00000000-0005-0000-0000-0000960F0000}"/>
    <cellStyle name="20% - Accent3 5 3" xfId="10789" xr:uid="{00000000-0005-0000-0000-0000970F0000}"/>
    <cellStyle name="20% - Accent3 5 3 2" xfId="22077" xr:uid="{00000000-0005-0000-0000-0000980F0000}"/>
    <cellStyle name="20% - Accent3 5 4" xfId="8795" xr:uid="{00000000-0005-0000-0000-0000990F0000}"/>
    <cellStyle name="20% - Accent3 5 4 2" xfId="20083" xr:uid="{00000000-0005-0000-0000-00009A0F0000}"/>
    <cellStyle name="20% - Accent3 5 5" xfId="6801" xr:uid="{00000000-0005-0000-0000-00009B0F0000}"/>
    <cellStyle name="20% - Accent3 5 5 2" xfId="18089" xr:uid="{00000000-0005-0000-0000-00009C0F0000}"/>
    <cellStyle name="20% - Accent3 5 6" xfId="4807" xr:uid="{00000000-0005-0000-0000-00009D0F0000}"/>
    <cellStyle name="20% - Accent3 5 6 2" xfId="16095" xr:uid="{00000000-0005-0000-0000-00009E0F0000}"/>
    <cellStyle name="20% - Accent3 5 7" xfId="14101" xr:uid="{00000000-0005-0000-0000-00009F0F0000}"/>
    <cellStyle name="20% - Accent3 5 8" xfId="12787" xr:uid="{00000000-0005-0000-0000-0000A00F0000}"/>
    <cellStyle name="20% - Accent3 5 9" xfId="23947" xr:uid="{00000000-0005-0000-0000-0000A10F0000}"/>
    <cellStyle name="20% - Accent3 50" xfId="852" xr:uid="{00000000-0005-0000-0000-0000A20F0000}"/>
    <cellStyle name="20% - Accent3 50 2" xfId="3808" xr:uid="{00000000-0005-0000-0000-0000A30F0000}"/>
    <cellStyle name="20% - Accent3 50 2 2" xfId="11787" xr:uid="{00000000-0005-0000-0000-0000A40F0000}"/>
    <cellStyle name="20% - Accent3 50 2 2 2" xfId="23075" xr:uid="{00000000-0005-0000-0000-0000A50F0000}"/>
    <cellStyle name="20% - Accent3 50 2 3" xfId="9793" xr:uid="{00000000-0005-0000-0000-0000A60F0000}"/>
    <cellStyle name="20% - Accent3 50 2 3 2" xfId="21081" xr:uid="{00000000-0005-0000-0000-0000A70F0000}"/>
    <cellStyle name="20% - Accent3 50 2 4" xfId="7799" xr:uid="{00000000-0005-0000-0000-0000A80F0000}"/>
    <cellStyle name="20% - Accent3 50 2 4 2" xfId="19087" xr:uid="{00000000-0005-0000-0000-0000A90F0000}"/>
    <cellStyle name="20% - Accent3 50 2 5" xfId="5805" xr:uid="{00000000-0005-0000-0000-0000AA0F0000}"/>
    <cellStyle name="20% - Accent3 50 2 5 2" xfId="17093" xr:uid="{00000000-0005-0000-0000-0000AB0F0000}"/>
    <cellStyle name="20% - Accent3 50 2 6" xfId="15099" xr:uid="{00000000-0005-0000-0000-0000AC0F0000}"/>
    <cellStyle name="20% - Accent3 50 3" xfId="10790" xr:uid="{00000000-0005-0000-0000-0000AD0F0000}"/>
    <cellStyle name="20% - Accent3 50 3 2" xfId="22078" xr:uid="{00000000-0005-0000-0000-0000AE0F0000}"/>
    <cellStyle name="20% - Accent3 50 4" xfId="8796" xr:uid="{00000000-0005-0000-0000-0000AF0F0000}"/>
    <cellStyle name="20% - Accent3 50 4 2" xfId="20084" xr:uid="{00000000-0005-0000-0000-0000B00F0000}"/>
    <cellStyle name="20% - Accent3 50 5" xfId="6802" xr:uid="{00000000-0005-0000-0000-0000B10F0000}"/>
    <cellStyle name="20% - Accent3 50 5 2" xfId="18090" xr:uid="{00000000-0005-0000-0000-0000B20F0000}"/>
    <cellStyle name="20% - Accent3 50 6" xfId="4808" xr:uid="{00000000-0005-0000-0000-0000B30F0000}"/>
    <cellStyle name="20% - Accent3 50 6 2" xfId="16096" xr:uid="{00000000-0005-0000-0000-0000B40F0000}"/>
    <cellStyle name="20% - Accent3 50 7" xfId="14102" xr:uid="{00000000-0005-0000-0000-0000B50F0000}"/>
    <cellStyle name="20% - Accent3 50 8" xfId="12788" xr:uid="{00000000-0005-0000-0000-0000B60F0000}"/>
    <cellStyle name="20% - Accent3 51" xfId="853" xr:uid="{00000000-0005-0000-0000-0000B70F0000}"/>
    <cellStyle name="20% - Accent3 51 2" xfId="3809" xr:uid="{00000000-0005-0000-0000-0000B80F0000}"/>
    <cellStyle name="20% - Accent3 51 2 2" xfId="11788" xr:uid="{00000000-0005-0000-0000-0000B90F0000}"/>
    <cellStyle name="20% - Accent3 51 2 2 2" xfId="23076" xr:uid="{00000000-0005-0000-0000-0000BA0F0000}"/>
    <cellStyle name="20% - Accent3 51 2 3" xfId="9794" xr:uid="{00000000-0005-0000-0000-0000BB0F0000}"/>
    <cellStyle name="20% - Accent3 51 2 3 2" xfId="21082" xr:uid="{00000000-0005-0000-0000-0000BC0F0000}"/>
    <cellStyle name="20% - Accent3 51 2 4" xfId="7800" xr:uid="{00000000-0005-0000-0000-0000BD0F0000}"/>
    <cellStyle name="20% - Accent3 51 2 4 2" xfId="19088" xr:uid="{00000000-0005-0000-0000-0000BE0F0000}"/>
    <cellStyle name="20% - Accent3 51 2 5" xfId="5806" xr:uid="{00000000-0005-0000-0000-0000BF0F0000}"/>
    <cellStyle name="20% - Accent3 51 2 5 2" xfId="17094" xr:uid="{00000000-0005-0000-0000-0000C00F0000}"/>
    <cellStyle name="20% - Accent3 51 2 6" xfId="15100" xr:uid="{00000000-0005-0000-0000-0000C10F0000}"/>
    <cellStyle name="20% - Accent3 51 3" xfId="10791" xr:uid="{00000000-0005-0000-0000-0000C20F0000}"/>
    <cellStyle name="20% - Accent3 51 3 2" xfId="22079" xr:uid="{00000000-0005-0000-0000-0000C30F0000}"/>
    <cellStyle name="20% - Accent3 51 4" xfId="8797" xr:uid="{00000000-0005-0000-0000-0000C40F0000}"/>
    <cellStyle name="20% - Accent3 51 4 2" xfId="20085" xr:uid="{00000000-0005-0000-0000-0000C50F0000}"/>
    <cellStyle name="20% - Accent3 51 5" xfId="6803" xr:uid="{00000000-0005-0000-0000-0000C60F0000}"/>
    <cellStyle name="20% - Accent3 51 5 2" xfId="18091" xr:uid="{00000000-0005-0000-0000-0000C70F0000}"/>
    <cellStyle name="20% - Accent3 51 6" xfId="4809" xr:uid="{00000000-0005-0000-0000-0000C80F0000}"/>
    <cellStyle name="20% - Accent3 51 6 2" xfId="16097" xr:uid="{00000000-0005-0000-0000-0000C90F0000}"/>
    <cellStyle name="20% - Accent3 51 7" xfId="14103" xr:uid="{00000000-0005-0000-0000-0000CA0F0000}"/>
    <cellStyle name="20% - Accent3 51 8" xfId="12789" xr:uid="{00000000-0005-0000-0000-0000CB0F0000}"/>
    <cellStyle name="20% - Accent3 52" xfId="854" xr:uid="{00000000-0005-0000-0000-0000CC0F0000}"/>
    <cellStyle name="20% - Accent3 52 2" xfId="3810" xr:uid="{00000000-0005-0000-0000-0000CD0F0000}"/>
    <cellStyle name="20% - Accent3 52 2 2" xfId="11789" xr:uid="{00000000-0005-0000-0000-0000CE0F0000}"/>
    <cellStyle name="20% - Accent3 52 2 2 2" xfId="23077" xr:uid="{00000000-0005-0000-0000-0000CF0F0000}"/>
    <cellStyle name="20% - Accent3 52 2 3" xfId="9795" xr:uid="{00000000-0005-0000-0000-0000D00F0000}"/>
    <cellStyle name="20% - Accent3 52 2 3 2" xfId="21083" xr:uid="{00000000-0005-0000-0000-0000D10F0000}"/>
    <cellStyle name="20% - Accent3 52 2 4" xfId="7801" xr:uid="{00000000-0005-0000-0000-0000D20F0000}"/>
    <cellStyle name="20% - Accent3 52 2 4 2" xfId="19089" xr:uid="{00000000-0005-0000-0000-0000D30F0000}"/>
    <cellStyle name="20% - Accent3 52 2 5" xfId="5807" xr:uid="{00000000-0005-0000-0000-0000D40F0000}"/>
    <cellStyle name="20% - Accent3 52 2 5 2" xfId="17095" xr:uid="{00000000-0005-0000-0000-0000D50F0000}"/>
    <cellStyle name="20% - Accent3 52 2 6" xfId="15101" xr:uid="{00000000-0005-0000-0000-0000D60F0000}"/>
    <cellStyle name="20% - Accent3 52 3" xfId="10792" xr:uid="{00000000-0005-0000-0000-0000D70F0000}"/>
    <cellStyle name="20% - Accent3 52 3 2" xfId="22080" xr:uid="{00000000-0005-0000-0000-0000D80F0000}"/>
    <cellStyle name="20% - Accent3 52 4" xfId="8798" xr:uid="{00000000-0005-0000-0000-0000D90F0000}"/>
    <cellStyle name="20% - Accent3 52 4 2" xfId="20086" xr:uid="{00000000-0005-0000-0000-0000DA0F0000}"/>
    <cellStyle name="20% - Accent3 52 5" xfId="6804" xr:uid="{00000000-0005-0000-0000-0000DB0F0000}"/>
    <cellStyle name="20% - Accent3 52 5 2" xfId="18092" xr:uid="{00000000-0005-0000-0000-0000DC0F0000}"/>
    <cellStyle name="20% - Accent3 52 6" xfId="4810" xr:uid="{00000000-0005-0000-0000-0000DD0F0000}"/>
    <cellStyle name="20% - Accent3 52 6 2" xfId="16098" xr:uid="{00000000-0005-0000-0000-0000DE0F0000}"/>
    <cellStyle name="20% - Accent3 52 7" xfId="14104" xr:uid="{00000000-0005-0000-0000-0000DF0F0000}"/>
    <cellStyle name="20% - Accent3 52 8" xfId="12790" xr:uid="{00000000-0005-0000-0000-0000E00F0000}"/>
    <cellStyle name="20% - Accent3 53" xfId="855" xr:uid="{00000000-0005-0000-0000-0000E10F0000}"/>
    <cellStyle name="20% - Accent3 53 2" xfId="3811" xr:uid="{00000000-0005-0000-0000-0000E20F0000}"/>
    <cellStyle name="20% - Accent3 53 2 2" xfId="11790" xr:uid="{00000000-0005-0000-0000-0000E30F0000}"/>
    <cellStyle name="20% - Accent3 53 2 2 2" xfId="23078" xr:uid="{00000000-0005-0000-0000-0000E40F0000}"/>
    <cellStyle name="20% - Accent3 53 2 3" xfId="9796" xr:uid="{00000000-0005-0000-0000-0000E50F0000}"/>
    <cellStyle name="20% - Accent3 53 2 3 2" xfId="21084" xr:uid="{00000000-0005-0000-0000-0000E60F0000}"/>
    <cellStyle name="20% - Accent3 53 2 4" xfId="7802" xr:uid="{00000000-0005-0000-0000-0000E70F0000}"/>
    <cellStyle name="20% - Accent3 53 2 4 2" xfId="19090" xr:uid="{00000000-0005-0000-0000-0000E80F0000}"/>
    <cellStyle name="20% - Accent3 53 2 5" xfId="5808" xr:uid="{00000000-0005-0000-0000-0000E90F0000}"/>
    <cellStyle name="20% - Accent3 53 2 5 2" xfId="17096" xr:uid="{00000000-0005-0000-0000-0000EA0F0000}"/>
    <cellStyle name="20% - Accent3 53 2 6" xfId="15102" xr:uid="{00000000-0005-0000-0000-0000EB0F0000}"/>
    <cellStyle name="20% - Accent3 53 3" xfId="10793" xr:uid="{00000000-0005-0000-0000-0000EC0F0000}"/>
    <cellStyle name="20% - Accent3 53 3 2" xfId="22081" xr:uid="{00000000-0005-0000-0000-0000ED0F0000}"/>
    <cellStyle name="20% - Accent3 53 4" xfId="8799" xr:uid="{00000000-0005-0000-0000-0000EE0F0000}"/>
    <cellStyle name="20% - Accent3 53 4 2" xfId="20087" xr:uid="{00000000-0005-0000-0000-0000EF0F0000}"/>
    <cellStyle name="20% - Accent3 53 5" xfId="6805" xr:uid="{00000000-0005-0000-0000-0000F00F0000}"/>
    <cellStyle name="20% - Accent3 53 5 2" xfId="18093" xr:uid="{00000000-0005-0000-0000-0000F10F0000}"/>
    <cellStyle name="20% - Accent3 53 6" xfId="4811" xr:uid="{00000000-0005-0000-0000-0000F20F0000}"/>
    <cellStyle name="20% - Accent3 53 6 2" xfId="16099" xr:uid="{00000000-0005-0000-0000-0000F30F0000}"/>
    <cellStyle name="20% - Accent3 53 7" xfId="14105" xr:uid="{00000000-0005-0000-0000-0000F40F0000}"/>
    <cellStyle name="20% - Accent3 53 8" xfId="12791" xr:uid="{00000000-0005-0000-0000-0000F50F0000}"/>
    <cellStyle name="20% - Accent3 54" xfId="856" xr:uid="{00000000-0005-0000-0000-0000F60F0000}"/>
    <cellStyle name="20% - Accent3 54 2" xfId="3812" xr:uid="{00000000-0005-0000-0000-0000F70F0000}"/>
    <cellStyle name="20% - Accent3 54 2 2" xfId="11791" xr:uid="{00000000-0005-0000-0000-0000F80F0000}"/>
    <cellStyle name="20% - Accent3 54 2 2 2" xfId="23079" xr:uid="{00000000-0005-0000-0000-0000F90F0000}"/>
    <cellStyle name="20% - Accent3 54 2 3" xfId="9797" xr:uid="{00000000-0005-0000-0000-0000FA0F0000}"/>
    <cellStyle name="20% - Accent3 54 2 3 2" xfId="21085" xr:uid="{00000000-0005-0000-0000-0000FB0F0000}"/>
    <cellStyle name="20% - Accent3 54 2 4" xfId="7803" xr:uid="{00000000-0005-0000-0000-0000FC0F0000}"/>
    <cellStyle name="20% - Accent3 54 2 4 2" xfId="19091" xr:uid="{00000000-0005-0000-0000-0000FD0F0000}"/>
    <cellStyle name="20% - Accent3 54 2 5" xfId="5809" xr:uid="{00000000-0005-0000-0000-0000FE0F0000}"/>
    <cellStyle name="20% - Accent3 54 2 5 2" xfId="17097" xr:uid="{00000000-0005-0000-0000-0000FF0F0000}"/>
    <cellStyle name="20% - Accent3 54 2 6" xfId="15103" xr:uid="{00000000-0005-0000-0000-000000100000}"/>
    <cellStyle name="20% - Accent3 54 3" xfId="10794" xr:uid="{00000000-0005-0000-0000-000001100000}"/>
    <cellStyle name="20% - Accent3 54 3 2" xfId="22082" xr:uid="{00000000-0005-0000-0000-000002100000}"/>
    <cellStyle name="20% - Accent3 54 4" xfId="8800" xr:uid="{00000000-0005-0000-0000-000003100000}"/>
    <cellStyle name="20% - Accent3 54 4 2" xfId="20088" xr:uid="{00000000-0005-0000-0000-000004100000}"/>
    <cellStyle name="20% - Accent3 54 5" xfId="6806" xr:uid="{00000000-0005-0000-0000-000005100000}"/>
    <cellStyle name="20% - Accent3 54 5 2" xfId="18094" xr:uid="{00000000-0005-0000-0000-000006100000}"/>
    <cellStyle name="20% - Accent3 54 6" xfId="4812" xr:uid="{00000000-0005-0000-0000-000007100000}"/>
    <cellStyle name="20% - Accent3 54 6 2" xfId="16100" xr:uid="{00000000-0005-0000-0000-000008100000}"/>
    <cellStyle name="20% - Accent3 54 7" xfId="14106" xr:uid="{00000000-0005-0000-0000-000009100000}"/>
    <cellStyle name="20% - Accent3 54 8" xfId="12792" xr:uid="{00000000-0005-0000-0000-00000A100000}"/>
    <cellStyle name="20% - Accent3 55" xfId="857" xr:uid="{00000000-0005-0000-0000-00000B100000}"/>
    <cellStyle name="20% - Accent3 55 2" xfId="3813" xr:uid="{00000000-0005-0000-0000-00000C100000}"/>
    <cellStyle name="20% - Accent3 55 2 2" xfId="11792" xr:uid="{00000000-0005-0000-0000-00000D100000}"/>
    <cellStyle name="20% - Accent3 55 2 2 2" xfId="23080" xr:uid="{00000000-0005-0000-0000-00000E100000}"/>
    <cellStyle name="20% - Accent3 55 2 3" xfId="9798" xr:uid="{00000000-0005-0000-0000-00000F100000}"/>
    <cellStyle name="20% - Accent3 55 2 3 2" xfId="21086" xr:uid="{00000000-0005-0000-0000-000010100000}"/>
    <cellStyle name="20% - Accent3 55 2 4" xfId="7804" xr:uid="{00000000-0005-0000-0000-000011100000}"/>
    <cellStyle name="20% - Accent3 55 2 4 2" xfId="19092" xr:uid="{00000000-0005-0000-0000-000012100000}"/>
    <cellStyle name="20% - Accent3 55 2 5" xfId="5810" xr:uid="{00000000-0005-0000-0000-000013100000}"/>
    <cellStyle name="20% - Accent3 55 2 5 2" xfId="17098" xr:uid="{00000000-0005-0000-0000-000014100000}"/>
    <cellStyle name="20% - Accent3 55 2 6" xfId="15104" xr:uid="{00000000-0005-0000-0000-000015100000}"/>
    <cellStyle name="20% - Accent3 55 3" xfId="10795" xr:uid="{00000000-0005-0000-0000-000016100000}"/>
    <cellStyle name="20% - Accent3 55 3 2" xfId="22083" xr:uid="{00000000-0005-0000-0000-000017100000}"/>
    <cellStyle name="20% - Accent3 55 4" xfId="8801" xr:uid="{00000000-0005-0000-0000-000018100000}"/>
    <cellStyle name="20% - Accent3 55 4 2" xfId="20089" xr:uid="{00000000-0005-0000-0000-000019100000}"/>
    <cellStyle name="20% - Accent3 55 5" xfId="6807" xr:uid="{00000000-0005-0000-0000-00001A100000}"/>
    <cellStyle name="20% - Accent3 55 5 2" xfId="18095" xr:uid="{00000000-0005-0000-0000-00001B100000}"/>
    <cellStyle name="20% - Accent3 55 6" xfId="4813" xr:uid="{00000000-0005-0000-0000-00001C100000}"/>
    <cellStyle name="20% - Accent3 55 6 2" xfId="16101" xr:uid="{00000000-0005-0000-0000-00001D100000}"/>
    <cellStyle name="20% - Accent3 55 7" xfId="14107" xr:uid="{00000000-0005-0000-0000-00001E100000}"/>
    <cellStyle name="20% - Accent3 55 8" xfId="12793" xr:uid="{00000000-0005-0000-0000-00001F100000}"/>
    <cellStyle name="20% - Accent3 56" xfId="858" xr:uid="{00000000-0005-0000-0000-000020100000}"/>
    <cellStyle name="20% - Accent3 56 2" xfId="3814" xr:uid="{00000000-0005-0000-0000-000021100000}"/>
    <cellStyle name="20% - Accent3 56 2 2" xfId="11793" xr:uid="{00000000-0005-0000-0000-000022100000}"/>
    <cellStyle name="20% - Accent3 56 2 2 2" xfId="23081" xr:uid="{00000000-0005-0000-0000-000023100000}"/>
    <cellStyle name="20% - Accent3 56 2 3" xfId="9799" xr:uid="{00000000-0005-0000-0000-000024100000}"/>
    <cellStyle name="20% - Accent3 56 2 3 2" xfId="21087" xr:uid="{00000000-0005-0000-0000-000025100000}"/>
    <cellStyle name="20% - Accent3 56 2 4" xfId="7805" xr:uid="{00000000-0005-0000-0000-000026100000}"/>
    <cellStyle name="20% - Accent3 56 2 4 2" xfId="19093" xr:uid="{00000000-0005-0000-0000-000027100000}"/>
    <cellStyle name="20% - Accent3 56 2 5" xfId="5811" xr:uid="{00000000-0005-0000-0000-000028100000}"/>
    <cellStyle name="20% - Accent3 56 2 5 2" xfId="17099" xr:uid="{00000000-0005-0000-0000-000029100000}"/>
    <cellStyle name="20% - Accent3 56 2 6" xfId="15105" xr:uid="{00000000-0005-0000-0000-00002A100000}"/>
    <cellStyle name="20% - Accent3 56 3" xfId="10796" xr:uid="{00000000-0005-0000-0000-00002B100000}"/>
    <cellStyle name="20% - Accent3 56 3 2" xfId="22084" xr:uid="{00000000-0005-0000-0000-00002C100000}"/>
    <cellStyle name="20% - Accent3 56 4" xfId="8802" xr:uid="{00000000-0005-0000-0000-00002D100000}"/>
    <cellStyle name="20% - Accent3 56 4 2" xfId="20090" xr:uid="{00000000-0005-0000-0000-00002E100000}"/>
    <cellStyle name="20% - Accent3 56 5" xfId="6808" xr:uid="{00000000-0005-0000-0000-00002F100000}"/>
    <cellStyle name="20% - Accent3 56 5 2" xfId="18096" xr:uid="{00000000-0005-0000-0000-000030100000}"/>
    <cellStyle name="20% - Accent3 56 6" xfId="4814" xr:uid="{00000000-0005-0000-0000-000031100000}"/>
    <cellStyle name="20% - Accent3 56 6 2" xfId="16102" xr:uid="{00000000-0005-0000-0000-000032100000}"/>
    <cellStyle name="20% - Accent3 56 7" xfId="14108" xr:uid="{00000000-0005-0000-0000-000033100000}"/>
    <cellStyle name="20% - Accent3 56 8" xfId="12794" xr:uid="{00000000-0005-0000-0000-000034100000}"/>
    <cellStyle name="20% - Accent3 57" xfId="859" xr:uid="{00000000-0005-0000-0000-000035100000}"/>
    <cellStyle name="20% - Accent3 57 2" xfId="3815" xr:uid="{00000000-0005-0000-0000-000036100000}"/>
    <cellStyle name="20% - Accent3 57 2 2" xfId="11794" xr:uid="{00000000-0005-0000-0000-000037100000}"/>
    <cellStyle name="20% - Accent3 57 2 2 2" xfId="23082" xr:uid="{00000000-0005-0000-0000-000038100000}"/>
    <cellStyle name="20% - Accent3 57 2 3" xfId="9800" xr:uid="{00000000-0005-0000-0000-000039100000}"/>
    <cellStyle name="20% - Accent3 57 2 3 2" xfId="21088" xr:uid="{00000000-0005-0000-0000-00003A100000}"/>
    <cellStyle name="20% - Accent3 57 2 4" xfId="7806" xr:uid="{00000000-0005-0000-0000-00003B100000}"/>
    <cellStyle name="20% - Accent3 57 2 4 2" xfId="19094" xr:uid="{00000000-0005-0000-0000-00003C100000}"/>
    <cellStyle name="20% - Accent3 57 2 5" xfId="5812" xr:uid="{00000000-0005-0000-0000-00003D100000}"/>
    <cellStyle name="20% - Accent3 57 2 5 2" xfId="17100" xr:uid="{00000000-0005-0000-0000-00003E100000}"/>
    <cellStyle name="20% - Accent3 57 2 6" xfId="15106" xr:uid="{00000000-0005-0000-0000-00003F100000}"/>
    <cellStyle name="20% - Accent3 57 3" xfId="10797" xr:uid="{00000000-0005-0000-0000-000040100000}"/>
    <cellStyle name="20% - Accent3 57 3 2" xfId="22085" xr:uid="{00000000-0005-0000-0000-000041100000}"/>
    <cellStyle name="20% - Accent3 57 4" xfId="8803" xr:uid="{00000000-0005-0000-0000-000042100000}"/>
    <cellStyle name="20% - Accent3 57 4 2" xfId="20091" xr:uid="{00000000-0005-0000-0000-000043100000}"/>
    <cellStyle name="20% - Accent3 57 5" xfId="6809" xr:uid="{00000000-0005-0000-0000-000044100000}"/>
    <cellStyle name="20% - Accent3 57 5 2" xfId="18097" xr:uid="{00000000-0005-0000-0000-000045100000}"/>
    <cellStyle name="20% - Accent3 57 6" xfId="4815" xr:uid="{00000000-0005-0000-0000-000046100000}"/>
    <cellStyle name="20% - Accent3 57 6 2" xfId="16103" xr:uid="{00000000-0005-0000-0000-000047100000}"/>
    <cellStyle name="20% - Accent3 57 7" xfId="14109" xr:uid="{00000000-0005-0000-0000-000048100000}"/>
    <cellStyle name="20% - Accent3 57 8" xfId="12795" xr:uid="{00000000-0005-0000-0000-000049100000}"/>
    <cellStyle name="20% - Accent3 58" xfId="860" xr:uid="{00000000-0005-0000-0000-00004A100000}"/>
    <cellStyle name="20% - Accent3 58 2" xfId="3816" xr:uid="{00000000-0005-0000-0000-00004B100000}"/>
    <cellStyle name="20% - Accent3 58 2 2" xfId="11795" xr:uid="{00000000-0005-0000-0000-00004C100000}"/>
    <cellStyle name="20% - Accent3 58 2 2 2" xfId="23083" xr:uid="{00000000-0005-0000-0000-00004D100000}"/>
    <cellStyle name="20% - Accent3 58 2 3" xfId="9801" xr:uid="{00000000-0005-0000-0000-00004E100000}"/>
    <cellStyle name="20% - Accent3 58 2 3 2" xfId="21089" xr:uid="{00000000-0005-0000-0000-00004F100000}"/>
    <cellStyle name="20% - Accent3 58 2 4" xfId="7807" xr:uid="{00000000-0005-0000-0000-000050100000}"/>
    <cellStyle name="20% - Accent3 58 2 4 2" xfId="19095" xr:uid="{00000000-0005-0000-0000-000051100000}"/>
    <cellStyle name="20% - Accent3 58 2 5" xfId="5813" xr:uid="{00000000-0005-0000-0000-000052100000}"/>
    <cellStyle name="20% - Accent3 58 2 5 2" xfId="17101" xr:uid="{00000000-0005-0000-0000-000053100000}"/>
    <cellStyle name="20% - Accent3 58 2 6" xfId="15107" xr:uid="{00000000-0005-0000-0000-000054100000}"/>
    <cellStyle name="20% - Accent3 58 3" xfId="10798" xr:uid="{00000000-0005-0000-0000-000055100000}"/>
    <cellStyle name="20% - Accent3 58 3 2" xfId="22086" xr:uid="{00000000-0005-0000-0000-000056100000}"/>
    <cellStyle name="20% - Accent3 58 4" xfId="8804" xr:uid="{00000000-0005-0000-0000-000057100000}"/>
    <cellStyle name="20% - Accent3 58 4 2" xfId="20092" xr:uid="{00000000-0005-0000-0000-000058100000}"/>
    <cellStyle name="20% - Accent3 58 5" xfId="6810" xr:uid="{00000000-0005-0000-0000-000059100000}"/>
    <cellStyle name="20% - Accent3 58 5 2" xfId="18098" xr:uid="{00000000-0005-0000-0000-00005A100000}"/>
    <cellStyle name="20% - Accent3 58 6" xfId="4816" xr:uid="{00000000-0005-0000-0000-00005B100000}"/>
    <cellStyle name="20% - Accent3 58 6 2" xfId="16104" xr:uid="{00000000-0005-0000-0000-00005C100000}"/>
    <cellStyle name="20% - Accent3 58 7" xfId="14110" xr:uid="{00000000-0005-0000-0000-00005D100000}"/>
    <cellStyle name="20% - Accent3 58 8" xfId="12796" xr:uid="{00000000-0005-0000-0000-00005E100000}"/>
    <cellStyle name="20% - Accent3 59" xfId="861" xr:uid="{00000000-0005-0000-0000-00005F100000}"/>
    <cellStyle name="20% - Accent3 59 2" xfId="3817" xr:uid="{00000000-0005-0000-0000-000060100000}"/>
    <cellStyle name="20% - Accent3 59 2 2" xfId="11796" xr:uid="{00000000-0005-0000-0000-000061100000}"/>
    <cellStyle name="20% - Accent3 59 2 2 2" xfId="23084" xr:uid="{00000000-0005-0000-0000-000062100000}"/>
    <cellStyle name="20% - Accent3 59 2 3" xfId="9802" xr:uid="{00000000-0005-0000-0000-000063100000}"/>
    <cellStyle name="20% - Accent3 59 2 3 2" xfId="21090" xr:uid="{00000000-0005-0000-0000-000064100000}"/>
    <cellStyle name="20% - Accent3 59 2 4" xfId="7808" xr:uid="{00000000-0005-0000-0000-000065100000}"/>
    <cellStyle name="20% - Accent3 59 2 4 2" xfId="19096" xr:uid="{00000000-0005-0000-0000-000066100000}"/>
    <cellStyle name="20% - Accent3 59 2 5" xfId="5814" xr:uid="{00000000-0005-0000-0000-000067100000}"/>
    <cellStyle name="20% - Accent3 59 2 5 2" xfId="17102" xr:uid="{00000000-0005-0000-0000-000068100000}"/>
    <cellStyle name="20% - Accent3 59 2 6" xfId="15108" xr:uid="{00000000-0005-0000-0000-000069100000}"/>
    <cellStyle name="20% - Accent3 59 3" xfId="10799" xr:uid="{00000000-0005-0000-0000-00006A100000}"/>
    <cellStyle name="20% - Accent3 59 3 2" xfId="22087" xr:uid="{00000000-0005-0000-0000-00006B100000}"/>
    <cellStyle name="20% - Accent3 59 4" xfId="8805" xr:uid="{00000000-0005-0000-0000-00006C100000}"/>
    <cellStyle name="20% - Accent3 59 4 2" xfId="20093" xr:uid="{00000000-0005-0000-0000-00006D100000}"/>
    <cellStyle name="20% - Accent3 59 5" xfId="6811" xr:uid="{00000000-0005-0000-0000-00006E100000}"/>
    <cellStyle name="20% - Accent3 59 5 2" xfId="18099" xr:uid="{00000000-0005-0000-0000-00006F100000}"/>
    <cellStyle name="20% - Accent3 59 6" xfId="4817" xr:uid="{00000000-0005-0000-0000-000070100000}"/>
    <cellStyle name="20% - Accent3 59 6 2" xfId="16105" xr:uid="{00000000-0005-0000-0000-000071100000}"/>
    <cellStyle name="20% - Accent3 59 7" xfId="14111" xr:uid="{00000000-0005-0000-0000-000072100000}"/>
    <cellStyle name="20% - Accent3 59 8" xfId="12797" xr:uid="{00000000-0005-0000-0000-000073100000}"/>
    <cellStyle name="20% - Accent3 6" xfId="862" xr:uid="{00000000-0005-0000-0000-000074100000}"/>
    <cellStyle name="20% - Accent3 6 10" xfId="24575" xr:uid="{00000000-0005-0000-0000-000075100000}"/>
    <cellStyle name="20% - Accent3 6 11" xfId="24965" xr:uid="{00000000-0005-0000-0000-000076100000}"/>
    <cellStyle name="20% - Accent3 6 2" xfId="3818" xr:uid="{00000000-0005-0000-0000-000077100000}"/>
    <cellStyle name="20% - Accent3 6 2 2" xfId="11797" xr:uid="{00000000-0005-0000-0000-000078100000}"/>
    <cellStyle name="20% - Accent3 6 2 2 2" xfId="23085" xr:uid="{00000000-0005-0000-0000-000079100000}"/>
    <cellStyle name="20% - Accent3 6 2 3" xfId="9803" xr:uid="{00000000-0005-0000-0000-00007A100000}"/>
    <cellStyle name="20% - Accent3 6 2 3 2" xfId="21091" xr:uid="{00000000-0005-0000-0000-00007B100000}"/>
    <cellStyle name="20% - Accent3 6 2 4" xfId="7809" xr:uid="{00000000-0005-0000-0000-00007C100000}"/>
    <cellStyle name="20% - Accent3 6 2 4 2" xfId="19097" xr:uid="{00000000-0005-0000-0000-00007D100000}"/>
    <cellStyle name="20% - Accent3 6 2 5" xfId="5815" xr:uid="{00000000-0005-0000-0000-00007E100000}"/>
    <cellStyle name="20% - Accent3 6 2 5 2" xfId="17103" xr:uid="{00000000-0005-0000-0000-00007F100000}"/>
    <cellStyle name="20% - Accent3 6 2 6" xfId="15109" xr:uid="{00000000-0005-0000-0000-000080100000}"/>
    <cellStyle name="20% - Accent3 6 2 7" xfId="24336" xr:uid="{00000000-0005-0000-0000-000081100000}"/>
    <cellStyle name="20% - Accent3 6 2 8" xfId="24800" xr:uid="{00000000-0005-0000-0000-000082100000}"/>
    <cellStyle name="20% - Accent3 6 2 9" xfId="25167" xr:uid="{00000000-0005-0000-0000-000083100000}"/>
    <cellStyle name="20% - Accent3 6 3" xfId="10800" xr:uid="{00000000-0005-0000-0000-000084100000}"/>
    <cellStyle name="20% - Accent3 6 3 2" xfId="22088" xr:uid="{00000000-0005-0000-0000-000085100000}"/>
    <cellStyle name="20% - Accent3 6 4" xfId="8806" xr:uid="{00000000-0005-0000-0000-000086100000}"/>
    <cellStyle name="20% - Accent3 6 4 2" xfId="20094" xr:uid="{00000000-0005-0000-0000-000087100000}"/>
    <cellStyle name="20% - Accent3 6 5" xfId="6812" xr:uid="{00000000-0005-0000-0000-000088100000}"/>
    <cellStyle name="20% - Accent3 6 5 2" xfId="18100" xr:uid="{00000000-0005-0000-0000-000089100000}"/>
    <cellStyle name="20% - Accent3 6 6" xfId="4818" xr:uid="{00000000-0005-0000-0000-00008A100000}"/>
    <cellStyle name="20% - Accent3 6 6 2" xfId="16106" xr:uid="{00000000-0005-0000-0000-00008B100000}"/>
    <cellStyle name="20% - Accent3 6 7" xfId="14112" xr:uid="{00000000-0005-0000-0000-00008C100000}"/>
    <cellStyle name="20% - Accent3 6 8" xfId="12798" xr:uid="{00000000-0005-0000-0000-00008D100000}"/>
    <cellStyle name="20% - Accent3 6 9" xfId="23948" xr:uid="{00000000-0005-0000-0000-00008E100000}"/>
    <cellStyle name="20% - Accent3 60" xfId="863" xr:uid="{00000000-0005-0000-0000-00008F100000}"/>
    <cellStyle name="20% - Accent3 60 2" xfId="3819" xr:uid="{00000000-0005-0000-0000-000090100000}"/>
    <cellStyle name="20% - Accent3 60 2 2" xfId="11798" xr:uid="{00000000-0005-0000-0000-000091100000}"/>
    <cellStyle name="20% - Accent3 60 2 2 2" xfId="23086" xr:uid="{00000000-0005-0000-0000-000092100000}"/>
    <cellStyle name="20% - Accent3 60 2 3" xfId="9804" xr:uid="{00000000-0005-0000-0000-000093100000}"/>
    <cellStyle name="20% - Accent3 60 2 3 2" xfId="21092" xr:uid="{00000000-0005-0000-0000-000094100000}"/>
    <cellStyle name="20% - Accent3 60 2 4" xfId="7810" xr:uid="{00000000-0005-0000-0000-000095100000}"/>
    <cellStyle name="20% - Accent3 60 2 4 2" xfId="19098" xr:uid="{00000000-0005-0000-0000-000096100000}"/>
    <cellStyle name="20% - Accent3 60 2 5" xfId="5816" xr:uid="{00000000-0005-0000-0000-000097100000}"/>
    <cellStyle name="20% - Accent3 60 2 5 2" xfId="17104" xr:uid="{00000000-0005-0000-0000-000098100000}"/>
    <cellStyle name="20% - Accent3 60 2 6" xfId="15110" xr:uid="{00000000-0005-0000-0000-000099100000}"/>
    <cellStyle name="20% - Accent3 60 3" xfId="10801" xr:uid="{00000000-0005-0000-0000-00009A100000}"/>
    <cellStyle name="20% - Accent3 60 3 2" xfId="22089" xr:uid="{00000000-0005-0000-0000-00009B100000}"/>
    <cellStyle name="20% - Accent3 60 4" xfId="8807" xr:uid="{00000000-0005-0000-0000-00009C100000}"/>
    <cellStyle name="20% - Accent3 60 4 2" xfId="20095" xr:uid="{00000000-0005-0000-0000-00009D100000}"/>
    <cellStyle name="20% - Accent3 60 5" xfId="6813" xr:uid="{00000000-0005-0000-0000-00009E100000}"/>
    <cellStyle name="20% - Accent3 60 5 2" xfId="18101" xr:uid="{00000000-0005-0000-0000-00009F100000}"/>
    <cellStyle name="20% - Accent3 60 6" xfId="4819" xr:uid="{00000000-0005-0000-0000-0000A0100000}"/>
    <cellStyle name="20% - Accent3 60 6 2" xfId="16107" xr:uid="{00000000-0005-0000-0000-0000A1100000}"/>
    <cellStyle name="20% - Accent3 60 7" xfId="14113" xr:uid="{00000000-0005-0000-0000-0000A2100000}"/>
    <cellStyle name="20% - Accent3 60 8" xfId="12799" xr:uid="{00000000-0005-0000-0000-0000A3100000}"/>
    <cellStyle name="20% - Accent3 61" xfId="864" xr:uid="{00000000-0005-0000-0000-0000A4100000}"/>
    <cellStyle name="20% - Accent3 61 2" xfId="3820" xr:uid="{00000000-0005-0000-0000-0000A5100000}"/>
    <cellStyle name="20% - Accent3 61 2 2" xfId="11799" xr:uid="{00000000-0005-0000-0000-0000A6100000}"/>
    <cellStyle name="20% - Accent3 61 2 2 2" xfId="23087" xr:uid="{00000000-0005-0000-0000-0000A7100000}"/>
    <cellStyle name="20% - Accent3 61 2 3" xfId="9805" xr:uid="{00000000-0005-0000-0000-0000A8100000}"/>
    <cellStyle name="20% - Accent3 61 2 3 2" xfId="21093" xr:uid="{00000000-0005-0000-0000-0000A9100000}"/>
    <cellStyle name="20% - Accent3 61 2 4" xfId="7811" xr:uid="{00000000-0005-0000-0000-0000AA100000}"/>
    <cellStyle name="20% - Accent3 61 2 4 2" xfId="19099" xr:uid="{00000000-0005-0000-0000-0000AB100000}"/>
    <cellStyle name="20% - Accent3 61 2 5" xfId="5817" xr:uid="{00000000-0005-0000-0000-0000AC100000}"/>
    <cellStyle name="20% - Accent3 61 2 5 2" xfId="17105" xr:uid="{00000000-0005-0000-0000-0000AD100000}"/>
    <cellStyle name="20% - Accent3 61 2 6" xfId="15111" xr:uid="{00000000-0005-0000-0000-0000AE100000}"/>
    <cellStyle name="20% - Accent3 61 3" xfId="10802" xr:uid="{00000000-0005-0000-0000-0000AF100000}"/>
    <cellStyle name="20% - Accent3 61 3 2" xfId="22090" xr:uid="{00000000-0005-0000-0000-0000B0100000}"/>
    <cellStyle name="20% - Accent3 61 4" xfId="8808" xr:uid="{00000000-0005-0000-0000-0000B1100000}"/>
    <cellStyle name="20% - Accent3 61 4 2" xfId="20096" xr:uid="{00000000-0005-0000-0000-0000B2100000}"/>
    <cellStyle name="20% - Accent3 61 5" xfId="6814" xr:uid="{00000000-0005-0000-0000-0000B3100000}"/>
    <cellStyle name="20% - Accent3 61 5 2" xfId="18102" xr:uid="{00000000-0005-0000-0000-0000B4100000}"/>
    <cellStyle name="20% - Accent3 61 6" xfId="4820" xr:uid="{00000000-0005-0000-0000-0000B5100000}"/>
    <cellStyle name="20% - Accent3 61 6 2" xfId="16108" xr:uid="{00000000-0005-0000-0000-0000B6100000}"/>
    <cellStyle name="20% - Accent3 61 7" xfId="14114" xr:uid="{00000000-0005-0000-0000-0000B7100000}"/>
    <cellStyle name="20% - Accent3 61 8" xfId="12800" xr:uid="{00000000-0005-0000-0000-0000B8100000}"/>
    <cellStyle name="20% - Accent3 62" xfId="865" xr:uid="{00000000-0005-0000-0000-0000B9100000}"/>
    <cellStyle name="20% - Accent3 62 2" xfId="3821" xr:uid="{00000000-0005-0000-0000-0000BA100000}"/>
    <cellStyle name="20% - Accent3 62 2 2" xfId="11800" xr:uid="{00000000-0005-0000-0000-0000BB100000}"/>
    <cellStyle name="20% - Accent3 62 2 2 2" xfId="23088" xr:uid="{00000000-0005-0000-0000-0000BC100000}"/>
    <cellStyle name="20% - Accent3 62 2 3" xfId="9806" xr:uid="{00000000-0005-0000-0000-0000BD100000}"/>
    <cellStyle name="20% - Accent3 62 2 3 2" xfId="21094" xr:uid="{00000000-0005-0000-0000-0000BE100000}"/>
    <cellStyle name="20% - Accent3 62 2 4" xfId="7812" xr:uid="{00000000-0005-0000-0000-0000BF100000}"/>
    <cellStyle name="20% - Accent3 62 2 4 2" xfId="19100" xr:uid="{00000000-0005-0000-0000-0000C0100000}"/>
    <cellStyle name="20% - Accent3 62 2 5" xfId="5818" xr:uid="{00000000-0005-0000-0000-0000C1100000}"/>
    <cellStyle name="20% - Accent3 62 2 5 2" xfId="17106" xr:uid="{00000000-0005-0000-0000-0000C2100000}"/>
    <cellStyle name="20% - Accent3 62 2 6" xfId="15112" xr:uid="{00000000-0005-0000-0000-0000C3100000}"/>
    <cellStyle name="20% - Accent3 62 3" xfId="10803" xr:uid="{00000000-0005-0000-0000-0000C4100000}"/>
    <cellStyle name="20% - Accent3 62 3 2" xfId="22091" xr:uid="{00000000-0005-0000-0000-0000C5100000}"/>
    <cellStyle name="20% - Accent3 62 4" xfId="8809" xr:uid="{00000000-0005-0000-0000-0000C6100000}"/>
    <cellStyle name="20% - Accent3 62 4 2" xfId="20097" xr:uid="{00000000-0005-0000-0000-0000C7100000}"/>
    <cellStyle name="20% - Accent3 62 5" xfId="6815" xr:uid="{00000000-0005-0000-0000-0000C8100000}"/>
    <cellStyle name="20% - Accent3 62 5 2" xfId="18103" xr:uid="{00000000-0005-0000-0000-0000C9100000}"/>
    <cellStyle name="20% - Accent3 62 6" xfId="4821" xr:uid="{00000000-0005-0000-0000-0000CA100000}"/>
    <cellStyle name="20% - Accent3 62 6 2" xfId="16109" xr:uid="{00000000-0005-0000-0000-0000CB100000}"/>
    <cellStyle name="20% - Accent3 62 7" xfId="14115" xr:uid="{00000000-0005-0000-0000-0000CC100000}"/>
    <cellStyle name="20% - Accent3 62 8" xfId="12801" xr:uid="{00000000-0005-0000-0000-0000CD100000}"/>
    <cellStyle name="20% - Accent3 63" xfId="866" xr:uid="{00000000-0005-0000-0000-0000CE100000}"/>
    <cellStyle name="20% - Accent3 63 2" xfId="3822" xr:uid="{00000000-0005-0000-0000-0000CF100000}"/>
    <cellStyle name="20% - Accent3 63 2 2" xfId="11801" xr:uid="{00000000-0005-0000-0000-0000D0100000}"/>
    <cellStyle name="20% - Accent3 63 2 2 2" xfId="23089" xr:uid="{00000000-0005-0000-0000-0000D1100000}"/>
    <cellStyle name="20% - Accent3 63 2 3" xfId="9807" xr:uid="{00000000-0005-0000-0000-0000D2100000}"/>
    <cellStyle name="20% - Accent3 63 2 3 2" xfId="21095" xr:uid="{00000000-0005-0000-0000-0000D3100000}"/>
    <cellStyle name="20% - Accent3 63 2 4" xfId="7813" xr:uid="{00000000-0005-0000-0000-0000D4100000}"/>
    <cellStyle name="20% - Accent3 63 2 4 2" xfId="19101" xr:uid="{00000000-0005-0000-0000-0000D5100000}"/>
    <cellStyle name="20% - Accent3 63 2 5" xfId="5819" xr:uid="{00000000-0005-0000-0000-0000D6100000}"/>
    <cellStyle name="20% - Accent3 63 2 5 2" xfId="17107" xr:uid="{00000000-0005-0000-0000-0000D7100000}"/>
    <cellStyle name="20% - Accent3 63 2 6" xfId="15113" xr:uid="{00000000-0005-0000-0000-0000D8100000}"/>
    <cellStyle name="20% - Accent3 63 3" xfId="10804" xr:uid="{00000000-0005-0000-0000-0000D9100000}"/>
    <cellStyle name="20% - Accent3 63 3 2" xfId="22092" xr:uid="{00000000-0005-0000-0000-0000DA100000}"/>
    <cellStyle name="20% - Accent3 63 4" xfId="8810" xr:uid="{00000000-0005-0000-0000-0000DB100000}"/>
    <cellStyle name="20% - Accent3 63 4 2" xfId="20098" xr:uid="{00000000-0005-0000-0000-0000DC100000}"/>
    <cellStyle name="20% - Accent3 63 5" xfId="6816" xr:uid="{00000000-0005-0000-0000-0000DD100000}"/>
    <cellStyle name="20% - Accent3 63 5 2" xfId="18104" xr:uid="{00000000-0005-0000-0000-0000DE100000}"/>
    <cellStyle name="20% - Accent3 63 6" xfId="4822" xr:uid="{00000000-0005-0000-0000-0000DF100000}"/>
    <cellStyle name="20% - Accent3 63 6 2" xfId="16110" xr:uid="{00000000-0005-0000-0000-0000E0100000}"/>
    <cellStyle name="20% - Accent3 63 7" xfId="14116" xr:uid="{00000000-0005-0000-0000-0000E1100000}"/>
    <cellStyle name="20% - Accent3 63 8" xfId="12802" xr:uid="{00000000-0005-0000-0000-0000E2100000}"/>
    <cellStyle name="20% - Accent3 64" xfId="867" xr:uid="{00000000-0005-0000-0000-0000E3100000}"/>
    <cellStyle name="20% - Accent3 64 2" xfId="3823" xr:uid="{00000000-0005-0000-0000-0000E4100000}"/>
    <cellStyle name="20% - Accent3 64 2 2" xfId="11802" xr:uid="{00000000-0005-0000-0000-0000E5100000}"/>
    <cellStyle name="20% - Accent3 64 2 2 2" xfId="23090" xr:uid="{00000000-0005-0000-0000-0000E6100000}"/>
    <cellStyle name="20% - Accent3 64 2 3" xfId="9808" xr:uid="{00000000-0005-0000-0000-0000E7100000}"/>
    <cellStyle name="20% - Accent3 64 2 3 2" xfId="21096" xr:uid="{00000000-0005-0000-0000-0000E8100000}"/>
    <cellStyle name="20% - Accent3 64 2 4" xfId="7814" xr:uid="{00000000-0005-0000-0000-0000E9100000}"/>
    <cellStyle name="20% - Accent3 64 2 4 2" xfId="19102" xr:uid="{00000000-0005-0000-0000-0000EA100000}"/>
    <cellStyle name="20% - Accent3 64 2 5" xfId="5820" xr:uid="{00000000-0005-0000-0000-0000EB100000}"/>
    <cellStyle name="20% - Accent3 64 2 5 2" xfId="17108" xr:uid="{00000000-0005-0000-0000-0000EC100000}"/>
    <cellStyle name="20% - Accent3 64 2 6" xfId="15114" xr:uid="{00000000-0005-0000-0000-0000ED100000}"/>
    <cellStyle name="20% - Accent3 64 3" xfId="10805" xr:uid="{00000000-0005-0000-0000-0000EE100000}"/>
    <cellStyle name="20% - Accent3 64 3 2" xfId="22093" xr:uid="{00000000-0005-0000-0000-0000EF100000}"/>
    <cellStyle name="20% - Accent3 64 4" xfId="8811" xr:uid="{00000000-0005-0000-0000-0000F0100000}"/>
    <cellStyle name="20% - Accent3 64 4 2" xfId="20099" xr:uid="{00000000-0005-0000-0000-0000F1100000}"/>
    <cellStyle name="20% - Accent3 64 5" xfId="6817" xr:uid="{00000000-0005-0000-0000-0000F2100000}"/>
    <cellStyle name="20% - Accent3 64 5 2" xfId="18105" xr:uid="{00000000-0005-0000-0000-0000F3100000}"/>
    <cellStyle name="20% - Accent3 64 6" xfId="4823" xr:uid="{00000000-0005-0000-0000-0000F4100000}"/>
    <cellStyle name="20% - Accent3 64 6 2" xfId="16111" xr:uid="{00000000-0005-0000-0000-0000F5100000}"/>
    <cellStyle name="20% - Accent3 64 7" xfId="14117" xr:uid="{00000000-0005-0000-0000-0000F6100000}"/>
    <cellStyle name="20% - Accent3 64 8" xfId="12803" xr:uid="{00000000-0005-0000-0000-0000F7100000}"/>
    <cellStyle name="20% - Accent3 65" xfId="868" xr:uid="{00000000-0005-0000-0000-0000F8100000}"/>
    <cellStyle name="20% - Accent3 65 2" xfId="3824" xr:uid="{00000000-0005-0000-0000-0000F9100000}"/>
    <cellStyle name="20% - Accent3 65 2 2" xfId="11803" xr:uid="{00000000-0005-0000-0000-0000FA100000}"/>
    <cellStyle name="20% - Accent3 65 2 2 2" xfId="23091" xr:uid="{00000000-0005-0000-0000-0000FB100000}"/>
    <cellStyle name="20% - Accent3 65 2 3" xfId="9809" xr:uid="{00000000-0005-0000-0000-0000FC100000}"/>
    <cellStyle name="20% - Accent3 65 2 3 2" xfId="21097" xr:uid="{00000000-0005-0000-0000-0000FD100000}"/>
    <cellStyle name="20% - Accent3 65 2 4" xfId="7815" xr:uid="{00000000-0005-0000-0000-0000FE100000}"/>
    <cellStyle name="20% - Accent3 65 2 4 2" xfId="19103" xr:uid="{00000000-0005-0000-0000-0000FF100000}"/>
    <cellStyle name="20% - Accent3 65 2 5" xfId="5821" xr:uid="{00000000-0005-0000-0000-000000110000}"/>
    <cellStyle name="20% - Accent3 65 2 5 2" xfId="17109" xr:uid="{00000000-0005-0000-0000-000001110000}"/>
    <cellStyle name="20% - Accent3 65 2 6" xfId="15115" xr:uid="{00000000-0005-0000-0000-000002110000}"/>
    <cellStyle name="20% - Accent3 65 3" xfId="10806" xr:uid="{00000000-0005-0000-0000-000003110000}"/>
    <cellStyle name="20% - Accent3 65 3 2" xfId="22094" xr:uid="{00000000-0005-0000-0000-000004110000}"/>
    <cellStyle name="20% - Accent3 65 4" xfId="8812" xr:uid="{00000000-0005-0000-0000-000005110000}"/>
    <cellStyle name="20% - Accent3 65 4 2" xfId="20100" xr:uid="{00000000-0005-0000-0000-000006110000}"/>
    <cellStyle name="20% - Accent3 65 5" xfId="6818" xr:uid="{00000000-0005-0000-0000-000007110000}"/>
    <cellStyle name="20% - Accent3 65 5 2" xfId="18106" xr:uid="{00000000-0005-0000-0000-000008110000}"/>
    <cellStyle name="20% - Accent3 65 6" xfId="4824" xr:uid="{00000000-0005-0000-0000-000009110000}"/>
    <cellStyle name="20% - Accent3 65 6 2" xfId="16112" xr:uid="{00000000-0005-0000-0000-00000A110000}"/>
    <cellStyle name="20% - Accent3 65 7" xfId="14118" xr:uid="{00000000-0005-0000-0000-00000B110000}"/>
    <cellStyle name="20% - Accent3 65 8" xfId="12804" xr:uid="{00000000-0005-0000-0000-00000C110000}"/>
    <cellStyle name="20% - Accent3 66" xfId="869" xr:uid="{00000000-0005-0000-0000-00000D110000}"/>
    <cellStyle name="20% - Accent3 66 2" xfId="3825" xr:uid="{00000000-0005-0000-0000-00000E110000}"/>
    <cellStyle name="20% - Accent3 66 2 2" xfId="11804" xr:uid="{00000000-0005-0000-0000-00000F110000}"/>
    <cellStyle name="20% - Accent3 66 2 2 2" xfId="23092" xr:uid="{00000000-0005-0000-0000-000010110000}"/>
    <cellStyle name="20% - Accent3 66 2 3" xfId="9810" xr:uid="{00000000-0005-0000-0000-000011110000}"/>
    <cellStyle name="20% - Accent3 66 2 3 2" xfId="21098" xr:uid="{00000000-0005-0000-0000-000012110000}"/>
    <cellStyle name="20% - Accent3 66 2 4" xfId="7816" xr:uid="{00000000-0005-0000-0000-000013110000}"/>
    <cellStyle name="20% - Accent3 66 2 4 2" xfId="19104" xr:uid="{00000000-0005-0000-0000-000014110000}"/>
    <cellStyle name="20% - Accent3 66 2 5" xfId="5822" xr:uid="{00000000-0005-0000-0000-000015110000}"/>
    <cellStyle name="20% - Accent3 66 2 5 2" xfId="17110" xr:uid="{00000000-0005-0000-0000-000016110000}"/>
    <cellStyle name="20% - Accent3 66 2 6" xfId="15116" xr:uid="{00000000-0005-0000-0000-000017110000}"/>
    <cellStyle name="20% - Accent3 66 3" xfId="10807" xr:uid="{00000000-0005-0000-0000-000018110000}"/>
    <cellStyle name="20% - Accent3 66 3 2" xfId="22095" xr:uid="{00000000-0005-0000-0000-000019110000}"/>
    <cellStyle name="20% - Accent3 66 4" xfId="8813" xr:uid="{00000000-0005-0000-0000-00001A110000}"/>
    <cellStyle name="20% - Accent3 66 4 2" xfId="20101" xr:uid="{00000000-0005-0000-0000-00001B110000}"/>
    <cellStyle name="20% - Accent3 66 5" xfId="6819" xr:uid="{00000000-0005-0000-0000-00001C110000}"/>
    <cellStyle name="20% - Accent3 66 5 2" xfId="18107" xr:uid="{00000000-0005-0000-0000-00001D110000}"/>
    <cellStyle name="20% - Accent3 66 6" xfId="4825" xr:uid="{00000000-0005-0000-0000-00001E110000}"/>
    <cellStyle name="20% - Accent3 66 6 2" xfId="16113" xr:uid="{00000000-0005-0000-0000-00001F110000}"/>
    <cellStyle name="20% - Accent3 66 7" xfId="14119" xr:uid="{00000000-0005-0000-0000-000020110000}"/>
    <cellStyle name="20% - Accent3 66 8" xfId="12805" xr:uid="{00000000-0005-0000-0000-000021110000}"/>
    <cellStyle name="20% - Accent3 67" xfId="870" xr:uid="{00000000-0005-0000-0000-000022110000}"/>
    <cellStyle name="20% - Accent3 67 2" xfId="3826" xr:uid="{00000000-0005-0000-0000-000023110000}"/>
    <cellStyle name="20% - Accent3 67 2 2" xfId="11805" xr:uid="{00000000-0005-0000-0000-000024110000}"/>
    <cellStyle name="20% - Accent3 67 2 2 2" xfId="23093" xr:uid="{00000000-0005-0000-0000-000025110000}"/>
    <cellStyle name="20% - Accent3 67 2 3" xfId="9811" xr:uid="{00000000-0005-0000-0000-000026110000}"/>
    <cellStyle name="20% - Accent3 67 2 3 2" xfId="21099" xr:uid="{00000000-0005-0000-0000-000027110000}"/>
    <cellStyle name="20% - Accent3 67 2 4" xfId="7817" xr:uid="{00000000-0005-0000-0000-000028110000}"/>
    <cellStyle name="20% - Accent3 67 2 4 2" xfId="19105" xr:uid="{00000000-0005-0000-0000-000029110000}"/>
    <cellStyle name="20% - Accent3 67 2 5" xfId="5823" xr:uid="{00000000-0005-0000-0000-00002A110000}"/>
    <cellStyle name="20% - Accent3 67 2 5 2" xfId="17111" xr:uid="{00000000-0005-0000-0000-00002B110000}"/>
    <cellStyle name="20% - Accent3 67 2 6" xfId="15117" xr:uid="{00000000-0005-0000-0000-00002C110000}"/>
    <cellStyle name="20% - Accent3 67 3" xfId="10808" xr:uid="{00000000-0005-0000-0000-00002D110000}"/>
    <cellStyle name="20% - Accent3 67 3 2" xfId="22096" xr:uid="{00000000-0005-0000-0000-00002E110000}"/>
    <cellStyle name="20% - Accent3 67 4" xfId="8814" xr:uid="{00000000-0005-0000-0000-00002F110000}"/>
    <cellStyle name="20% - Accent3 67 4 2" xfId="20102" xr:uid="{00000000-0005-0000-0000-000030110000}"/>
    <cellStyle name="20% - Accent3 67 5" xfId="6820" xr:uid="{00000000-0005-0000-0000-000031110000}"/>
    <cellStyle name="20% - Accent3 67 5 2" xfId="18108" xr:uid="{00000000-0005-0000-0000-000032110000}"/>
    <cellStyle name="20% - Accent3 67 6" xfId="4826" xr:uid="{00000000-0005-0000-0000-000033110000}"/>
    <cellStyle name="20% - Accent3 67 6 2" xfId="16114" xr:uid="{00000000-0005-0000-0000-000034110000}"/>
    <cellStyle name="20% - Accent3 67 7" xfId="14120" xr:uid="{00000000-0005-0000-0000-000035110000}"/>
    <cellStyle name="20% - Accent3 67 8" xfId="12806" xr:uid="{00000000-0005-0000-0000-000036110000}"/>
    <cellStyle name="20% - Accent3 68" xfId="871" xr:uid="{00000000-0005-0000-0000-000037110000}"/>
    <cellStyle name="20% - Accent3 68 2" xfId="3827" xr:uid="{00000000-0005-0000-0000-000038110000}"/>
    <cellStyle name="20% - Accent3 68 2 2" xfId="11806" xr:uid="{00000000-0005-0000-0000-000039110000}"/>
    <cellStyle name="20% - Accent3 68 2 2 2" xfId="23094" xr:uid="{00000000-0005-0000-0000-00003A110000}"/>
    <cellStyle name="20% - Accent3 68 2 3" xfId="9812" xr:uid="{00000000-0005-0000-0000-00003B110000}"/>
    <cellStyle name="20% - Accent3 68 2 3 2" xfId="21100" xr:uid="{00000000-0005-0000-0000-00003C110000}"/>
    <cellStyle name="20% - Accent3 68 2 4" xfId="7818" xr:uid="{00000000-0005-0000-0000-00003D110000}"/>
    <cellStyle name="20% - Accent3 68 2 4 2" xfId="19106" xr:uid="{00000000-0005-0000-0000-00003E110000}"/>
    <cellStyle name="20% - Accent3 68 2 5" xfId="5824" xr:uid="{00000000-0005-0000-0000-00003F110000}"/>
    <cellStyle name="20% - Accent3 68 2 5 2" xfId="17112" xr:uid="{00000000-0005-0000-0000-000040110000}"/>
    <cellStyle name="20% - Accent3 68 2 6" xfId="15118" xr:uid="{00000000-0005-0000-0000-000041110000}"/>
    <cellStyle name="20% - Accent3 68 3" xfId="10809" xr:uid="{00000000-0005-0000-0000-000042110000}"/>
    <cellStyle name="20% - Accent3 68 3 2" xfId="22097" xr:uid="{00000000-0005-0000-0000-000043110000}"/>
    <cellStyle name="20% - Accent3 68 4" xfId="8815" xr:uid="{00000000-0005-0000-0000-000044110000}"/>
    <cellStyle name="20% - Accent3 68 4 2" xfId="20103" xr:uid="{00000000-0005-0000-0000-000045110000}"/>
    <cellStyle name="20% - Accent3 68 5" xfId="6821" xr:uid="{00000000-0005-0000-0000-000046110000}"/>
    <cellStyle name="20% - Accent3 68 5 2" xfId="18109" xr:uid="{00000000-0005-0000-0000-000047110000}"/>
    <cellStyle name="20% - Accent3 68 6" xfId="4827" xr:uid="{00000000-0005-0000-0000-000048110000}"/>
    <cellStyle name="20% - Accent3 68 6 2" xfId="16115" xr:uid="{00000000-0005-0000-0000-000049110000}"/>
    <cellStyle name="20% - Accent3 68 7" xfId="14121" xr:uid="{00000000-0005-0000-0000-00004A110000}"/>
    <cellStyle name="20% - Accent3 68 8" xfId="12807" xr:uid="{00000000-0005-0000-0000-00004B110000}"/>
    <cellStyle name="20% - Accent3 69" xfId="872" xr:uid="{00000000-0005-0000-0000-00004C110000}"/>
    <cellStyle name="20% - Accent3 69 2" xfId="3828" xr:uid="{00000000-0005-0000-0000-00004D110000}"/>
    <cellStyle name="20% - Accent3 69 2 2" xfId="11807" xr:uid="{00000000-0005-0000-0000-00004E110000}"/>
    <cellStyle name="20% - Accent3 69 2 2 2" xfId="23095" xr:uid="{00000000-0005-0000-0000-00004F110000}"/>
    <cellStyle name="20% - Accent3 69 2 3" xfId="9813" xr:uid="{00000000-0005-0000-0000-000050110000}"/>
    <cellStyle name="20% - Accent3 69 2 3 2" xfId="21101" xr:uid="{00000000-0005-0000-0000-000051110000}"/>
    <cellStyle name="20% - Accent3 69 2 4" xfId="7819" xr:uid="{00000000-0005-0000-0000-000052110000}"/>
    <cellStyle name="20% - Accent3 69 2 4 2" xfId="19107" xr:uid="{00000000-0005-0000-0000-000053110000}"/>
    <cellStyle name="20% - Accent3 69 2 5" xfId="5825" xr:uid="{00000000-0005-0000-0000-000054110000}"/>
    <cellStyle name="20% - Accent3 69 2 5 2" xfId="17113" xr:uid="{00000000-0005-0000-0000-000055110000}"/>
    <cellStyle name="20% - Accent3 69 2 6" xfId="15119" xr:uid="{00000000-0005-0000-0000-000056110000}"/>
    <cellStyle name="20% - Accent3 69 3" xfId="10810" xr:uid="{00000000-0005-0000-0000-000057110000}"/>
    <cellStyle name="20% - Accent3 69 3 2" xfId="22098" xr:uid="{00000000-0005-0000-0000-000058110000}"/>
    <cellStyle name="20% - Accent3 69 4" xfId="8816" xr:uid="{00000000-0005-0000-0000-000059110000}"/>
    <cellStyle name="20% - Accent3 69 4 2" xfId="20104" xr:uid="{00000000-0005-0000-0000-00005A110000}"/>
    <cellStyle name="20% - Accent3 69 5" xfId="6822" xr:uid="{00000000-0005-0000-0000-00005B110000}"/>
    <cellStyle name="20% - Accent3 69 5 2" xfId="18110" xr:uid="{00000000-0005-0000-0000-00005C110000}"/>
    <cellStyle name="20% - Accent3 69 6" xfId="4828" xr:uid="{00000000-0005-0000-0000-00005D110000}"/>
    <cellStyle name="20% - Accent3 69 6 2" xfId="16116" xr:uid="{00000000-0005-0000-0000-00005E110000}"/>
    <cellStyle name="20% - Accent3 69 7" xfId="14122" xr:uid="{00000000-0005-0000-0000-00005F110000}"/>
    <cellStyle name="20% - Accent3 69 8" xfId="12808" xr:uid="{00000000-0005-0000-0000-000060110000}"/>
    <cellStyle name="20% - Accent3 7" xfId="873" xr:uid="{00000000-0005-0000-0000-000061110000}"/>
    <cellStyle name="20% - Accent3 7 10" xfId="24576" xr:uid="{00000000-0005-0000-0000-000062110000}"/>
    <cellStyle name="20% - Accent3 7 11" xfId="24966" xr:uid="{00000000-0005-0000-0000-000063110000}"/>
    <cellStyle name="20% - Accent3 7 2" xfId="3829" xr:uid="{00000000-0005-0000-0000-000064110000}"/>
    <cellStyle name="20% - Accent3 7 2 2" xfId="11808" xr:uid="{00000000-0005-0000-0000-000065110000}"/>
    <cellStyle name="20% - Accent3 7 2 2 2" xfId="23096" xr:uid="{00000000-0005-0000-0000-000066110000}"/>
    <cellStyle name="20% - Accent3 7 2 3" xfId="9814" xr:uid="{00000000-0005-0000-0000-000067110000}"/>
    <cellStyle name="20% - Accent3 7 2 3 2" xfId="21102" xr:uid="{00000000-0005-0000-0000-000068110000}"/>
    <cellStyle name="20% - Accent3 7 2 4" xfId="7820" xr:uid="{00000000-0005-0000-0000-000069110000}"/>
    <cellStyle name="20% - Accent3 7 2 4 2" xfId="19108" xr:uid="{00000000-0005-0000-0000-00006A110000}"/>
    <cellStyle name="20% - Accent3 7 2 5" xfId="5826" xr:uid="{00000000-0005-0000-0000-00006B110000}"/>
    <cellStyle name="20% - Accent3 7 2 5 2" xfId="17114" xr:uid="{00000000-0005-0000-0000-00006C110000}"/>
    <cellStyle name="20% - Accent3 7 2 6" xfId="15120" xr:uid="{00000000-0005-0000-0000-00006D110000}"/>
    <cellStyle name="20% - Accent3 7 2 7" xfId="24337" xr:uid="{00000000-0005-0000-0000-00006E110000}"/>
    <cellStyle name="20% - Accent3 7 2 8" xfId="24801" xr:uid="{00000000-0005-0000-0000-00006F110000}"/>
    <cellStyle name="20% - Accent3 7 2 9" xfId="25168" xr:uid="{00000000-0005-0000-0000-000070110000}"/>
    <cellStyle name="20% - Accent3 7 3" xfId="10811" xr:uid="{00000000-0005-0000-0000-000071110000}"/>
    <cellStyle name="20% - Accent3 7 3 2" xfId="22099" xr:uid="{00000000-0005-0000-0000-000072110000}"/>
    <cellStyle name="20% - Accent3 7 4" xfId="8817" xr:uid="{00000000-0005-0000-0000-000073110000}"/>
    <cellStyle name="20% - Accent3 7 4 2" xfId="20105" xr:uid="{00000000-0005-0000-0000-000074110000}"/>
    <cellStyle name="20% - Accent3 7 5" xfId="6823" xr:uid="{00000000-0005-0000-0000-000075110000}"/>
    <cellStyle name="20% - Accent3 7 5 2" xfId="18111" xr:uid="{00000000-0005-0000-0000-000076110000}"/>
    <cellStyle name="20% - Accent3 7 6" xfId="4829" xr:uid="{00000000-0005-0000-0000-000077110000}"/>
    <cellStyle name="20% - Accent3 7 6 2" xfId="16117" xr:uid="{00000000-0005-0000-0000-000078110000}"/>
    <cellStyle name="20% - Accent3 7 7" xfId="14123" xr:uid="{00000000-0005-0000-0000-000079110000}"/>
    <cellStyle name="20% - Accent3 7 8" xfId="12809" xr:uid="{00000000-0005-0000-0000-00007A110000}"/>
    <cellStyle name="20% - Accent3 7 9" xfId="23949" xr:uid="{00000000-0005-0000-0000-00007B110000}"/>
    <cellStyle name="20% - Accent3 70" xfId="874" xr:uid="{00000000-0005-0000-0000-00007C110000}"/>
    <cellStyle name="20% - Accent3 70 2" xfId="3830" xr:uid="{00000000-0005-0000-0000-00007D110000}"/>
    <cellStyle name="20% - Accent3 70 2 2" xfId="11809" xr:uid="{00000000-0005-0000-0000-00007E110000}"/>
    <cellStyle name="20% - Accent3 70 2 2 2" xfId="23097" xr:uid="{00000000-0005-0000-0000-00007F110000}"/>
    <cellStyle name="20% - Accent3 70 2 3" xfId="9815" xr:uid="{00000000-0005-0000-0000-000080110000}"/>
    <cellStyle name="20% - Accent3 70 2 3 2" xfId="21103" xr:uid="{00000000-0005-0000-0000-000081110000}"/>
    <cellStyle name="20% - Accent3 70 2 4" xfId="7821" xr:uid="{00000000-0005-0000-0000-000082110000}"/>
    <cellStyle name="20% - Accent3 70 2 4 2" xfId="19109" xr:uid="{00000000-0005-0000-0000-000083110000}"/>
    <cellStyle name="20% - Accent3 70 2 5" xfId="5827" xr:uid="{00000000-0005-0000-0000-000084110000}"/>
    <cellStyle name="20% - Accent3 70 2 5 2" xfId="17115" xr:uid="{00000000-0005-0000-0000-000085110000}"/>
    <cellStyle name="20% - Accent3 70 2 6" xfId="15121" xr:uid="{00000000-0005-0000-0000-000086110000}"/>
    <cellStyle name="20% - Accent3 70 3" xfId="10812" xr:uid="{00000000-0005-0000-0000-000087110000}"/>
    <cellStyle name="20% - Accent3 70 3 2" xfId="22100" xr:uid="{00000000-0005-0000-0000-000088110000}"/>
    <cellStyle name="20% - Accent3 70 4" xfId="8818" xr:uid="{00000000-0005-0000-0000-000089110000}"/>
    <cellStyle name="20% - Accent3 70 4 2" xfId="20106" xr:uid="{00000000-0005-0000-0000-00008A110000}"/>
    <cellStyle name="20% - Accent3 70 5" xfId="6824" xr:uid="{00000000-0005-0000-0000-00008B110000}"/>
    <cellStyle name="20% - Accent3 70 5 2" xfId="18112" xr:uid="{00000000-0005-0000-0000-00008C110000}"/>
    <cellStyle name="20% - Accent3 70 6" xfId="4830" xr:uid="{00000000-0005-0000-0000-00008D110000}"/>
    <cellStyle name="20% - Accent3 70 6 2" xfId="16118" xr:uid="{00000000-0005-0000-0000-00008E110000}"/>
    <cellStyle name="20% - Accent3 70 7" xfId="14124" xr:uid="{00000000-0005-0000-0000-00008F110000}"/>
    <cellStyle name="20% - Accent3 70 8" xfId="12810" xr:uid="{00000000-0005-0000-0000-000090110000}"/>
    <cellStyle name="20% - Accent3 71" xfId="875" xr:uid="{00000000-0005-0000-0000-000091110000}"/>
    <cellStyle name="20% - Accent3 71 2" xfId="3831" xr:uid="{00000000-0005-0000-0000-000092110000}"/>
    <cellStyle name="20% - Accent3 71 2 2" xfId="11810" xr:uid="{00000000-0005-0000-0000-000093110000}"/>
    <cellStyle name="20% - Accent3 71 2 2 2" xfId="23098" xr:uid="{00000000-0005-0000-0000-000094110000}"/>
    <cellStyle name="20% - Accent3 71 2 3" xfId="9816" xr:uid="{00000000-0005-0000-0000-000095110000}"/>
    <cellStyle name="20% - Accent3 71 2 3 2" xfId="21104" xr:uid="{00000000-0005-0000-0000-000096110000}"/>
    <cellStyle name="20% - Accent3 71 2 4" xfId="7822" xr:uid="{00000000-0005-0000-0000-000097110000}"/>
    <cellStyle name="20% - Accent3 71 2 4 2" xfId="19110" xr:uid="{00000000-0005-0000-0000-000098110000}"/>
    <cellStyle name="20% - Accent3 71 2 5" xfId="5828" xr:uid="{00000000-0005-0000-0000-000099110000}"/>
    <cellStyle name="20% - Accent3 71 2 5 2" xfId="17116" xr:uid="{00000000-0005-0000-0000-00009A110000}"/>
    <cellStyle name="20% - Accent3 71 2 6" xfId="15122" xr:uid="{00000000-0005-0000-0000-00009B110000}"/>
    <cellStyle name="20% - Accent3 71 3" xfId="10813" xr:uid="{00000000-0005-0000-0000-00009C110000}"/>
    <cellStyle name="20% - Accent3 71 3 2" xfId="22101" xr:uid="{00000000-0005-0000-0000-00009D110000}"/>
    <cellStyle name="20% - Accent3 71 4" xfId="8819" xr:uid="{00000000-0005-0000-0000-00009E110000}"/>
    <cellStyle name="20% - Accent3 71 4 2" xfId="20107" xr:uid="{00000000-0005-0000-0000-00009F110000}"/>
    <cellStyle name="20% - Accent3 71 5" xfId="6825" xr:uid="{00000000-0005-0000-0000-0000A0110000}"/>
    <cellStyle name="20% - Accent3 71 5 2" xfId="18113" xr:uid="{00000000-0005-0000-0000-0000A1110000}"/>
    <cellStyle name="20% - Accent3 71 6" xfId="4831" xr:uid="{00000000-0005-0000-0000-0000A2110000}"/>
    <cellStyle name="20% - Accent3 71 6 2" xfId="16119" xr:uid="{00000000-0005-0000-0000-0000A3110000}"/>
    <cellStyle name="20% - Accent3 71 7" xfId="14125" xr:uid="{00000000-0005-0000-0000-0000A4110000}"/>
    <cellStyle name="20% - Accent3 71 8" xfId="12811" xr:uid="{00000000-0005-0000-0000-0000A5110000}"/>
    <cellStyle name="20% - Accent3 72" xfId="876" xr:uid="{00000000-0005-0000-0000-0000A6110000}"/>
    <cellStyle name="20% - Accent3 72 2" xfId="3832" xr:uid="{00000000-0005-0000-0000-0000A7110000}"/>
    <cellStyle name="20% - Accent3 72 2 2" xfId="11811" xr:uid="{00000000-0005-0000-0000-0000A8110000}"/>
    <cellStyle name="20% - Accent3 72 2 2 2" xfId="23099" xr:uid="{00000000-0005-0000-0000-0000A9110000}"/>
    <cellStyle name="20% - Accent3 72 2 3" xfId="9817" xr:uid="{00000000-0005-0000-0000-0000AA110000}"/>
    <cellStyle name="20% - Accent3 72 2 3 2" xfId="21105" xr:uid="{00000000-0005-0000-0000-0000AB110000}"/>
    <cellStyle name="20% - Accent3 72 2 4" xfId="7823" xr:uid="{00000000-0005-0000-0000-0000AC110000}"/>
    <cellStyle name="20% - Accent3 72 2 4 2" xfId="19111" xr:uid="{00000000-0005-0000-0000-0000AD110000}"/>
    <cellStyle name="20% - Accent3 72 2 5" xfId="5829" xr:uid="{00000000-0005-0000-0000-0000AE110000}"/>
    <cellStyle name="20% - Accent3 72 2 5 2" xfId="17117" xr:uid="{00000000-0005-0000-0000-0000AF110000}"/>
    <cellStyle name="20% - Accent3 72 2 6" xfId="15123" xr:uid="{00000000-0005-0000-0000-0000B0110000}"/>
    <cellStyle name="20% - Accent3 72 3" xfId="10814" xr:uid="{00000000-0005-0000-0000-0000B1110000}"/>
    <cellStyle name="20% - Accent3 72 3 2" xfId="22102" xr:uid="{00000000-0005-0000-0000-0000B2110000}"/>
    <cellStyle name="20% - Accent3 72 4" xfId="8820" xr:uid="{00000000-0005-0000-0000-0000B3110000}"/>
    <cellStyle name="20% - Accent3 72 4 2" xfId="20108" xr:uid="{00000000-0005-0000-0000-0000B4110000}"/>
    <cellStyle name="20% - Accent3 72 5" xfId="6826" xr:uid="{00000000-0005-0000-0000-0000B5110000}"/>
    <cellStyle name="20% - Accent3 72 5 2" xfId="18114" xr:uid="{00000000-0005-0000-0000-0000B6110000}"/>
    <cellStyle name="20% - Accent3 72 6" xfId="4832" xr:uid="{00000000-0005-0000-0000-0000B7110000}"/>
    <cellStyle name="20% - Accent3 72 6 2" xfId="16120" xr:uid="{00000000-0005-0000-0000-0000B8110000}"/>
    <cellStyle name="20% - Accent3 72 7" xfId="14126" xr:uid="{00000000-0005-0000-0000-0000B9110000}"/>
    <cellStyle name="20% - Accent3 72 8" xfId="12812" xr:uid="{00000000-0005-0000-0000-0000BA110000}"/>
    <cellStyle name="20% - Accent3 8" xfId="877" xr:uid="{00000000-0005-0000-0000-0000BB110000}"/>
    <cellStyle name="20% - Accent3 8 2" xfId="3833" xr:uid="{00000000-0005-0000-0000-0000BC110000}"/>
    <cellStyle name="20% - Accent3 8 2 2" xfId="11812" xr:uid="{00000000-0005-0000-0000-0000BD110000}"/>
    <cellStyle name="20% - Accent3 8 2 2 2" xfId="23100" xr:uid="{00000000-0005-0000-0000-0000BE110000}"/>
    <cellStyle name="20% - Accent3 8 2 3" xfId="9818" xr:uid="{00000000-0005-0000-0000-0000BF110000}"/>
    <cellStyle name="20% - Accent3 8 2 3 2" xfId="21106" xr:uid="{00000000-0005-0000-0000-0000C0110000}"/>
    <cellStyle name="20% - Accent3 8 2 4" xfId="7824" xr:uid="{00000000-0005-0000-0000-0000C1110000}"/>
    <cellStyle name="20% - Accent3 8 2 4 2" xfId="19112" xr:uid="{00000000-0005-0000-0000-0000C2110000}"/>
    <cellStyle name="20% - Accent3 8 2 5" xfId="5830" xr:uid="{00000000-0005-0000-0000-0000C3110000}"/>
    <cellStyle name="20% - Accent3 8 2 5 2" xfId="17118" xr:uid="{00000000-0005-0000-0000-0000C4110000}"/>
    <cellStyle name="20% - Accent3 8 2 6" xfId="15124" xr:uid="{00000000-0005-0000-0000-0000C5110000}"/>
    <cellStyle name="20% - Accent3 8 3" xfId="10815" xr:uid="{00000000-0005-0000-0000-0000C6110000}"/>
    <cellStyle name="20% - Accent3 8 3 2" xfId="22103" xr:uid="{00000000-0005-0000-0000-0000C7110000}"/>
    <cellStyle name="20% - Accent3 8 4" xfId="8821" xr:uid="{00000000-0005-0000-0000-0000C8110000}"/>
    <cellStyle name="20% - Accent3 8 4 2" xfId="20109" xr:uid="{00000000-0005-0000-0000-0000C9110000}"/>
    <cellStyle name="20% - Accent3 8 5" xfId="6827" xr:uid="{00000000-0005-0000-0000-0000CA110000}"/>
    <cellStyle name="20% - Accent3 8 5 2" xfId="18115" xr:uid="{00000000-0005-0000-0000-0000CB110000}"/>
    <cellStyle name="20% - Accent3 8 6" xfId="4833" xr:uid="{00000000-0005-0000-0000-0000CC110000}"/>
    <cellStyle name="20% - Accent3 8 6 2" xfId="16121" xr:uid="{00000000-0005-0000-0000-0000CD110000}"/>
    <cellStyle name="20% - Accent3 8 7" xfId="14127" xr:uid="{00000000-0005-0000-0000-0000CE110000}"/>
    <cellStyle name="20% - Accent3 8 8" xfId="12813" xr:uid="{00000000-0005-0000-0000-0000CF110000}"/>
    <cellStyle name="20% - Accent3 9" xfId="878" xr:uid="{00000000-0005-0000-0000-0000D0110000}"/>
    <cellStyle name="20% - Accent3 9 2" xfId="3834" xr:uid="{00000000-0005-0000-0000-0000D1110000}"/>
    <cellStyle name="20% - Accent3 9 2 2" xfId="11813" xr:uid="{00000000-0005-0000-0000-0000D2110000}"/>
    <cellStyle name="20% - Accent3 9 2 2 2" xfId="23101" xr:uid="{00000000-0005-0000-0000-0000D3110000}"/>
    <cellStyle name="20% - Accent3 9 2 3" xfId="9819" xr:uid="{00000000-0005-0000-0000-0000D4110000}"/>
    <cellStyle name="20% - Accent3 9 2 3 2" xfId="21107" xr:uid="{00000000-0005-0000-0000-0000D5110000}"/>
    <cellStyle name="20% - Accent3 9 2 4" xfId="7825" xr:uid="{00000000-0005-0000-0000-0000D6110000}"/>
    <cellStyle name="20% - Accent3 9 2 4 2" xfId="19113" xr:uid="{00000000-0005-0000-0000-0000D7110000}"/>
    <cellStyle name="20% - Accent3 9 2 5" xfId="5831" xr:uid="{00000000-0005-0000-0000-0000D8110000}"/>
    <cellStyle name="20% - Accent3 9 2 5 2" xfId="17119" xr:uid="{00000000-0005-0000-0000-0000D9110000}"/>
    <cellStyle name="20% - Accent3 9 2 6" xfId="15125" xr:uid="{00000000-0005-0000-0000-0000DA110000}"/>
    <cellStyle name="20% - Accent3 9 3" xfId="10816" xr:uid="{00000000-0005-0000-0000-0000DB110000}"/>
    <cellStyle name="20% - Accent3 9 3 2" xfId="22104" xr:uid="{00000000-0005-0000-0000-0000DC110000}"/>
    <cellStyle name="20% - Accent3 9 4" xfId="8822" xr:uid="{00000000-0005-0000-0000-0000DD110000}"/>
    <cellStyle name="20% - Accent3 9 4 2" xfId="20110" xr:uid="{00000000-0005-0000-0000-0000DE110000}"/>
    <cellStyle name="20% - Accent3 9 5" xfId="6828" xr:uid="{00000000-0005-0000-0000-0000DF110000}"/>
    <cellStyle name="20% - Accent3 9 5 2" xfId="18116" xr:uid="{00000000-0005-0000-0000-0000E0110000}"/>
    <cellStyle name="20% - Accent3 9 6" xfId="4834" xr:uid="{00000000-0005-0000-0000-0000E1110000}"/>
    <cellStyle name="20% - Accent3 9 6 2" xfId="16122" xr:uid="{00000000-0005-0000-0000-0000E2110000}"/>
    <cellStyle name="20% - Accent3 9 7" xfId="14128" xr:uid="{00000000-0005-0000-0000-0000E3110000}"/>
    <cellStyle name="20% - Accent3 9 8" xfId="12814" xr:uid="{00000000-0005-0000-0000-0000E4110000}"/>
    <cellStyle name="20% - Accent4 10" xfId="879" xr:uid="{00000000-0005-0000-0000-0000E5110000}"/>
    <cellStyle name="20% - Accent4 10 2" xfId="3835" xr:uid="{00000000-0005-0000-0000-0000E6110000}"/>
    <cellStyle name="20% - Accent4 10 2 2" xfId="11814" xr:uid="{00000000-0005-0000-0000-0000E7110000}"/>
    <cellStyle name="20% - Accent4 10 2 2 2" xfId="23102" xr:uid="{00000000-0005-0000-0000-0000E8110000}"/>
    <cellStyle name="20% - Accent4 10 2 3" xfId="9820" xr:uid="{00000000-0005-0000-0000-0000E9110000}"/>
    <cellStyle name="20% - Accent4 10 2 3 2" xfId="21108" xr:uid="{00000000-0005-0000-0000-0000EA110000}"/>
    <cellStyle name="20% - Accent4 10 2 4" xfId="7826" xr:uid="{00000000-0005-0000-0000-0000EB110000}"/>
    <cellStyle name="20% - Accent4 10 2 4 2" xfId="19114" xr:uid="{00000000-0005-0000-0000-0000EC110000}"/>
    <cellStyle name="20% - Accent4 10 2 5" xfId="5832" xr:uid="{00000000-0005-0000-0000-0000ED110000}"/>
    <cellStyle name="20% - Accent4 10 2 5 2" xfId="17120" xr:uid="{00000000-0005-0000-0000-0000EE110000}"/>
    <cellStyle name="20% - Accent4 10 2 6" xfId="15126" xr:uid="{00000000-0005-0000-0000-0000EF110000}"/>
    <cellStyle name="20% - Accent4 10 3" xfId="10817" xr:uid="{00000000-0005-0000-0000-0000F0110000}"/>
    <cellStyle name="20% - Accent4 10 3 2" xfId="22105" xr:uid="{00000000-0005-0000-0000-0000F1110000}"/>
    <cellStyle name="20% - Accent4 10 4" xfId="8823" xr:uid="{00000000-0005-0000-0000-0000F2110000}"/>
    <cellStyle name="20% - Accent4 10 4 2" xfId="20111" xr:uid="{00000000-0005-0000-0000-0000F3110000}"/>
    <cellStyle name="20% - Accent4 10 5" xfId="6829" xr:uid="{00000000-0005-0000-0000-0000F4110000}"/>
    <cellStyle name="20% - Accent4 10 5 2" xfId="18117" xr:uid="{00000000-0005-0000-0000-0000F5110000}"/>
    <cellStyle name="20% - Accent4 10 6" xfId="4835" xr:uid="{00000000-0005-0000-0000-0000F6110000}"/>
    <cellStyle name="20% - Accent4 10 6 2" xfId="16123" xr:uid="{00000000-0005-0000-0000-0000F7110000}"/>
    <cellStyle name="20% - Accent4 10 7" xfId="14129" xr:uid="{00000000-0005-0000-0000-0000F8110000}"/>
    <cellStyle name="20% - Accent4 10 8" xfId="12815" xr:uid="{00000000-0005-0000-0000-0000F9110000}"/>
    <cellStyle name="20% - Accent4 11" xfId="880" xr:uid="{00000000-0005-0000-0000-0000FA110000}"/>
    <cellStyle name="20% - Accent4 11 2" xfId="3836" xr:uid="{00000000-0005-0000-0000-0000FB110000}"/>
    <cellStyle name="20% - Accent4 11 2 2" xfId="11815" xr:uid="{00000000-0005-0000-0000-0000FC110000}"/>
    <cellStyle name="20% - Accent4 11 2 2 2" xfId="23103" xr:uid="{00000000-0005-0000-0000-0000FD110000}"/>
    <cellStyle name="20% - Accent4 11 2 3" xfId="9821" xr:uid="{00000000-0005-0000-0000-0000FE110000}"/>
    <cellStyle name="20% - Accent4 11 2 3 2" xfId="21109" xr:uid="{00000000-0005-0000-0000-0000FF110000}"/>
    <cellStyle name="20% - Accent4 11 2 4" xfId="7827" xr:uid="{00000000-0005-0000-0000-000000120000}"/>
    <cellStyle name="20% - Accent4 11 2 4 2" xfId="19115" xr:uid="{00000000-0005-0000-0000-000001120000}"/>
    <cellStyle name="20% - Accent4 11 2 5" xfId="5833" xr:uid="{00000000-0005-0000-0000-000002120000}"/>
    <cellStyle name="20% - Accent4 11 2 5 2" xfId="17121" xr:uid="{00000000-0005-0000-0000-000003120000}"/>
    <cellStyle name="20% - Accent4 11 2 6" xfId="15127" xr:uid="{00000000-0005-0000-0000-000004120000}"/>
    <cellStyle name="20% - Accent4 11 3" xfId="10818" xr:uid="{00000000-0005-0000-0000-000005120000}"/>
    <cellStyle name="20% - Accent4 11 3 2" xfId="22106" xr:uid="{00000000-0005-0000-0000-000006120000}"/>
    <cellStyle name="20% - Accent4 11 4" xfId="8824" xr:uid="{00000000-0005-0000-0000-000007120000}"/>
    <cellStyle name="20% - Accent4 11 4 2" xfId="20112" xr:uid="{00000000-0005-0000-0000-000008120000}"/>
    <cellStyle name="20% - Accent4 11 5" xfId="6830" xr:uid="{00000000-0005-0000-0000-000009120000}"/>
    <cellStyle name="20% - Accent4 11 5 2" xfId="18118" xr:uid="{00000000-0005-0000-0000-00000A120000}"/>
    <cellStyle name="20% - Accent4 11 6" xfId="4836" xr:uid="{00000000-0005-0000-0000-00000B120000}"/>
    <cellStyle name="20% - Accent4 11 6 2" xfId="16124" xr:uid="{00000000-0005-0000-0000-00000C120000}"/>
    <cellStyle name="20% - Accent4 11 7" xfId="14130" xr:uid="{00000000-0005-0000-0000-00000D120000}"/>
    <cellStyle name="20% - Accent4 11 8" xfId="12816" xr:uid="{00000000-0005-0000-0000-00000E120000}"/>
    <cellStyle name="20% - Accent4 12" xfId="881" xr:uid="{00000000-0005-0000-0000-00000F120000}"/>
    <cellStyle name="20% - Accent4 12 2" xfId="3837" xr:uid="{00000000-0005-0000-0000-000010120000}"/>
    <cellStyle name="20% - Accent4 12 2 2" xfId="11816" xr:uid="{00000000-0005-0000-0000-000011120000}"/>
    <cellStyle name="20% - Accent4 12 2 2 2" xfId="23104" xr:uid="{00000000-0005-0000-0000-000012120000}"/>
    <cellStyle name="20% - Accent4 12 2 3" xfId="9822" xr:uid="{00000000-0005-0000-0000-000013120000}"/>
    <cellStyle name="20% - Accent4 12 2 3 2" xfId="21110" xr:uid="{00000000-0005-0000-0000-000014120000}"/>
    <cellStyle name="20% - Accent4 12 2 4" xfId="7828" xr:uid="{00000000-0005-0000-0000-000015120000}"/>
    <cellStyle name="20% - Accent4 12 2 4 2" xfId="19116" xr:uid="{00000000-0005-0000-0000-000016120000}"/>
    <cellStyle name="20% - Accent4 12 2 5" xfId="5834" xr:uid="{00000000-0005-0000-0000-000017120000}"/>
    <cellStyle name="20% - Accent4 12 2 5 2" xfId="17122" xr:uid="{00000000-0005-0000-0000-000018120000}"/>
    <cellStyle name="20% - Accent4 12 2 6" xfId="15128" xr:uid="{00000000-0005-0000-0000-000019120000}"/>
    <cellStyle name="20% - Accent4 12 3" xfId="10819" xr:uid="{00000000-0005-0000-0000-00001A120000}"/>
    <cellStyle name="20% - Accent4 12 3 2" xfId="22107" xr:uid="{00000000-0005-0000-0000-00001B120000}"/>
    <cellStyle name="20% - Accent4 12 4" xfId="8825" xr:uid="{00000000-0005-0000-0000-00001C120000}"/>
    <cellStyle name="20% - Accent4 12 4 2" xfId="20113" xr:uid="{00000000-0005-0000-0000-00001D120000}"/>
    <cellStyle name="20% - Accent4 12 5" xfId="6831" xr:uid="{00000000-0005-0000-0000-00001E120000}"/>
    <cellStyle name="20% - Accent4 12 5 2" xfId="18119" xr:uid="{00000000-0005-0000-0000-00001F120000}"/>
    <cellStyle name="20% - Accent4 12 6" xfId="4837" xr:uid="{00000000-0005-0000-0000-000020120000}"/>
    <cellStyle name="20% - Accent4 12 6 2" xfId="16125" xr:uid="{00000000-0005-0000-0000-000021120000}"/>
    <cellStyle name="20% - Accent4 12 7" xfId="14131" xr:uid="{00000000-0005-0000-0000-000022120000}"/>
    <cellStyle name="20% - Accent4 12 8" xfId="12817" xr:uid="{00000000-0005-0000-0000-000023120000}"/>
    <cellStyle name="20% - Accent4 13" xfId="882" xr:uid="{00000000-0005-0000-0000-000024120000}"/>
    <cellStyle name="20% - Accent4 13 2" xfId="3838" xr:uid="{00000000-0005-0000-0000-000025120000}"/>
    <cellStyle name="20% - Accent4 13 2 2" xfId="11817" xr:uid="{00000000-0005-0000-0000-000026120000}"/>
    <cellStyle name="20% - Accent4 13 2 2 2" xfId="23105" xr:uid="{00000000-0005-0000-0000-000027120000}"/>
    <cellStyle name="20% - Accent4 13 2 3" xfId="9823" xr:uid="{00000000-0005-0000-0000-000028120000}"/>
    <cellStyle name="20% - Accent4 13 2 3 2" xfId="21111" xr:uid="{00000000-0005-0000-0000-000029120000}"/>
    <cellStyle name="20% - Accent4 13 2 4" xfId="7829" xr:uid="{00000000-0005-0000-0000-00002A120000}"/>
    <cellStyle name="20% - Accent4 13 2 4 2" xfId="19117" xr:uid="{00000000-0005-0000-0000-00002B120000}"/>
    <cellStyle name="20% - Accent4 13 2 5" xfId="5835" xr:uid="{00000000-0005-0000-0000-00002C120000}"/>
    <cellStyle name="20% - Accent4 13 2 5 2" xfId="17123" xr:uid="{00000000-0005-0000-0000-00002D120000}"/>
    <cellStyle name="20% - Accent4 13 2 6" xfId="15129" xr:uid="{00000000-0005-0000-0000-00002E120000}"/>
    <cellStyle name="20% - Accent4 13 3" xfId="10820" xr:uid="{00000000-0005-0000-0000-00002F120000}"/>
    <cellStyle name="20% - Accent4 13 3 2" xfId="22108" xr:uid="{00000000-0005-0000-0000-000030120000}"/>
    <cellStyle name="20% - Accent4 13 4" xfId="8826" xr:uid="{00000000-0005-0000-0000-000031120000}"/>
    <cellStyle name="20% - Accent4 13 4 2" xfId="20114" xr:uid="{00000000-0005-0000-0000-000032120000}"/>
    <cellStyle name="20% - Accent4 13 5" xfId="6832" xr:uid="{00000000-0005-0000-0000-000033120000}"/>
    <cellStyle name="20% - Accent4 13 5 2" xfId="18120" xr:uid="{00000000-0005-0000-0000-000034120000}"/>
    <cellStyle name="20% - Accent4 13 6" xfId="4838" xr:uid="{00000000-0005-0000-0000-000035120000}"/>
    <cellStyle name="20% - Accent4 13 6 2" xfId="16126" xr:uid="{00000000-0005-0000-0000-000036120000}"/>
    <cellStyle name="20% - Accent4 13 7" xfId="14132" xr:uid="{00000000-0005-0000-0000-000037120000}"/>
    <cellStyle name="20% - Accent4 13 8" xfId="12818" xr:uid="{00000000-0005-0000-0000-000038120000}"/>
    <cellStyle name="20% - Accent4 14" xfId="883" xr:uid="{00000000-0005-0000-0000-000039120000}"/>
    <cellStyle name="20% - Accent4 14 2" xfId="3839" xr:uid="{00000000-0005-0000-0000-00003A120000}"/>
    <cellStyle name="20% - Accent4 14 2 2" xfId="11818" xr:uid="{00000000-0005-0000-0000-00003B120000}"/>
    <cellStyle name="20% - Accent4 14 2 2 2" xfId="23106" xr:uid="{00000000-0005-0000-0000-00003C120000}"/>
    <cellStyle name="20% - Accent4 14 2 3" xfId="9824" xr:uid="{00000000-0005-0000-0000-00003D120000}"/>
    <cellStyle name="20% - Accent4 14 2 3 2" xfId="21112" xr:uid="{00000000-0005-0000-0000-00003E120000}"/>
    <cellStyle name="20% - Accent4 14 2 4" xfId="7830" xr:uid="{00000000-0005-0000-0000-00003F120000}"/>
    <cellStyle name="20% - Accent4 14 2 4 2" xfId="19118" xr:uid="{00000000-0005-0000-0000-000040120000}"/>
    <cellStyle name="20% - Accent4 14 2 5" xfId="5836" xr:uid="{00000000-0005-0000-0000-000041120000}"/>
    <cellStyle name="20% - Accent4 14 2 5 2" xfId="17124" xr:uid="{00000000-0005-0000-0000-000042120000}"/>
    <cellStyle name="20% - Accent4 14 2 6" xfId="15130" xr:uid="{00000000-0005-0000-0000-000043120000}"/>
    <cellStyle name="20% - Accent4 14 3" xfId="10821" xr:uid="{00000000-0005-0000-0000-000044120000}"/>
    <cellStyle name="20% - Accent4 14 3 2" xfId="22109" xr:uid="{00000000-0005-0000-0000-000045120000}"/>
    <cellStyle name="20% - Accent4 14 4" xfId="8827" xr:uid="{00000000-0005-0000-0000-000046120000}"/>
    <cellStyle name="20% - Accent4 14 4 2" xfId="20115" xr:uid="{00000000-0005-0000-0000-000047120000}"/>
    <cellStyle name="20% - Accent4 14 5" xfId="6833" xr:uid="{00000000-0005-0000-0000-000048120000}"/>
    <cellStyle name="20% - Accent4 14 5 2" xfId="18121" xr:uid="{00000000-0005-0000-0000-000049120000}"/>
    <cellStyle name="20% - Accent4 14 6" xfId="4839" xr:uid="{00000000-0005-0000-0000-00004A120000}"/>
    <cellStyle name="20% - Accent4 14 6 2" xfId="16127" xr:uid="{00000000-0005-0000-0000-00004B120000}"/>
    <cellStyle name="20% - Accent4 14 7" xfId="14133" xr:uid="{00000000-0005-0000-0000-00004C120000}"/>
    <cellStyle name="20% - Accent4 14 8" xfId="12819" xr:uid="{00000000-0005-0000-0000-00004D120000}"/>
    <cellStyle name="20% - Accent4 15" xfId="884" xr:uid="{00000000-0005-0000-0000-00004E120000}"/>
    <cellStyle name="20% - Accent4 15 2" xfId="3840" xr:uid="{00000000-0005-0000-0000-00004F120000}"/>
    <cellStyle name="20% - Accent4 15 2 2" xfId="11819" xr:uid="{00000000-0005-0000-0000-000050120000}"/>
    <cellStyle name="20% - Accent4 15 2 2 2" xfId="23107" xr:uid="{00000000-0005-0000-0000-000051120000}"/>
    <cellStyle name="20% - Accent4 15 2 3" xfId="9825" xr:uid="{00000000-0005-0000-0000-000052120000}"/>
    <cellStyle name="20% - Accent4 15 2 3 2" xfId="21113" xr:uid="{00000000-0005-0000-0000-000053120000}"/>
    <cellStyle name="20% - Accent4 15 2 4" xfId="7831" xr:uid="{00000000-0005-0000-0000-000054120000}"/>
    <cellStyle name="20% - Accent4 15 2 4 2" xfId="19119" xr:uid="{00000000-0005-0000-0000-000055120000}"/>
    <cellStyle name="20% - Accent4 15 2 5" xfId="5837" xr:uid="{00000000-0005-0000-0000-000056120000}"/>
    <cellStyle name="20% - Accent4 15 2 5 2" xfId="17125" xr:uid="{00000000-0005-0000-0000-000057120000}"/>
    <cellStyle name="20% - Accent4 15 2 6" xfId="15131" xr:uid="{00000000-0005-0000-0000-000058120000}"/>
    <cellStyle name="20% - Accent4 15 3" xfId="10822" xr:uid="{00000000-0005-0000-0000-000059120000}"/>
    <cellStyle name="20% - Accent4 15 3 2" xfId="22110" xr:uid="{00000000-0005-0000-0000-00005A120000}"/>
    <cellStyle name="20% - Accent4 15 4" xfId="8828" xr:uid="{00000000-0005-0000-0000-00005B120000}"/>
    <cellStyle name="20% - Accent4 15 4 2" xfId="20116" xr:uid="{00000000-0005-0000-0000-00005C120000}"/>
    <cellStyle name="20% - Accent4 15 5" xfId="6834" xr:uid="{00000000-0005-0000-0000-00005D120000}"/>
    <cellStyle name="20% - Accent4 15 5 2" xfId="18122" xr:uid="{00000000-0005-0000-0000-00005E120000}"/>
    <cellStyle name="20% - Accent4 15 6" xfId="4840" xr:uid="{00000000-0005-0000-0000-00005F120000}"/>
    <cellStyle name="20% - Accent4 15 6 2" xfId="16128" xr:uid="{00000000-0005-0000-0000-000060120000}"/>
    <cellStyle name="20% - Accent4 15 7" xfId="14134" xr:uid="{00000000-0005-0000-0000-000061120000}"/>
    <cellStyle name="20% - Accent4 15 8" xfId="12820" xr:uid="{00000000-0005-0000-0000-000062120000}"/>
    <cellStyle name="20% - Accent4 16" xfId="885" xr:uid="{00000000-0005-0000-0000-000063120000}"/>
    <cellStyle name="20% - Accent4 16 2" xfId="3841" xr:uid="{00000000-0005-0000-0000-000064120000}"/>
    <cellStyle name="20% - Accent4 16 2 2" xfId="11820" xr:uid="{00000000-0005-0000-0000-000065120000}"/>
    <cellStyle name="20% - Accent4 16 2 2 2" xfId="23108" xr:uid="{00000000-0005-0000-0000-000066120000}"/>
    <cellStyle name="20% - Accent4 16 2 3" xfId="9826" xr:uid="{00000000-0005-0000-0000-000067120000}"/>
    <cellStyle name="20% - Accent4 16 2 3 2" xfId="21114" xr:uid="{00000000-0005-0000-0000-000068120000}"/>
    <cellStyle name="20% - Accent4 16 2 4" xfId="7832" xr:uid="{00000000-0005-0000-0000-000069120000}"/>
    <cellStyle name="20% - Accent4 16 2 4 2" xfId="19120" xr:uid="{00000000-0005-0000-0000-00006A120000}"/>
    <cellStyle name="20% - Accent4 16 2 5" xfId="5838" xr:uid="{00000000-0005-0000-0000-00006B120000}"/>
    <cellStyle name="20% - Accent4 16 2 5 2" xfId="17126" xr:uid="{00000000-0005-0000-0000-00006C120000}"/>
    <cellStyle name="20% - Accent4 16 2 6" xfId="15132" xr:uid="{00000000-0005-0000-0000-00006D120000}"/>
    <cellStyle name="20% - Accent4 16 3" xfId="10823" xr:uid="{00000000-0005-0000-0000-00006E120000}"/>
    <cellStyle name="20% - Accent4 16 3 2" xfId="22111" xr:uid="{00000000-0005-0000-0000-00006F120000}"/>
    <cellStyle name="20% - Accent4 16 4" xfId="8829" xr:uid="{00000000-0005-0000-0000-000070120000}"/>
    <cellStyle name="20% - Accent4 16 4 2" xfId="20117" xr:uid="{00000000-0005-0000-0000-000071120000}"/>
    <cellStyle name="20% - Accent4 16 5" xfId="6835" xr:uid="{00000000-0005-0000-0000-000072120000}"/>
    <cellStyle name="20% - Accent4 16 5 2" xfId="18123" xr:uid="{00000000-0005-0000-0000-000073120000}"/>
    <cellStyle name="20% - Accent4 16 6" xfId="4841" xr:uid="{00000000-0005-0000-0000-000074120000}"/>
    <cellStyle name="20% - Accent4 16 6 2" xfId="16129" xr:uid="{00000000-0005-0000-0000-000075120000}"/>
    <cellStyle name="20% - Accent4 16 7" xfId="14135" xr:uid="{00000000-0005-0000-0000-000076120000}"/>
    <cellStyle name="20% - Accent4 16 8" xfId="12821" xr:uid="{00000000-0005-0000-0000-000077120000}"/>
    <cellStyle name="20% - Accent4 17" xfId="886" xr:uid="{00000000-0005-0000-0000-000078120000}"/>
    <cellStyle name="20% - Accent4 17 2" xfId="3842" xr:uid="{00000000-0005-0000-0000-000079120000}"/>
    <cellStyle name="20% - Accent4 17 2 2" xfId="11821" xr:uid="{00000000-0005-0000-0000-00007A120000}"/>
    <cellStyle name="20% - Accent4 17 2 2 2" xfId="23109" xr:uid="{00000000-0005-0000-0000-00007B120000}"/>
    <cellStyle name="20% - Accent4 17 2 3" xfId="9827" xr:uid="{00000000-0005-0000-0000-00007C120000}"/>
    <cellStyle name="20% - Accent4 17 2 3 2" xfId="21115" xr:uid="{00000000-0005-0000-0000-00007D120000}"/>
    <cellStyle name="20% - Accent4 17 2 4" xfId="7833" xr:uid="{00000000-0005-0000-0000-00007E120000}"/>
    <cellStyle name="20% - Accent4 17 2 4 2" xfId="19121" xr:uid="{00000000-0005-0000-0000-00007F120000}"/>
    <cellStyle name="20% - Accent4 17 2 5" xfId="5839" xr:uid="{00000000-0005-0000-0000-000080120000}"/>
    <cellStyle name="20% - Accent4 17 2 5 2" xfId="17127" xr:uid="{00000000-0005-0000-0000-000081120000}"/>
    <cellStyle name="20% - Accent4 17 2 6" xfId="15133" xr:uid="{00000000-0005-0000-0000-000082120000}"/>
    <cellStyle name="20% - Accent4 17 3" xfId="10824" xr:uid="{00000000-0005-0000-0000-000083120000}"/>
    <cellStyle name="20% - Accent4 17 3 2" xfId="22112" xr:uid="{00000000-0005-0000-0000-000084120000}"/>
    <cellStyle name="20% - Accent4 17 4" xfId="8830" xr:uid="{00000000-0005-0000-0000-000085120000}"/>
    <cellStyle name="20% - Accent4 17 4 2" xfId="20118" xr:uid="{00000000-0005-0000-0000-000086120000}"/>
    <cellStyle name="20% - Accent4 17 5" xfId="6836" xr:uid="{00000000-0005-0000-0000-000087120000}"/>
    <cellStyle name="20% - Accent4 17 5 2" xfId="18124" xr:uid="{00000000-0005-0000-0000-000088120000}"/>
    <cellStyle name="20% - Accent4 17 6" xfId="4842" xr:uid="{00000000-0005-0000-0000-000089120000}"/>
    <cellStyle name="20% - Accent4 17 6 2" xfId="16130" xr:uid="{00000000-0005-0000-0000-00008A120000}"/>
    <cellStyle name="20% - Accent4 17 7" xfId="14136" xr:uid="{00000000-0005-0000-0000-00008B120000}"/>
    <cellStyle name="20% - Accent4 17 8" xfId="12822" xr:uid="{00000000-0005-0000-0000-00008C120000}"/>
    <cellStyle name="20% - Accent4 18" xfId="887" xr:uid="{00000000-0005-0000-0000-00008D120000}"/>
    <cellStyle name="20% - Accent4 18 2" xfId="3843" xr:uid="{00000000-0005-0000-0000-00008E120000}"/>
    <cellStyle name="20% - Accent4 18 2 2" xfId="11822" xr:uid="{00000000-0005-0000-0000-00008F120000}"/>
    <cellStyle name="20% - Accent4 18 2 2 2" xfId="23110" xr:uid="{00000000-0005-0000-0000-000090120000}"/>
    <cellStyle name="20% - Accent4 18 2 3" xfId="9828" xr:uid="{00000000-0005-0000-0000-000091120000}"/>
    <cellStyle name="20% - Accent4 18 2 3 2" xfId="21116" xr:uid="{00000000-0005-0000-0000-000092120000}"/>
    <cellStyle name="20% - Accent4 18 2 4" xfId="7834" xr:uid="{00000000-0005-0000-0000-000093120000}"/>
    <cellStyle name="20% - Accent4 18 2 4 2" xfId="19122" xr:uid="{00000000-0005-0000-0000-000094120000}"/>
    <cellStyle name="20% - Accent4 18 2 5" xfId="5840" xr:uid="{00000000-0005-0000-0000-000095120000}"/>
    <cellStyle name="20% - Accent4 18 2 5 2" xfId="17128" xr:uid="{00000000-0005-0000-0000-000096120000}"/>
    <cellStyle name="20% - Accent4 18 2 6" xfId="15134" xr:uid="{00000000-0005-0000-0000-000097120000}"/>
    <cellStyle name="20% - Accent4 18 3" xfId="10825" xr:uid="{00000000-0005-0000-0000-000098120000}"/>
    <cellStyle name="20% - Accent4 18 3 2" xfId="22113" xr:uid="{00000000-0005-0000-0000-000099120000}"/>
    <cellStyle name="20% - Accent4 18 4" xfId="8831" xr:uid="{00000000-0005-0000-0000-00009A120000}"/>
    <cellStyle name="20% - Accent4 18 4 2" xfId="20119" xr:uid="{00000000-0005-0000-0000-00009B120000}"/>
    <cellStyle name="20% - Accent4 18 5" xfId="6837" xr:uid="{00000000-0005-0000-0000-00009C120000}"/>
    <cellStyle name="20% - Accent4 18 5 2" xfId="18125" xr:uid="{00000000-0005-0000-0000-00009D120000}"/>
    <cellStyle name="20% - Accent4 18 6" xfId="4843" xr:uid="{00000000-0005-0000-0000-00009E120000}"/>
    <cellStyle name="20% - Accent4 18 6 2" xfId="16131" xr:uid="{00000000-0005-0000-0000-00009F120000}"/>
    <cellStyle name="20% - Accent4 18 7" xfId="14137" xr:uid="{00000000-0005-0000-0000-0000A0120000}"/>
    <cellStyle name="20% - Accent4 18 8" xfId="12823" xr:uid="{00000000-0005-0000-0000-0000A1120000}"/>
    <cellStyle name="20% - Accent4 19" xfId="888" xr:uid="{00000000-0005-0000-0000-0000A2120000}"/>
    <cellStyle name="20% - Accent4 19 2" xfId="3844" xr:uid="{00000000-0005-0000-0000-0000A3120000}"/>
    <cellStyle name="20% - Accent4 19 2 2" xfId="11823" xr:uid="{00000000-0005-0000-0000-0000A4120000}"/>
    <cellStyle name="20% - Accent4 19 2 2 2" xfId="23111" xr:uid="{00000000-0005-0000-0000-0000A5120000}"/>
    <cellStyle name="20% - Accent4 19 2 3" xfId="9829" xr:uid="{00000000-0005-0000-0000-0000A6120000}"/>
    <cellStyle name="20% - Accent4 19 2 3 2" xfId="21117" xr:uid="{00000000-0005-0000-0000-0000A7120000}"/>
    <cellStyle name="20% - Accent4 19 2 4" xfId="7835" xr:uid="{00000000-0005-0000-0000-0000A8120000}"/>
    <cellStyle name="20% - Accent4 19 2 4 2" xfId="19123" xr:uid="{00000000-0005-0000-0000-0000A9120000}"/>
    <cellStyle name="20% - Accent4 19 2 5" xfId="5841" xr:uid="{00000000-0005-0000-0000-0000AA120000}"/>
    <cellStyle name="20% - Accent4 19 2 5 2" xfId="17129" xr:uid="{00000000-0005-0000-0000-0000AB120000}"/>
    <cellStyle name="20% - Accent4 19 2 6" xfId="15135" xr:uid="{00000000-0005-0000-0000-0000AC120000}"/>
    <cellStyle name="20% - Accent4 19 3" xfId="10826" xr:uid="{00000000-0005-0000-0000-0000AD120000}"/>
    <cellStyle name="20% - Accent4 19 3 2" xfId="22114" xr:uid="{00000000-0005-0000-0000-0000AE120000}"/>
    <cellStyle name="20% - Accent4 19 4" xfId="8832" xr:uid="{00000000-0005-0000-0000-0000AF120000}"/>
    <cellStyle name="20% - Accent4 19 4 2" xfId="20120" xr:uid="{00000000-0005-0000-0000-0000B0120000}"/>
    <cellStyle name="20% - Accent4 19 5" xfId="6838" xr:uid="{00000000-0005-0000-0000-0000B1120000}"/>
    <cellStyle name="20% - Accent4 19 5 2" xfId="18126" xr:uid="{00000000-0005-0000-0000-0000B2120000}"/>
    <cellStyle name="20% - Accent4 19 6" xfId="4844" xr:uid="{00000000-0005-0000-0000-0000B3120000}"/>
    <cellStyle name="20% - Accent4 19 6 2" xfId="16132" xr:uid="{00000000-0005-0000-0000-0000B4120000}"/>
    <cellStyle name="20% - Accent4 19 7" xfId="14138" xr:uid="{00000000-0005-0000-0000-0000B5120000}"/>
    <cellStyle name="20% - Accent4 19 8" xfId="12824" xr:uid="{00000000-0005-0000-0000-0000B6120000}"/>
    <cellStyle name="20% - Accent4 2" xfId="889" xr:uid="{00000000-0005-0000-0000-0000B7120000}"/>
    <cellStyle name="20% - Accent4 2 10" xfId="24577" xr:uid="{00000000-0005-0000-0000-0000B8120000}"/>
    <cellStyle name="20% - Accent4 2 11" xfId="24967" xr:uid="{00000000-0005-0000-0000-0000B9120000}"/>
    <cellStyle name="20% - Accent4 2 2" xfId="3845" xr:uid="{00000000-0005-0000-0000-0000BA120000}"/>
    <cellStyle name="20% - Accent4 2 2 2" xfId="11824" xr:uid="{00000000-0005-0000-0000-0000BB120000}"/>
    <cellStyle name="20% - Accent4 2 2 2 2" xfId="23112" xr:uid="{00000000-0005-0000-0000-0000BC120000}"/>
    <cellStyle name="20% - Accent4 2 2 3" xfId="9830" xr:uid="{00000000-0005-0000-0000-0000BD120000}"/>
    <cellStyle name="20% - Accent4 2 2 3 2" xfId="21118" xr:uid="{00000000-0005-0000-0000-0000BE120000}"/>
    <cellStyle name="20% - Accent4 2 2 4" xfId="7836" xr:uid="{00000000-0005-0000-0000-0000BF120000}"/>
    <cellStyle name="20% - Accent4 2 2 4 2" xfId="19124" xr:uid="{00000000-0005-0000-0000-0000C0120000}"/>
    <cellStyle name="20% - Accent4 2 2 5" xfId="5842" xr:uid="{00000000-0005-0000-0000-0000C1120000}"/>
    <cellStyle name="20% - Accent4 2 2 5 2" xfId="17130" xr:uid="{00000000-0005-0000-0000-0000C2120000}"/>
    <cellStyle name="20% - Accent4 2 2 6" xfId="15136" xr:uid="{00000000-0005-0000-0000-0000C3120000}"/>
    <cellStyle name="20% - Accent4 2 2 7" xfId="24338" xr:uid="{00000000-0005-0000-0000-0000C4120000}"/>
    <cellStyle name="20% - Accent4 2 2 8" xfId="24802" xr:uid="{00000000-0005-0000-0000-0000C5120000}"/>
    <cellStyle name="20% - Accent4 2 2 9" xfId="25169" xr:uid="{00000000-0005-0000-0000-0000C6120000}"/>
    <cellStyle name="20% - Accent4 2 3" xfId="10827" xr:uid="{00000000-0005-0000-0000-0000C7120000}"/>
    <cellStyle name="20% - Accent4 2 3 2" xfId="22115" xr:uid="{00000000-0005-0000-0000-0000C8120000}"/>
    <cellStyle name="20% - Accent4 2 4" xfId="8833" xr:uid="{00000000-0005-0000-0000-0000C9120000}"/>
    <cellStyle name="20% - Accent4 2 4 2" xfId="20121" xr:uid="{00000000-0005-0000-0000-0000CA120000}"/>
    <cellStyle name="20% - Accent4 2 5" xfId="6839" xr:uid="{00000000-0005-0000-0000-0000CB120000}"/>
    <cellStyle name="20% - Accent4 2 5 2" xfId="18127" xr:uid="{00000000-0005-0000-0000-0000CC120000}"/>
    <cellStyle name="20% - Accent4 2 6" xfId="4845" xr:uid="{00000000-0005-0000-0000-0000CD120000}"/>
    <cellStyle name="20% - Accent4 2 6 2" xfId="16133" xr:uid="{00000000-0005-0000-0000-0000CE120000}"/>
    <cellStyle name="20% - Accent4 2 7" xfId="14139" xr:uid="{00000000-0005-0000-0000-0000CF120000}"/>
    <cellStyle name="20% - Accent4 2 8" xfId="12825" xr:uid="{00000000-0005-0000-0000-0000D0120000}"/>
    <cellStyle name="20% - Accent4 2 9" xfId="23950" xr:uid="{00000000-0005-0000-0000-0000D1120000}"/>
    <cellStyle name="20% - Accent4 20" xfId="890" xr:uid="{00000000-0005-0000-0000-0000D2120000}"/>
    <cellStyle name="20% - Accent4 20 2" xfId="3846" xr:uid="{00000000-0005-0000-0000-0000D3120000}"/>
    <cellStyle name="20% - Accent4 20 2 2" xfId="11825" xr:uid="{00000000-0005-0000-0000-0000D4120000}"/>
    <cellStyle name="20% - Accent4 20 2 2 2" xfId="23113" xr:uid="{00000000-0005-0000-0000-0000D5120000}"/>
    <cellStyle name="20% - Accent4 20 2 3" xfId="9831" xr:uid="{00000000-0005-0000-0000-0000D6120000}"/>
    <cellStyle name="20% - Accent4 20 2 3 2" xfId="21119" xr:uid="{00000000-0005-0000-0000-0000D7120000}"/>
    <cellStyle name="20% - Accent4 20 2 4" xfId="7837" xr:uid="{00000000-0005-0000-0000-0000D8120000}"/>
    <cellStyle name="20% - Accent4 20 2 4 2" xfId="19125" xr:uid="{00000000-0005-0000-0000-0000D9120000}"/>
    <cellStyle name="20% - Accent4 20 2 5" xfId="5843" xr:uid="{00000000-0005-0000-0000-0000DA120000}"/>
    <cellStyle name="20% - Accent4 20 2 5 2" xfId="17131" xr:uid="{00000000-0005-0000-0000-0000DB120000}"/>
    <cellStyle name="20% - Accent4 20 2 6" xfId="15137" xr:uid="{00000000-0005-0000-0000-0000DC120000}"/>
    <cellStyle name="20% - Accent4 20 3" xfId="10828" xr:uid="{00000000-0005-0000-0000-0000DD120000}"/>
    <cellStyle name="20% - Accent4 20 3 2" xfId="22116" xr:uid="{00000000-0005-0000-0000-0000DE120000}"/>
    <cellStyle name="20% - Accent4 20 4" xfId="8834" xr:uid="{00000000-0005-0000-0000-0000DF120000}"/>
    <cellStyle name="20% - Accent4 20 4 2" xfId="20122" xr:uid="{00000000-0005-0000-0000-0000E0120000}"/>
    <cellStyle name="20% - Accent4 20 5" xfId="6840" xr:uid="{00000000-0005-0000-0000-0000E1120000}"/>
    <cellStyle name="20% - Accent4 20 5 2" xfId="18128" xr:uid="{00000000-0005-0000-0000-0000E2120000}"/>
    <cellStyle name="20% - Accent4 20 6" xfId="4846" xr:uid="{00000000-0005-0000-0000-0000E3120000}"/>
    <cellStyle name="20% - Accent4 20 6 2" xfId="16134" xr:uid="{00000000-0005-0000-0000-0000E4120000}"/>
    <cellStyle name="20% - Accent4 20 7" xfId="14140" xr:uid="{00000000-0005-0000-0000-0000E5120000}"/>
    <cellStyle name="20% - Accent4 20 8" xfId="12826" xr:uid="{00000000-0005-0000-0000-0000E6120000}"/>
    <cellStyle name="20% - Accent4 21" xfId="891" xr:uid="{00000000-0005-0000-0000-0000E7120000}"/>
    <cellStyle name="20% - Accent4 21 2" xfId="3847" xr:uid="{00000000-0005-0000-0000-0000E8120000}"/>
    <cellStyle name="20% - Accent4 21 2 2" xfId="11826" xr:uid="{00000000-0005-0000-0000-0000E9120000}"/>
    <cellStyle name="20% - Accent4 21 2 2 2" xfId="23114" xr:uid="{00000000-0005-0000-0000-0000EA120000}"/>
    <cellStyle name="20% - Accent4 21 2 3" xfId="9832" xr:uid="{00000000-0005-0000-0000-0000EB120000}"/>
    <cellStyle name="20% - Accent4 21 2 3 2" xfId="21120" xr:uid="{00000000-0005-0000-0000-0000EC120000}"/>
    <cellStyle name="20% - Accent4 21 2 4" xfId="7838" xr:uid="{00000000-0005-0000-0000-0000ED120000}"/>
    <cellStyle name="20% - Accent4 21 2 4 2" xfId="19126" xr:uid="{00000000-0005-0000-0000-0000EE120000}"/>
    <cellStyle name="20% - Accent4 21 2 5" xfId="5844" xr:uid="{00000000-0005-0000-0000-0000EF120000}"/>
    <cellStyle name="20% - Accent4 21 2 5 2" xfId="17132" xr:uid="{00000000-0005-0000-0000-0000F0120000}"/>
    <cellStyle name="20% - Accent4 21 2 6" xfId="15138" xr:uid="{00000000-0005-0000-0000-0000F1120000}"/>
    <cellStyle name="20% - Accent4 21 3" xfId="10829" xr:uid="{00000000-0005-0000-0000-0000F2120000}"/>
    <cellStyle name="20% - Accent4 21 3 2" xfId="22117" xr:uid="{00000000-0005-0000-0000-0000F3120000}"/>
    <cellStyle name="20% - Accent4 21 4" xfId="8835" xr:uid="{00000000-0005-0000-0000-0000F4120000}"/>
    <cellStyle name="20% - Accent4 21 4 2" xfId="20123" xr:uid="{00000000-0005-0000-0000-0000F5120000}"/>
    <cellStyle name="20% - Accent4 21 5" xfId="6841" xr:uid="{00000000-0005-0000-0000-0000F6120000}"/>
    <cellStyle name="20% - Accent4 21 5 2" xfId="18129" xr:uid="{00000000-0005-0000-0000-0000F7120000}"/>
    <cellStyle name="20% - Accent4 21 6" xfId="4847" xr:uid="{00000000-0005-0000-0000-0000F8120000}"/>
    <cellStyle name="20% - Accent4 21 6 2" xfId="16135" xr:uid="{00000000-0005-0000-0000-0000F9120000}"/>
    <cellStyle name="20% - Accent4 21 7" xfId="14141" xr:uid="{00000000-0005-0000-0000-0000FA120000}"/>
    <cellStyle name="20% - Accent4 21 8" xfId="12827" xr:uid="{00000000-0005-0000-0000-0000FB120000}"/>
    <cellStyle name="20% - Accent4 22" xfId="892" xr:uid="{00000000-0005-0000-0000-0000FC120000}"/>
    <cellStyle name="20% - Accent4 22 2" xfId="3848" xr:uid="{00000000-0005-0000-0000-0000FD120000}"/>
    <cellStyle name="20% - Accent4 22 2 2" xfId="11827" xr:uid="{00000000-0005-0000-0000-0000FE120000}"/>
    <cellStyle name="20% - Accent4 22 2 2 2" xfId="23115" xr:uid="{00000000-0005-0000-0000-0000FF120000}"/>
    <cellStyle name="20% - Accent4 22 2 3" xfId="9833" xr:uid="{00000000-0005-0000-0000-000000130000}"/>
    <cellStyle name="20% - Accent4 22 2 3 2" xfId="21121" xr:uid="{00000000-0005-0000-0000-000001130000}"/>
    <cellStyle name="20% - Accent4 22 2 4" xfId="7839" xr:uid="{00000000-0005-0000-0000-000002130000}"/>
    <cellStyle name="20% - Accent4 22 2 4 2" xfId="19127" xr:uid="{00000000-0005-0000-0000-000003130000}"/>
    <cellStyle name="20% - Accent4 22 2 5" xfId="5845" xr:uid="{00000000-0005-0000-0000-000004130000}"/>
    <cellStyle name="20% - Accent4 22 2 5 2" xfId="17133" xr:uid="{00000000-0005-0000-0000-000005130000}"/>
    <cellStyle name="20% - Accent4 22 2 6" xfId="15139" xr:uid="{00000000-0005-0000-0000-000006130000}"/>
    <cellStyle name="20% - Accent4 22 3" xfId="10830" xr:uid="{00000000-0005-0000-0000-000007130000}"/>
    <cellStyle name="20% - Accent4 22 3 2" xfId="22118" xr:uid="{00000000-0005-0000-0000-000008130000}"/>
    <cellStyle name="20% - Accent4 22 4" xfId="8836" xr:uid="{00000000-0005-0000-0000-000009130000}"/>
    <cellStyle name="20% - Accent4 22 4 2" xfId="20124" xr:uid="{00000000-0005-0000-0000-00000A130000}"/>
    <cellStyle name="20% - Accent4 22 5" xfId="6842" xr:uid="{00000000-0005-0000-0000-00000B130000}"/>
    <cellStyle name="20% - Accent4 22 5 2" xfId="18130" xr:uid="{00000000-0005-0000-0000-00000C130000}"/>
    <cellStyle name="20% - Accent4 22 6" xfId="4848" xr:uid="{00000000-0005-0000-0000-00000D130000}"/>
    <cellStyle name="20% - Accent4 22 6 2" xfId="16136" xr:uid="{00000000-0005-0000-0000-00000E130000}"/>
    <cellStyle name="20% - Accent4 22 7" xfId="14142" xr:uid="{00000000-0005-0000-0000-00000F130000}"/>
    <cellStyle name="20% - Accent4 22 8" xfId="12828" xr:uid="{00000000-0005-0000-0000-000010130000}"/>
    <cellStyle name="20% - Accent4 23" xfId="893" xr:uid="{00000000-0005-0000-0000-000011130000}"/>
    <cellStyle name="20% - Accent4 23 2" xfId="3849" xr:uid="{00000000-0005-0000-0000-000012130000}"/>
    <cellStyle name="20% - Accent4 23 2 2" xfId="11828" xr:uid="{00000000-0005-0000-0000-000013130000}"/>
    <cellStyle name="20% - Accent4 23 2 2 2" xfId="23116" xr:uid="{00000000-0005-0000-0000-000014130000}"/>
    <cellStyle name="20% - Accent4 23 2 3" xfId="9834" xr:uid="{00000000-0005-0000-0000-000015130000}"/>
    <cellStyle name="20% - Accent4 23 2 3 2" xfId="21122" xr:uid="{00000000-0005-0000-0000-000016130000}"/>
    <cellStyle name="20% - Accent4 23 2 4" xfId="7840" xr:uid="{00000000-0005-0000-0000-000017130000}"/>
    <cellStyle name="20% - Accent4 23 2 4 2" xfId="19128" xr:uid="{00000000-0005-0000-0000-000018130000}"/>
    <cellStyle name="20% - Accent4 23 2 5" xfId="5846" xr:uid="{00000000-0005-0000-0000-000019130000}"/>
    <cellStyle name="20% - Accent4 23 2 5 2" xfId="17134" xr:uid="{00000000-0005-0000-0000-00001A130000}"/>
    <cellStyle name="20% - Accent4 23 2 6" xfId="15140" xr:uid="{00000000-0005-0000-0000-00001B130000}"/>
    <cellStyle name="20% - Accent4 23 3" xfId="10831" xr:uid="{00000000-0005-0000-0000-00001C130000}"/>
    <cellStyle name="20% - Accent4 23 3 2" xfId="22119" xr:uid="{00000000-0005-0000-0000-00001D130000}"/>
    <cellStyle name="20% - Accent4 23 4" xfId="8837" xr:uid="{00000000-0005-0000-0000-00001E130000}"/>
    <cellStyle name="20% - Accent4 23 4 2" xfId="20125" xr:uid="{00000000-0005-0000-0000-00001F130000}"/>
    <cellStyle name="20% - Accent4 23 5" xfId="6843" xr:uid="{00000000-0005-0000-0000-000020130000}"/>
    <cellStyle name="20% - Accent4 23 5 2" xfId="18131" xr:uid="{00000000-0005-0000-0000-000021130000}"/>
    <cellStyle name="20% - Accent4 23 6" xfId="4849" xr:uid="{00000000-0005-0000-0000-000022130000}"/>
    <cellStyle name="20% - Accent4 23 6 2" xfId="16137" xr:uid="{00000000-0005-0000-0000-000023130000}"/>
    <cellStyle name="20% - Accent4 23 7" xfId="14143" xr:uid="{00000000-0005-0000-0000-000024130000}"/>
    <cellStyle name="20% - Accent4 23 8" xfId="12829" xr:uid="{00000000-0005-0000-0000-000025130000}"/>
    <cellStyle name="20% - Accent4 24" xfId="894" xr:uid="{00000000-0005-0000-0000-000026130000}"/>
    <cellStyle name="20% - Accent4 24 2" xfId="3850" xr:uid="{00000000-0005-0000-0000-000027130000}"/>
    <cellStyle name="20% - Accent4 24 2 2" xfId="11829" xr:uid="{00000000-0005-0000-0000-000028130000}"/>
    <cellStyle name="20% - Accent4 24 2 2 2" xfId="23117" xr:uid="{00000000-0005-0000-0000-000029130000}"/>
    <cellStyle name="20% - Accent4 24 2 3" xfId="9835" xr:uid="{00000000-0005-0000-0000-00002A130000}"/>
    <cellStyle name="20% - Accent4 24 2 3 2" xfId="21123" xr:uid="{00000000-0005-0000-0000-00002B130000}"/>
    <cellStyle name="20% - Accent4 24 2 4" xfId="7841" xr:uid="{00000000-0005-0000-0000-00002C130000}"/>
    <cellStyle name="20% - Accent4 24 2 4 2" xfId="19129" xr:uid="{00000000-0005-0000-0000-00002D130000}"/>
    <cellStyle name="20% - Accent4 24 2 5" xfId="5847" xr:uid="{00000000-0005-0000-0000-00002E130000}"/>
    <cellStyle name="20% - Accent4 24 2 5 2" xfId="17135" xr:uid="{00000000-0005-0000-0000-00002F130000}"/>
    <cellStyle name="20% - Accent4 24 2 6" xfId="15141" xr:uid="{00000000-0005-0000-0000-000030130000}"/>
    <cellStyle name="20% - Accent4 24 3" xfId="10832" xr:uid="{00000000-0005-0000-0000-000031130000}"/>
    <cellStyle name="20% - Accent4 24 3 2" xfId="22120" xr:uid="{00000000-0005-0000-0000-000032130000}"/>
    <cellStyle name="20% - Accent4 24 4" xfId="8838" xr:uid="{00000000-0005-0000-0000-000033130000}"/>
    <cellStyle name="20% - Accent4 24 4 2" xfId="20126" xr:uid="{00000000-0005-0000-0000-000034130000}"/>
    <cellStyle name="20% - Accent4 24 5" xfId="6844" xr:uid="{00000000-0005-0000-0000-000035130000}"/>
    <cellStyle name="20% - Accent4 24 5 2" xfId="18132" xr:uid="{00000000-0005-0000-0000-000036130000}"/>
    <cellStyle name="20% - Accent4 24 6" xfId="4850" xr:uid="{00000000-0005-0000-0000-000037130000}"/>
    <cellStyle name="20% - Accent4 24 6 2" xfId="16138" xr:uid="{00000000-0005-0000-0000-000038130000}"/>
    <cellStyle name="20% - Accent4 24 7" xfId="14144" xr:uid="{00000000-0005-0000-0000-000039130000}"/>
    <cellStyle name="20% - Accent4 24 8" xfId="12830" xr:uid="{00000000-0005-0000-0000-00003A130000}"/>
    <cellStyle name="20% - Accent4 25" xfId="895" xr:uid="{00000000-0005-0000-0000-00003B130000}"/>
    <cellStyle name="20% - Accent4 25 2" xfId="3851" xr:uid="{00000000-0005-0000-0000-00003C130000}"/>
    <cellStyle name="20% - Accent4 25 2 2" xfId="11830" xr:uid="{00000000-0005-0000-0000-00003D130000}"/>
    <cellStyle name="20% - Accent4 25 2 2 2" xfId="23118" xr:uid="{00000000-0005-0000-0000-00003E130000}"/>
    <cellStyle name="20% - Accent4 25 2 3" xfId="9836" xr:uid="{00000000-0005-0000-0000-00003F130000}"/>
    <cellStyle name="20% - Accent4 25 2 3 2" xfId="21124" xr:uid="{00000000-0005-0000-0000-000040130000}"/>
    <cellStyle name="20% - Accent4 25 2 4" xfId="7842" xr:uid="{00000000-0005-0000-0000-000041130000}"/>
    <cellStyle name="20% - Accent4 25 2 4 2" xfId="19130" xr:uid="{00000000-0005-0000-0000-000042130000}"/>
    <cellStyle name="20% - Accent4 25 2 5" xfId="5848" xr:uid="{00000000-0005-0000-0000-000043130000}"/>
    <cellStyle name="20% - Accent4 25 2 5 2" xfId="17136" xr:uid="{00000000-0005-0000-0000-000044130000}"/>
    <cellStyle name="20% - Accent4 25 2 6" xfId="15142" xr:uid="{00000000-0005-0000-0000-000045130000}"/>
    <cellStyle name="20% - Accent4 25 3" xfId="10833" xr:uid="{00000000-0005-0000-0000-000046130000}"/>
    <cellStyle name="20% - Accent4 25 3 2" xfId="22121" xr:uid="{00000000-0005-0000-0000-000047130000}"/>
    <cellStyle name="20% - Accent4 25 4" xfId="8839" xr:uid="{00000000-0005-0000-0000-000048130000}"/>
    <cellStyle name="20% - Accent4 25 4 2" xfId="20127" xr:uid="{00000000-0005-0000-0000-000049130000}"/>
    <cellStyle name="20% - Accent4 25 5" xfId="6845" xr:uid="{00000000-0005-0000-0000-00004A130000}"/>
    <cellStyle name="20% - Accent4 25 5 2" xfId="18133" xr:uid="{00000000-0005-0000-0000-00004B130000}"/>
    <cellStyle name="20% - Accent4 25 6" xfId="4851" xr:uid="{00000000-0005-0000-0000-00004C130000}"/>
    <cellStyle name="20% - Accent4 25 6 2" xfId="16139" xr:uid="{00000000-0005-0000-0000-00004D130000}"/>
    <cellStyle name="20% - Accent4 25 7" xfId="14145" xr:uid="{00000000-0005-0000-0000-00004E130000}"/>
    <cellStyle name="20% - Accent4 25 8" xfId="12831" xr:uid="{00000000-0005-0000-0000-00004F130000}"/>
    <cellStyle name="20% - Accent4 26" xfId="896" xr:uid="{00000000-0005-0000-0000-000050130000}"/>
    <cellStyle name="20% - Accent4 26 2" xfId="3852" xr:uid="{00000000-0005-0000-0000-000051130000}"/>
    <cellStyle name="20% - Accent4 26 2 2" xfId="11831" xr:uid="{00000000-0005-0000-0000-000052130000}"/>
    <cellStyle name="20% - Accent4 26 2 2 2" xfId="23119" xr:uid="{00000000-0005-0000-0000-000053130000}"/>
    <cellStyle name="20% - Accent4 26 2 3" xfId="9837" xr:uid="{00000000-0005-0000-0000-000054130000}"/>
    <cellStyle name="20% - Accent4 26 2 3 2" xfId="21125" xr:uid="{00000000-0005-0000-0000-000055130000}"/>
    <cellStyle name="20% - Accent4 26 2 4" xfId="7843" xr:uid="{00000000-0005-0000-0000-000056130000}"/>
    <cellStyle name="20% - Accent4 26 2 4 2" xfId="19131" xr:uid="{00000000-0005-0000-0000-000057130000}"/>
    <cellStyle name="20% - Accent4 26 2 5" xfId="5849" xr:uid="{00000000-0005-0000-0000-000058130000}"/>
    <cellStyle name="20% - Accent4 26 2 5 2" xfId="17137" xr:uid="{00000000-0005-0000-0000-000059130000}"/>
    <cellStyle name="20% - Accent4 26 2 6" xfId="15143" xr:uid="{00000000-0005-0000-0000-00005A130000}"/>
    <cellStyle name="20% - Accent4 26 3" xfId="10834" xr:uid="{00000000-0005-0000-0000-00005B130000}"/>
    <cellStyle name="20% - Accent4 26 3 2" xfId="22122" xr:uid="{00000000-0005-0000-0000-00005C130000}"/>
    <cellStyle name="20% - Accent4 26 4" xfId="8840" xr:uid="{00000000-0005-0000-0000-00005D130000}"/>
    <cellStyle name="20% - Accent4 26 4 2" xfId="20128" xr:uid="{00000000-0005-0000-0000-00005E130000}"/>
    <cellStyle name="20% - Accent4 26 5" xfId="6846" xr:uid="{00000000-0005-0000-0000-00005F130000}"/>
    <cellStyle name="20% - Accent4 26 5 2" xfId="18134" xr:uid="{00000000-0005-0000-0000-000060130000}"/>
    <cellStyle name="20% - Accent4 26 6" xfId="4852" xr:uid="{00000000-0005-0000-0000-000061130000}"/>
    <cellStyle name="20% - Accent4 26 6 2" xfId="16140" xr:uid="{00000000-0005-0000-0000-000062130000}"/>
    <cellStyle name="20% - Accent4 26 7" xfId="14146" xr:uid="{00000000-0005-0000-0000-000063130000}"/>
    <cellStyle name="20% - Accent4 26 8" xfId="12832" xr:uid="{00000000-0005-0000-0000-000064130000}"/>
    <cellStyle name="20% - Accent4 27" xfId="897" xr:uid="{00000000-0005-0000-0000-000065130000}"/>
    <cellStyle name="20% - Accent4 27 2" xfId="3853" xr:uid="{00000000-0005-0000-0000-000066130000}"/>
    <cellStyle name="20% - Accent4 27 2 2" xfId="11832" xr:uid="{00000000-0005-0000-0000-000067130000}"/>
    <cellStyle name="20% - Accent4 27 2 2 2" xfId="23120" xr:uid="{00000000-0005-0000-0000-000068130000}"/>
    <cellStyle name="20% - Accent4 27 2 3" xfId="9838" xr:uid="{00000000-0005-0000-0000-000069130000}"/>
    <cellStyle name="20% - Accent4 27 2 3 2" xfId="21126" xr:uid="{00000000-0005-0000-0000-00006A130000}"/>
    <cellStyle name="20% - Accent4 27 2 4" xfId="7844" xr:uid="{00000000-0005-0000-0000-00006B130000}"/>
    <cellStyle name="20% - Accent4 27 2 4 2" xfId="19132" xr:uid="{00000000-0005-0000-0000-00006C130000}"/>
    <cellStyle name="20% - Accent4 27 2 5" xfId="5850" xr:uid="{00000000-0005-0000-0000-00006D130000}"/>
    <cellStyle name="20% - Accent4 27 2 5 2" xfId="17138" xr:uid="{00000000-0005-0000-0000-00006E130000}"/>
    <cellStyle name="20% - Accent4 27 2 6" xfId="15144" xr:uid="{00000000-0005-0000-0000-00006F130000}"/>
    <cellStyle name="20% - Accent4 27 3" xfId="10835" xr:uid="{00000000-0005-0000-0000-000070130000}"/>
    <cellStyle name="20% - Accent4 27 3 2" xfId="22123" xr:uid="{00000000-0005-0000-0000-000071130000}"/>
    <cellStyle name="20% - Accent4 27 4" xfId="8841" xr:uid="{00000000-0005-0000-0000-000072130000}"/>
    <cellStyle name="20% - Accent4 27 4 2" xfId="20129" xr:uid="{00000000-0005-0000-0000-000073130000}"/>
    <cellStyle name="20% - Accent4 27 5" xfId="6847" xr:uid="{00000000-0005-0000-0000-000074130000}"/>
    <cellStyle name="20% - Accent4 27 5 2" xfId="18135" xr:uid="{00000000-0005-0000-0000-000075130000}"/>
    <cellStyle name="20% - Accent4 27 6" xfId="4853" xr:uid="{00000000-0005-0000-0000-000076130000}"/>
    <cellStyle name="20% - Accent4 27 6 2" xfId="16141" xr:uid="{00000000-0005-0000-0000-000077130000}"/>
    <cellStyle name="20% - Accent4 27 7" xfId="14147" xr:uid="{00000000-0005-0000-0000-000078130000}"/>
    <cellStyle name="20% - Accent4 27 8" xfId="12833" xr:uid="{00000000-0005-0000-0000-000079130000}"/>
    <cellStyle name="20% - Accent4 28" xfId="898" xr:uid="{00000000-0005-0000-0000-00007A130000}"/>
    <cellStyle name="20% - Accent4 28 2" xfId="3854" xr:uid="{00000000-0005-0000-0000-00007B130000}"/>
    <cellStyle name="20% - Accent4 28 2 2" xfId="11833" xr:uid="{00000000-0005-0000-0000-00007C130000}"/>
    <cellStyle name="20% - Accent4 28 2 2 2" xfId="23121" xr:uid="{00000000-0005-0000-0000-00007D130000}"/>
    <cellStyle name="20% - Accent4 28 2 3" xfId="9839" xr:uid="{00000000-0005-0000-0000-00007E130000}"/>
    <cellStyle name="20% - Accent4 28 2 3 2" xfId="21127" xr:uid="{00000000-0005-0000-0000-00007F130000}"/>
    <cellStyle name="20% - Accent4 28 2 4" xfId="7845" xr:uid="{00000000-0005-0000-0000-000080130000}"/>
    <cellStyle name="20% - Accent4 28 2 4 2" xfId="19133" xr:uid="{00000000-0005-0000-0000-000081130000}"/>
    <cellStyle name="20% - Accent4 28 2 5" xfId="5851" xr:uid="{00000000-0005-0000-0000-000082130000}"/>
    <cellStyle name="20% - Accent4 28 2 5 2" xfId="17139" xr:uid="{00000000-0005-0000-0000-000083130000}"/>
    <cellStyle name="20% - Accent4 28 2 6" xfId="15145" xr:uid="{00000000-0005-0000-0000-000084130000}"/>
    <cellStyle name="20% - Accent4 28 3" xfId="10836" xr:uid="{00000000-0005-0000-0000-000085130000}"/>
    <cellStyle name="20% - Accent4 28 3 2" xfId="22124" xr:uid="{00000000-0005-0000-0000-000086130000}"/>
    <cellStyle name="20% - Accent4 28 4" xfId="8842" xr:uid="{00000000-0005-0000-0000-000087130000}"/>
    <cellStyle name="20% - Accent4 28 4 2" xfId="20130" xr:uid="{00000000-0005-0000-0000-000088130000}"/>
    <cellStyle name="20% - Accent4 28 5" xfId="6848" xr:uid="{00000000-0005-0000-0000-000089130000}"/>
    <cellStyle name="20% - Accent4 28 5 2" xfId="18136" xr:uid="{00000000-0005-0000-0000-00008A130000}"/>
    <cellStyle name="20% - Accent4 28 6" xfId="4854" xr:uid="{00000000-0005-0000-0000-00008B130000}"/>
    <cellStyle name="20% - Accent4 28 6 2" xfId="16142" xr:uid="{00000000-0005-0000-0000-00008C130000}"/>
    <cellStyle name="20% - Accent4 28 7" xfId="14148" xr:uid="{00000000-0005-0000-0000-00008D130000}"/>
    <cellStyle name="20% - Accent4 28 8" xfId="12834" xr:uid="{00000000-0005-0000-0000-00008E130000}"/>
    <cellStyle name="20% - Accent4 29" xfId="899" xr:uid="{00000000-0005-0000-0000-00008F130000}"/>
    <cellStyle name="20% - Accent4 29 2" xfId="3855" xr:uid="{00000000-0005-0000-0000-000090130000}"/>
    <cellStyle name="20% - Accent4 29 2 2" xfId="11834" xr:uid="{00000000-0005-0000-0000-000091130000}"/>
    <cellStyle name="20% - Accent4 29 2 2 2" xfId="23122" xr:uid="{00000000-0005-0000-0000-000092130000}"/>
    <cellStyle name="20% - Accent4 29 2 3" xfId="9840" xr:uid="{00000000-0005-0000-0000-000093130000}"/>
    <cellStyle name="20% - Accent4 29 2 3 2" xfId="21128" xr:uid="{00000000-0005-0000-0000-000094130000}"/>
    <cellStyle name="20% - Accent4 29 2 4" xfId="7846" xr:uid="{00000000-0005-0000-0000-000095130000}"/>
    <cellStyle name="20% - Accent4 29 2 4 2" xfId="19134" xr:uid="{00000000-0005-0000-0000-000096130000}"/>
    <cellStyle name="20% - Accent4 29 2 5" xfId="5852" xr:uid="{00000000-0005-0000-0000-000097130000}"/>
    <cellStyle name="20% - Accent4 29 2 5 2" xfId="17140" xr:uid="{00000000-0005-0000-0000-000098130000}"/>
    <cellStyle name="20% - Accent4 29 2 6" xfId="15146" xr:uid="{00000000-0005-0000-0000-000099130000}"/>
    <cellStyle name="20% - Accent4 29 3" xfId="10837" xr:uid="{00000000-0005-0000-0000-00009A130000}"/>
    <cellStyle name="20% - Accent4 29 3 2" xfId="22125" xr:uid="{00000000-0005-0000-0000-00009B130000}"/>
    <cellStyle name="20% - Accent4 29 4" xfId="8843" xr:uid="{00000000-0005-0000-0000-00009C130000}"/>
    <cellStyle name="20% - Accent4 29 4 2" xfId="20131" xr:uid="{00000000-0005-0000-0000-00009D130000}"/>
    <cellStyle name="20% - Accent4 29 5" xfId="6849" xr:uid="{00000000-0005-0000-0000-00009E130000}"/>
    <cellStyle name="20% - Accent4 29 5 2" xfId="18137" xr:uid="{00000000-0005-0000-0000-00009F130000}"/>
    <cellStyle name="20% - Accent4 29 6" xfId="4855" xr:uid="{00000000-0005-0000-0000-0000A0130000}"/>
    <cellStyle name="20% - Accent4 29 6 2" xfId="16143" xr:uid="{00000000-0005-0000-0000-0000A1130000}"/>
    <cellStyle name="20% - Accent4 29 7" xfId="14149" xr:uid="{00000000-0005-0000-0000-0000A2130000}"/>
    <cellStyle name="20% - Accent4 29 8" xfId="12835" xr:uid="{00000000-0005-0000-0000-0000A3130000}"/>
    <cellStyle name="20% - Accent4 3" xfId="900" xr:uid="{00000000-0005-0000-0000-0000A4130000}"/>
    <cellStyle name="20% - Accent4 3 10" xfId="24578" xr:uid="{00000000-0005-0000-0000-0000A5130000}"/>
    <cellStyle name="20% - Accent4 3 11" xfId="24968" xr:uid="{00000000-0005-0000-0000-0000A6130000}"/>
    <cellStyle name="20% - Accent4 3 2" xfId="3856" xr:uid="{00000000-0005-0000-0000-0000A7130000}"/>
    <cellStyle name="20% - Accent4 3 2 2" xfId="11835" xr:uid="{00000000-0005-0000-0000-0000A8130000}"/>
    <cellStyle name="20% - Accent4 3 2 2 2" xfId="23123" xr:uid="{00000000-0005-0000-0000-0000A9130000}"/>
    <cellStyle name="20% - Accent4 3 2 3" xfId="9841" xr:uid="{00000000-0005-0000-0000-0000AA130000}"/>
    <cellStyle name="20% - Accent4 3 2 3 2" xfId="21129" xr:uid="{00000000-0005-0000-0000-0000AB130000}"/>
    <cellStyle name="20% - Accent4 3 2 4" xfId="7847" xr:uid="{00000000-0005-0000-0000-0000AC130000}"/>
    <cellStyle name="20% - Accent4 3 2 4 2" xfId="19135" xr:uid="{00000000-0005-0000-0000-0000AD130000}"/>
    <cellStyle name="20% - Accent4 3 2 5" xfId="5853" xr:uid="{00000000-0005-0000-0000-0000AE130000}"/>
    <cellStyle name="20% - Accent4 3 2 5 2" xfId="17141" xr:uid="{00000000-0005-0000-0000-0000AF130000}"/>
    <cellStyle name="20% - Accent4 3 2 6" xfId="15147" xr:uid="{00000000-0005-0000-0000-0000B0130000}"/>
    <cellStyle name="20% - Accent4 3 2 7" xfId="24339" xr:uid="{00000000-0005-0000-0000-0000B1130000}"/>
    <cellStyle name="20% - Accent4 3 2 8" xfId="24803" xr:uid="{00000000-0005-0000-0000-0000B2130000}"/>
    <cellStyle name="20% - Accent4 3 2 9" xfId="25170" xr:uid="{00000000-0005-0000-0000-0000B3130000}"/>
    <cellStyle name="20% - Accent4 3 3" xfId="10838" xr:uid="{00000000-0005-0000-0000-0000B4130000}"/>
    <cellStyle name="20% - Accent4 3 3 2" xfId="22126" xr:uid="{00000000-0005-0000-0000-0000B5130000}"/>
    <cellStyle name="20% - Accent4 3 4" xfId="8844" xr:uid="{00000000-0005-0000-0000-0000B6130000}"/>
    <cellStyle name="20% - Accent4 3 4 2" xfId="20132" xr:uid="{00000000-0005-0000-0000-0000B7130000}"/>
    <cellStyle name="20% - Accent4 3 5" xfId="6850" xr:uid="{00000000-0005-0000-0000-0000B8130000}"/>
    <cellStyle name="20% - Accent4 3 5 2" xfId="18138" xr:uid="{00000000-0005-0000-0000-0000B9130000}"/>
    <cellStyle name="20% - Accent4 3 6" xfId="4856" xr:uid="{00000000-0005-0000-0000-0000BA130000}"/>
    <cellStyle name="20% - Accent4 3 6 2" xfId="16144" xr:uid="{00000000-0005-0000-0000-0000BB130000}"/>
    <cellStyle name="20% - Accent4 3 7" xfId="14150" xr:uid="{00000000-0005-0000-0000-0000BC130000}"/>
    <cellStyle name="20% - Accent4 3 8" xfId="12836" xr:uid="{00000000-0005-0000-0000-0000BD130000}"/>
    <cellStyle name="20% - Accent4 3 9" xfId="23951" xr:uid="{00000000-0005-0000-0000-0000BE130000}"/>
    <cellStyle name="20% - Accent4 30" xfId="901" xr:uid="{00000000-0005-0000-0000-0000BF130000}"/>
    <cellStyle name="20% - Accent4 30 2" xfId="3857" xr:uid="{00000000-0005-0000-0000-0000C0130000}"/>
    <cellStyle name="20% - Accent4 30 2 2" xfId="11836" xr:uid="{00000000-0005-0000-0000-0000C1130000}"/>
    <cellStyle name="20% - Accent4 30 2 2 2" xfId="23124" xr:uid="{00000000-0005-0000-0000-0000C2130000}"/>
    <cellStyle name="20% - Accent4 30 2 3" xfId="9842" xr:uid="{00000000-0005-0000-0000-0000C3130000}"/>
    <cellStyle name="20% - Accent4 30 2 3 2" xfId="21130" xr:uid="{00000000-0005-0000-0000-0000C4130000}"/>
    <cellStyle name="20% - Accent4 30 2 4" xfId="7848" xr:uid="{00000000-0005-0000-0000-0000C5130000}"/>
    <cellStyle name="20% - Accent4 30 2 4 2" xfId="19136" xr:uid="{00000000-0005-0000-0000-0000C6130000}"/>
    <cellStyle name="20% - Accent4 30 2 5" xfId="5854" xr:uid="{00000000-0005-0000-0000-0000C7130000}"/>
    <cellStyle name="20% - Accent4 30 2 5 2" xfId="17142" xr:uid="{00000000-0005-0000-0000-0000C8130000}"/>
    <cellStyle name="20% - Accent4 30 2 6" xfId="15148" xr:uid="{00000000-0005-0000-0000-0000C9130000}"/>
    <cellStyle name="20% - Accent4 30 3" xfId="10839" xr:uid="{00000000-0005-0000-0000-0000CA130000}"/>
    <cellStyle name="20% - Accent4 30 3 2" xfId="22127" xr:uid="{00000000-0005-0000-0000-0000CB130000}"/>
    <cellStyle name="20% - Accent4 30 4" xfId="8845" xr:uid="{00000000-0005-0000-0000-0000CC130000}"/>
    <cellStyle name="20% - Accent4 30 4 2" xfId="20133" xr:uid="{00000000-0005-0000-0000-0000CD130000}"/>
    <cellStyle name="20% - Accent4 30 5" xfId="6851" xr:uid="{00000000-0005-0000-0000-0000CE130000}"/>
    <cellStyle name="20% - Accent4 30 5 2" xfId="18139" xr:uid="{00000000-0005-0000-0000-0000CF130000}"/>
    <cellStyle name="20% - Accent4 30 6" xfId="4857" xr:uid="{00000000-0005-0000-0000-0000D0130000}"/>
    <cellStyle name="20% - Accent4 30 6 2" xfId="16145" xr:uid="{00000000-0005-0000-0000-0000D1130000}"/>
    <cellStyle name="20% - Accent4 30 7" xfId="14151" xr:uid="{00000000-0005-0000-0000-0000D2130000}"/>
    <cellStyle name="20% - Accent4 30 8" xfId="12837" xr:uid="{00000000-0005-0000-0000-0000D3130000}"/>
    <cellStyle name="20% - Accent4 31" xfId="902" xr:uid="{00000000-0005-0000-0000-0000D4130000}"/>
    <cellStyle name="20% - Accent4 31 2" xfId="3858" xr:uid="{00000000-0005-0000-0000-0000D5130000}"/>
    <cellStyle name="20% - Accent4 31 2 2" xfId="11837" xr:uid="{00000000-0005-0000-0000-0000D6130000}"/>
    <cellStyle name="20% - Accent4 31 2 2 2" xfId="23125" xr:uid="{00000000-0005-0000-0000-0000D7130000}"/>
    <cellStyle name="20% - Accent4 31 2 3" xfId="9843" xr:uid="{00000000-0005-0000-0000-0000D8130000}"/>
    <cellStyle name="20% - Accent4 31 2 3 2" xfId="21131" xr:uid="{00000000-0005-0000-0000-0000D9130000}"/>
    <cellStyle name="20% - Accent4 31 2 4" xfId="7849" xr:uid="{00000000-0005-0000-0000-0000DA130000}"/>
    <cellStyle name="20% - Accent4 31 2 4 2" xfId="19137" xr:uid="{00000000-0005-0000-0000-0000DB130000}"/>
    <cellStyle name="20% - Accent4 31 2 5" xfId="5855" xr:uid="{00000000-0005-0000-0000-0000DC130000}"/>
    <cellStyle name="20% - Accent4 31 2 5 2" xfId="17143" xr:uid="{00000000-0005-0000-0000-0000DD130000}"/>
    <cellStyle name="20% - Accent4 31 2 6" xfId="15149" xr:uid="{00000000-0005-0000-0000-0000DE130000}"/>
    <cellStyle name="20% - Accent4 31 3" xfId="10840" xr:uid="{00000000-0005-0000-0000-0000DF130000}"/>
    <cellStyle name="20% - Accent4 31 3 2" xfId="22128" xr:uid="{00000000-0005-0000-0000-0000E0130000}"/>
    <cellStyle name="20% - Accent4 31 4" xfId="8846" xr:uid="{00000000-0005-0000-0000-0000E1130000}"/>
    <cellStyle name="20% - Accent4 31 4 2" xfId="20134" xr:uid="{00000000-0005-0000-0000-0000E2130000}"/>
    <cellStyle name="20% - Accent4 31 5" xfId="6852" xr:uid="{00000000-0005-0000-0000-0000E3130000}"/>
    <cellStyle name="20% - Accent4 31 5 2" xfId="18140" xr:uid="{00000000-0005-0000-0000-0000E4130000}"/>
    <cellStyle name="20% - Accent4 31 6" xfId="4858" xr:uid="{00000000-0005-0000-0000-0000E5130000}"/>
    <cellStyle name="20% - Accent4 31 6 2" xfId="16146" xr:uid="{00000000-0005-0000-0000-0000E6130000}"/>
    <cellStyle name="20% - Accent4 31 7" xfId="14152" xr:uid="{00000000-0005-0000-0000-0000E7130000}"/>
    <cellStyle name="20% - Accent4 31 8" xfId="12838" xr:uid="{00000000-0005-0000-0000-0000E8130000}"/>
    <cellStyle name="20% - Accent4 32" xfId="903" xr:uid="{00000000-0005-0000-0000-0000E9130000}"/>
    <cellStyle name="20% - Accent4 32 2" xfId="3859" xr:uid="{00000000-0005-0000-0000-0000EA130000}"/>
    <cellStyle name="20% - Accent4 32 2 2" xfId="11838" xr:uid="{00000000-0005-0000-0000-0000EB130000}"/>
    <cellStyle name="20% - Accent4 32 2 2 2" xfId="23126" xr:uid="{00000000-0005-0000-0000-0000EC130000}"/>
    <cellStyle name="20% - Accent4 32 2 3" xfId="9844" xr:uid="{00000000-0005-0000-0000-0000ED130000}"/>
    <cellStyle name="20% - Accent4 32 2 3 2" xfId="21132" xr:uid="{00000000-0005-0000-0000-0000EE130000}"/>
    <cellStyle name="20% - Accent4 32 2 4" xfId="7850" xr:uid="{00000000-0005-0000-0000-0000EF130000}"/>
    <cellStyle name="20% - Accent4 32 2 4 2" xfId="19138" xr:uid="{00000000-0005-0000-0000-0000F0130000}"/>
    <cellStyle name="20% - Accent4 32 2 5" xfId="5856" xr:uid="{00000000-0005-0000-0000-0000F1130000}"/>
    <cellStyle name="20% - Accent4 32 2 5 2" xfId="17144" xr:uid="{00000000-0005-0000-0000-0000F2130000}"/>
    <cellStyle name="20% - Accent4 32 2 6" xfId="15150" xr:uid="{00000000-0005-0000-0000-0000F3130000}"/>
    <cellStyle name="20% - Accent4 32 3" xfId="10841" xr:uid="{00000000-0005-0000-0000-0000F4130000}"/>
    <cellStyle name="20% - Accent4 32 3 2" xfId="22129" xr:uid="{00000000-0005-0000-0000-0000F5130000}"/>
    <cellStyle name="20% - Accent4 32 4" xfId="8847" xr:uid="{00000000-0005-0000-0000-0000F6130000}"/>
    <cellStyle name="20% - Accent4 32 4 2" xfId="20135" xr:uid="{00000000-0005-0000-0000-0000F7130000}"/>
    <cellStyle name="20% - Accent4 32 5" xfId="6853" xr:uid="{00000000-0005-0000-0000-0000F8130000}"/>
    <cellStyle name="20% - Accent4 32 5 2" xfId="18141" xr:uid="{00000000-0005-0000-0000-0000F9130000}"/>
    <cellStyle name="20% - Accent4 32 6" xfId="4859" xr:uid="{00000000-0005-0000-0000-0000FA130000}"/>
    <cellStyle name="20% - Accent4 32 6 2" xfId="16147" xr:uid="{00000000-0005-0000-0000-0000FB130000}"/>
    <cellStyle name="20% - Accent4 32 7" xfId="14153" xr:uid="{00000000-0005-0000-0000-0000FC130000}"/>
    <cellStyle name="20% - Accent4 32 8" xfId="12839" xr:uid="{00000000-0005-0000-0000-0000FD130000}"/>
    <cellStyle name="20% - Accent4 33" xfId="904" xr:uid="{00000000-0005-0000-0000-0000FE130000}"/>
    <cellStyle name="20% - Accent4 33 2" xfId="3860" xr:uid="{00000000-0005-0000-0000-0000FF130000}"/>
    <cellStyle name="20% - Accent4 33 2 2" xfId="11839" xr:uid="{00000000-0005-0000-0000-000000140000}"/>
    <cellStyle name="20% - Accent4 33 2 2 2" xfId="23127" xr:uid="{00000000-0005-0000-0000-000001140000}"/>
    <cellStyle name="20% - Accent4 33 2 3" xfId="9845" xr:uid="{00000000-0005-0000-0000-000002140000}"/>
    <cellStyle name="20% - Accent4 33 2 3 2" xfId="21133" xr:uid="{00000000-0005-0000-0000-000003140000}"/>
    <cellStyle name="20% - Accent4 33 2 4" xfId="7851" xr:uid="{00000000-0005-0000-0000-000004140000}"/>
    <cellStyle name="20% - Accent4 33 2 4 2" xfId="19139" xr:uid="{00000000-0005-0000-0000-000005140000}"/>
    <cellStyle name="20% - Accent4 33 2 5" xfId="5857" xr:uid="{00000000-0005-0000-0000-000006140000}"/>
    <cellStyle name="20% - Accent4 33 2 5 2" xfId="17145" xr:uid="{00000000-0005-0000-0000-000007140000}"/>
    <cellStyle name="20% - Accent4 33 2 6" xfId="15151" xr:uid="{00000000-0005-0000-0000-000008140000}"/>
    <cellStyle name="20% - Accent4 33 3" xfId="10842" xr:uid="{00000000-0005-0000-0000-000009140000}"/>
    <cellStyle name="20% - Accent4 33 3 2" xfId="22130" xr:uid="{00000000-0005-0000-0000-00000A140000}"/>
    <cellStyle name="20% - Accent4 33 4" xfId="8848" xr:uid="{00000000-0005-0000-0000-00000B140000}"/>
    <cellStyle name="20% - Accent4 33 4 2" xfId="20136" xr:uid="{00000000-0005-0000-0000-00000C140000}"/>
    <cellStyle name="20% - Accent4 33 5" xfId="6854" xr:uid="{00000000-0005-0000-0000-00000D140000}"/>
    <cellStyle name="20% - Accent4 33 5 2" xfId="18142" xr:uid="{00000000-0005-0000-0000-00000E140000}"/>
    <cellStyle name="20% - Accent4 33 6" xfId="4860" xr:uid="{00000000-0005-0000-0000-00000F140000}"/>
    <cellStyle name="20% - Accent4 33 6 2" xfId="16148" xr:uid="{00000000-0005-0000-0000-000010140000}"/>
    <cellStyle name="20% - Accent4 33 7" xfId="14154" xr:uid="{00000000-0005-0000-0000-000011140000}"/>
    <cellStyle name="20% - Accent4 33 8" xfId="12840" xr:uid="{00000000-0005-0000-0000-000012140000}"/>
    <cellStyle name="20% - Accent4 34" xfId="905" xr:uid="{00000000-0005-0000-0000-000013140000}"/>
    <cellStyle name="20% - Accent4 34 2" xfId="3861" xr:uid="{00000000-0005-0000-0000-000014140000}"/>
    <cellStyle name="20% - Accent4 34 2 2" xfId="11840" xr:uid="{00000000-0005-0000-0000-000015140000}"/>
    <cellStyle name="20% - Accent4 34 2 2 2" xfId="23128" xr:uid="{00000000-0005-0000-0000-000016140000}"/>
    <cellStyle name="20% - Accent4 34 2 3" xfId="9846" xr:uid="{00000000-0005-0000-0000-000017140000}"/>
    <cellStyle name="20% - Accent4 34 2 3 2" xfId="21134" xr:uid="{00000000-0005-0000-0000-000018140000}"/>
    <cellStyle name="20% - Accent4 34 2 4" xfId="7852" xr:uid="{00000000-0005-0000-0000-000019140000}"/>
    <cellStyle name="20% - Accent4 34 2 4 2" xfId="19140" xr:uid="{00000000-0005-0000-0000-00001A140000}"/>
    <cellStyle name="20% - Accent4 34 2 5" xfId="5858" xr:uid="{00000000-0005-0000-0000-00001B140000}"/>
    <cellStyle name="20% - Accent4 34 2 5 2" xfId="17146" xr:uid="{00000000-0005-0000-0000-00001C140000}"/>
    <cellStyle name="20% - Accent4 34 2 6" xfId="15152" xr:uid="{00000000-0005-0000-0000-00001D140000}"/>
    <cellStyle name="20% - Accent4 34 3" xfId="10843" xr:uid="{00000000-0005-0000-0000-00001E140000}"/>
    <cellStyle name="20% - Accent4 34 3 2" xfId="22131" xr:uid="{00000000-0005-0000-0000-00001F140000}"/>
    <cellStyle name="20% - Accent4 34 4" xfId="8849" xr:uid="{00000000-0005-0000-0000-000020140000}"/>
    <cellStyle name="20% - Accent4 34 4 2" xfId="20137" xr:uid="{00000000-0005-0000-0000-000021140000}"/>
    <cellStyle name="20% - Accent4 34 5" xfId="6855" xr:uid="{00000000-0005-0000-0000-000022140000}"/>
    <cellStyle name="20% - Accent4 34 5 2" xfId="18143" xr:uid="{00000000-0005-0000-0000-000023140000}"/>
    <cellStyle name="20% - Accent4 34 6" xfId="4861" xr:uid="{00000000-0005-0000-0000-000024140000}"/>
    <cellStyle name="20% - Accent4 34 6 2" xfId="16149" xr:uid="{00000000-0005-0000-0000-000025140000}"/>
    <cellStyle name="20% - Accent4 34 7" xfId="14155" xr:uid="{00000000-0005-0000-0000-000026140000}"/>
    <cellStyle name="20% - Accent4 34 8" xfId="12841" xr:uid="{00000000-0005-0000-0000-000027140000}"/>
    <cellStyle name="20% - Accent4 35" xfId="906" xr:uid="{00000000-0005-0000-0000-000028140000}"/>
    <cellStyle name="20% - Accent4 35 2" xfId="3862" xr:uid="{00000000-0005-0000-0000-000029140000}"/>
    <cellStyle name="20% - Accent4 35 2 2" xfId="11841" xr:uid="{00000000-0005-0000-0000-00002A140000}"/>
    <cellStyle name="20% - Accent4 35 2 2 2" xfId="23129" xr:uid="{00000000-0005-0000-0000-00002B140000}"/>
    <cellStyle name="20% - Accent4 35 2 3" xfId="9847" xr:uid="{00000000-0005-0000-0000-00002C140000}"/>
    <cellStyle name="20% - Accent4 35 2 3 2" xfId="21135" xr:uid="{00000000-0005-0000-0000-00002D140000}"/>
    <cellStyle name="20% - Accent4 35 2 4" xfId="7853" xr:uid="{00000000-0005-0000-0000-00002E140000}"/>
    <cellStyle name="20% - Accent4 35 2 4 2" xfId="19141" xr:uid="{00000000-0005-0000-0000-00002F140000}"/>
    <cellStyle name="20% - Accent4 35 2 5" xfId="5859" xr:uid="{00000000-0005-0000-0000-000030140000}"/>
    <cellStyle name="20% - Accent4 35 2 5 2" xfId="17147" xr:uid="{00000000-0005-0000-0000-000031140000}"/>
    <cellStyle name="20% - Accent4 35 2 6" xfId="15153" xr:uid="{00000000-0005-0000-0000-000032140000}"/>
    <cellStyle name="20% - Accent4 35 3" xfId="10844" xr:uid="{00000000-0005-0000-0000-000033140000}"/>
    <cellStyle name="20% - Accent4 35 3 2" xfId="22132" xr:uid="{00000000-0005-0000-0000-000034140000}"/>
    <cellStyle name="20% - Accent4 35 4" xfId="8850" xr:uid="{00000000-0005-0000-0000-000035140000}"/>
    <cellStyle name="20% - Accent4 35 4 2" xfId="20138" xr:uid="{00000000-0005-0000-0000-000036140000}"/>
    <cellStyle name="20% - Accent4 35 5" xfId="6856" xr:uid="{00000000-0005-0000-0000-000037140000}"/>
    <cellStyle name="20% - Accent4 35 5 2" xfId="18144" xr:uid="{00000000-0005-0000-0000-000038140000}"/>
    <cellStyle name="20% - Accent4 35 6" xfId="4862" xr:uid="{00000000-0005-0000-0000-000039140000}"/>
    <cellStyle name="20% - Accent4 35 6 2" xfId="16150" xr:uid="{00000000-0005-0000-0000-00003A140000}"/>
    <cellStyle name="20% - Accent4 35 7" xfId="14156" xr:uid="{00000000-0005-0000-0000-00003B140000}"/>
    <cellStyle name="20% - Accent4 35 8" xfId="12842" xr:uid="{00000000-0005-0000-0000-00003C140000}"/>
    <cellStyle name="20% - Accent4 36" xfId="907" xr:uid="{00000000-0005-0000-0000-00003D140000}"/>
    <cellStyle name="20% - Accent4 36 2" xfId="3863" xr:uid="{00000000-0005-0000-0000-00003E140000}"/>
    <cellStyle name="20% - Accent4 36 2 2" xfId="11842" xr:uid="{00000000-0005-0000-0000-00003F140000}"/>
    <cellStyle name="20% - Accent4 36 2 2 2" xfId="23130" xr:uid="{00000000-0005-0000-0000-000040140000}"/>
    <cellStyle name="20% - Accent4 36 2 3" xfId="9848" xr:uid="{00000000-0005-0000-0000-000041140000}"/>
    <cellStyle name="20% - Accent4 36 2 3 2" xfId="21136" xr:uid="{00000000-0005-0000-0000-000042140000}"/>
    <cellStyle name="20% - Accent4 36 2 4" xfId="7854" xr:uid="{00000000-0005-0000-0000-000043140000}"/>
    <cellStyle name="20% - Accent4 36 2 4 2" xfId="19142" xr:uid="{00000000-0005-0000-0000-000044140000}"/>
    <cellStyle name="20% - Accent4 36 2 5" xfId="5860" xr:uid="{00000000-0005-0000-0000-000045140000}"/>
    <cellStyle name="20% - Accent4 36 2 5 2" xfId="17148" xr:uid="{00000000-0005-0000-0000-000046140000}"/>
    <cellStyle name="20% - Accent4 36 2 6" xfId="15154" xr:uid="{00000000-0005-0000-0000-000047140000}"/>
    <cellStyle name="20% - Accent4 36 3" xfId="10845" xr:uid="{00000000-0005-0000-0000-000048140000}"/>
    <cellStyle name="20% - Accent4 36 3 2" xfId="22133" xr:uid="{00000000-0005-0000-0000-000049140000}"/>
    <cellStyle name="20% - Accent4 36 4" xfId="8851" xr:uid="{00000000-0005-0000-0000-00004A140000}"/>
    <cellStyle name="20% - Accent4 36 4 2" xfId="20139" xr:uid="{00000000-0005-0000-0000-00004B140000}"/>
    <cellStyle name="20% - Accent4 36 5" xfId="6857" xr:uid="{00000000-0005-0000-0000-00004C140000}"/>
    <cellStyle name="20% - Accent4 36 5 2" xfId="18145" xr:uid="{00000000-0005-0000-0000-00004D140000}"/>
    <cellStyle name="20% - Accent4 36 6" xfId="4863" xr:uid="{00000000-0005-0000-0000-00004E140000}"/>
    <cellStyle name="20% - Accent4 36 6 2" xfId="16151" xr:uid="{00000000-0005-0000-0000-00004F140000}"/>
    <cellStyle name="20% - Accent4 36 7" xfId="14157" xr:uid="{00000000-0005-0000-0000-000050140000}"/>
    <cellStyle name="20% - Accent4 36 8" xfId="12843" xr:uid="{00000000-0005-0000-0000-000051140000}"/>
    <cellStyle name="20% - Accent4 37" xfId="908" xr:uid="{00000000-0005-0000-0000-000052140000}"/>
    <cellStyle name="20% - Accent4 37 2" xfId="3864" xr:uid="{00000000-0005-0000-0000-000053140000}"/>
    <cellStyle name="20% - Accent4 37 2 2" xfId="11843" xr:uid="{00000000-0005-0000-0000-000054140000}"/>
    <cellStyle name="20% - Accent4 37 2 2 2" xfId="23131" xr:uid="{00000000-0005-0000-0000-000055140000}"/>
    <cellStyle name="20% - Accent4 37 2 3" xfId="9849" xr:uid="{00000000-0005-0000-0000-000056140000}"/>
    <cellStyle name="20% - Accent4 37 2 3 2" xfId="21137" xr:uid="{00000000-0005-0000-0000-000057140000}"/>
    <cellStyle name="20% - Accent4 37 2 4" xfId="7855" xr:uid="{00000000-0005-0000-0000-000058140000}"/>
    <cellStyle name="20% - Accent4 37 2 4 2" xfId="19143" xr:uid="{00000000-0005-0000-0000-000059140000}"/>
    <cellStyle name="20% - Accent4 37 2 5" xfId="5861" xr:uid="{00000000-0005-0000-0000-00005A140000}"/>
    <cellStyle name="20% - Accent4 37 2 5 2" xfId="17149" xr:uid="{00000000-0005-0000-0000-00005B140000}"/>
    <cellStyle name="20% - Accent4 37 2 6" xfId="15155" xr:uid="{00000000-0005-0000-0000-00005C140000}"/>
    <cellStyle name="20% - Accent4 37 3" xfId="10846" xr:uid="{00000000-0005-0000-0000-00005D140000}"/>
    <cellStyle name="20% - Accent4 37 3 2" xfId="22134" xr:uid="{00000000-0005-0000-0000-00005E140000}"/>
    <cellStyle name="20% - Accent4 37 4" xfId="8852" xr:uid="{00000000-0005-0000-0000-00005F140000}"/>
    <cellStyle name="20% - Accent4 37 4 2" xfId="20140" xr:uid="{00000000-0005-0000-0000-000060140000}"/>
    <cellStyle name="20% - Accent4 37 5" xfId="6858" xr:uid="{00000000-0005-0000-0000-000061140000}"/>
    <cellStyle name="20% - Accent4 37 5 2" xfId="18146" xr:uid="{00000000-0005-0000-0000-000062140000}"/>
    <cellStyle name="20% - Accent4 37 6" xfId="4864" xr:uid="{00000000-0005-0000-0000-000063140000}"/>
    <cellStyle name="20% - Accent4 37 6 2" xfId="16152" xr:uid="{00000000-0005-0000-0000-000064140000}"/>
    <cellStyle name="20% - Accent4 37 7" xfId="14158" xr:uid="{00000000-0005-0000-0000-000065140000}"/>
    <cellStyle name="20% - Accent4 37 8" xfId="12844" xr:uid="{00000000-0005-0000-0000-000066140000}"/>
    <cellStyle name="20% - Accent4 38" xfId="909" xr:uid="{00000000-0005-0000-0000-000067140000}"/>
    <cellStyle name="20% - Accent4 38 2" xfId="3865" xr:uid="{00000000-0005-0000-0000-000068140000}"/>
    <cellStyle name="20% - Accent4 38 2 2" xfId="11844" xr:uid="{00000000-0005-0000-0000-000069140000}"/>
    <cellStyle name="20% - Accent4 38 2 2 2" xfId="23132" xr:uid="{00000000-0005-0000-0000-00006A140000}"/>
    <cellStyle name="20% - Accent4 38 2 3" xfId="9850" xr:uid="{00000000-0005-0000-0000-00006B140000}"/>
    <cellStyle name="20% - Accent4 38 2 3 2" xfId="21138" xr:uid="{00000000-0005-0000-0000-00006C140000}"/>
    <cellStyle name="20% - Accent4 38 2 4" xfId="7856" xr:uid="{00000000-0005-0000-0000-00006D140000}"/>
    <cellStyle name="20% - Accent4 38 2 4 2" xfId="19144" xr:uid="{00000000-0005-0000-0000-00006E140000}"/>
    <cellStyle name="20% - Accent4 38 2 5" xfId="5862" xr:uid="{00000000-0005-0000-0000-00006F140000}"/>
    <cellStyle name="20% - Accent4 38 2 5 2" xfId="17150" xr:uid="{00000000-0005-0000-0000-000070140000}"/>
    <cellStyle name="20% - Accent4 38 2 6" xfId="15156" xr:uid="{00000000-0005-0000-0000-000071140000}"/>
    <cellStyle name="20% - Accent4 38 3" xfId="10847" xr:uid="{00000000-0005-0000-0000-000072140000}"/>
    <cellStyle name="20% - Accent4 38 3 2" xfId="22135" xr:uid="{00000000-0005-0000-0000-000073140000}"/>
    <cellStyle name="20% - Accent4 38 4" xfId="8853" xr:uid="{00000000-0005-0000-0000-000074140000}"/>
    <cellStyle name="20% - Accent4 38 4 2" xfId="20141" xr:uid="{00000000-0005-0000-0000-000075140000}"/>
    <cellStyle name="20% - Accent4 38 5" xfId="6859" xr:uid="{00000000-0005-0000-0000-000076140000}"/>
    <cellStyle name="20% - Accent4 38 5 2" xfId="18147" xr:uid="{00000000-0005-0000-0000-000077140000}"/>
    <cellStyle name="20% - Accent4 38 6" xfId="4865" xr:uid="{00000000-0005-0000-0000-000078140000}"/>
    <cellStyle name="20% - Accent4 38 6 2" xfId="16153" xr:uid="{00000000-0005-0000-0000-000079140000}"/>
    <cellStyle name="20% - Accent4 38 7" xfId="14159" xr:uid="{00000000-0005-0000-0000-00007A140000}"/>
    <cellStyle name="20% - Accent4 38 8" xfId="12845" xr:uid="{00000000-0005-0000-0000-00007B140000}"/>
    <cellStyle name="20% - Accent4 39" xfId="910" xr:uid="{00000000-0005-0000-0000-00007C140000}"/>
    <cellStyle name="20% - Accent4 39 2" xfId="3866" xr:uid="{00000000-0005-0000-0000-00007D140000}"/>
    <cellStyle name="20% - Accent4 39 2 2" xfId="11845" xr:uid="{00000000-0005-0000-0000-00007E140000}"/>
    <cellStyle name="20% - Accent4 39 2 2 2" xfId="23133" xr:uid="{00000000-0005-0000-0000-00007F140000}"/>
    <cellStyle name="20% - Accent4 39 2 3" xfId="9851" xr:uid="{00000000-0005-0000-0000-000080140000}"/>
    <cellStyle name="20% - Accent4 39 2 3 2" xfId="21139" xr:uid="{00000000-0005-0000-0000-000081140000}"/>
    <cellStyle name="20% - Accent4 39 2 4" xfId="7857" xr:uid="{00000000-0005-0000-0000-000082140000}"/>
    <cellStyle name="20% - Accent4 39 2 4 2" xfId="19145" xr:uid="{00000000-0005-0000-0000-000083140000}"/>
    <cellStyle name="20% - Accent4 39 2 5" xfId="5863" xr:uid="{00000000-0005-0000-0000-000084140000}"/>
    <cellStyle name="20% - Accent4 39 2 5 2" xfId="17151" xr:uid="{00000000-0005-0000-0000-000085140000}"/>
    <cellStyle name="20% - Accent4 39 2 6" xfId="15157" xr:uid="{00000000-0005-0000-0000-000086140000}"/>
    <cellStyle name="20% - Accent4 39 3" xfId="10848" xr:uid="{00000000-0005-0000-0000-000087140000}"/>
    <cellStyle name="20% - Accent4 39 3 2" xfId="22136" xr:uid="{00000000-0005-0000-0000-000088140000}"/>
    <cellStyle name="20% - Accent4 39 4" xfId="8854" xr:uid="{00000000-0005-0000-0000-000089140000}"/>
    <cellStyle name="20% - Accent4 39 4 2" xfId="20142" xr:uid="{00000000-0005-0000-0000-00008A140000}"/>
    <cellStyle name="20% - Accent4 39 5" xfId="6860" xr:uid="{00000000-0005-0000-0000-00008B140000}"/>
    <cellStyle name="20% - Accent4 39 5 2" xfId="18148" xr:uid="{00000000-0005-0000-0000-00008C140000}"/>
    <cellStyle name="20% - Accent4 39 6" xfId="4866" xr:uid="{00000000-0005-0000-0000-00008D140000}"/>
    <cellStyle name="20% - Accent4 39 6 2" xfId="16154" xr:uid="{00000000-0005-0000-0000-00008E140000}"/>
    <cellStyle name="20% - Accent4 39 7" xfId="14160" xr:uid="{00000000-0005-0000-0000-00008F140000}"/>
    <cellStyle name="20% - Accent4 39 8" xfId="12846" xr:uid="{00000000-0005-0000-0000-000090140000}"/>
    <cellStyle name="20% - Accent4 4" xfId="911" xr:uid="{00000000-0005-0000-0000-000091140000}"/>
    <cellStyle name="20% - Accent4 4 10" xfId="24579" xr:uid="{00000000-0005-0000-0000-000092140000}"/>
    <cellStyle name="20% - Accent4 4 11" xfId="24969" xr:uid="{00000000-0005-0000-0000-000093140000}"/>
    <cellStyle name="20% - Accent4 4 2" xfId="3867" xr:uid="{00000000-0005-0000-0000-000094140000}"/>
    <cellStyle name="20% - Accent4 4 2 2" xfId="11846" xr:uid="{00000000-0005-0000-0000-000095140000}"/>
    <cellStyle name="20% - Accent4 4 2 2 2" xfId="23134" xr:uid="{00000000-0005-0000-0000-000096140000}"/>
    <cellStyle name="20% - Accent4 4 2 3" xfId="9852" xr:uid="{00000000-0005-0000-0000-000097140000}"/>
    <cellStyle name="20% - Accent4 4 2 3 2" xfId="21140" xr:uid="{00000000-0005-0000-0000-000098140000}"/>
    <cellStyle name="20% - Accent4 4 2 4" xfId="7858" xr:uid="{00000000-0005-0000-0000-000099140000}"/>
    <cellStyle name="20% - Accent4 4 2 4 2" xfId="19146" xr:uid="{00000000-0005-0000-0000-00009A140000}"/>
    <cellStyle name="20% - Accent4 4 2 5" xfId="5864" xr:uid="{00000000-0005-0000-0000-00009B140000}"/>
    <cellStyle name="20% - Accent4 4 2 5 2" xfId="17152" xr:uid="{00000000-0005-0000-0000-00009C140000}"/>
    <cellStyle name="20% - Accent4 4 2 6" xfId="15158" xr:uid="{00000000-0005-0000-0000-00009D140000}"/>
    <cellStyle name="20% - Accent4 4 2 7" xfId="24340" xr:uid="{00000000-0005-0000-0000-00009E140000}"/>
    <cellStyle name="20% - Accent4 4 2 8" xfId="24804" xr:uid="{00000000-0005-0000-0000-00009F140000}"/>
    <cellStyle name="20% - Accent4 4 2 9" xfId="25171" xr:uid="{00000000-0005-0000-0000-0000A0140000}"/>
    <cellStyle name="20% - Accent4 4 3" xfId="10849" xr:uid="{00000000-0005-0000-0000-0000A1140000}"/>
    <cellStyle name="20% - Accent4 4 3 2" xfId="22137" xr:uid="{00000000-0005-0000-0000-0000A2140000}"/>
    <cellStyle name="20% - Accent4 4 4" xfId="8855" xr:uid="{00000000-0005-0000-0000-0000A3140000}"/>
    <cellStyle name="20% - Accent4 4 4 2" xfId="20143" xr:uid="{00000000-0005-0000-0000-0000A4140000}"/>
    <cellStyle name="20% - Accent4 4 5" xfId="6861" xr:uid="{00000000-0005-0000-0000-0000A5140000}"/>
    <cellStyle name="20% - Accent4 4 5 2" xfId="18149" xr:uid="{00000000-0005-0000-0000-0000A6140000}"/>
    <cellStyle name="20% - Accent4 4 6" xfId="4867" xr:uid="{00000000-0005-0000-0000-0000A7140000}"/>
    <cellStyle name="20% - Accent4 4 6 2" xfId="16155" xr:uid="{00000000-0005-0000-0000-0000A8140000}"/>
    <cellStyle name="20% - Accent4 4 7" xfId="14161" xr:uid="{00000000-0005-0000-0000-0000A9140000}"/>
    <cellStyle name="20% - Accent4 4 8" xfId="12847" xr:uid="{00000000-0005-0000-0000-0000AA140000}"/>
    <cellStyle name="20% - Accent4 4 9" xfId="23952" xr:uid="{00000000-0005-0000-0000-0000AB140000}"/>
    <cellStyle name="20% - Accent4 40" xfId="912" xr:uid="{00000000-0005-0000-0000-0000AC140000}"/>
    <cellStyle name="20% - Accent4 40 2" xfId="3868" xr:uid="{00000000-0005-0000-0000-0000AD140000}"/>
    <cellStyle name="20% - Accent4 40 2 2" xfId="11847" xr:uid="{00000000-0005-0000-0000-0000AE140000}"/>
    <cellStyle name="20% - Accent4 40 2 2 2" xfId="23135" xr:uid="{00000000-0005-0000-0000-0000AF140000}"/>
    <cellStyle name="20% - Accent4 40 2 3" xfId="9853" xr:uid="{00000000-0005-0000-0000-0000B0140000}"/>
    <cellStyle name="20% - Accent4 40 2 3 2" xfId="21141" xr:uid="{00000000-0005-0000-0000-0000B1140000}"/>
    <cellStyle name="20% - Accent4 40 2 4" xfId="7859" xr:uid="{00000000-0005-0000-0000-0000B2140000}"/>
    <cellStyle name="20% - Accent4 40 2 4 2" xfId="19147" xr:uid="{00000000-0005-0000-0000-0000B3140000}"/>
    <cellStyle name="20% - Accent4 40 2 5" xfId="5865" xr:uid="{00000000-0005-0000-0000-0000B4140000}"/>
    <cellStyle name="20% - Accent4 40 2 5 2" xfId="17153" xr:uid="{00000000-0005-0000-0000-0000B5140000}"/>
    <cellStyle name="20% - Accent4 40 2 6" xfId="15159" xr:uid="{00000000-0005-0000-0000-0000B6140000}"/>
    <cellStyle name="20% - Accent4 40 3" xfId="10850" xr:uid="{00000000-0005-0000-0000-0000B7140000}"/>
    <cellStyle name="20% - Accent4 40 3 2" xfId="22138" xr:uid="{00000000-0005-0000-0000-0000B8140000}"/>
    <cellStyle name="20% - Accent4 40 4" xfId="8856" xr:uid="{00000000-0005-0000-0000-0000B9140000}"/>
    <cellStyle name="20% - Accent4 40 4 2" xfId="20144" xr:uid="{00000000-0005-0000-0000-0000BA140000}"/>
    <cellStyle name="20% - Accent4 40 5" xfId="6862" xr:uid="{00000000-0005-0000-0000-0000BB140000}"/>
    <cellStyle name="20% - Accent4 40 5 2" xfId="18150" xr:uid="{00000000-0005-0000-0000-0000BC140000}"/>
    <cellStyle name="20% - Accent4 40 6" xfId="4868" xr:uid="{00000000-0005-0000-0000-0000BD140000}"/>
    <cellStyle name="20% - Accent4 40 6 2" xfId="16156" xr:uid="{00000000-0005-0000-0000-0000BE140000}"/>
    <cellStyle name="20% - Accent4 40 7" xfId="14162" xr:uid="{00000000-0005-0000-0000-0000BF140000}"/>
    <cellStyle name="20% - Accent4 40 8" xfId="12848" xr:uid="{00000000-0005-0000-0000-0000C0140000}"/>
    <cellStyle name="20% - Accent4 41" xfId="913" xr:uid="{00000000-0005-0000-0000-0000C1140000}"/>
    <cellStyle name="20% - Accent4 41 2" xfId="3869" xr:uid="{00000000-0005-0000-0000-0000C2140000}"/>
    <cellStyle name="20% - Accent4 41 2 2" xfId="11848" xr:uid="{00000000-0005-0000-0000-0000C3140000}"/>
    <cellStyle name="20% - Accent4 41 2 2 2" xfId="23136" xr:uid="{00000000-0005-0000-0000-0000C4140000}"/>
    <cellStyle name="20% - Accent4 41 2 3" xfId="9854" xr:uid="{00000000-0005-0000-0000-0000C5140000}"/>
    <cellStyle name="20% - Accent4 41 2 3 2" xfId="21142" xr:uid="{00000000-0005-0000-0000-0000C6140000}"/>
    <cellStyle name="20% - Accent4 41 2 4" xfId="7860" xr:uid="{00000000-0005-0000-0000-0000C7140000}"/>
    <cellStyle name="20% - Accent4 41 2 4 2" xfId="19148" xr:uid="{00000000-0005-0000-0000-0000C8140000}"/>
    <cellStyle name="20% - Accent4 41 2 5" xfId="5866" xr:uid="{00000000-0005-0000-0000-0000C9140000}"/>
    <cellStyle name="20% - Accent4 41 2 5 2" xfId="17154" xr:uid="{00000000-0005-0000-0000-0000CA140000}"/>
    <cellStyle name="20% - Accent4 41 2 6" xfId="15160" xr:uid="{00000000-0005-0000-0000-0000CB140000}"/>
    <cellStyle name="20% - Accent4 41 3" xfId="10851" xr:uid="{00000000-0005-0000-0000-0000CC140000}"/>
    <cellStyle name="20% - Accent4 41 3 2" xfId="22139" xr:uid="{00000000-0005-0000-0000-0000CD140000}"/>
    <cellStyle name="20% - Accent4 41 4" xfId="8857" xr:uid="{00000000-0005-0000-0000-0000CE140000}"/>
    <cellStyle name="20% - Accent4 41 4 2" xfId="20145" xr:uid="{00000000-0005-0000-0000-0000CF140000}"/>
    <cellStyle name="20% - Accent4 41 5" xfId="6863" xr:uid="{00000000-0005-0000-0000-0000D0140000}"/>
    <cellStyle name="20% - Accent4 41 5 2" xfId="18151" xr:uid="{00000000-0005-0000-0000-0000D1140000}"/>
    <cellStyle name="20% - Accent4 41 6" xfId="4869" xr:uid="{00000000-0005-0000-0000-0000D2140000}"/>
    <cellStyle name="20% - Accent4 41 6 2" xfId="16157" xr:uid="{00000000-0005-0000-0000-0000D3140000}"/>
    <cellStyle name="20% - Accent4 41 7" xfId="14163" xr:uid="{00000000-0005-0000-0000-0000D4140000}"/>
    <cellStyle name="20% - Accent4 41 8" xfId="12849" xr:uid="{00000000-0005-0000-0000-0000D5140000}"/>
    <cellStyle name="20% - Accent4 42" xfId="914" xr:uid="{00000000-0005-0000-0000-0000D6140000}"/>
    <cellStyle name="20% - Accent4 42 2" xfId="3870" xr:uid="{00000000-0005-0000-0000-0000D7140000}"/>
    <cellStyle name="20% - Accent4 42 2 2" xfId="11849" xr:uid="{00000000-0005-0000-0000-0000D8140000}"/>
    <cellStyle name="20% - Accent4 42 2 2 2" xfId="23137" xr:uid="{00000000-0005-0000-0000-0000D9140000}"/>
    <cellStyle name="20% - Accent4 42 2 3" xfId="9855" xr:uid="{00000000-0005-0000-0000-0000DA140000}"/>
    <cellStyle name="20% - Accent4 42 2 3 2" xfId="21143" xr:uid="{00000000-0005-0000-0000-0000DB140000}"/>
    <cellStyle name="20% - Accent4 42 2 4" xfId="7861" xr:uid="{00000000-0005-0000-0000-0000DC140000}"/>
    <cellStyle name="20% - Accent4 42 2 4 2" xfId="19149" xr:uid="{00000000-0005-0000-0000-0000DD140000}"/>
    <cellStyle name="20% - Accent4 42 2 5" xfId="5867" xr:uid="{00000000-0005-0000-0000-0000DE140000}"/>
    <cellStyle name="20% - Accent4 42 2 5 2" xfId="17155" xr:uid="{00000000-0005-0000-0000-0000DF140000}"/>
    <cellStyle name="20% - Accent4 42 2 6" xfId="15161" xr:uid="{00000000-0005-0000-0000-0000E0140000}"/>
    <cellStyle name="20% - Accent4 42 3" xfId="10852" xr:uid="{00000000-0005-0000-0000-0000E1140000}"/>
    <cellStyle name="20% - Accent4 42 3 2" xfId="22140" xr:uid="{00000000-0005-0000-0000-0000E2140000}"/>
    <cellStyle name="20% - Accent4 42 4" xfId="8858" xr:uid="{00000000-0005-0000-0000-0000E3140000}"/>
    <cellStyle name="20% - Accent4 42 4 2" xfId="20146" xr:uid="{00000000-0005-0000-0000-0000E4140000}"/>
    <cellStyle name="20% - Accent4 42 5" xfId="6864" xr:uid="{00000000-0005-0000-0000-0000E5140000}"/>
    <cellStyle name="20% - Accent4 42 5 2" xfId="18152" xr:uid="{00000000-0005-0000-0000-0000E6140000}"/>
    <cellStyle name="20% - Accent4 42 6" xfId="4870" xr:uid="{00000000-0005-0000-0000-0000E7140000}"/>
    <cellStyle name="20% - Accent4 42 6 2" xfId="16158" xr:uid="{00000000-0005-0000-0000-0000E8140000}"/>
    <cellStyle name="20% - Accent4 42 7" xfId="14164" xr:uid="{00000000-0005-0000-0000-0000E9140000}"/>
    <cellStyle name="20% - Accent4 42 8" xfId="12850" xr:uid="{00000000-0005-0000-0000-0000EA140000}"/>
    <cellStyle name="20% - Accent4 43" xfId="915" xr:uid="{00000000-0005-0000-0000-0000EB140000}"/>
    <cellStyle name="20% - Accent4 43 2" xfId="3871" xr:uid="{00000000-0005-0000-0000-0000EC140000}"/>
    <cellStyle name="20% - Accent4 43 2 2" xfId="11850" xr:uid="{00000000-0005-0000-0000-0000ED140000}"/>
    <cellStyle name="20% - Accent4 43 2 2 2" xfId="23138" xr:uid="{00000000-0005-0000-0000-0000EE140000}"/>
    <cellStyle name="20% - Accent4 43 2 3" xfId="9856" xr:uid="{00000000-0005-0000-0000-0000EF140000}"/>
    <cellStyle name="20% - Accent4 43 2 3 2" xfId="21144" xr:uid="{00000000-0005-0000-0000-0000F0140000}"/>
    <cellStyle name="20% - Accent4 43 2 4" xfId="7862" xr:uid="{00000000-0005-0000-0000-0000F1140000}"/>
    <cellStyle name="20% - Accent4 43 2 4 2" xfId="19150" xr:uid="{00000000-0005-0000-0000-0000F2140000}"/>
    <cellStyle name="20% - Accent4 43 2 5" xfId="5868" xr:uid="{00000000-0005-0000-0000-0000F3140000}"/>
    <cellStyle name="20% - Accent4 43 2 5 2" xfId="17156" xr:uid="{00000000-0005-0000-0000-0000F4140000}"/>
    <cellStyle name="20% - Accent4 43 2 6" xfId="15162" xr:uid="{00000000-0005-0000-0000-0000F5140000}"/>
    <cellStyle name="20% - Accent4 43 3" xfId="10853" xr:uid="{00000000-0005-0000-0000-0000F6140000}"/>
    <cellStyle name="20% - Accent4 43 3 2" xfId="22141" xr:uid="{00000000-0005-0000-0000-0000F7140000}"/>
    <cellStyle name="20% - Accent4 43 4" xfId="8859" xr:uid="{00000000-0005-0000-0000-0000F8140000}"/>
    <cellStyle name="20% - Accent4 43 4 2" xfId="20147" xr:uid="{00000000-0005-0000-0000-0000F9140000}"/>
    <cellStyle name="20% - Accent4 43 5" xfId="6865" xr:uid="{00000000-0005-0000-0000-0000FA140000}"/>
    <cellStyle name="20% - Accent4 43 5 2" xfId="18153" xr:uid="{00000000-0005-0000-0000-0000FB140000}"/>
    <cellStyle name="20% - Accent4 43 6" xfId="4871" xr:uid="{00000000-0005-0000-0000-0000FC140000}"/>
    <cellStyle name="20% - Accent4 43 6 2" xfId="16159" xr:uid="{00000000-0005-0000-0000-0000FD140000}"/>
    <cellStyle name="20% - Accent4 43 7" xfId="14165" xr:uid="{00000000-0005-0000-0000-0000FE140000}"/>
    <cellStyle name="20% - Accent4 43 8" xfId="12851" xr:uid="{00000000-0005-0000-0000-0000FF140000}"/>
    <cellStyle name="20% - Accent4 44" xfId="916" xr:uid="{00000000-0005-0000-0000-000000150000}"/>
    <cellStyle name="20% - Accent4 44 2" xfId="3872" xr:uid="{00000000-0005-0000-0000-000001150000}"/>
    <cellStyle name="20% - Accent4 44 2 2" xfId="11851" xr:uid="{00000000-0005-0000-0000-000002150000}"/>
    <cellStyle name="20% - Accent4 44 2 2 2" xfId="23139" xr:uid="{00000000-0005-0000-0000-000003150000}"/>
    <cellStyle name="20% - Accent4 44 2 3" xfId="9857" xr:uid="{00000000-0005-0000-0000-000004150000}"/>
    <cellStyle name="20% - Accent4 44 2 3 2" xfId="21145" xr:uid="{00000000-0005-0000-0000-000005150000}"/>
    <cellStyle name="20% - Accent4 44 2 4" xfId="7863" xr:uid="{00000000-0005-0000-0000-000006150000}"/>
    <cellStyle name="20% - Accent4 44 2 4 2" xfId="19151" xr:uid="{00000000-0005-0000-0000-000007150000}"/>
    <cellStyle name="20% - Accent4 44 2 5" xfId="5869" xr:uid="{00000000-0005-0000-0000-000008150000}"/>
    <cellStyle name="20% - Accent4 44 2 5 2" xfId="17157" xr:uid="{00000000-0005-0000-0000-000009150000}"/>
    <cellStyle name="20% - Accent4 44 2 6" xfId="15163" xr:uid="{00000000-0005-0000-0000-00000A150000}"/>
    <cellStyle name="20% - Accent4 44 3" xfId="10854" xr:uid="{00000000-0005-0000-0000-00000B150000}"/>
    <cellStyle name="20% - Accent4 44 3 2" xfId="22142" xr:uid="{00000000-0005-0000-0000-00000C150000}"/>
    <cellStyle name="20% - Accent4 44 4" xfId="8860" xr:uid="{00000000-0005-0000-0000-00000D150000}"/>
    <cellStyle name="20% - Accent4 44 4 2" xfId="20148" xr:uid="{00000000-0005-0000-0000-00000E150000}"/>
    <cellStyle name="20% - Accent4 44 5" xfId="6866" xr:uid="{00000000-0005-0000-0000-00000F150000}"/>
    <cellStyle name="20% - Accent4 44 5 2" xfId="18154" xr:uid="{00000000-0005-0000-0000-000010150000}"/>
    <cellStyle name="20% - Accent4 44 6" xfId="4872" xr:uid="{00000000-0005-0000-0000-000011150000}"/>
    <cellStyle name="20% - Accent4 44 6 2" xfId="16160" xr:uid="{00000000-0005-0000-0000-000012150000}"/>
    <cellStyle name="20% - Accent4 44 7" xfId="14166" xr:uid="{00000000-0005-0000-0000-000013150000}"/>
    <cellStyle name="20% - Accent4 44 8" xfId="12852" xr:uid="{00000000-0005-0000-0000-000014150000}"/>
    <cellStyle name="20% - Accent4 45" xfId="917" xr:uid="{00000000-0005-0000-0000-000015150000}"/>
    <cellStyle name="20% - Accent4 45 2" xfId="3873" xr:uid="{00000000-0005-0000-0000-000016150000}"/>
    <cellStyle name="20% - Accent4 45 2 2" xfId="11852" xr:uid="{00000000-0005-0000-0000-000017150000}"/>
    <cellStyle name="20% - Accent4 45 2 2 2" xfId="23140" xr:uid="{00000000-0005-0000-0000-000018150000}"/>
    <cellStyle name="20% - Accent4 45 2 3" xfId="9858" xr:uid="{00000000-0005-0000-0000-000019150000}"/>
    <cellStyle name="20% - Accent4 45 2 3 2" xfId="21146" xr:uid="{00000000-0005-0000-0000-00001A150000}"/>
    <cellStyle name="20% - Accent4 45 2 4" xfId="7864" xr:uid="{00000000-0005-0000-0000-00001B150000}"/>
    <cellStyle name="20% - Accent4 45 2 4 2" xfId="19152" xr:uid="{00000000-0005-0000-0000-00001C150000}"/>
    <cellStyle name="20% - Accent4 45 2 5" xfId="5870" xr:uid="{00000000-0005-0000-0000-00001D150000}"/>
    <cellStyle name="20% - Accent4 45 2 5 2" xfId="17158" xr:uid="{00000000-0005-0000-0000-00001E150000}"/>
    <cellStyle name="20% - Accent4 45 2 6" xfId="15164" xr:uid="{00000000-0005-0000-0000-00001F150000}"/>
    <cellStyle name="20% - Accent4 45 3" xfId="10855" xr:uid="{00000000-0005-0000-0000-000020150000}"/>
    <cellStyle name="20% - Accent4 45 3 2" xfId="22143" xr:uid="{00000000-0005-0000-0000-000021150000}"/>
    <cellStyle name="20% - Accent4 45 4" xfId="8861" xr:uid="{00000000-0005-0000-0000-000022150000}"/>
    <cellStyle name="20% - Accent4 45 4 2" xfId="20149" xr:uid="{00000000-0005-0000-0000-000023150000}"/>
    <cellStyle name="20% - Accent4 45 5" xfId="6867" xr:uid="{00000000-0005-0000-0000-000024150000}"/>
    <cellStyle name="20% - Accent4 45 5 2" xfId="18155" xr:uid="{00000000-0005-0000-0000-000025150000}"/>
    <cellStyle name="20% - Accent4 45 6" xfId="4873" xr:uid="{00000000-0005-0000-0000-000026150000}"/>
    <cellStyle name="20% - Accent4 45 6 2" xfId="16161" xr:uid="{00000000-0005-0000-0000-000027150000}"/>
    <cellStyle name="20% - Accent4 45 7" xfId="14167" xr:uid="{00000000-0005-0000-0000-000028150000}"/>
    <cellStyle name="20% - Accent4 45 8" xfId="12853" xr:uid="{00000000-0005-0000-0000-000029150000}"/>
    <cellStyle name="20% - Accent4 46" xfId="918" xr:uid="{00000000-0005-0000-0000-00002A150000}"/>
    <cellStyle name="20% - Accent4 46 2" xfId="3874" xr:uid="{00000000-0005-0000-0000-00002B150000}"/>
    <cellStyle name="20% - Accent4 46 2 2" xfId="11853" xr:uid="{00000000-0005-0000-0000-00002C150000}"/>
    <cellStyle name="20% - Accent4 46 2 2 2" xfId="23141" xr:uid="{00000000-0005-0000-0000-00002D150000}"/>
    <cellStyle name="20% - Accent4 46 2 3" xfId="9859" xr:uid="{00000000-0005-0000-0000-00002E150000}"/>
    <cellStyle name="20% - Accent4 46 2 3 2" xfId="21147" xr:uid="{00000000-0005-0000-0000-00002F150000}"/>
    <cellStyle name="20% - Accent4 46 2 4" xfId="7865" xr:uid="{00000000-0005-0000-0000-000030150000}"/>
    <cellStyle name="20% - Accent4 46 2 4 2" xfId="19153" xr:uid="{00000000-0005-0000-0000-000031150000}"/>
    <cellStyle name="20% - Accent4 46 2 5" xfId="5871" xr:uid="{00000000-0005-0000-0000-000032150000}"/>
    <cellStyle name="20% - Accent4 46 2 5 2" xfId="17159" xr:uid="{00000000-0005-0000-0000-000033150000}"/>
    <cellStyle name="20% - Accent4 46 2 6" xfId="15165" xr:uid="{00000000-0005-0000-0000-000034150000}"/>
    <cellStyle name="20% - Accent4 46 3" xfId="10856" xr:uid="{00000000-0005-0000-0000-000035150000}"/>
    <cellStyle name="20% - Accent4 46 3 2" xfId="22144" xr:uid="{00000000-0005-0000-0000-000036150000}"/>
    <cellStyle name="20% - Accent4 46 4" xfId="8862" xr:uid="{00000000-0005-0000-0000-000037150000}"/>
    <cellStyle name="20% - Accent4 46 4 2" xfId="20150" xr:uid="{00000000-0005-0000-0000-000038150000}"/>
    <cellStyle name="20% - Accent4 46 5" xfId="6868" xr:uid="{00000000-0005-0000-0000-000039150000}"/>
    <cellStyle name="20% - Accent4 46 5 2" xfId="18156" xr:uid="{00000000-0005-0000-0000-00003A150000}"/>
    <cellStyle name="20% - Accent4 46 6" xfId="4874" xr:uid="{00000000-0005-0000-0000-00003B150000}"/>
    <cellStyle name="20% - Accent4 46 6 2" xfId="16162" xr:uid="{00000000-0005-0000-0000-00003C150000}"/>
    <cellStyle name="20% - Accent4 46 7" xfId="14168" xr:uid="{00000000-0005-0000-0000-00003D150000}"/>
    <cellStyle name="20% - Accent4 46 8" xfId="12854" xr:uid="{00000000-0005-0000-0000-00003E150000}"/>
    <cellStyle name="20% - Accent4 47" xfId="919" xr:uid="{00000000-0005-0000-0000-00003F150000}"/>
    <cellStyle name="20% - Accent4 47 2" xfId="3875" xr:uid="{00000000-0005-0000-0000-000040150000}"/>
    <cellStyle name="20% - Accent4 47 2 2" xfId="11854" xr:uid="{00000000-0005-0000-0000-000041150000}"/>
    <cellStyle name="20% - Accent4 47 2 2 2" xfId="23142" xr:uid="{00000000-0005-0000-0000-000042150000}"/>
    <cellStyle name="20% - Accent4 47 2 3" xfId="9860" xr:uid="{00000000-0005-0000-0000-000043150000}"/>
    <cellStyle name="20% - Accent4 47 2 3 2" xfId="21148" xr:uid="{00000000-0005-0000-0000-000044150000}"/>
    <cellStyle name="20% - Accent4 47 2 4" xfId="7866" xr:uid="{00000000-0005-0000-0000-000045150000}"/>
    <cellStyle name="20% - Accent4 47 2 4 2" xfId="19154" xr:uid="{00000000-0005-0000-0000-000046150000}"/>
    <cellStyle name="20% - Accent4 47 2 5" xfId="5872" xr:uid="{00000000-0005-0000-0000-000047150000}"/>
    <cellStyle name="20% - Accent4 47 2 5 2" xfId="17160" xr:uid="{00000000-0005-0000-0000-000048150000}"/>
    <cellStyle name="20% - Accent4 47 2 6" xfId="15166" xr:uid="{00000000-0005-0000-0000-000049150000}"/>
    <cellStyle name="20% - Accent4 47 3" xfId="10857" xr:uid="{00000000-0005-0000-0000-00004A150000}"/>
    <cellStyle name="20% - Accent4 47 3 2" xfId="22145" xr:uid="{00000000-0005-0000-0000-00004B150000}"/>
    <cellStyle name="20% - Accent4 47 4" xfId="8863" xr:uid="{00000000-0005-0000-0000-00004C150000}"/>
    <cellStyle name="20% - Accent4 47 4 2" xfId="20151" xr:uid="{00000000-0005-0000-0000-00004D150000}"/>
    <cellStyle name="20% - Accent4 47 5" xfId="6869" xr:uid="{00000000-0005-0000-0000-00004E150000}"/>
    <cellStyle name="20% - Accent4 47 5 2" xfId="18157" xr:uid="{00000000-0005-0000-0000-00004F150000}"/>
    <cellStyle name="20% - Accent4 47 6" xfId="4875" xr:uid="{00000000-0005-0000-0000-000050150000}"/>
    <cellStyle name="20% - Accent4 47 6 2" xfId="16163" xr:uid="{00000000-0005-0000-0000-000051150000}"/>
    <cellStyle name="20% - Accent4 47 7" xfId="14169" xr:uid="{00000000-0005-0000-0000-000052150000}"/>
    <cellStyle name="20% - Accent4 47 8" xfId="12855" xr:uid="{00000000-0005-0000-0000-000053150000}"/>
    <cellStyle name="20% - Accent4 48" xfId="920" xr:uid="{00000000-0005-0000-0000-000054150000}"/>
    <cellStyle name="20% - Accent4 48 2" xfId="3876" xr:uid="{00000000-0005-0000-0000-000055150000}"/>
    <cellStyle name="20% - Accent4 48 2 2" xfId="11855" xr:uid="{00000000-0005-0000-0000-000056150000}"/>
    <cellStyle name="20% - Accent4 48 2 2 2" xfId="23143" xr:uid="{00000000-0005-0000-0000-000057150000}"/>
    <cellStyle name="20% - Accent4 48 2 3" xfId="9861" xr:uid="{00000000-0005-0000-0000-000058150000}"/>
    <cellStyle name="20% - Accent4 48 2 3 2" xfId="21149" xr:uid="{00000000-0005-0000-0000-000059150000}"/>
    <cellStyle name="20% - Accent4 48 2 4" xfId="7867" xr:uid="{00000000-0005-0000-0000-00005A150000}"/>
    <cellStyle name="20% - Accent4 48 2 4 2" xfId="19155" xr:uid="{00000000-0005-0000-0000-00005B150000}"/>
    <cellStyle name="20% - Accent4 48 2 5" xfId="5873" xr:uid="{00000000-0005-0000-0000-00005C150000}"/>
    <cellStyle name="20% - Accent4 48 2 5 2" xfId="17161" xr:uid="{00000000-0005-0000-0000-00005D150000}"/>
    <cellStyle name="20% - Accent4 48 2 6" xfId="15167" xr:uid="{00000000-0005-0000-0000-00005E150000}"/>
    <cellStyle name="20% - Accent4 48 3" xfId="10858" xr:uid="{00000000-0005-0000-0000-00005F150000}"/>
    <cellStyle name="20% - Accent4 48 3 2" xfId="22146" xr:uid="{00000000-0005-0000-0000-000060150000}"/>
    <cellStyle name="20% - Accent4 48 4" xfId="8864" xr:uid="{00000000-0005-0000-0000-000061150000}"/>
    <cellStyle name="20% - Accent4 48 4 2" xfId="20152" xr:uid="{00000000-0005-0000-0000-000062150000}"/>
    <cellStyle name="20% - Accent4 48 5" xfId="6870" xr:uid="{00000000-0005-0000-0000-000063150000}"/>
    <cellStyle name="20% - Accent4 48 5 2" xfId="18158" xr:uid="{00000000-0005-0000-0000-000064150000}"/>
    <cellStyle name="20% - Accent4 48 6" xfId="4876" xr:uid="{00000000-0005-0000-0000-000065150000}"/>
    <cellStyle name="20% - Accent4 48 6 2" xfId="16164" xr:uid="{00000000-0005-0000-0000-000066150000}"/>
    <cellStyle name="20% - Accent4 48 7" xfId="14170" xr:uid="{00000000-0005-0000-0000-000067150000}"/>
    <cellStyle name="20% - Accent4 48 8" xfId="12856" xr:uid="{00000000-0005-0000-0000-000068150000}"/>
    <cellStyle name="20% - Accent4 49" xfId="921" xr:uid="{00000000-0005-0000-0000-000069150000}"/>
    <cellStyle name="20% - Accent4 49 2" xfId="3877" xr:uid="{00000000-0005-0000-0000-00006A150000}"/>
    <cellStyle name="20% - Accent4 49 2 2" xfId="11856" xr:uid="{00000000-0005-0000-0000-00006B150000}"/>
    <cellStyle name="20% - Accent4 49 2 2 2" xfId="23144" xr:uid="{00000000-0005-0000-0000-00006C150000}"/>
    <cellStyle name="20% - Accent4 49 2 3" xfId="9862" xr:uid="{00000000-0005-0000-0000-00006D150000}"/>
    <cellStyle name="20% - Accent4 49 2 3 2" xfId="21150" xr:uid="{00000000-0005-0000-0000-00006E150000}"/>
    <cellStyle name="20% - Accent4 49 2 4" xfId="7868" xr:uid="{00000000-0005-0000-0000-00006F150000}"/>
    <cellStyle name="20% - Accent4 49 2 4 2" xfId="19156" xr:uid="{00000000-0005-0000-0000-000070150000}"/>
    <cellStyle name="20% - Accent4 49 2 5" xfId="5874" xr:uid="{00000000-0005-0000-0000-000071150000}"/>
    <cellStyle name="20% - Accent4 49 2 5 2" xfId="17162" xr:uid="{00000000-0005-0000-0000-000072150000}"/>
    <cellStyle name="20% - Accent4 49 2 6" xfId="15168" xr:uid="{00000000-0005-0000-0000-000073150000}"/>
    <cellStyle name="20% - Accent4 49 3" xfId="10859" xr:uid="{00000000-0005-0000-0000-000074150000}"/>
    <cellStyle name="20% - Accent4 49 3 2" xfId="22147" xr:uid="{00000000-0005-0000-0000-000075150000}"/>
    <cellStyle name="20% - Accent4 49 4" xfId="8865" xr:uid="{00000000-0005-0000-0000-000076150000}"/>
    <cellStyle name="20% - Accent4 49 4 2" xfId="20153" xr:uid="{00000000-0005-0000-0000-000077150000}"/>
    <cellStyle name="20% - Accent4 49 5" xfId="6871" xr:uid="{00000000-0005-0000-0000-000078150000}"/>
    <cellStyle name="20% - Accent4 49 5 2" xfId="18159" xr:uid="{00000000-0005-0000-0000-000079150000}"/>
    <cellStyle name="20% - Accent4 49 6" xfId="4877" xr:uid="{00000000-0005-0000-0000-00007A150000}"/>
    <cellStyle name="20% - Accent4 49 6 2" xfId="16165" xr:uid="{00000000-0005-0000-0000-00007B150000}"/>
    <cellStyle name="20% - Accent4 49 7" xfId="14171" xr:uid="{00000000-0005-0000-0000-00007C150000}"/>
    <cellStyle name="20% - Accent4 49 8" xfId="12857" xr:uid="{00000000-0005-0000-0000-00007D150000}"/>
    <cellStyle name="20% - Accent4 5" xfId="922" xr:uid="{00000000-0005-0000-0000-00007E150000}"/>
    <cellStyle name="20% - Accent4 5 10" xfId="24580" xr:uid="{00000000-0005-0000-0000-00007F150000}"/>
    <cellStyle name="20% - Accent4 5 11" xfId="24970" xr:uid="{00000000-0005-0000-0000-000080150000}"/>
    <cellStyle name="20% - Accent4 5 2" xfId="3878" xr:uid="{00000000-0005-0000-0000-000081150000}"/>
    <cellStyle name="20% - Accent4 5 2 2" xfId="11857" xr:uid="{00000000-0005-0000-0000-000082150000}"/>
    <cellStyle name="20% - Accent4 5 2 2 2" xfId="23145" xr:uid="{00000000-0005-0000-0000-000083150000}"/>
    <cellStyle name="20% - Accent4 5 2 3" xfId="9863" xr:uid="{00000000-0005-0000-0000-000084150000}"/>
    <cellStyle name="20% - Accent4 5 2 3 2" xfId="21151" xr:uid="{00000000-0005-0000-0000-000085150000}"/>
    <cellStyle name="20% - Accent4 5 2 4" xfId="7869" xr:uid="{00000000-0005-0000-0000-000086150000}"/>
    <cellStyle name="20% - Accent4 5 2 4 2" xfId="19157" xr:uid="{00000000-0005-0000-0000-000087150000}"/>
    <cellStyle name="20% - Accent4 5 2 5" xfId="5875" xr:uid="{00000000-0005-0000-0000-000088150000}"/>
    <cellStyle name="20% - Accent4 5 2 5 2" xfId="17163" xr:uid="{00000000-0005-0000-0000-000089150000}"/>
    <cellStyle name="20% - Accent4 5 2 6" xfId="15169" xr:uid="{00000000-0005-0000-0000-00008A150000}"/>
    <cellStyle name="20% - Accent4 5 2 7" xfId="24341" xr:uid="{00000000-0005-0000-0000-00008B150000}"/>
    <cellStyle name="20% - Accent4 5 2 8" xfId="24805" xr:uid="{00000000-0005-0000-0000-00008C150000}"/>
    <cellStyle name="20% - Accent4 5 2 9" xfId="25172" xr:uid="{00000000-0005-0000-0000-00008D150000}"/>
    <cellStyle name="20% - Accent4 5 3" xfId="10860" xr:uid="{00000000-0005-0000-0000-00008E150000}"/>
    <cellStyle name="20% - Accent4 5 3 2" xfId="22148" xr:uid="{00000000-0005-0000-0000-00008F150000}"/>
    <cellStyle name="20% - Accent4 5 4" xfId="8866" xr:uid="{00000000-0005-0000-0000-000090150000}"/>
    <cellStyle name="20% - Accent4 5 4 2" xfId="20154" xr:uid="{00000000-0005-0000-0000-000091150000}"/>
    <cellStyle name="20% - Accent4 5 5" xfId="6872" xr:uid="{00000000-0005-0000-0000-000092150000}"/>
    <cellStyle name="20% - Accent4 5 5 2" xfId="18160" xr:uid="{00000000-0005-0000-0000-000093150000}"/>
    <cellStyle name="20% - Accent4 5 6" xfId="4878" xr:uid="{00000000-0005-0000-0000-000094150000}"/>
    <cellStyle name="20% - Accent4 5 6 2" xfId="16166" xr:uid="{00000000-0005-0000-0000-000095150000}"/>
    <cellStyle name="20% - Accent4 5 7" xfId="14172" xr:uid="{00000000-0005-0000-0000-000096150000}"/>
    <cellStyle name="20% - Accent4 5 8" xfId="12858" xr:uid="{00000000-0005-0000-0000-000097150000}"/>
    <cellStyle name="20% - Accent4 5 9" xfId="23953" xr:uid="{00000000-0005-0000-0000-000098150000}"/>
    <cellStyle name="20% - Accent4 50" xfId="923" xr:uid="{00000000-0005-0000-0000-000099150000}"/>
    <cellStyle name="20% - Accent4 50 2" xfId="3879" xr:uid="{00000000-0005-0000-0000-00009A150000}"/>
    <cellStyle name="20% - Accent4 50 2 2" xfId="11858" xr:uid="{00000000-0005-0000-0000-00009B150000}"/>
    <cellStyle name="20% - Accent4 50 2 2 2" xfId="23146" xr:uid="{00000000-0005-0000-0000-00009C150000}"/>
    <cellStyle name="20% - Accent4 50 2 3" xfId="9864" xr:uid="{00000000-0005-0000-0000-00009D150000}"/>
    <cellStyle name="20% - Accent4 50 2 3 2" xfId="21152" xr:uid="{00000000-0005-0000-0000-00009E150000}"/>
    <cellStyle name="20% - Accent4 50 2 4" xfId="7870" xr:uid="{00000000-0005-0000-0000-00009F150000}"/>
    <cellStyle name="20% - Accent4 50 2 4 2" xfId="19158" xr:uid="{00000000-0005-0000-0000-0000A0150000}"/>
    <cellStyle name="20% - Accent4 50 2 5" xfId="5876" xr:uid="{00000000-0005-0000-0000-0000A1150000}"/>
    <cellStyle name="20% - Accent4 50 2 5 2" xfId="17164" xr:uid="{00000000-0005-0000-0000-0000A2150000}"/>
    <cellStyle name="20% - Accent4 50 2 6" xfId="15170" xr:uid="{00000000-0005-0000-0000-0000A3150000}"/>
    <cellStyle name="20% - Accent4 50 3" xfId="10861" xr:uid="{00000000-0005-0000-0000-0000A4150000}"/>
    <cellStyle name="20% - Accent4 50 3 2" xfId="22149" xr:uid="{00000000-0005-0000-0000-0000A5150000}"/>
    <cellStyle name="20% - Accent4 50 4" xfId="8867" xr:uid="{00000000-0005-0000-0000-0000A6150000}"/>
    <cellStyle name="20% - Accent4 50 4 2" xfId="20155" xr:uid="{00000000-0005-0000-0000-0000A7150000}"/>
    <cellStyle name="20% - Accent4 50 5" xfId="6873" xr:uid="{00000000-0005-0000-0000-0000A8150000}"/>
    <cellStyle name="20% - Accent4 50 5 2" xfId="18161" xr:uid="{00000000-0005-0000-0000-0000A9150000}"/>
    <cellStyle name="20% - Accent4 50 6" xfId="4879" xr:uid="{00000000-0005-0000-0000-0000AA150000}"/>
    <cellStyle name="20% - Accent4 50 6 2" xfId="16167" xr:uid="{00000000-0005-0000-0000-0000AB150000}"/>
    <cellStyle name="20% - Accent4 50 7" xfId="14173" xr:uid="{00000000-0005-0000-0000-0000AC150000}"/>
    <cellStyle name="20% - Accent4 50 8" xfId="12859" xr:uid="{00000000-0005-0000-0000-0000AD150000}"/>
    <cellStyle name="20% - Accent4 51" xfId="924" xr:uid="{00000000-0005-0000-0000-0000AE150000}"/>
    <cellStyle name="20% - Accent4 51 2" xfId="3880" xr:uid="{00000000-0005-0000-0000-0000AF150000}"/>
    <cellStyle name="20% - Accent4 51 2 2" xfId="11859" xr:uid="{00000000-0005-0000-0000-0000B0150000}"/>
    <cellStyle name="20% - Accent4 51 2 2 2" xfId="23147" xr:uid="{00000000-0005-0000-0000-0000B1150000}"/>
    <cellStyle name="20% - Accent4 51 2 3" xfId="9865" xr:uid="{00000000-0005-0000-0000-0000B2150000}"/>
    <cellStyle name="20% - Accent4 51 2 3 2" xfId="21153" xr:uid="{00000000-0005-0000-0000-0000B3150000}"/>
    <cellStyle name="20% - Accent4 51 2 4" xfId="7871" xr:uid="{00000000-0005-0000-0000-0000B4150000}"/>
    <cellStyle name="20% - Accent4 51 2 4 2" xfId="19159" xr:uid="{00000000-0005-0000-0000-0000B5150000}"/>
    <cellStyle name="20% - Accent4 51 2 5" xfId="5877" xr:uid="{00000000-0005-0000-0000-0000B6150000}"/>
    <cellStyle name="20% - Accent4 51 2 5 2" xfId="17165" xr:uid="{00000000-0005-0000-0000-0000B7150000}"/>
    <cellStyle name="20% - Accent4 51 2 6" xfId="15171" xr:uid="{00000000-0005-0000-0000-0000B8150000}"/>
    <cellStyle name="20% - Accent4 51 3" xfId="10862" xr:uid="{00000000-0005-0000-0000-0000B9150000}"/>
    <cellStyle name="20% - Accent4 51 3 2" xfId="22150" xr:uid="{00000000-0005-0000-0000-0000BA150000}"/>
    <cellStyle name="20% - Accent4 51 4" xfId="8868" xr:uid="{00000000-0005-0000-0000-0000BB150000}"/>
    <cellStyle name="20% - Accent4 51 4 2" xfId="20156" xr:uid="{00000000-0005-0000-0000-0000BC150000}"/>
    <cellStyle name="20% - Accent4 51 5" xfId="6874" xr:uid="{00000000-0005-0000-0000-0000BD150000}"/>
    <cellStyle name="20% - Accent4 51 5 2" xfId="18162" xr:uid="{00000000-0005-0000-0000-0000BE150000}"/>
    <cellStyle name="20% - Accent4 51 6" xfId="4880" xr:uid="{00000000-0005-0000-0000-0000BF150000}"/>
    <cellStyle name="20% - Accent4 51 6 2" xfId="16168" xr:uid="{00000000-0005-0000-0000-0000C0150000}"/>
    <cellStyle name="20% - Accent4 51 7" xfId="14174" xr:uid="{00000000-0005-0000-0000-0000C1150000}"/>
    <cellStyle name="20% - Accent4 51 8" xfId="12860" xr:uid="{00000000-0005-0000-0000-0000C2150000}"/>
    <cellStyle name="20% - Accent4 52" xfId="925" xr:uid="{00000000-0005-0000-0000-0000C3150000}"/>
    <cellStyle name="20% - Accent4 52 2" xfId="3881" xr:uid="{00000000-0005-0000-0000-0000C4150000}"/>
    <cellStyle name="20% - Accent4 52 2 2" xfId="11860" xr:uid="{00000000-0005-0000-0000-0000C5150000}"/>
    <cellStyle name="20% - Accent4 52 2 2 2" xfId="23148" xr:uid="{00000000-0005-0000-0000-0000C6150000}"/>
    <cellStyle name="20% - Accent4 52 2 3" xfId="9866" xr:uid="{00000000-0005-0000-0000-0000C7150000}"/>
    <cellStyle name="20% - Accent4 52 2 3 2" xfId="21154" xr:uid="{00000000-0005-0000-0000-0000C8150000}"/>
    <cellStyle name="20% - Accent4 52 2 4" xfId="7872" xr:uid="{00000000-0005-0000-0000-0000C9150000}"/>
    <cellStyle name="20% - Accent4 52 2 4 2" xfId="19160" xr:uid="{00000000-0005-0000-0000-0000CA150000}"/>
    <cellStyle name="20% - Accent4 52 2 5" xfId="5878" xr:uid="{00000000-0005-0000-0000-0000CB150000}"/>
    <cellStyle name="20% - Accent4 52 2 5 2" xfId="17166" xr:uid="{00000000-0005-0000-0000-0000CC150000}"/>
    <cellStyle name="20% - Accent4 52 2 6" xfId="15172" xr:uid="{00000000-0005-0000-0000-0000CD150000}"/>
    <cellStyle name="20% - Accent4 52 3" xfId="10863" xr:uid="{00000000-0005-0000-0000-0000CE150000}"/>
    <cellStyle name="20% - Accent4 52 3 2" xfId="22151" xr:uid="{00000000-0005-0000-0000-0000CF150000}"/>
    <cellStyle name="20% - Accent4 52 4" xfId="8869" xr:uid="{00000000-0005-0000-0000-0000D0150000}"/>
    <cellStyle name="20% - Accent4 52 4 2" xfId="20157" xr:uid="{00000000-0005-0000-0000-0000D1150000}"/>
    <cellStyle name="20% - Accent4 52 5" xfId="6875" xr:uid="{00000000-0005-0000-0000-0000D2150000}"/>
    <cellStyle name="20% - Accent4 52 5 2" xfId="18163" xr:uid="{00000000-0005-0000-0000-0000D3150000}"/>
    <cellStyle name="20% - Accent4 52 6" xfId="4881" xr:uid="{00000000-0005-0000-0000-0000D4150000}"/>
    <cellStyle name="20% - Accent4 52 6 2" xfId="16169" xr:uid="{00000000-0005-0000-0000-0000D5150000}"/>
    <cellStyle name="20% - Accent4 52 7" xfId="14175" xr:uid="{00000000-0005-0000-0000-0000D6150000}"/>
    <cellStyle name="20% - Accent4 52 8" xfId="12861" xr:uid="{00000000-0005-0000-0000-0000D7150000}"/>
    <cellStyle name="20% - Accent4 53" xfId="926" xr:uid="{00000000-0005-0000-0000-0000D8150000}"/>
    <cellStyle name="20% - Accent4 53 2" xfId="3882" xr:uid="{00000000-0005-0000-0000-0000D9150000}"/>
    <cellStyle name="20% - Accent4 53 2 2" xfId="11861" xr:uid="{00000000-0005-0000-0000-0000DA150000}"/>
    <cellStyle name="20% - Accent4 53 2 2 2" xfId="23149" xr:uid="{00000000-0005-0000-0000-0000DB150000}"/>
    <cellStyle name="20% - Accent4 53 2 3" xfId="9867" xr:uid="{00000000-0005-0000-0000-0000DC150000}"/>
    <cellStyle name="20% - Accent4 53 2 3 2" xfId="21155" xr:uid="{00000000-0005-0000-0000-0000DD150000}"/>
    <cellStyle name="20% - Accent4 53 2 4" xfId="7873" xr:uid="{00000000-0005-0000-0000-0000DE150000}"/>
    <cellStyle name="20% - Accent4 53 2 4 2" xfId="19161" xr:uid="{00000000-0005-0000-0000-0000DF150000}"/>
    <cellStyle name="20% - Accent4 53 2 5" xfId="5879" xr:uid="{00000000-0005-0000-0000-0000E0150000}"/>
    <cellStyle name="20% - Accent4 53 2 5 2" xfId="17167" xr:uid="{00000000-0005-0000-0000-0000E1150000}"/>
    <cellStyle name="20% - Accent4 53 2 6" xfId="15173" xr:uid="{00000000-0005-0000-0000-0000E2150000}"/>
    <cellStyle name="20% - Accent4 53 3" xfId="10864" xr:uid="{00000000-0005-0000-0000-0000E3150000}"/>
    <cellStyle name="20% - Accent4 53 3 2" xfId="22152" xr:uid="{00000000-0005-0000-0000-0000E4150000}"/>
    <cellStyle name="20% - Accent4 53 4" xfId="8870" xr:uid="{00000000-0005-0000-0000-0000E5150000}"/>
    <cellStyle name="20% - Accent4 53 4 2" xfId="20158" xr:uid="{00000000-0005-0000-0000-0000E6150000}"/>
    <cellStyle name="20% - Accent4 53 5" xfId="6876" xr:uid="{00000000-0005-0000-0000-0000E7150000}"/>
    <cellStyle name="20% - Accent4 53 5 2" xfId="18164" xr:uid="{00000000-0005-0000-0000-0000E8150000}"/>
    <cellStyle name="20% - Accent4 53 6" xfId="4882" xr:uid="{00000000-0005-0000-0000-0000E9150000}"/>
    <cellStyle name="20% - Accent4 53 6 2" xfId="16170" xr:uid="{00000000-0005-0000-0000-0000EA150000}"/>
    <cellStyle name="20% - Accent4 53 7" xfId="14176" xr:uid="{00000000-0005-0000-0000-0000EB150000}"/>
    <cellStyle name="20% - Accent4 53 8" xfId="12862" xr:uid="{00000000-0005-0000-0000-0000EC150000}"/>
    <cellStyle name="20% - Accent4 54" xfId="927" xr:uid="{00000000-0005-0000-0000-0000ED150000}"/>
    <cellStyle name="20% - Accent4 54 2" xfId="3883" xr:uid="{00000000-0005-0000-0000-0000EE150000}"/>
    <cellStyle name="20% - Accent4 54 2 2" xfId="11862" xr:uid="{00000000-0005-0000-0000-0000EF150000}"/>
    <cellStyle name="20% - Accent4 54 2 2 2" xfId="23150" xr:uid="{00000000-0005-0000-0000-0000F0150000}"/>
    <cellStyle name="20% - Accent4 54 2 3" xfId="9868" xr:uid="{00000000-0005-0000-0000-0000F1150000}"/>
    <cellStyle name="20% - Accent4 54 2 3 2" xfId="21156" xr:uid="{00000000-0005-0000-0000-0000F2150000}"/>
    <cellStyle name="20% - Accent4 54 2 4" xfId="7874" xr:uid="{00000000-0005-0000-0000-0000F3150000}"/>
    <cellStyle name="20% - Accent4 54 2 4 2" xfId="19162" xr:uid="{00000000-0005-0000-0000-0000F4150000}"/>
    <cellStyle name="20% - Accent4 54 2 5" xfId="5880" xr:uid="{00000000-0005-0000-0000-0000F5150000}"/>
    <cellStyle name="20% - Accent4 54 2 5 2" xfId="17168" xr:uid="{00000000-0005-0000-0000-0000F6150000}"/>
    <cellStyle name="20% - Accent4 54 2 6" xfId="15174" xr:uid="{00000000-0005-0000-0000-0000F7150000}"/>
    <cellStyle name="20% - Accent4 54 3" xfId="10865" xr:uid="{00000000-0005-0000-0000-0000F8150000}"/>
    <cellStyle name="20% - Accent4 54 3 2" xfId="22153" xr:uid="{00000000-0005-0000-0000-0000F9150000}"/>
    <cellStyle name="20% - Accent4 54 4" xfId="8871" xr:uid="{00000000-0005-0000-0000-0000FA150000}"/>
    <cellStyle name="20% - Accent4 54 4 2" xfId="20159" xr:uid="{00000000-0005-0000-0000-0000FB150000}"/>
    <cellStyle name="20% - Accent4 54 5" xfId="6877" xr:uid="{00000000-0005-0000-0000-0000FC150000}"/>
    <cellStyle name="20% - Accent4 54 5 2" xfId="18165" xr:uid="{00000000-0005-0000-0000-0000FD150000}"/>
    <cellStyle name="20% - Accent4 54 6" xfId="4883" xr:uid="{00000000-0005-0000-0000-0000FE150000}"/>
    <cellStyle name="20% - Accent4 54 6 2" xfId="16171" xr:uid="{00000000-0005-0000-0000-0000FF150000}"/>
    <cellStyle name="20% - Accent4 54 7" xfId="14177" xr:uid="{00000000-0005-0000-0000-000000160000}"/>
    <cellStyle name="20% - Accent4 54 8" xfId="12863" xr:uid="{00000000-0005-0000-0000-000001160000}"/>
    <cellStyle name="20% - Accent4 55" xfId="928" xr:uid="{00000000-0005-0000-0000-000002160000}"/>
    <cellStyle name="20% - Accent4 55 2" xfId="3884" xr:uid="{00000000-0005-0000-0000-000003160000}"/>
    <cellStyle name="20% - Accent4 55 2 2" xfId="11863" xr:uid="{00000000-0005-0000-0000-000004160000}"/>
    <cellStyle name="20% - Accent4 55 2 2 2" xfId="23151" xr:uid="{00000000-0005-0000-0000-000005160000}"/>
    <cellStyle name="20% - Accent4 55 2 3" xfId="9869" xr:uid="{00000000-0005-0000-0000-000006160000}"/>
    <cellStyle name="20% - Accent4 55 2 3 2" xfId="21157" xr:uid="{00000000-0005-0000-0000-000007160000}"/>
    <cellStyle name="20% - Accent4 55 2 4" xfId="7875" xr:uid="{00000000-0005-0000-0000-000008160000}"/>
    <cellStyle name="20% - Accent4 55 2 4 2" xfId="19163" xr:uid="{00000000-0005-0000-0000-000009160000}"/>
    <cellStyle name="20% - Accent4 55 2 5" xfId="5881" xr:uid="{00000000-0005-0000-0000-00000A160000}"/>
    <cellStyle name="20% - Accent4 55 2 5 2" xfId="17169" xr:uid="{00000000-0005-0000-0000-00000B160000}"/>
    <cellStyle name="20% - Accent4 55 2 6" xfId="15175" xr:uid="{00000000-0005-0000-0000-00000C160000}"/>
    <cellStyle name="20% - Accent4 55 3" xfId="10866" xr:uid="{00000000-0005-0000-0000-00000D160000}"/>
    <cellStyle name="20% - Accent4 55 3 2" xfId="22154" xr:uid="{00000000-0005-0000-0000-00000E160000}"/>
    <cellStyle name="20% - Accent4 55 4" xfId="8872" xr:uid="{00000000-0005-0000-0000-00000F160000}"/>
    <cellStyle name="20% - Accent4 55 4 2" xfId="20160" xr:uid="{00000000-0005-0000-0000-000010160000}"/>
    <cellStyle name="20% - Accent4 55 5" xfId="6878" xr:uid="{00000000-0005-0000-0000-000011160000}"/>
    <cellStyle name="20% - Accent4 55 5 2" xfId="18166" xr:uid="{00000000-0005-0000-0000-000012160000}"/>
    <cellStyle name="20% - Accent4 55 6" xfId="4884" xr:uid="{00000000-0005-0000-0000-000013160000}"/>
    <cellStyle name="20% - Accent4 55 6 2" xfId="16172" xr:uid="{00000000-0005-0000-0000-000014160000}"/>
    <cellStyle name="20% - Accent4 55 7" xfId="14178" xr:uid="{00000000-0005-0000-0000-000015160000}"/>
    <cellStyle name="20% - Accent4 55 8" xfId="12864" xr:uid="{00000000-0005-0000-0000-000016160000}"/>
    <cellStyle name="20% - Accent4 56" xfId="929" xr:uid="{00000000-0005-0000-0000-000017160000}"/>
    <cellStyle name="20% - Accent4 56 2" xfId="3885" xr:uid="{00000000-0005-0000-0000-000018160000}"/>
    <cellStyle name="20% - Accent4 56 2 2" xfId="11864" xr:uid="{00000000-0005-0000-0000-000019160000}"/>
    <cellStyle name="20% - Accent4 56 2 2 2" xfId="23152" xr:uid="{00000000-0005-0000-0000-00001A160000}"/>
    <cellStyle name="20% - Accent4 56 2 3" xfId="9870" xr:uid="{00000000-0005-0000-0000-00001B160000}"/>
    <cellStyle name="20% - Accent4 56 2 3 2" xfId="21158" xr:uid="{00000000-0005-0000-0000-00001C160000}"/>
    <cellStyle name="20% - Accent4 56 2 4" xfId="7876" xr:uid="{00000000-0005-0000-0000-00001D160000}"/>
    <cellStyle name="20% - Accent4 56 2 4 2" xfId="19164" xr:uid="{00000000-0005-0000-0000-00001E160000}"/>
    <cellStyle name="20% - Accent4 56 2 5" xfId="5882" xr:uid="{00000000-0005-0000-0000-00001F160000}"/>
    <cellStyle name="20% - Accent4 56 2 5 2" xfId="17170" xr:uid="{00000000-0005-0000-0000-000020160000}"/>
    <cellStyle name="20% - Accent4 56 2 6" xfId="15176" xr:uid="{00000000-0005-0000-0000-000021160000}"/>
    <cellStyle name="20% - Accent4 56 3" xfId="10867" xr:uid="{00000000-0005-0000-0000-000022160000}"/>
    <cellStyle name="20% - Accent4 56 3 2" xfId="22155" xr:uid="{00000000-0005-0000-0000-000023160000}"/>
    <cellStyle name="20% - Accent4 56 4" xfId="8873" xr:uid="{00000000-0005-0000-0000-000024160000}"/>
    <cellStyle name="20% - Accent4 56 4 2" xfId="20161" xr:uid="{00000000-0005-0000-0000-000025160000}"/>
    <cellStyle name="20% - Accent4 56 5" xfId="6879" xr:uid="{00000000-0005-0000-0000-000026160000}"/>
    <cellStyle name="20% - Accent4 56 5 2" xfId="18167" xr:uid="{00000000-0005-0000-0000-000027160000}"/>
    <cellStyle name="20% - Accent4 56 6" xfId="4885" xr:uid="{00000000-0005-0000-0000-000028160000}"/>
    <cellStyle name="20% - Accent4 56 6 2" xfId="16173" xr:uid="{00000000-0005-0000-0000-000029160000}"/>
    <cellStyle name="20% - Accent4 56 7" xfId="14179" xr:uid="{00000000-0005-0000-0000-00002A160000}"/>
    <cellStyle name="20% - Accent4 56 8" xfId="12865" xr:uid="{00000000-0005-0000-0000-00002B160000}"/>
    <cellStyle name="20% - Accent4 57" xfId="930" xr:uid="{00000000-0005-0000-0000-00002C160000}"/>
    <cellStyle name="20% - Accent4 57 2" xfId="3886" xr:uid="{00000000-0005-0000-0000-00002D160000}"/>
    <cellStyle name="20% - Accent4 57 2 2" xfId="11865" xr:uid="{00000000-0005-0000-0000-00002E160000}"/>
    <cellStyle name="20% - Accent4 57 2 2 2" xfId="23153" xr:uid="{00000000-0005-0000-0000-00002F160000}"/>
    <cellStyle name="20% - Accent4 57 2 3" xfId="9871" xr:uid="{00000000-0005-0000-0000-000030160000}"/>
    <cellStyle name="20% - Accent4 57 2 3 2" xfId="21159" xr:uid="{00000000-0005-0000-0000-000031160000}"/>
    <cellStyle name="20% - Accent4 57 2 4" xfId="7877" xr:uid="{00000000-0005-0000-0000-000032160000}"/>
    <cellStyle name="20% - Accent4 57 2 4 2" xfId="19165" xr:uid="{00000000-0005-0000-0000-000033160000}"/>
    <cellStyle name="20% - Accent4 57 2 5" xfId="5883" xr:uid="{00000000-0005-0000-0000-000034160000}"/>
    <cellStyle name="20% - Accent4 57 2 5 2" xfId="17171" xr:uid="{00000000-0005-0000-0000-000035160000}"/>
    <cellStyle name="20% - Accent4 57 2 6" xfId="15177" xr:uid="{00000000-0005-0000-0000-000036160000}"/>
    <cellStyle name="20% - Accent4 57 3" xfId="10868" xr:uid="{00000000-0005-0000-0000-000037160000}"/>
    <cellStyle name="20% - Accent4 57 3 2" xfId="22156" xr:uid="{00000000-0005-0000-0000-000038160000}"/>
    <cellStyle name="20% - Accent4 57 4" xfId="8874" xr:uid="{00000000-0005-0000-0000-000039160000}"/>
    <cellStyle name="20% - Accent4 57 4 2" xfId="20162" xr:uid="{00000000-0005-0000-0000-00003A160000}"/>
    <cellStyle name="20% - Accent4 57 5" xfId="6880" xr:uid="{00000000-0005-0000-0000-00003B160000}"/>
    <cellStyle name="20% - Accent4 57 5 2" xfId="18168" xr:uid="{00000000-0005-0000-0000-00003C160000}"/>
    <cellStyle name="20% - Accent4 57 6" xfId="4886" xr:uid="{00000000-0005-0000-0000-00003D160000}"/>
    <cellStyle name="20% - Accent4 57 6 2" xfId="16174" xr:uid="{00000000-0005-0000-0000-00003E160000}"/>
    <cellStyle name="20% - Accent4 57 7" xfId="14180" xr:uid="{00000000-0005-0000-0000-00003F160000}"/>
    <cellStyle name="20% - Accent4 57 8" xfId="12866" xr:uid="{00000000-0005-0000-0000-000040160000}"/>
    <cellStyle name="20% - Accent4 58" xfId="931" xr:uid="{00000000-0005-0000-0000-000041160000}"/>
    <cellStyle name="20% - Accent4 58 2" xfId="3887" xr:uid="{00000000-0005-0000-0000-000042160000}"/>
    <cellStyle name="20% - Accent4 58 2 2" xfId="11866" xr:uid="{00000000-0005-0000-0000-000043160000}"/>
    <cellStyle name="20% - Accent4 58 2 2 2" xfId="23154" xr:uid="{00000000-0005-0000-0000-000044160000}"/>
    <cellStyle name="20% - Accent4 58 2 3" xfId="9872" xr:uid="{00000000-0005-0000-0000-000045160000}"/>
    <cellStyle name="20% - Accent4 58 2 3 2" xfId="21160" xr:uid="{00000000-0005-0000-0000-000046160000}"/>
    <cellStyle name="20% - Accent4 58 2 4" xfId="7878" xr:uid="{00000000-0005-0000-0000-000047160000}"/>
    <cellStyle name="20% - Accent4 58 2 4 2" xfId="19166" xr:uid="{00000000-0005-0000-0000-000048160000}"/>
    <cellStyle name="20% - Accent4 58 2 5" xfId="5884" xr:uid="{00000000-0005-0000-0000-000049160000}"/>
    <cellStyle name="20% - Accent4 58 2 5 2" xfId="17172" xr:uid="{00000000-0005-0000-0000-00004A160000}"/>
    <cellStyle name="20% - Accent4 58 2 6" xfId="15178" xr:uid="{00000000-0005-0000-0000-00004B160000}"/>
    <cellStyle name="20% - Accent4 58 3" xfId="10869" xr:uid="{00000000-0005-0000-0000-00004C160000}"/>
    <cellStyle name="20% - Accent4 58 3 2" xfId="22157" xr:uid="{00000000-0005-0000-0000-00004D160000}"/>
    <cellStyle name="20% - Accent4 58 4" xfId="8875" xr:uid="{00000000-0005-0000-0000-00004E160000}"/>
    <cellStyle name="20% - Accent4 58 4 2" xfId="20163" xr:uid="{00000000-0005-0000-0000-00004F160000}"/>
    <cellStyle name="20% - Accent4 58 5" xfId="6881" xr:uid="{00000000-0005-0000-0000-000050160000}"/>
    <cellStyle name="20% - Accent4 58 5 2" xfId="18169" xr:uid="{00000000-0005-0000-0000-000051160000}"/>
    <cellStyle name="20% - Accent4 58 6" xfId="4887" xr:uid="{00000000-0005-0000-0000-000052160000}"/>
    <cellStyle name="20% - Accent4 58 6 2" xfId="16175" xr:uid="{00000000-0005-0000-0000-000053160000}"/>
    <cellStyle name="20% - Accent4 58 7" xfId="14181" xr:uid="{00000000-0005-0000-0000-000054160000}"/>
    <cellStyle name="20% - Accent4 58 8" xfId="12867" xr:uid="{00000000-0005-0000-0000-000055160000}"/>
    <cellStyle name="20% - Accent4 59" xfId="932" xr:uid="{00000000-0005-0000-0000-000056160000}"/>
    <cellStyle name="20% - Accent4 59 2" xfId="3888" xr:uid="{00000000-0005-0000-0000-000057160000}"/>
    <cellStyle name="20% - Accent4 59 2 2" xfId="11867" xr:uid="{00000000-0005-0000-0000-000058160000}"/>
    <cellStyle name="20% - Accent4 59 2 2 2" xfId="23155" xr:uid="{00000000-0005-0000-0000-000059160000}"/>
    <cellStyle name="20% - Accent4 59 2 3" xfId="9873" xr:uid="{00000000-0005-0000-0000-00005A160000}"/>
    <cellStyle name="20% - Accent4 59 2 3 2" xfId="21161" xr:uid="{00000000-0005-0000-0000-00005B160000}"/>
    <cellStyle name="20% - Accent4 59 2 4" xfId="7879" xr:uid="{00000000-0005-0000-0000-00005C160000}"/>
    <cellStyle name="20% - Accent4 59 2 4 2" xfId="19167" xr:uid="{00000000-0005-0000-0000-00005D160000}"/>
    <cellStyle name="20% - Accent4 59 2 5" xfId="5885" xr:uid="{00000000-0005-0000-0000-00005E160000}"/>
    <cellStyle name="20% - Accent4 59 2 5 2" xfId="17173" xr:uid="{00000000-0005-0000-0000-00005F160000}"/>
    <cellStyle name="20% - Accent4 59 2 6" xfId="15179" xr:uid="{00000000-0005-0000-0000-000060160000}"/>
    <cellStyle name="20% - Accent4 59 3" xfId="10870" xr:uid="{00000000-0005-0000-0000-000061160000}"/>
    <cellStyle name="20% - Accent4 59 3 2" xfId="22158" xr:uid="{00000000-0005-0000-0000-000062160000}"/>
    <cellStyle name="20% - Accent4 59 4" xfId="8876" xr:uid="{00000000-0005-0000-0000-000063160000}"/>
    <cellStyle name="20% - Accent4 59 4 2" xfId="20164" xr:uid="{00000000-0005-0000-0000-000064160000}"/>
    <cellStyle name="20% - Accent4 59 5" xfId="6882" xr:uid="{00000000-0005-0000-0000-000065160000}"/>
    <cellStyle name="20% - Accent4 59 5 2" xfId="18170" xr:uid="{00000000-0005-0000-0000-000066160000}"/>
    <cellStyle name="20% - Accent4 59 6" xfId="4888" xr:uid="{00000000-0005-0000-0000-000067160000}"/>
    <cellStyle name="20% - Accent4 59 6 2" xfId="16176" xr:uid="{00000000-0005-0000-0000-000068160000}"/>
    <cellStyle name="20% - Accent4 59 7" xfId="14182" xr:uid="{00000000-0005-0000-0000-000069160000}"/>
    <cellStyle name="20% - Accent4 59 8" xfId="12868" xr:uid="{00000000-0005-0000-0000-00006A160000}"/>
    <cellStyle name="20% - Accent4 6" xfId="933" xr:uid="{00000000-0005-0000-0000-00006B160000}"/>
    <cellStyle name="20% - Accent4 6 10" xfId="24581" xr:uid="{00000000-0005-0000-0000-00006C160000}"/>
    <cellStyle name="20% - Accent4 6 11" xfId="24971" xr:uid="{00000000-0005-0000-0000-00006D160000}"/>
    <cellStyle name="20% - Accent4 6 2" xfId="3889" xr:uid="{00000000-0005-0000-0000-00006E160000}"/>
    <cellStyle name="20% - Accent4 6 2 2" xfId="11868" xr:uid="{00000000-0005-0000-0000-00006F160000}"/>
    <cellStyle name="20% - Accent4 6 2 2 2" xfId="23156" xr:uid="{00000000-0005-0000-0000-000070160000}"/>
    <cellStyle name="20% - Accent4 6 2 3" xfId="9874" xr:uid="{00000000-0005-0000-0000-000071160000}"/>
    <cellStyle name="20% - Accent4 6 2 3 2" xfId="21162" xr:uid="{00000000-0005-0000-0000-000072160000}"/>
    <cellStyle name="20% - Accent4 6 2 4" xfId="7880" xr:uid="{00000000-0005-0000-0000-000073160000}"/>
    <cellStyle name="20% - Accent4 6 2 4 2" xfId="19168" xr:uid="{00000000-0005-0000-0000-000074160000}"/>
    <cellStyle name="20% - Accent4 6 2 5" xfId="5886" xr:uid="{00000000-0005-0000-0000-000075160000}"/>
    <cellStyle name="20% - Accent4 6 2 5 2" xfId="17174" xr:uid="{00000000-0005-0000-0000-000076160000}"/>
    <cellStyle name="20% - Accent4 6 2 6" xfId="15180" xr:uid="{00000000-0005-0000-0000-000077160000}"/>
    <cellStyle name="20% - Accent4 6 2 7" xfId="24342" xr:uid="{00000000-0005-0000-0000-000078160000}"/>
    <cellStyle name="20% - Accent4 6 2 8" xfId="24806" xr:uid="{00000000-0005-0000-0000-000079160000}"/>
    <cellStyle name="20% - Accent4 6 2 9" xfId="25173" xr:uid="{00000000-0005-0000-0000-00007A160000}"/>
    <cellStyle name="20% - Accent4 6 3" xfId="10871" xr:uid="{00000000-0005-0000-0000-00007B160000}"/>
    <cellStyle name="20% - Accent4 6 3 2" xfId="22159" xr:uid="{00000000-0005-0000-0000-00007C160000}"/>
    <cellStyle name="20% - Accent4 6 4" xfId="8877" xr:uid="{00000000-0005-0000-0000-00007D160000}"/>
    <cellStyle name="20% - Accent4 6 4 2" xfId="20165" xr:uid="{00000000-0005-0000-0000-00007E160000}"/>
    <cellStyle name="20% - Accent4 6 5" xfId="6883" xr:uid="{00000000-0005-0000-0000-00007F160000}"/>
    <cellStyle name="20% - Accent4 6 5 2" xfId="18171" xr:uid="{00000000-0005-0000-0000-000080160000}"/>
    <cellStyle name="20% - Accent4 6 6" xfId="4889" xr:uid="{00000000-0005-0000-0000-000081160000}"/>
    <cellStyle name="20% - Accent4 6 6 2" xfId="16177" xr:uid="{00000000-0005-0000-0000-000082160000}"/>
    <cellStyle name="20% - Accent4 6 7" xfId="14183" xr:uid="{00000000-0005-0000-0000-000083160000}"/>
    <cellStyle name="20% - Accent4 6 8" xfId="12869" xr:uid="{00000000-0005-0000-0000-000084160000}"/>
    <cellStyle name="20% - Accent4 6 9" xfId="23954" xr:uid="{00000000-0005-0000-0000-000085160000}"/>
    <cellStyle name="20% - Accent4 60" xfId="934" xr:uid="{00000000-0005-0000-0000-000086160000}"/>
    <cellStyle name="20% - Accent4 60 2" xfId="3890" xr:uid="{00000000-0005-0000-0000-000087160000}"/>
    <cellStyle name="20% - Accent4 60 2 2" xfId="11869" xr:uid="{00000000-0005-0000-0000-000088160000}"/>
    <cellStyle name="20% - Accent4 60 2 2 2" xfId="23157" xr:uid="{00000000-0005-0000-0000-000089160000}"/>
    <cellStyle name="20% - Accent4 60 2 3" xfId="9875" xr:uid="{00000000-0005-0000-0000-00008A160000}"/>
    <cellStyle name="20% - Accent4 60 2 3 2" xfId="21163" xr:uid="{00000000-0005-0000-0000-00008B160000}"/>
    <cellStyle name="20% - Accent4 60 2 4" xfId="7881" xr:uid="{00000000-0005-0000-0000-00008C160000}"/>
    <cellStyle name="20% - Accent4 60 2 4 2" xfId="19169" xr:uid="{00000000-0005-0000-0000-00008D160000}"/>
    <cellStyle name="20% - Accent4 60 2 5" xfId="5887" xr:uid="{00000000-0005-0000-0000-00008E160000}"/>
    <cellStyle name="20% - Accent4 60 2 5 2" xfId="17175" xr:uid="{00000000-0005-0000-0000-00008F160000}"/>
    <cellStyle name="20% - Accent4 60 2 6" xfId="15181" xr:uid="{00000000-0005-0000-0000-000090160000}"/>
    <cellStyle name="20% - Accent4 60 3" xfId="10872" xr:uid="{00000000-0005-0000-0000-000091160000}"/>
    <cellStyle name="20% - Accent4 60 3 2" xfId="22160" xr:uid="{00000000-0005-0000-0000-000092160000}"/>
    <cellStyle name="20% - Accent4 60 4" xfId="8878" xr:uid="{00000000-0005-0000-0000-000093160000}"/>
    <cellStyle name="20% - Accent4 60 4 2" xfId="20166" xr:uid="{00000000-0005-0000-0000-000094160000}"/>
    <cellStyle name="20% - Accent4 60 5" xfId="6884" xr:uid="{00000000-0005-0000-0000-000095160000}"/>
    <cellStyle name="20% - Accent4 60 5 2" xfId="18172" xr:uid="{00000000-0005-0000-0000-000096160000}"/>
    <cellStyle name="20% - Accent4 60 6" xfId="4890" xr:uid="{00000000-0005-0000-0000-000097160000}"/>
    <cellStyle name="20% - Accent4 60 6 2" xfId="16178" xr:uid="{00000000-0005-0000-0000-000098160000}"/>
    <cellStyle name="20% - Accent4 60 7" xfId="14184" xr:uid="{00000000-0005-0000-0000-000099160000}"/>
    <cellStyle name="20% - Accent4 60 8" xfId="12870" xr:uid="{00000000-0005-0000-0000-00009A160000}"/>
    <cellStyle name="20% - Accent4 61" xfId="935" xr:uid="{00000000-0005-0000-0000-00009B160000}"/>
    <cellStyle name="20% - Accent4 61 2" xfId="3891" xr:uid="{00000000-0005-0000-0000-00009C160000}"/>
    <cellStyle name="20% - Accent4 61 2 2" xfId="11870" xr:uid="{00000000-0005-0000-0000-00009D160000}"/>
    <cellStyle name="20% - Accent4 61 2 2 2" xfId="23158" xr:uid="{00000000-0005-0000-0000-00009E160000}"/>
    <cellStyle name="20% - Accent4 61 2 3" xfId="9876" xr:uid="{00000000-0005-0000-0000-00009F160000}"/>
    <cellStyle name="20% - Accent4 61 2 3 2" xfId="21164" xr:uid="{00000000-0005-0000-0000-0000A0160000}"/>
    <cellStyle name="20% - Accent4 61 2 4" xfId="7882" xr:uid="{00000000-0005-0000-0000-0000A1160000}"/>
    <cellStyle name="20% - Accent4 61 2 4 2" xfId="19170" xr:uid="{00000000-0005-0000-0000-0000A2160000}"/>
    <cellStyle name="20% - Accent4 61 2 5" xfId="5888" xr:uid="{00000000-0005-0000-0000-0000A3160000}"/>
    <cellStyle name="20% - Accent4 61 2 5 2" xfId="17176" xr:uid="{00000000-0005-0000-0000-0000A4160000}"/>
    <cellStyle name="20% - Accent4 61 2 6" xfId="15182" xr:uid="{00000000-0005-0000-0000-0000A5160000}"/>
    <cellStyle name="20% - Accent4 61 3" xfId="10873" xr:uid="{00000000-0005-0000-0000-0000A6160000}"/>
    <cellStyle name="20% - Accent4 61 3 2" xfId="22161" xr:uid="{00000000-0005-0000-0000-0000A7160000}"/>
    <cellStyle name="20% - Accent4 61 4" xfId="8879" xr:uid="{00000000-0005-0000-0000-0000A8160000}"/>
    <cellStyle name="20% - Accent4 61 4 2" xfId="20167" xr:uid="{00000000-0005-0000-0000-0000A9160000}"/>
    <cellStyle name="20% - Accent4 61 5" xfId="6885" xr:uid="{00000000-0005-0000-0000-0000AA160000}"/>
    <cellStyle name="20% - Accent4 61 5 2" xfId="18173" xr:uid="{00000000-0005-0000-0000-0000AB160000}"/>
    <cellStyle name="20% - Accent4 61 6" xfId="4891" xr:uid="{00000000-0005-0000-0000-0000AC160000}"/>
    <cellStyle name="20% - Accent4 61 6 2" xfId="16179" xr:uid="{00000000-0005-0000-0000-0000AD160000}"/>
    <cellStyle name="20% - Accent4 61 7" xfId="14185" xr:uid="{00000000-0005-0000-0000-0000AE160000}"/>
    <cellStyle name="20% - Accent4 61 8" xfId="12871" xr:uid="{00000000-0005-0000-0000-0000AF160000}"/>
    <cellStyle name="20% - Accent4 62" xfId="936" xr:uid="{00000000-0005-0000-0000-0000B0160000}"/>
    <cellStyle name="20% - Accent4 62 2" xfId="3892" xr:uid="{00000000-0005-0000-0000-0000B1160000}"/>
    <cellStyle name="20% - Accent4 62 2 2" xfId="11871" xr:uid="{00000000-0005-0000-0000-0000B2160000}"/>
    <cellStyle name="20% - Accent4 62 2 2 2" xfId="23159" xr:uid="{00000000-0005-0000-0000-0000B3160000}"/>
    <cellStyle name="20% - Accent4 62 2 3" xfId="9877" xr:uid="{00000000-0005-0000-0000-0000B4160000}"/>
    <cellStyle name="20% - Accent4 62 2 3 2" xfId="21165" xr:uid="{00000000-0005-0000-0000-0000B5160000}"/>
    <cellStyle name="20% - Accent4 62 2 4" xfId="7883" xr:uid="{00000000-0005-0000-0000-0000B6160000}"/>
    <cellStyle name="20% - Accent4 62 2 4 2" xfId="19171" xr:uid="{00000000-0005-0000-0000-0000B7160000}"/>
    <cellStyle name="20% - Accent4 62 2 5" xfId="5889" xr:uid="{00000000-0005-0000-0000-0000B8160000}"/>
    <cellStyle name="20% - Accent4 62 2 5 2" xfId="17177" xr:uid="{00000000-0005-0000-0000-0000B9160000}"/>
    <cellStyle name="20% - Accent4 62 2 6" xfId="15183" xr:uid="{00000000-0005-0000-0000-0000BA160000}"/>
    <cellStyle name="20% - Accent4 62 3" xfId="10874" xr:uid="{00000000-0005-0000-0000-0000BB160000}"/>
    <cellStyle name="20% - Accent4 62 3 2" xfId="22162" xr:uid="{00000000-0005-0000-0000-0000BC160000}"/>
    <cellStyle name="20% - Accent4 62 4" xfId="8880" xr:uid="{00000000-0005-0000-0000-0000BD160000}"/>
    <cellStyle name="20% - Accent4 62 4 2" xfId="20168" xr:uid="{00000000-0005-0000-0000-0000BE160000}"/>
    <cellStyle name="20% - Accent4 62 5" xfId="6886" xr:uid="{00000000-0005-0000-0000-0000BF160000}"/>
    <cellStyle name="20% - Accent4 62 5 2" xfId="18174" xr:uid="{00000000-0005-0000-0000-0000C0160000}"/>
    <cellStyle name="20% - Accent4 62 6" xfId="4892" xr:uid="{00000000-0005-0000-0000-0000C1160000}"/>
    <cellStyle name="20% - Accent4 62 6 2" xfId="16180" xr:uid="{00000000-0005-0000-0000-0000C2160000}"/>
    <cellStyle name="20% - Accent4 62 7" xfId="14186" xr:uid="{00000000-0005-0000-0000-0000C3160000}"/>
    <cellStyle name="20% - Accent4 62 8" xfId="12872" xr:uid="{00000000-0005-0000-0000-0000C4160000}"/>
    <cellStyle name="20% - Accent4 63" xfId="937" xr:uid="{00000000-0005-0000-0000-0000C5160000}"/>
    <cellStyle name="20% - Accent4 63 2" xfId="3893" xr:uid="{00000000-0005-0000-0000-0000C6160000}"/>
    <cellStyle name="20% - Accent4 63 2 2" xfId="11872" xr:uid="{00000000-0005-0000-0000-0000C7160000}"/>
    <cellStyle name="20% - Accent4 63 2 2 2" xfId="23160" xr:uid="{00000000-0005-0000-0000-0000C8160000}"/>
    <cellStyle name="20% - Accent4 63 2 3" xfId="9878" xr:uid="{00000000-0005-0000-0000-0000C9160000}"/>
    <cellStyle name="20% - Accent4 63 2 3 2" xfId="21166" xr:uid="{00000000-0005-0000-0000-0000CA160000}"/>
    <cellStyle name="20% - Accent4 63 2 4" xfId="7884" xr:uid="{00000000-0005-0000-0000-0000CB160000}"/>
    <cellStyle name="20% - Accent4 63 2 4 2" xfId="19172" xr:uid="{00000000-0005-0000-0000-0000CC160000}"/>
    <cellStyle name="20% - Accent4 63 2 5" xfId="5890" xr:uid="{00000000-0005-0000-0000-0000CD160000}"/>
    <cellStyle name="20% - Accent4 63 2 5 2" xfId="17178" xr:uid="{00000000-0005-0000-0000-0000CE160000}"/>
    <cellStyle name="20% - Accent4 63 2 6" xfId="15184" xr:uid="{00000000-0005-0000-0000-0000CF160000}"/>
    <cellStyle name="20% - Accent4 63 3" xfId="10875" xr:uid="{00000000-0005-0000-0000-0000D0160000}"/>
    <cellStyle name="20% - Accent4 63 3 2" xfId="22163" xr:uid="{00000000-0005-0000-0000-0000D1160000}"/>
    <cellStyle name="20% - Accent4 63 4" xfId="8881" xr:uid="{00000000-0005-0000-0000-0000D2160000}"/>
    <cellStyle name="20% - Accent4 63 4 2" xfId="20169" xr:uid="{00000000-0005-0000-0000-0000D3160000}"/>
    <cellStyle name="20% - Accent4 63 5" xfId="6887" xr:uid="{00000000-0005-0000-0000-0000D4160000}"/>
    <cellStyle name="20% - Accent4 63 5 2" xfId="18175" xr:uid="{00000000-0005-0000-0000-0000D5160000}"/>
    <cellStyle name="20% - Accent4 63 6" xfId="4893" xr:uid="{00000000-0005-0000-0000-0000D6160000}"/>
    <cellStyle name="20% - Accent4 63 6 2" xfId="16181" xr:uid="{00000000-0005-0000-0000-0000D7160000}"/>
    <cellStyle name="20% - Accent4 63 7" xfId="14187" xr:uid="{00000000-0005-0000-0000-0000D8160000}"/>
    <cellStyle name="20% - Accent4 63 8" xfId="12873" xr:uid="{00000000-0005-0000-0000-0000D9160000}"/>
    <cellStyle name="20% - Accent4 64" xfId="938" xr:uid="{00000000-0005-0000-0000-0000DA160000}"/>
    <cellStyle name="20% - Accent4 64 2" xfId="3894" xr:uid="{00000000-0005-0000-0000-0000DB160000}"/>
    <cellStyle name="20% - Accent4 64 2 2" xfId="11873" xr:uid="{00000000-0005-0000-0000-0000DC160000}"/>
    <cellStyle name="20% - Accent4 64 2 2 2" xfId="23161" xr:uid="{00000000-0005-0000-0000-0000DD160000}"/>
    <cellStyle name="20% - Accent4 64 2 3" xfId="9879" xr:uid="{00000000-0005-0000-0000-0000DE160000}"/>
    <cellStyle name="20% - Accent4 64 2 3 2" xfId="21167" xr:uid="{00000000-0005-0000-0000-0000DF160000}"/>
    <cellStyle name="20% - Accent4 64 2 4" xfId="7885" xr:uid="{00000000-0005-0000-0000-0000E0160000}"/>
    <cellStyle name="20% - Accent4 64 2 4 2" xfId="19173" xr:uid="{00000000-0005-0000-0000-0000E1160000}"/>
    <cellStyle name="20% - Accent4 64 2 5" xfId="5891" xr:uid="{00000000-0005-0000-0000-0000E2160000}"/>
    <cellStyle name="20% - Accent4 64 2 5 2" xfId="17179" xr:uid="{00000000-0005-0000-0000-0000E3160000}"/>
    <cellStyle name="20% - Accent4 64 2 6" xfId="15185" xr:uid="{00000000-0005-0000-0000-0000E4160000}"/>
    <cellStyle name="20% - Accent4 64 3" xfId="10876" xr:uid="{00000000-0005-0000-0000-0000E5160000}"/>
    <cellStyle name="20% - Accent4 64 3 2" xfId="22164" xr:uid="{00000000-0005-0000-0000-0000E6160000}"/>
    <cellStyle name="20% - Accent4 64 4" xfId="8882" xr:uid="{00000000-0005-0000-0000-0000E7160000}"/>
    <cellStyle name="20% - Accent4 64 4 2" xfId="20170" xr:uid="{00000000-0005-0000-0000-0000E8160000}"/>
    <cellStyle name="20% - Accent4 64 5" xfId="6888" xr:uid="{00000000-0005-0000-0000-0000E9160000}"/>
    <cellStyle name="20% - Accent4 64 5 2" xfId="18176" xr:uid="{00000000-0005-0000-0000-0000EA160000}"/>
    <cellStyle name="20% - Accent4 64 6" xfId="4894" xr:uid="{00000000-0005-0000-0000-0000EB160000}"/>
    <cellStyle name="20% - Accent4 64 6 2" xfId="16182" xr:uid="{00000000-0005-0000-0000-0000EC160000}"/>
    <cellStyle name="20% - Accent4 64 7" xfId="14188" xr:uid="{00000000-0005-0000-0000-0000ED160000}"/>
    <cellStyle name="20% - Accent4 64 8" xfId="12874" xr:uid="{00000000-0005-0000-0000-0000EE160000}"/>
    <cellStyle name="20% - Accent4 65" xfId="939" xr:uid="{00000000-0005-0000-0000-0000EF160000}"/>
    <cellStyle name="20% - Accent4 65 2" xfId="3895" xr:uid="{00000000-0005-0000-0000-0000F0160000}"/>
    <cellStyle name="20% - Accent4 65 2 2" xfId="11874" xr:uid="{00000000-0005-0000-0000-0000F1160000}"/>
    <cellStyle name="20% - Accent4 65 2 2 2" xfId="23162" xr:uid="{00000000-0005-0000-0000-0000F2160000}"/>
    <cellStyle name="20% - Accent4 65 2 3" xfId="9880" xr:uid="{00000000-0005-0000-0000-0000F3160000}"/>
    <cellStyle name="20% - Accent4 65 2 3 2" xfId="21168" xr:uid="{00000000-0005-0000-0000-0000F4160000}"/>
    <cellStyle name="20% - Accent4 65 2 4" xfId="7886" xr:uid="{00000000-0005-0000-0000-0000F5160000}"/>
    <cellStyle name="20% - Accent4 65 2 4 2" xfId="19174" xr:uid="{00000000-0005-0000-0000-0000F6160000}"/>
    <cellStyle name="20% - Accent4 65 2 5" xfId="5892" xr:uid="{00000000-0005-0000-0000-0000F7160000}"/>
    <cellStyle name="20% - Accent4 65 2 5 2" xfId="17180" xr:uid="{00000000-0005-0000-0000-0000F8160000}"/>
    <cellStyle name="20% - Accent4 65 2 6" xfId="15186" xr:uid="{00000000-0005-0000-0000-0000F9160000}"/>
    <cellStyle name="20% - Accent4 65 3" xfId="10877" xr:uid="{00000000-0005-0000-0000-0000FA160000}"/>
    <cellStyle name="20% - Accent4 65 3 2" xfId="22165" xr:uid="{00000000-0005-0000-0000-0000FB160000}"/>
    <cellStyle name="20% - Accent4 65 4" xfId="8883" xr:uid="{00000000-0005-0000-0000-0000FC160000}"/>
    <cellStyle name="20% - Accent4 65 4 2" xfId="20171" xr:uid="{00000000-0005-0000-0000-0000FD160000}"/>
    <cellStyle name="20% - Accent4 65 5" xfId="6889" xr:uid="{00000000-0005-0000-0000-0000FE160000}"/>
    <cellStyle name="20% - Accent4 65 5 2" xfId="18177" xr:uid="{00000000-0005-0000-0000-0000FF160000}"/>
    <cellStyle name="20% - Accent4 65 6" xfId="4895" xr:uid="{00000000-0005-0000-0000-000000170000}"/>
    <cellStyle name="20% - Accent4 65 6 2" xfId="16183" xr:uid="{00000000-0005-0000-0000-000001170000}"/>
    <cellStyle name="20% - Accent4 65 7" xfId="14189" xr:uid="{00000000-0005-0000-0000-000002170000}"/>
    <cellStyle name="20% - Accent4 65 8" xfId="12875" xr:uid="{00000000-0005-0000-0000-000003170000}"/>
    <cellStyle name="20% - Accent4 66" xfId="940" xr:uid="{00000000-0005-0000-0000-000004170000}"/>
    <cellStyle name="20% - Accent4 66 2" xfId="3896" xr:uid="{00000000-0005-0000-0000-000005170000}"/>
    <cellStyle name="20% - Accent4 66 2 2" xfId="11875" xr:uid="{00000000-0005-0000-0000-000006170000}"/>
    <cellStyle name="20% - Accent4 66 2 2 2" xfId="23163" xr:uid="{00000000-0005-0000-0000-000007170000}"/>
    <cellStyle name="20% - Accent4 66 2 3" xfId="9881" xr:uid="{00000000-0005-0000-0000-000008170000}"/>
    <cellStyle name="20% - Accent4 66 2 3 2" xfId="21169" xr:uid="{00000000-0005-0000-0000-000009170000}"/>
    <cellStyle name="20% - Accent4 66 2 4" xfId="7887" xr:uid="{00000000-0005-0000-0000-00000A170000}"/>
    <cellStyle name="20% - Accent4 66 2 4 2" xfId="19175" xr:uid="{00000000-0005-0000-0000-00000B170000}"/>
    <cellStyle name="20% - Accent4 66 2 5" xfId="5893" xr:uid="{00000000-0005-0000-0000-00000C170000}"/>
    <cellStyle name="20% - Accent4 66 2 5 2" xfId="17181" xr:uid="{00000000-0005-0000-0000-00000D170000}"/>
    <cellStyle name="20% - Accent4 66 2 6" xfId="15187" xr:uid="{00000000-0005-0000-0000-00000E170000}"/>
    <cellStyle name="20% - Accent4 66 3" xfId="10878" xr:uid="{00000000-0005-0000-0000-00000F170000}"/>
    <cellStyle name="20% - Accent4 66 3 2" xfId="22166" xr:uid="{00000000-0005-0000-0000-000010170000}"/>
    <cellStyle name="20% - Accent4 66 4" xfId="8884" xr:uid="{00000000-0005-0000-0000-000011170000}"/>
    <cellStyle name="20% - Accent4 66 4 2" xfId="20172" xr:uid="{00000000-0005-0000-0000-000012170000}"/>
    <cellStyle name="20% - Accent4 66 5" xfId="6890" xr:uid="{00000000-0005-0000-0000-000013170000}"/>
    <cellStyle name="20% - Accent4 66 5 2" xfId="18178" xr:uid="{00000000-0005-0000-0000-000014170000}"/>
    <cellStyle name="20% - Accent4 66 6" xfId="4896" xr:uid="{00000000-0005-0000-0000-000015170000}"/>
    <cellStyle name="20% - Accent4 66 6 2" xfId="16184" xr:uid="{00000000-0005-0000-0000-000016170000}"/>
    <cellStyle name="20% - Accent4 66 7" xfId="14190" xr:uid="{00000000-0005-0000-0000-000017170000}"/>
    <cellStyle name="20% - Accent4 66 8" xfId="12876" xr:uid="{00000000-0005-0000-0000-000018170000}"/>
    <cellStyle name="20% - Accent4 67" xfId="941" xr:uid="{00000000-0005-0000-0000-000019170000}"/>
    <cellStyle name="20% - Accent4 67 2" xfId="3897" xr:uid="{00000000-0005-0000-0000-00001A170000}"/>
    <cellStyle name="20% - Accent4 67 2 2" xfId="11876" xr:uid="{00000000-0005-0000-0000-00001B170000}"/>
    <cellStyle name="20% - Accent4 67 2 2 2" xfId="23164" xr:uid="{00000000-0005-0000-0000-00001C170000}"/>
    <cellStyle name="20% - Accent4 67 2 3" xfId="9882" xr:uid="{00000000-0005-0000-0000-00001D170000}"/>
    <cellStyle name="20% - Accent4 67 2 3 2" xfId="21170" xr:uid="{00000000-0005-0000-0000-00001E170000}"/>
    <cellStyle name="20% - Accent4 67 2 4" xfId="7888" xr:uid="{00000000-0005-0000-0000-00001F170000}"/>
    <cellStyle name="20% - Accent4 67 2 4 2" xfId="19176" xr:uid="{00000000-0005-0000-0000-000020170000}"/>
    <cellStyle name="20% - Accent4 67 2 5" xfId="5894" xr:uid="{00000000-0005-0000-0000-000021170000}"/>
    <cellStyle name="20% - Accent4 67 2 5 2" xfId="17182" xr:uid="{00000000-0005-0000-0000-000022170000}"/>
    <cellStyle name="20% - Accent4 67 2 6" xfId="15188" xr:uid="{00000000-0005-0000-0000-000023170000}"/>
    <cellStyle name="20% - Accent4 67 3" xfId="10879" xr:uid="{00000000-0005-0000-0000-000024170000}"/>
    <cellStyle name="20% - Accent4 67 3 2" xfId="22167" xr:uid="{00000000-0005-0000-0000-000025170000}"/>
    <cellStyle name="20% - Accent4 67 4" xfId="8885" xr:uid="{00000000-0005-0000-0000-000026170000}"/>
    <cellStyle name="20% - Accent4 67 4 2" xfId="20173" xr:uid="{00000000-0005-0000-0000-000027170000}"/>
    <cellStyle name="20% - Accent4 67 5" xfId="6891" xr:uid="{00000000-0005-0000-0000-000028170000}"/>
    <cellStyle name="20% - Accent4 67 5 2" xfId="18179" xr:uid="{00000000-0005-0000-0000-000029170000}"/>
    <cellStyle name="20% - Accent4 67 6" xfId="4897" xr:uid="{00000000-0005-0000-0000-00002A170000}"/>
    <cellStyle name="20% - Accent4 67 6 2" xfId="16185" xr:uid="{00000000-0005-0000-0000-00002B170000}"/>
    <cellStyle name="20% - Accent4 67 7" xfId="14191" xr:uid="{00000000-0005-0000-0000-00002C170000}"/>
    <cellStyle name="20% - Accent4 67 8" xfId="12877" xr:uid="{00000000-0005-0000-0000-00002D170000}"/>
    <cellStyle name="20% - Accent4 68" xfId="942" xr:uid="{00000000-0005-0000-0000-00002E170000}"/>
    <cellStyle name="20% - Accent4 68 2" xfId="3898" xr:uid="{00000000-0005-0000-0000-00002F170000}"/>
    <cellStyle name="20% - Accent4 68 2 2" xfId="11877" xr:uid="{00000000-0005-0000-0000-000030170000}"/>
    <cellStyle name="20% - Accent4 68 2 2 2" xfId="23165" xr:uid="{00000000-0005-0000-0000-000031170000}"/>
    <cellStyle name="20% - Accent4 68 2 3" xfId="9883" xr:uid="{00000000-0005-0000-0000-000032170000}"/>
    <cellStyle name="20% - Accent4 68 2 3 2" xfId="21171" xr:uid="{00000000-0005-0000-0000-000033170000}"/>
    <cellStyle name="20% - Accent4 68 2 4" xfId="7889" xr:uid="{00000000-0005-0000-0000-000034170000}"/>
    <cellStyle name="20% - Accent4 68 2 4 2" xfId="19177" xr:uid="{00000000-0005-0000-0000-000035170000}"/>
    <cellStyle name="20% - Accent4 68 2 5" xfId="5895" xr:uid="{00000000-0005-0000-0000-000036170000}"/>
    <cellStyle name="20% - Accent4 68 2 5 2" xfId="17183" xr:uid="{00000000-0005-0000-0000-000037170000}"/>
    <cellStyle name="20% - Accent4 68 2 6" xfId="15189" xr:uid="{00000000-0005-0000-0000-000038170000}"/>
    <cellStyle name="20% - Accent4 68 3" xfId="10880" xr:uid="{00000000-0005-0000-0000-000039170000}"/>
    <cellStyle name="20% - Accent4 68 3 2" xfId="22168" xr:uid="{00000000-0005-0000-0000-00003A170000}"/>
    <cellStyle name="20% - Accent4 68 4" xfId="8886" xr:uid="{00000000-0005-0000-0000-00003B170000}"/>
    <cellStyle name="20% - Accent4 68 4 2" xfId="20174" xr:uid="{00000000-0005-0000-0000-00003C170000}"/>
    <cellStyle name="20% - Accent4 68 5" xfId="6892" xr:uid="{00000000-0005-0000-0000-00003D170000}"/>
    <cellStyle name="20% - Accent4 68 5 2" xfId="18180" xr:uid="{00000000-0005-0000-0000-00003E170000}"/>
    <cellStyle name="20% - Accent4 68 6" xfId="4898" xr:uid="{00000000-0005-0000-0000-00003F170000}"/>
    <cellStyle name="20% - Accent4 68 6 2" xfId="16186" xr:uid="{00000000-0005-0000-0000-000040170000}"/>
    <cellStyle name="20% - Accent4 68 7" xfId="14192" xr:uid="{00000000-0005-0000-0000-000041170000}"/>
    <cellStyle name="20% - Accent4 68 8" xfId="12878" xr:uid="{00000000-0005-0000-0000-000042170000}"/>
    <cellStyle name="20% - Accent4 69" xfId="943" xr:uid="{00000000-0005-0000-0000-000043170000}"/>
    <cellStyle name="20% - Accent4 69 2" xfId="3899" xr:uid="{00000000-0005-0000-0000-000044170000}"/>
    <cellStyle name="20% - Accent4 69 2 2" xfId="11878" xr:uid="{00000000-0005-0000-0000-000045170000}"/>
    <cellStyle name="20% - Accent4 69 2 2 2" xfId="23166" xr:uid="{00000000-0005-0000-0000-000046170000}"/>
    <cellStyle name="20% - Accent4 69 2 3" xfId="9884" xr:uid="{00000000-0005-0000-0000-000047170000}"/>
    <cellStyle name="20% - Accent4 69 2 3 2" xfId="21172" xr:uid="{00000000-0005-0000-0000-000048170000}"/>
    <cellStyle name="20% - Accent4 69 2 4" xfId="7890" xr:uid="{00000000-0005-0000-0000-000049170000}"/>
    <cellStyle name="20% - Accent4 69 2 4 2" xfId="19178" xr:uid="{00000000-0005-0000-0000-00004A170000}"/>
    <cellStyle name="20% - Accent4 69 2 5" xfId="5896" xr:uid="{00000000-0005-0000-0000-00004B170000}"/>
    <cellStyle name="20% - Accent4 69 2 5 2" xfId="17184" xr:uid="{00000000-0005-0000-0000-00004C170000}"/>
    <cellStyle name="20% - Accent4 69 2 6" xfId="15190" xr:uid="{00000000-0005-0000-0000-00004D170000}"/>
    <cellStyle name="20% - Accent4 69 3" xfId="10881" xr:uid="{00000000-0005-0000-0000-00004E170000}"/>
    <cellStyle name="20% - Accent4 69 3 2" xfId="22169" xr:uid="{00000000-0005-0000-0000-00004F170000}"/>
    <cellStyle name="20% - Accent4 69 4" xfId="8887" xr:uid="{00000000-0005-0000-0000-000050170000}"/>
    <cellStyle name="20% - Accent4 69 4 2" xfId="20175" xr:uid="{00000000-0005-0000-0000-000051170000}"/>
    <cellStyle name="20% - Accent4 69 5" xfId="6893" xr:uid="{00000000-0005-0000-0000-000052170000}"/>
    <cellStyle name="20% - Accent4 69 5 2" xfId="18181" xr:uid="{00000000-0005-0000-0000-000053170000}"/>
    <cellStyle name="20% - Accent4 69 6" xfId="4899" xr:uid="{00000000-0005-0000-0000-000054170000}"/>
    <cellStyle name="20% - Accent4 69 6 2" xfId="16187" xr:uid="{00000000-0005-0000-0000-000055170000}"/>
    <cellStyle name="20% - Accent4 69 7" xfId="14193" xr:uid="{00000000-0005-0000-0000-000056170000}"/>
    <cellStyle name="20% - Accent4 69 8" xfId="12879" xr:uid="{00000000-0005-0000-0000-000057170000}"/>
    <cellStyle name="20% - Accent4 7" xfId="944" xr:uid="{00000000-0005-0000-0000-000058170000}"/>
    <cellStyle name="20% - Accent4 7 10" xfId="24582" xr:uid="{00000000-0005-0000-0000-000059170000}"/>
    <cellStyle name="20% - Accent4 7 11" xfId="24972" xr:uid="{00000000-0005-0000-0000-00005A170000}"/>
    <cellStyle name="20% - Accent4 7 2" xfId="3900" xr:uid="{00000000-0005-0000-0000-00005B170000}"/>
    <cellStyle name="20% - Accent4 7 2 2" xfId="11879" xr:uid="{00000000-0005-0000-0000-00005C170000}"/>
    <cellStyle name="20% - Accent4 7 2 2 2" xfId="23167" xr:uid="{00000000-0005-0000-0000-00005D170000}"/>
    <cellStyle name="20% - Accent4 7 2 3" xfId="9885" xr:uid="{00000000-0005-0000-0000-00005E170000}"/>
    <cellStyle name="20% - Accent4 7 2 3 2" xfId="21173" xr:uid="{00000000-0005-0000-0000-00005F170000}"/>
    <cellStyle name="20% - Accent4 7 2 4" xfId="7891" xr:uid="{00000000-0005-0000-0000-000060170000}"/>
    <cellStyle name="20% - Accent4 7 2 4 2" xfId="19179" xr:uid="{00000000-0005-0000-0000-000061170000}"/>
    <cellStyle name="20% - Accent4 7 2 5" xfId="5897" xr:uid="{00000000-0005-0000-0000-000062170000}"/>
    <cellStyle name="20% - Accent4 7 2 5 2" xfId="17185" xr:uid="{00000000-0005-0000-0000-000063170000}"/>
    <cellStyle name="20% - Accent4 7 2 6" xfId="15191" xr:uid="{00000000-0005-0000-0000-000064170000}"/>
    <cellStyle name="20% - Accent4 7 2 7" xfId="24343" xr:uid="{00000000-0005-0000-0000-000065170000}"/>
    <cellStyle name="20% - Accent4 7 2 8" xfId="24807" xr:uid="{00000000-0005-0000-0000-000066170000}"/>
    <cellStyle name="20% - Accent4 7 2 9" xfId="25174" xr:uid="{00000000-0005-0000-0000-000067170000}"/>
    <cellStyle name="20% - Accent4 7 3" xfId="10882" xr:uid="{00000000-0005-0000-0000-000068170000}"/>
    <cellStyle name="20% - Accent4 7 3 2" xfId="22170" xr:uid="{00000000-0005-0000-0000-000069170000}"/>
    <cellStyle name="20% - Accent4 7 4" xfId="8888" xr:uid="{00000000-0005-0000-0000-00006A170000}"/>
    <cellStyle name="20% - Accent4 7 4 2" xfId="20176" xr:uid="{00000000-0005-0000-0000-00006B170000}"/>
    <cellStyle name="20% - Accent4 7 5" xfId="6894" xr:uid="{00000000-0005-0000-0000-00006C170000}"/>
    <cellStyle name="20% - Accent4 7 5 2" xfId="18182" xr:uid="{00000000-0005-0000-0000-00006D170000}"/>
    <cellStyle name="20% - Accent4 7 6" xfId="4900" xr:uid="{00000000-0005-0000-0000-00006E170000}"/>
    <cellStyle name="20% - Accent4 7 6 2" xfId="16188" xr:uid="{00000000-0005-0000-0000-00006F170000}"/>
    <cellStyle name="20% - Accent4 7 7" xfId="14194" xr:uid="{00000000-0005-0000-0000-000070170000}"/>
    <cellStyle name="20% - Accent4 7 8" xfId="12880" xr:uid="{00000000-0005-0000-0000-000071170000}"/>
    <cellStyle name="20% - Accent4 7 9" xfId="23955" xr:uid="{00000000-0005-0000-0000-000072170000}"/>
    <cellStyle name="20% - Accent4 70" xfId="945" xr:uid="{00000000-0005-0000-0000-000073170000}"/>
    <cellStyle name="20% - Accent4 70 2" xfId="3901" xr:uid="{00000000-0005-0000-0000-000074170000}"/>
    <cellStyle name="20% - Accent4 70 2 2" xfId="11880" xr:uid="{00000000-0005-0000-0000-000075170000}"/>
    <cellStyle name="20% - Accent4 70 2 2 2" xfId="23168" xr:uid="{00000000-0005-0000-0000-000076170000}"/>
    <cellStyle name="20% - Accent4 70 2 3" xfId="9886" xr:uid="{00000000-0005-0000-0000-000077170000}"/>
    <cellStyle name="20% - Accent4 70 2 3 2" xfId="21174" xr:uid="{00000000-0005-0000-0000-000078170000}"/>
    <cellStyle name="20% - Accent4 70 2 4" xfId="7892" xr:uid="{00000000-0005-0000-0000-000079170000}"/>
    <cellStyle name="20% - Accent4 70 2 4 2" xfId="19180" xr:uid="{00000000-0005-0000-0000-00007A170000}"/>
    <cellStyle name="20% - Accent4 70 2 5" xfId="5898" xr:uid="{00000000-0005-0000-0000-00007B170000}"/>
    <cellStyle name="20% - Accent4 70 2 5 2" xfId="17186" xr:uid="{00000000-0005-0000-0000-00007C170000}"/>
    <cellStyle name="20% - Accent4 70 2 6" xfId="15192" xr:uid="{00000000-0005-0000-0000-00007D170000}"/>
    <cellStyle name="20% - Accent4 70 3" xfId="10883" xr:uid="{00000000-0005-0000-0000-00007E170000}"/>
    <cellStyle name="20% - Accent4 70 3 2" xfId="22171" xr:uid="{00000000-0005-0000-0000-00007F170000}"/>
    <cellStyle name="20% - Accent4 70 4" xfId="8889" xr:uid="{00000000-0005-0000-0000-000080170000}"/>
    <cellStyle name="20% - Accent4 70 4 2" xfId="20177" xr:uid="{00000000-0005-0000-0000-000081170000}"/>
    <cellStyle name="20% - Accent4 70 5" xfId="6895" xr:uid="{00000000-0005-0000-0000-000082170000}"/>
    <cellStyle name="20% - Accent4 70 5 2" xfId="18183" xr:uid="{00000000-0005-0000-0000-000083170000}"/>
    <cellStyle name="20% - Accent4 70 6" xfId="4901" xr:uid="{00000000-0005-0000-0000-000084170000}"/>
    <cellStyle name="20% - Accent4 70 6 2" xfId="16189" xr:uid="{00000000-0005-0000-0000-000085170000}"/>
    <cellStyle name="20% - Accent4 70 7" xfId="14195" xr:uid="{00000000-0005-0000-0000-000086170000}"/>
    <cellStyle name="20% - Accent4 70 8" xfId="12881" xr:uid="{00000000-0005-0000-0000-000087170000}"/>
    <cellStyle name="20% - Accent4 71" xfId="946" xr:uid="{00000000-0005-0000-0000-000088170000}"/>
    <cellStyle name="20% - Accent4 71 2" xfId="3902" xr:uid="{00000000-0005-0000-0000-000089170000}"/>
    <cellStyle name="20% - Accent4 71 2 2" xfId="11881" xr:uid="{00000000-0005-0000-0000-00008A170000}"/>
    <cellStyle name="20% - Accent4 71 2 2 2" xfId="23169" xr:uid="{00000000-0005-0000-0000-00008B170000}"/>
    <cellStyle name="20% - Accent4 71 2 3" xfId="9887" xr:uid="{00000000-0005-0000-0000-00008C170000}"/>
    <cellStyle name="20% - Accent4 71 2 3 2" xfId="21175" xr:uid="{00000000-0005-0000-0000-00008D170000}"/>
    <cellStyle name="20% - Accent4 71 2 4" xfId="7893" xr:uid="{00000000-0005-0000-0000-00008E170000}"/>
    <cellStyle name="20% - Accent4 71 2 4 2" xfId="19181" xr:uid="{00000000-0005-0000-0000-00008F170000}"/>
    <cellStyle name="20% - Accent4 71 2 5" xfId="5899" xr:uid="{00000000-0005-0000-0000-000090170000}"/>
    <cellStyle name="20% - Accent4 71 2 5 2" xfId="17187" xr:uid="{00000000-0005-0000-0000-000091170000}"/>
    <cellStyle name="20% - Accent4 71 2 6" xfId="15193" xr:uid="{00000000-0005-0000-0000-000092170000}"/>
    <cellStyle name="20% - Accent4 71 3" xfId="10884" xr:uid="{00000000-0005-0000-0000-000093170000}"/>
    <cellStyle name="20% - Accent4 71 3 2" xfId="22172" xr:uid="{00000000-0005-0000-0000-000094170000}"/>
    <cellStyle name="20% - Accent4 71 4" xfId="8890" xr:uid="{00000000-0005-0000-0000-000095170000}"/>
    <cellStyle name="20% - Accent4 71 4 2" xfId="20178" xr:uid="{00000000-0005-0000-0000-000096170000}"/>
    <cellStyle name="20% - Accent4 71 5" xfId="6896" xr:uid="{00000000-0005-0000-0000-000097170000}"/>
    <cellStyle name="20% - Accent4 71 5 2" xfId="18184" xr:uid="{00000000-0005-0000-0000-000098170000}"/>
    <cellStyle name="20% - Accent4 71 6" xfId="4902" xr:uid="{00000000-0005-0000-0000-000099170000}"/>
    <cellStyle name="20% - Accent4 71 6 2" xfId="16190" xr:uid="{00000000-0005-0000-0000-00009A170000}"/>
    <cellStyle name="20% - Accent4 71 7" xfId="14196" xr:uid="{00000000-0005-0000-0000-00009B170000}"/>
    <cellStyle name="20% - Accent4 71 8" xfId="12882" xr:uid="{00000000-0005-0000-0000-00009C170000}"/>
    <cellStyle name="20% - Accent4 72" xfId="947" xr:uid="{00000000-0005-0000-0000-00009D170000}"/>
    <cellStyle name="20% - Accent4 72 2" xfId="3903" xr:uid="{00000000-0005-0000-0000-00009E170000}"/>
    <cellStyle name="20% - Accent4 72 2 2" xfId="11882" xr:uid="{00000000-0005-0000-0000-00009F170000}"/>
    <cellStyle name="20% - Accent4 72 2 2 2" xfId="23170" xr:uid="{00000000-0005-0000-0000-0000A0170000}"/>
    <cellStyle name="20% - Accent4 72 2 3" xfId="9888" xr:uid="{00000000-0005-0000-0000-0000A1170000}"/>
    <cellStyle name="20% - Accent4 72 2 3 2" xfId="21176" xr:uid="{00000000-0005-0000-0000-0000A2170000}"/>
    <cellStyle name="20% - Accent4 72 2 4" xfId="7894" xr:uid="{00000000-0005-0000-0000-0000A3170000}"/>
    <cellStyle name="20% - Accent4 72 2 4 2" xfId="19182" xr:uid="{00000000-0005-0000-0000-0000A4170000}"/>
    <cellStyle name="20% - Accent4 72 2 5" xfId="5900" xr:uid="{00000000-0005-0000-0000-0000A5170000}"/>
    <cellStyle name="20% - Accent4 72 2 5 2" xfId="17188" xr:uid="{00000000-0005-0000-0000-0000A6170000}"/>
    <cellStyle name="20% - Accent4 72 2 6" xfId="15194" xr:uid="{00000000-0005-0000-0000-0000A7170000}"/>
    <cellStyle name="20% - Accent4 72 3" xfId="10885" xr:uid="{00000000-0005-0000-0000-0000A8170000}"/>
    <cellStyle name="20% - Accent4 72 3 2" xfId="22173" xr:uid="{00000000-0005-0000-0000-0000A9170000}"/>
    <cellStyle name="20% - Accent4 72 4" xfId="8891" xr:uid="{00000000-0005-0000-0000-0000AA170000}"/>
    <cellStyle name="20% - Accent4 72 4 2" xfId="20179" xr:uid="{00000000-0005-0000-0000-0000AB170000}"/>
    <cellStyle name="20% - Accent4 72 5" xfId="6897" xr:uid="{00000000-0005-0000-0000-0000AC170000}"/>
    <cellStyle name="20% - Accent4 72 5 2" xfId="18185" xr:uid="{00000000-0005-0000-0000-0000AD170000}"/>
    <cellStyle name="20% - Accent4 72 6" xfId="4903" xr:uid="{00000000-0005-0000-0000-0000AE170000}"/>
    <cellStyle name="20% - Accent4 72 6 2" xfId="16191" xr:uid="{00000000-0005-0000-0000-0000AF170000}"/>
    <cellStyle name="20% - Accent4 72 7" xfId="14197" xr:uid="{00000000-0005-0000-0000-0000B0170000}"/>
    <cellStyle name="20% - Accent4 72 8" xfId="12883" xr:uid="{00000000-0005-0000-0000-0000B1170000}"/>
    <cellStyle name="20% - Accent4 8" xfId="948" xr:uid="{00000000-0005-0000-0000-0000B2170000}"/>
    <cellStyle name="20% - Accent4 8 2" xfId="3904" xr:uid="{00000000-0005-0000-0000-0000B3170000}"/>
    <cellStyle name="20% - Accent4 8 2 2" xfId="11883" xr:uid="{00000000-0005-0000-0000-0000B4170000}"/>
    <cellStyle name="20% - Accent4 8 2 2 2" xfId="23171" xr:uid="{00000000-0005-0000-0000-0000B5170000}"/>
    <cellStyle name="20% - Accent4 8 2 3" xfId="9889" xr:uid="{00000000-0005-0000-0000-0000B6170000}"/>
    <cellStyle name="20% - Accent4 8 2 3 2" xfId="21177" xr:uid="{00000000-0005-0000-0000-0000B7170000}"/>
    <cellStyle name="20% - Accent4 8 2 4" xfId="7895" xr:uid="{00000000-0005-0000-0000-0000B8170000}"/>
    <cellStyle name="20% - Accent4 8 2 4 2" xfId="19183" xr:uid="{00000000-0005-0000-0000-0000B9170000}"/>
    <cellStyle name="20% - Accent4 8 2 5" xfId="5901" xr:uid="{00000000-0005-0000-0000-0000BA170000}"/>
    <cellStyle name="20% - Accent4 8 2 5 2" xfId="17189" xr:uid="{00000000-0005-0000-0000-0000BB170000}"/>
    <cellStyle name="20% - Accent4 8 2 6" xfId="15195" xr:uid="{00000000-0005-0000-0000-0000BC170000}"/>
    <cellStyle name="20% - Accent4 8 3" xfId="10886" xr:uid="{00000000-0005-0000-0000-0000BD170000}"/>
    <cellStyle name="20% - Accent4 8 3 2" xfId="22174" xr:uid="{00000000-0005-0000-0000-0000BE170000}"/>
    <cellStyle name="20% - Accent4 8 4" xfId="8892" xr:uid="{00000000-0005-0000-0000-0000BF170000}"/>
    <cellStyle name="20% - Accent4 8 4 2" xfId="20180" xr:uid="{00000000-0005-0000-0000-0000C0170000}"/>
    <cellStyle name="20% - Accent4 8 5" xfId="6898" xr:uid="{00000000-0005-0000-0000-0000C1170000}"/>
    <cellStyle name="20% - Accent4 8 5 2" xfId="18186" xr:uid="{00000000-0005-0000-0000-0000C2170000}"/>
    <cellStyle name="20% - Accent4 8 6" xfId="4904" xr:uid="{00000000-0005-0000-0000-0000C3170000}"/>
    <cellStyle name="20% - Accent4 8 6 2" xfId="16192" xr:uid="{00000000-0005-0000-0000-0000C4170000}"/>
    <cellStyle name="20% - Accent4 8 7" xfId="14198" xr:uid="{00000000-0005-0000-0000-0000C5170000}"/>
    <cellStyle name="20% - Accent4 8 8" xfId="12884" xr:uid="{00000000-0005-0000-0000-0000C6170000}"/>
    <cellStyle name="20% - Accent4 9" xfId="949" xr:uid="{00000000-0005-0000-0000-0000C7170000}"/>
    <cellStyle name="20% - Accent4 9 2" xfId="3905" xr:uid="{00000000-0005-0000-0000-0000C8170000}"/>
    <cellStyle name="20% - Accent4 9 2 2" xfId="11884" xr:uid="{00000000-0005-0000-0000-0000C9170000}"/>
    <cellStyle name="20% - Accent4 9 2 2 2" xfId="23172" xr:uid="{00000000-0005-0000-0000-0000CA170000}"/>
    <cellStyle name="20% - Accent4 9 2 3" xfId="9890" xr:uid="{00000000-0005-0000-0000-0000CB170000}"/>
    <cellStyle name="20% - Accent4 9 2 3 2" xfId="21178" xr:uid="{00000000-0005-0000-0000-0000CC170000}"/>
    <cellStyle name="20% - Accent4 9 2 4" xfId="7896" xr:uid="{00000000-0005-0000-0000-0000CD170000}"/>
    <cellStyle name="20% - Accent4 9 2 4 2" xfId="19184" xr:uid="{00000000-0005-0000-0000-0000CE170000}"/>
    <cellStyle name="20% - Accent4 9 2 5" xfId="5902" xr:uid="{00000000-0005-0000-0000-0000CF170000}"/>
    <cellStyle name="20% - Accent4 9 2 5 2" xfId="17190" xr:uid="{00000000-0005-0000-0000-0000D0170000}"/>
    <cellStyle name="20% - Accent4 9 2 6" xfId="15196" xr:uid="{00000000-0005-0000-0000-0000D1170000}"/>
    <cellStyle name="20% - Accent4 9 3" xfId="10887" xr:uid="{00000000-0005-0000-0000-0000D2170000}"/>
    <cellStyle name="20% - Accent4 9 3 2" xfId="22175" xr:uid="{00000000-0005-0000-0000-0000D3170000}"/>
    <cellStyle name="20% - Accent4 9 4" xfId="8893" xr:uid="{00000000-0005-0000-0000-0000D4170000}"/>
    <cellStyle name="20% - Accent4 9 4 2" xfId="20181" xr:uid="{00000000-0005-0000-0000-0000D5170000}"/>
    <cellStyle name="20% - Accent4 9 5" xfId="6899" xr:uid="{00000000-0005-0000-0000-0000D6170000}"/>
    <cellStyle name="20% - Accent4 9 5 2" xfId="18187" xr:uid="{00000000-0005-0000-0000-0000D7170000}"/>
    <cellStyle name="20% - Accent4 9 6" xfId="4905" xr:uid="{00000000-0005-0000-0000-0000D8170000}"/>
    <cellStyle name="20% - Accent4 9 6 2" xfId="16193" xr:uid="{00000000-0005-0000-0000-0000D9170000}"/>
    <cellStyle name="20% - Accent4 9 7" xfId="14199" xr:uid="{00000000-0005-0000-0000-0000DA170000}"/>
    <cellStyle name="20% - Accent4 9 8" xfId="12885" xr:uid="{00000000-0005-0000-0000-0000DB170000}"/>
    <cellStyle name="20% - Accent5 10" xfId="950" xr:uid="{00000000-0005-0000-0000-0000DC170000}"/>
    <cellStyle name="20% - Accent5 10 2" xfId="3906" xr:uid="{00000000-0005-0000-0000-0000DD170000}"/>
    <cellStyle name="20% - Accent5 10 2 2" xfId="11885" xr:uid="{00000000-0005-0000-0000-0000DE170000}"/>
    <cellStyle name="20% - Accent5 10 2 2 2" xfId="23173" xr:uid="{00000000-0005-0000-0000-0000DF170000}"/>
    <cellStyle name="20% - Accent5 10 2 3" xfId="9891" xr:uid="{00000000-0005-0000-0000-0000E0170000}"/>
    <cellStyle name="20% - Accent5 10 2 3 2" xfId="21179" xr:uid="{00000000-0005-0000-0000-0000E1170000}"/>
    <cellStyle name="20% - Accent5 10 2 4" xfId="7897" xr:uid="{00000000-0005-0000-0000-0000E2170000}"/>
    <cellStyle name="20% - Accent5 10 2 4 2" xfId="19185" xr:uid="{00000000-0005-0000-0000-0000E3170000}"/>
    <cellStyle name="20% - Accent5 10 2 5" xfId="5903" xr:uid="{00000000-0005-0000-0000-0000E4170000}"/>
    <cellStyle name="20% - Accent5 10 2 5 2" xfId="17191" xr:uid="{00000000-0005-0000-0000-0000E5170000}"/>
    <cellStyle name="20% - Accent5 10 2 6" xfId="15197" xr:uid="{00000000-0005-0000-0000-0000E6170000}"/>
    <cellStyle name="20% - Accent5 10 3" xfId="10888" xr:uid="{00000000-0005-0000-0000-0000E7170000}"/>
    <cellStyle name="20% - Accent5 10 3 2" xfId="22176" xr:uid="{00000000-0005-0000-0000-0000E8170000}"/>
    <cellStyle name="20% - Accent5 10 4" xfId="8894" xr:uid="{00000000-0005-0000-0000-0000E9170000}"/>
    <cellStyle name="20% - Accent5 10 4 2" xfId="20182" xr:uid="{00000000-0005-0000-0000-0000EA170000}"/>
    <cellStyle name="20% - Accent5 10 5" xfId="6900" xr:uid="{00000000-0005-0000-0000-0000EB170000}"/>
    <cellStyle name="20% - Accent5 10 5 2" xfId="18188" xr:uid="{00000000-0005-0000-0000-0000EC170000}"/>
    <cellStyle name="20% - Accent5 10 6" xfId="4906" xr:uid="{00000000-0005-0000-0000-0000ED170000}"/>
    <cellStyle name="20% - Accent5 10 6 2" xfId="16194" xr:uid="{00000000-0005-0000-0000-0000EE170000}"/>
    <cellStyle name="20% - Accent5 10 7" xfId="14200" xr:uid="{00000000-0005-0000-0000-0000EF170000}"/>
    <cellStyle name="20% - Accent5 10 8" xfId="12886" xr:uid="{00000000-0005-0000-0000-0000F0170000}"/>
    <cellStyle name="20% - Accent5 11" xfId="951" xr:uid="{00000000-0005-0000-0000-0000F1170000}"/>
    <cellStyle name="20% - Accent5 11 2" xfId="3907" xr:uid="{00000000-0005-0000-0000-0000F2170000}"/>
    <cellStyle name="20% - Accent5 11 2 2" xfId="11886" xr:uid="{00000000-0005-0000-0000-0000F3170000}"/>
    <cellStyle name="20% - Accent5 11 2 2 2" xfId="23174" xr:uid="{00000000-0005-0000-0000-0000F4170000}"/>
    <cellStyle name="20% - Accent5 11 2 3" xfId="9892" xr:uid="{00000000-0005-0000-0000-0000F5170000}"/>
    <cellStyle name="20% - Accent5 11 2 3 2" xfId="21180" xr:uid="{00000000-0005-0000-0000-0000F6170000}"/>
    <cellStyle name="20% - Accent5 11 2 4" xfId="7898" xr:uid="{00000000-0005-0000-0000-0000F7170000}"/>
    <cellStyle name="20% - Accent5 11 2 4 2" xfId="19186" xr:uid="{00000000-0005-0000-0000-0000F8170000}"/>
    <cellStyle name="20% - Accent5 11 2 5" xfId="5904" xr:uid="{00000000-0005-0000-0000-0000F9170000}"/>
    <cellStyle name="20% - Accent5 11 2 5 2" xfId="17192" xr:uid="{00000000-0005-0000-0000-0000FA170000}"/>
    <cellStyle name="20% - Accent5 11 2 6" xfId="15198" xr:uid="{00000000-0005-0000-0000-0000FB170000}"/>
    <cellStyle name="20% - Accent5 11 3" xfId="10889" xr:uid="{00000000-0005-0000-0000-0000FC170000}"/>
    <cellStyle name="20% - Accent5 11 3 2" xfId="22177" xr:uid="{00000000-0005-0000-0000-0000FD170000}"/>
    <cellStyle name="20% - Accent5 11 4" xfId="8895" xr:uid="{00000000-0005-0000-0000-0000FE170000}"/>
    <cellStyle name="20% - Accent5 11 4 2" xfId="20183" xr:uid="{00000000-0005-0000-0000-0000FF170000}"/>
    <cellStyle name="20% - Accent5 11 5" xfId="6901" xr:uid="{00000000-0005-0000-0000-000000180000}"/>
    <cellStyle name="20% - Accent5 11 5 2" xfId="18189" xr:uid="{00000000-0005-0000-0000-000001180000}"/>
    <cellStyle name="20% - Accent5 11 6" xfId="4907" xr:uid="{00000000-0005-0000-0000-000002180000}"/>
    <cellStyle name="20% - Accent5 11 6 2" xfId="16195" xr:uid="{00000000-0005-0000-0000-000003180000}"/>
    <cellStyle name="20% - Accent5 11 7" xfId="14201" xr:uid="{00000000-0005-0000-0000-000004180000}"/>
    <cellStyle name="20% - Accent5 11 8" xfId="12887" xr:uid="{00000000-0005-0000-0000-000005180000}"/>
    <cellStyle name="20% - Accent5 12" xfId="952" xr:uid="{00000000-0005-0000-0000-000006180000}"/>
    <cellStyle name="20% - Accent5 12 2" xfId="3908" xr:uid="{00000000-0005-0000-0000-000007180000}"/>
    <cellStyle name="20% - Accent5 12 2 2" xfId="11887" xr:uid="{00000000-0005-0000-0000-000008180000}"/>
    <cellStyle name="20% - Accent5 12 2 2 2" xfId="23175" xr:uid="{00000000-0005-0000-0000-000009180000}"/>
    <cellStyle name="20% - Accent5 12 2 3" xfId="9893" xr:uid="{00000000-0005-0000-0000-00000A180000}"/>
    <cellStyle name="20% - Accent5 12 2 3 2" xfId="21181" xr:uid="{00000000-0005-0000-0000-00000B180000}"/>
    <cellStyle name="20% - Accent5 12 2 4" xfId="7899" xr:uid="{00000000-0005-0000-0000-00000C180000}"/>
    <cellStyle name="20% - Accent5 12 2 4 2" xfId="19187" xr:uid="{00000000-0005-0000-0000-00000D180000}"/>
    <cellStyle name="20% - Accent5 12 2 5" xfId="5905" xr:uid="{00000000-0005-0000-0000-00000E180000}"/>
    <cellStyle name="20% - Accent5 12 2 5 2" xfId="17193" xr:uid="{00000000-0005-0000-0000-00000F180000}"/>
    <cellStyle name="20% - Accent5 12 2 6" xfId="15199" xr:uid="{00000000-0005-0000-0000-000010180000}"/>
    <cellStyle name="20% - Accent5 12 3" xfId="10890" xr:uid="{00000000-0005-0000-0000-000011180000}"/>
    <cellStyle name="20% - Accent5 12 3 2" xfId="22178" xr:uid="{00000000-0005-0000-0000-000012180000}"/>
    <cellStyle name="20% - Accent5 12 4" xfId="8896" xr:uid="{00000000-0005-0000-0000-000013180000}"/>
    <cellStyle name="20% - Accent5 12 4 2" xfId="20184" xr:uid="{00000000-0005-0000-0000-000014180000}"/>
    <cellStyle name="20% - Accent5 12 5" xfId="6902" xr:uid="{00000000-0005-0000-0000-000015180000}"/>
    <cellStyle name="20% - Accent5 12 5 2" xfId="18190" xr:uid="{00000000-0005-0000-0000-000016180000}"/>
    <cellStyle name="20% - Accent5 12 6" xfId="4908" xr:uid="{00000000-0005-0000-0000-000017180000}"/>
    <cellStyle name="20% - Accent5 12 6 2" xfId="16196" xr:uid="{00000000-0005-0000-0000-000018180000}"/>
    <cellStyle name="20% - Accent5 12 7" xfId="14202" xr:uid="{00000000-0005-0000-0000-000019180000}"/>
    <cellStyle name="20% - Accent5 12 8" xfId="12888" xr:uid="{00000000-0005-0000-0000-00001A180000}"/>
    <cellStyle name="20% - Accent5 13" xfId="953" xr:uid="{00000000-0005-0000-0000-00001B180000}"/>
    <cellStyle name="20% - Accent5 13 2" xfId="3909" xr:uid="{00000000-0005-0000-0000-00001C180000}"/>
    <cellStyle name="20% - Accent5 13 2 2" xfId="11888" xr:uid="{00000000-0005-0000-0000-00001D180000}"/>
    <cellStyle name="20% - Accent5 13 2 2 2" xfId="23176" xr:uid="{00000000-0005-0000-0000-00001E180000}"/>
    <cellStyle name="20% - Accent5 13 2 3" xfId="9894" xr:uid="{00000000-0005-0000-0000-00001F180000}"/>
    <cellStyle name="20% - Accent5 13 2 3 2" xfId="21182" xr:uid="{00000000-0005-0000-0000-000020180000}"/>
    <cellStyle name="20% - Accent5 13 2 4" xfId="7900" xr:uid="{00000000-0005-0000-0000-000021180000}"/>
    <cellStyle name="20% - Accent5 13 2 4 2" xfId="19188" xr:uid="{00000000-0005-0000-0000-000022180000}"/>
    <cellStyle name="20% - Accent5 13 2 5" xfId="5906" xr:uid="{00000000-0005-0000-0000-000023180000}"/>
    <cellStyle name="20% - Accent5 13 2 5 2" xfId="17194" xr:uid="{00000000-0005-0000-0000-000024180000}"/>
    <cellStyle name="20% - Accent5 13 2 6" xfId="15200" xr:uid="{00000000-0005-0000-0000-000025180000}"/>
    <cellStyle name="20% - Accent5 13 3" xfId="10891" xr:uid="{00000000-0005-0000-0000-000026180000}"/>
    <cellStyle name="20% - Accent5 13 3 2" xfId="22179" xr:uid="{00000000-0005-0000-0000-000027180000}"/>
    <cellStyle name="20% - Accent5 13 4" xfId="8897" xr:uid="{00000000-0005-0000-0000-000028180000}"/>
    <cellStyle name="20% - Accent5 13 4 2" xfId="20185" xr:uid="{00000000-0005-0000-0000-000029180000}"/>
    <cellStyle name="20% - Accent5 13 5" xfId="6903" xr:uid="{00000000-0005-0000-0000-00002A180000}"/>
    <cellStyle name="20% - Accent5 13 5 2" xfId="18191" xr:uid="{00000000-0005-0000-0000-00002B180000}"/>
    <cellStyle name="20% - Accent5 13 6" xfId="4909" xr:uid="{00000000-0005-0000-0000-00002C180000}"/>
    <cellStyle name="20% - Accent5 13 6 2" xfId="16197" xr:uid="{00000000-0005-0000-0000-00002D180000}"/>
    <cellStyle name="20% - Accent5 13 7" xfId="14203" xr:uid="{00000000-0005-0000-0000-00002E180000}"/>
    <cellStyle name="20% - Accent5 13 8" xfId="12889" xr:uid="{00000000-0005-0000-0000-00002F180000}"/>
    <cellStyle name="20% - Accent5 14" xfId="954" xr:uid="{00000000-0005-0000-0000-000030180000}"/>
    <cellStyle name="20% - Accent5 14 2" xfId="3910" xr:uid="{00000000-0005-0000-0000-000031180000}"/>
    <cellStyle name="20% - Accent5 14 2 2" xfId="11889" xr:uid="{00000000-0005-0000-0000-000032180000}"/>
    <cellStyle name="20% - Accent5 14 2 2 2" xfId="23177" xr:uid="{00000000-0005-0000-0000-000033180000}"/>
    <cellStyle name="20% - Accent5 14 2 3" xfId="9895" xr:uid="{00000000-0005-0000-0000-000034180000}"/>
    <cellStyle name="20% - Accent5 14 2 3 2" xfId="21183" xr:uid="{00000000-0005-0000-0000-000035180000}"/>
    <cellStyle name="20% - Accent5 14 2 4" xfId="7901" xr:uid="{00000000-0005-0000-0000-000036180000}"/>
    <cellStyle name="20% - Accent5 14 2 4 2" xfId="19189" xr:uid="{00000000-0005-0000-0000-000037180000}"/>
    <cellStyle name="20% - Accent5 14 2 5" xfId="5907" xr:uid="{00000000-0005-0000-0000-000038180000}"/>
    <cellStyle name="20% - Accent5 14 2 5 2" xfId="17195" xr:uid="{00000000-0005-0000-0000-000039180000}"/>
    <cellStyle name="20% - Accent5 14 2 6" xfId="15201" xr:uid="{00000000-0005-0000-0000-00003A180000}"/>
    <cellStyle name="20% - Accent5 14 3" xfId="10892" xr:uid="{00000000-0005-0000-0000-00003B180000}"/>
    <cellStyle name="20% - Accent5 14 3 2" xfId="22180" xr:uid="{00000000-0005-0000-0000-00003C180000}"/>
    <cellStyle name="20% - Accent5 14 4" xfId="8898" xr:uid="{00000000-0005-0000-0000-00003D180000}"/>
    <cellStyle name="20% - Accent5 14 4 2" xfId="20186" xr:uid="{00000000-0005-0000-0000-00003E180000}"/>
    <cellStyle name="20% - Accent5 14 5" xfId="6904" xr:uid="{00000000-0005-0000-0000-00003F180000}"/>
    <cellStyle name="20% - Accent5 14 5 2" xfId="18192" xr:uid="{00000000-0005-0000-0000-000040180000}"/>
    <cellStyle name="20% - Accent5 14 6" xfId="4910" xr:uid="{00000000-0005-0000-0000-000041180000}"/>
    <cellStyle name="20% - Accent5 14 6 2" xfId="16198" xr:uid="{00000000-0005-0000-0000-000042180000}"/>
    <cellStyle name="20% - Accent5 14 7" xfId="14204" xr:uid="{00000000-0005-0000-0000-000043180000}"/>
    <cellStyle name="20% - Accent5 14 8" xfId="12890" xr:uid="{00000000-0005-0000-0000-000044180000}"/>
    <cellStyle name="20% - Accent5 15" xfId="955" xr:uid="{00000000-0005-0000-0000-000045180000}"/>
    <cellStyle name="20% - Accent5 15 2" xfId="3911" xr:uid="{00000000-0005-0000-0000-000046180000}"/>
    <cellStyle name="20% - Accent5 15 2 2" xfId="11890" xr:uid="{00000000-0005-0000-0000-000047180000}"/>
    <cellStyle name="20% - Accent5 15 2 2 2" xfId="23178" xr:uid="{00000000-0005-0000-0000-000048180000}"/>
    <cellStyle name="20% - Accent5 15 2 3" xfId="9896" xr:uid="{00000000-0005-0000-0000-000049180000}"/>
    <cellStyle name="20% - Accent5 15 2 3 2" xfId="21184" xr:uid="{00000000-0005-0000-0000-00004A180000}"/>
    <cellStyle name="20% - Accent5 15 2 4" xfId="7902" xr:uid="{00000000-0005-0000-0000-00004B180000}"/>
    <cellStyle name="20% - Accent5 15 2 4 2" xfId="19190" xr:uid="{00000000-0005-0000-0000-00004C180000}"/>
    <cellStyle name="20% - Accent5 15 2 5" xfId="5908" xr:uid="{00000000-0005-0000-0000-00004D180000}"/>
    <cellStyle name="20% - Accent5 15 2 5 2" xfId="17196" xr:uid="{00000000-0005-0000-0000-00004E180000}"/>
    <cellStyle name="20% - Accent5 15 2 6" xfId="15202" xr:uid="{00000000-0005-0000-0000-00004F180000}"/>
    <cellStyle name="20% - Accent5 15 3" xfId="10893" xr:uid="{00000000-0005-0000-0000-000050180000}"/>
    <cellStyle name="20% - Accent5 15 3 2" xfId="22181" xr:uid="{00000000-0005-0000-0000-000051180000}"/>
    <cellStyle name="20% - Accent5 15 4" xfId="8899" xr:uid="{00000000-0005-0000-0000-000052180000}"/>
    <cellStyle name="20% - Accent5 15 4 2" xfId="20187" xr:uid="{00000000-0005-0000-0000-000053180000}"/>
    <cellStyle name="20% - Accent5 15 5" xfId="6905" xr:uid="{00000000-0005-0000-0000-000054180000}"/>
    <cellStyle name="20% - Accent5 15 5 2" xfId="18193" xr:uid="{00000000-0005-0000-0000-000055180000}"/>
    <cellStyle name="20% - Accent5 15 6" xfId="4911" xr:uid="{00000000-0005-0000-0000-000056180000}"/>
    <cellStyle name="20% - Accent5 15 6 2" xfId="16199" xr:uid="{00000000-0005-0000-0000-000057180000}"/>
    <cellStyle name="20% - Accent5 15 7" xfId="14205" xr:uid="{00000000-0005-0000-0000-000058180000}"/>
    <cellStyle name="20% - Accent5 15 8" xfId="12891" xr:uid="{00000000-0005-0000-0000-000059180000}"/>
    <cellStyle name="20% - Accent5 16" xfId="956" xr:uid="{00000000-0005-0000-0000-00005A180000}"/>
    <cellStyle name="20% - Accent5 16 2" xfId="3912" xr:uid="{00000000-0005-0000-0000-00005B180000}"/>
    <cellStyle name="20% - Accent5 16 2 2" xfId="11891" xr:uid="{00000000-0005-0000-0000-00005C180000}"/>
    <cellStyle name="20% - Accent5 16 2 2 2" xfId="23179" xr:uid="{00000000-0005-0000-0000-00005D180000}"/>
    <cellStyle name="20% - Accent5 16 2 3" xfId="9897" xr:uid="{00000000-0005-0000-0000-00005E180000}"/>
    <cellStyle name="20% - Accent5 16 2 3 2" xfId="21185" xr:uid="{00000000-0005-0000-0000-00005F180000}"/>
    <cellStyle name="20% - Accent5 16 2 4" xfId="7903" xr:uid="{00000000-0005-0000-0000-000060180000}"/>
    <cellStyle name="20% - Accent5 16 2 4 2" xfId="19191" xr:uid="{00000000-0005-0000-0000-000061180000}"/>
    <cellStyle name="20% - Accent5 16 2 5" xfId="5909" xr:uid="{00000000-0005-0000-0000-000062180000}"/>
    <cellStyle name="20% - Accent5 16 2 5 2" xfId="17197" xr:uid="{00000000-0005-0000-0000-000063180000}"/>
    <cellStyle name="20% - Accent5 16 2 6" xfId="15203" xr:uid="{00000000-0005-0000-0000-000064180000}"/>
    <cellStyle name="20% - Accent5 16 3" xfId="10894" xr:uid="{00000000-0005-0000-0000-000065180000}"/>
    <cellStyle name="20% - Accent5 16 3 2" xfId="22182" xr:uid="{00000000-0005-0000-0000-000066180000}"/>
    <cellStyle name="20% - Accent5 16 4" xfId="8900" xr:uid="{00000000-0005-0000-0000-000067180000}"/>
    <cellStyle name="20% - Accent5 16 4 2" xfId="20188" xr:uid="{00000000-0005-0000-0000-000068180000}"/>
    <cellStyle name="20% - Accent5 16 5" xfId="6906" xr:uid="{00000000-0005-0000-0000-000069180000}"/>
    <cellStyle name="20% - Accent5 16 5 2" xfId="18194" xr:uid="{00000000-0005-0000-0000-00006A180000}"/>
    <cellStyle name="20% - Accent5 16 6" xfId="4912" xr:uid="{00000000-0005-0000-0000-00006B180000}"/>
    <cellStyle name="20% - Accent5 16 6 2" xfId="16200" xr:uid="{00000000-0005-0000-0000-00006C180000}"/>
    <cellStyle name="20% - Accent5 16 7" xfId="14206" xr:uid="{00000000-0005-0000-0000-00006D180000}"/>
    <cellStyle name="20% - Accent5 16 8" xfId="12892" xr:uid="{00000000-0005-0000-0000-00006E180000}"/>
    <cellStyle name="20% - Accent5 17" xfId="957" xr:uid="{00000000-0005-0000-0000-00006F180000}"/>
    <cellStyle name="20% - Accent5 17 2" xfId="3913" xr:uid="{00000000-0005-0000-0000-000070180000}"/>
    <cellStyle name="20% - Accent5 17 2 2" xfId="11892" xr:uid="{00000000-0005-0000-0000-000071180000}"/>
    <cellStyle name="20% - Accent5 17 2 2 2" xfId="23180" xr:uid="{00000000-0005-0000-0000-000072180000}"/>
    <cellStyle name="20% - Accent5 17 2 3" xfId="9898" xr:uid="{00000000-0005-0000-0000-000073180000}"/>
    <cellStyle name="20% - Accent5 17 2 3 2" xfId="21186" xr:uid="{00000000-0005-0000-0000-000074180000}"/>
    <cellStyle name="20% - Accent5 17 2 4" xfId="7904" xr:uid="{00000000-0005-0000-0000-000075180000}"/>
    <cellStyle name="20% - Accent5 17 2 4 2" xfId="19192" xr:uid="{00000000-0005-0000-0000-000076180000}"/>
    <cellStyle name="20% - Accent5 17 2 5" xfId="5910" xr:uid="{00000000-0005-0000-0000-000077180000}"/>
    <cellStyle name="20% - Accent5 17 2 5 2" xfId="17198" xr:uid="{00000000-0005-0000-0000-000078180000}"/>
    <cellStyle name="20% - Accent5 17 2 6" xfId="15204" xr:uid="{00000000-0005-0000-0000-000079180000}"/>
    <cellStyle name="20% - Accent5 17 3" xfId="10895" xr:uid="{00000000-0005-0000-0000-00007A180000}"/>
    <cellStyle name="20% - Accent5 17 3 2" xfId="22183" xr:uid="{00000000-0005-0000-0000-00007B180000}"/>
    <cellStyle name="20% - Accent5 17 4" xfId="8901" xr:uid="{00000000-0005-0000-0000-00007C180000}"/>
    <cellStyle name="20% - Accent5 17 4 2" xfId="20189" xr:uid="{00000000-0005-0000-0000-00007D180000}"/>
    <cellStyle name="20% - Accent5 17 5" xfId="6907" xr:uid="{00000000-0005-0000-0000-00007E180000}"/>
    <cellStyle name="20% - Accent5 17 5 2" xfId="18195" xr:uid="{00000000-0005-0000-0000-00007F180000}"/>
    <cellStyle name="20% - Accent5 17 6" xfId="4913" xr:uid="{00000000-0005-0000-0000-000080180000}"/>
    <cellStyle name="20% - Accent5 17 6 2" xfId="16201" xr:uid="{00000000-0005-0000-0000-000081180000}"/>
    <cellStyle name="20% - Accent5 17 7" xfId="14207" xr:uid="{00000000-0005-0000-0000-000082180000}"/>
    <cellStyle name="20% - Accent5 17 8" xfId="12893" xr:uid="{00000000-0005-0000-0000-000083180000}"/>
    <cellStyle name="20% - Accent5 18" xfId="958" xr:uid="{00000000-0005-0000-0000-000084180000}"/>
    <cellStyle name="20% - Accent5 18 2" xfId="3914" xr:uid="{00000000-0005-0000-0000-000085180000}"/>
    <cellStyle name="20% - Accent5 18 2 2" xfId="11893" xr:uid="{00000000-0005-0000-0000-000086180000}"/>
    <cellStyle name="20% - Accent5 18 2 2 2" xfId="23181" xr:uid="{00000000-0005-0000-0000-000087180000}"/>
    <cellStyle name="20% - Accent5 18 2 3" xfId="9899" xr:uid="{00000000-0005-0000-0000-000088180000}"/>
    <cellStyle name="20% - Accent5 18 2 3 2" xfId="21187" xr:uid="{00000000-0005-0000-0000-000089180000}"/>
    <cellStyle name="20% - Accent5 18 2 4" xfId="7905" xr:uid="{00000000-0005-0000-0000-00008A180000}"/>
    <cellStyle name="20% - Accent5 18 2 4 2" xfId="19193" xr:uid="{00000000-0005-0000-0000-00008B180000}"/>
    <cellStyle name="20% - Accent5 18 2 5" xfId="5911" xr:uid="{00000000-0005-0000-0000-00008C180000}"/>
    <cellStyle name="20% - Accent5 18 2 5 2" xfId="17199" xr:uid="{00000000-0005-0000-0000-00008D180000}"/>
    <cellStyle name="20% - Accent5 18 2 6" xfId="15205" xr:uid="{00000000-0005-0000-0000-00008E180000}"/>
    <cellStyle name="20% - Accent5 18 3" xfId="10896" xr:uid="{00000000-0005-0000-0000-00008F180000}"/>
    <cellStyle name="20% - Accent5 18 3 2" xfId="22184" xr:uid="{00000000-0005-0000-0000-000090180000}"/>
    <cellStyle name="20% - Accent5 18 4" xfId="8902" xr:uid="{00000000-0005-0000-0000-000091180000}"/>
    <cellStyle name="20% - Accent5 18 4 2" xfId="20190" xr:uid="{00000000-0005-0000-0000-000092180000}"/>
    <cellStyle name="20% - Accent5 18 5" xfId="6908" xr:uid="{00000000-0005-0000-0000-000093180000}"/>
    <cellStyle name="20% - Accent5 18 5 2" xfId="18196" xr:uid="{00000000-0005-0000-0000-000094180000}"/>
    <cellStyle name="20% - Accent5 18 6" xfId="4914" xr:uid="{00000000-0005-0000-0000-000095180000}"/>
    <cellStyle name="20% - Accent5 18 6 2" xfId="16202" xr:uid="{00000000-0005-0000-0000-000096180000}"/>
    <cellStyle name="20% - Accent5 18 7" xfId="14208" xr:uid="{00000000-0005-0000-0000-000097180000}"/>
    <cellStyle name="20% - Accent5 18 8" xfId="12894" xr:uid="{00000000-0005-0000-0000-000098180000}"/>
    <cellStyle name="20% - Accent5 19" xfId="959" xr:uid="{00000000-0005-0000-0000-000099180000}"/>
    <cellStyle name="20% - Accent5 19 2" xfId="3915" xr:uid="{00000000-0005-0000-0000-00009A180000}"/>
    <cellStyle name="20% - Accent5 19 2 2" xfId="11894" xr:uid="{00000000-0005-0000-0000-00009B180000}"/>
    <cellStyle name="20% - Accent5 19 2 2 2" xfId="23182" xr:uid="{00000000-0005-0000-0000-00009C180000}"/>
    <cellStyle name="20% - Accent5 19 2 3" xfId="9900" xr:uid="{00000000-0005-0000-0000-00009D180000}"/>
    <cellStyle name="20% - Accent5 19 2 3 2" xfId="21188" xr:uid="{00000000-0005-0000-0000-00009E180000}"/>
    <cellStyle name="20% - Accent5 19 2 4" xfId="7906" xr:uid="{00000000-0005-0000-0000-00009F180000}"/>
    <cellStyle name="20% - Accent5 19 2 4 2" xfId="19194" xr:uid="{00000000-0005-0000-0000-0000A0180000}"/>
    <cellStyle name="20% - Accent5 19 2 5" xfId="5912" xr:uid="{00000000-0005-0000-0000-0000A1180000}"/>
    <cellStyle name="20% - Accent5 19 2 5 2" xfId="17200" xr:uid="{00000000-0005-0000-0000-0000A2180000}"/>
    <cellStyle name="20% - Accent5 19 2 6" xfId="15206" xr:uid="{00000000-0005-0000-0000-0000A3180000}"/>
    <cellStyle name="20% - Accent5 19 3" xfId="10897" xr:uid="{00000000-0005-0000-0000-0000A4180000}"/>
    <cellStyle name="20% - Accent5 19 3 2" xfId="22185" xr:uid="{00000000-0005-0000-0000-0000A5180000}"/>
    <cellStyle name="20% - Accent5 19 4" xfId="8903" xr:uid="{00000000-0005-0000-0000-0000A6180000}"/>
    <cellStyle name="20% - Accent5 19 4 2" xfId="20191" xr:uid="{00000000-0005-0000-0000-0000A7180000}"/>
    <cellStyle name="20% - Accent5 19 5" xfId="6909" xr:uid="{00000000-0005-0000-0000-0000A8180000}"/>
    <cellStyle name="20% - Accent5 19 5 2" xfId="18197" xr:uid="{00000000-0005-0000-0000-0000A9180000}"/>
    <cellStyle name="20% - Accent5 19 6" xfId="4915" xr:uid="{00000000-0005-0000-0000-0000AA180000}"/>
    <cellStyle name="20% - Accent5 19 6 2" xfId="16203" xr:uid="{00000000-0005-0000-0000-0000AB180000}"/>
    <cellStyle name="20% - Accent5 19 7" xfId="14209" xr:uid="{00000000-0005-0000-0000-0000AC180000}"/>
    <cellStyle name="20% - Accent5 19 8" xfId="12895" xr:uid="{00000000-0005-0000-0000-0000AD180000}"/>
    <cellStyle name="20% - Accent5 2" xfId="960" xr:uid="{00000000-0005-0000-0000-0000AE180000}"/>
    <cellStyle name="20% - Accent5 2 10" xfId="24583" xr:uid="{00000000-0005-0000-0000-0000AF180000}"/>
    <cellStyle name="20% - Accent5 2 11" xfId="24973" xr:uid="{00000000-0005-0000-0000-0000B0180000}"/>
    <cellStyle name="20% - Accent5 2 2" xfId="3916" xr:uid="{00000000-0005-0000-0000-0000B1180000}"/>
    <cellStyle name="20% - Accent5 2 2 2" xfId="11895" xr:uid="{00000000-0005-0000-0000-0000B2180000}"/>
    <cellStyle name="20% - Accent5 2 2 2 2" xfId="23183" xr:uid="{00000000-0005-0000-0000-0000B3180000}"/>
    <cellStyle name="20% - Accent5 2 2 3" xfId="9901" xr:uid="{00000000-0005-0000-0000-0000B4180000}"/>
    <cellStyle name="20% - Accent5 2 2 3 2" xfId="21189" xr:uid="{00000000-0005-0000-0000-0000B5180000}"/>
    <cellStyle name="20% - Accent5 2 2 4" xfId="7907" xr:uid="{00000000-0005-0000-0000-0000B6180000}"/>
    <cellStyle name="20% - Accent5 2 2 4 2" xfId="19195" xr:uid="{00000000-0005-0000-0000-0000B7180000}"/>
    <cellStyle name="20% - Accent5 2 2 5" xfId="5913" xr:uid="{00000000-0005-0000-0000-0000B8180000}"/>
    <cellStyle name="20% - Accent5 2 2 5 2" xfId="17201" xr:uid="{00000000-0005-0000-0000-0000B9180000}"/>
    <cellStyle name="20% - Accent5 2 2 6" xfId="15207" xr:uid="{00000000-0005-0000-0000-0000BA180000}"/>
    <cellStyle name="20% - Accent5 2 2 7" xfId="24344" xr:uid="{00000000-0005-0000-0000-0000BB180000}"/>
    <cellStyle name="20% - Accent5 2 2 8" xfId="24808" xr:uid="{00000000-0005-0000-0000-0000BC180000}"/>
    <cellStyle name="20% - Accent5 2 2 9" xfId="25175" xr:uid="{00000000-0005-0000-0000-0000BD180000}"/>
    <cellStyle name="20% - Accent5 2 3" xfId="10898" xr:uid="{00000000-0005-0000-0000-0000BE180000}"/>
    <cellStyle name="20% - Accent5 2 3 2" xfId="22186" xr:uid="{00000000-0005-0000-0000-0000BF180000}"/>
    <cellStyle name="20% - Accent5 2 4" xfId="8904" xr:uid="{00000000-0005-0000-0000-0000C0180000}"/>
    <cellStyle name="20% - Accent5 2 4 2" xfId="20192" xr:uid="{00000000-0005-0000-0000-0000C1180000}"/>
    <cellStyle name="20% - Accent5 2 5" xfId="6910" xr:uid="{00000000-0005-0000-0000-0000C2180000}"/>
    <cellStyle name="20% - Accent5 2 5 2" xfId="18198" xr:uid="{00000000-0005-0000-0000-0000C3180000}"/>
    <cellStyle name="20% - Accent5 2 6" xfId="4916" xr:uid="{00000000-0005-0000-0000-0000C4180000}"/>
    <cellStyle name="20% - Accent5 2 6 2" xfId="16204" xr:uid="{00000000-0005-0000-0000-0000C5180000}"/>
    <cellStyle name="20% - Accent5 2 7" xfId="14210" xr:uid="{00000000-0005-0000-0000-0000C6180000}"/>
    <cellStyle name="20% - Accent5 2 8" xfId="12896" xr:uid="{00000000-0005-0000-0000-0000C7180000}"/>
    <cellStyle name="20% - Accent5 2 9" xfId="23956" xr:uid="{00000000-0005-0000-0000-0000C8180000}"/>
    <cellStyle name="20% - Accent5 20" xfId="961" xr:uid="{00000000-0005-0000-0000-0000C9180000}"/>
    <cellStyle name="20% - Accent5 20 2" xfId="3917" xr:uid="{00000000-0005-0000-0000-0000CA180000}"/>
    <cellStyle name="20% - Accent5 20 2 2" xfId="11896" xr:uid="{00000000-0005-0000-0000-0000CB180000}"/>
    <cellStyle name="20% - Accent5 20 2 2 2" xfId="23184" xr:uid="{00000000-0005-0000-0000-0000CC180000}"/>
    <cellStyle name="20% - Accent5 20 2 3" xfId="9902" xr:uid="{00000000-0005-0000-0000-0000CD180000}"/>
    <cellStyle name="20% - Accent5 20 2 3 2" xfId="21190" xr:uid="{00000000-0005-0000-0000-0000CE180000}"/>
    <cellStyle name="20% - Accent5 20 2 4" xfId="7908" xr:uid="{00000000-0005-0000-0000-0000CF180000}"/>
    <cellStyle name="20% - Accent5 20 2 4 2" xfId="19196" xr:uid="{00000000-0005-0000-0000-0000D0180000}"/>
    <cellStyle name="20% - Accent5 20 2 5" xfId="5914" xr:uid="{00000000-0005-0000-0000-0000D1180000}"/>
    <cellStyle name="20% - Accent5 20 2 5 2" xfId="17202" xr:uid="{00000000-0005-0000-0000-0000D2180000}"/>
    <cellStyle name="20% - Accent5 20 2 6" xfId="15208" xr:uid="{00000000-0005-0000-0000-0000D3180000}"/>
    <cellStyle name="20% - Accent5 20 3" xfId="10899" xr:uid="{00000000-0005-0000-0000-0000D4180000}"/>
    <cellStyle name="20% - Accent5 20 3 2" xfId="22187" xr:uid="{00000000-0005-0000-0000-0000D5180000}"/>
    <cellStyle name="20% - Accent5 20 4" xfId="8905" xr:uid="{00000000-0005-0000-0000-0000D6180000}"/>
    <cellStyle name="20% - Accent5 20 4 2" xfId="20193" xr:uid="{00000000-0005-0000-0000-0000D7180000}"/>
    <cellStyle name="20% - Accent5 20 5" xfId="6911" xr:uid="{00000000-0005-0000-0000-0000D8180000}"/>
    <cellStyle name="20% - Accent5 20 5 2" xfId="18199" xr:uid="{00000000-0005-0000-0000-0000D9180000}"/>
    <cellStyle name="20% - Accent5 20 6" xfId="4917" xr:uid="{00000000-0005-0000-0000-0000DA180000}"/>
    <cellStyle name="20% - Accent5 20 6 2" xfId="16205" xr:uid="{00000000-0005-0000-0000-0000DB180000}"/>
    <cellStyle name="20% - Accent5 20 7" xfId="14211" xr:uid="{00000000-0005-0000-0000-0000DC180000}"/>
    <cellStyle name="20% - Accent5 20 8" xfId="12897" xr:uid="{00000000-0005-0000-0000-0000DD180000}"/>
    <cellStyle name="20% - Accent5 21" xfId="962" xr:uid="{00000000-0005-0000-0000-0000DE180000}"/>
    <cellStyle name="20% - Accent5 21 2" xfId="3918" xr:uid="{00000000-0005-0000-0000-0000DF180000}"/>
    <cellStyle name="20% - Accent5 21 2 2" xfId="11897" xr:uid="{00000000-0005-0000-0000-0000E0180000}"/>
    <cellStyle name="20% - Accent5 21 2 2 2" xfId="23185" xr:uid="{00000000-0005-0000-0000-0000E1180000}"/>
    <cellStyle name="20% - Accent5 21 2 3" xfId="9903" xr:uid="{00000000-0005-0000-0000-0000E2180000}"/>
    <cellStyle name="20% - Accent5 21 2 3 2" xfId="21191" xr:uid="{00000000-0005-0000-0000-0000E3180000}"/>
    <cellStyle name="20% - Accent5 21 2 4" xfId="7909" xr:uid="{00000000-0005-0000-0000-0000E4180000}"/>
    <cellStyle name="20% - Accent5 21 2 4 2" xfId="19197" xr:uid="{00000000-0005-0000-0000-0000E5180000}"/>
    <cellStyle name="20% - Accent5 21 2 5" xfId="5915" xr:uid="{00000000-0005-0000-0000-0000E6180000}"/>
    <cellStyle name="20% - Accent5 21 2 5 2" xfId="17203" xr:uid="{00000000-0005-0000-0000-0000E7180000}"/>
    <cellStyle name="20% - Accent5 21 2 6" xfId="15209" xr:uid="{00000000-0005-0000-0000-0000E8180000}"/>
    <cellStyle name="20% - Accent5 21 3" xfId="10900" xr:uid="{00000000-0005-0000-0000-0000E9180000}"/>
    <cellStyle name="20% - Accent5 21 3 2" xfId="22188" xr:uid="{00000000-0005-0000-0000-0000EA180000}"/>
    <cellStyle name="20% - Accent5 21 4" xfId="8906" xr:uid="{00000000-0005-0000-0000-0000EB180000}"/>
    <cellStyle name="20% - Accent5 21 4 2" xfId="20194" xr:uid="{00000000-0005-0000-0000-0000EC180000}"/>
    <cellStyle name="20% - Accent5 21 5" xfId="6912" xr:uid="{00000000-0005-0000-0000-0000ED180000}"/>
    <cellStyle name="20% - Accent5 21 5 2" xfId="18200" xr:uid="{00000000-0005-0000-0000-0000EE180000}"/>
    <cellStyle name="20% - Accent5 21 6" xfId="4918" xr:uid="{00000000-0005-0000-0000-0000EF180000}"/>
    <cellStyle name="20% - Accent5 21 6 2" xfId="16206" xr:uid="{00000000-0005-0000-0000-0000F0180000}"/>
    <cellStyle name="20% - Accent5 21 7" xfId="14212" xr:uid="{00000000-0005-0000-0000-0000F1180000}"/>
    <cellStyle name="20% - Accent5 21 8" xfId="12898" xr:uid="{00000000-0005-0000-0000-0000F2180000}"/>
    <cellStyle name="20% - Accent5 22" xfId="963" xr:uid="{00000000-0005-0000-0000-0000F3180000}"/>
    <cellStyle name="20% - Accent5 22 2" xfId="3919" xr:uid="{00000000-0005-0000-0000-0000F4180000}"/>
    <cellStyle name="20% - Accent5 22 2 2" xfId="11898" xr:uid="{00000000-0005-0000-0000-0000F5180000}"/>
    <cellStyle name="20% - Accent5 22 2 2 2" xfId="23186" xr:uid="{00000000-0005-0000-0000-0000F6180000}"/>
    <cellStyle name="20% - Accent5 22 2 3" xfId="9904" xr:uid="{00000000-0005-0000-0000-0000F7180000}"/>
    <cellStyle name="20% - Accent5 22 2 3 2" xfId="21192" xr:uid="{00000000-0005-0000-0000-0000F8180000}"/>
    <cellStyle name="20% - Accent5 22 2 4" xfId="7910" xr:uid="{00000000-0005-0000-0000-0000F9180000}"/>
    <cellStyle name="20% - Accent5 22 2 4 2" xfId="19198" xr:uid="{00000000-0005-0000-0000-0000FA180000}"/>
    <cellStyle name="20% - Accent5 22 2 5" xfId="5916" xr:uid="{00000000-0005-0000-0000-0000FB180000}"/>
    <cellStyle name="20% - Accent5 22 2 5 2" xfId="17204" xr:uid="{00000000-0005-0000-0000-0000FC180000}"/>
    <cellStyle name="20% - Accent5 22 2 6" xfId="15210" xr:uid="{00000000-0005-0000-0000-0000FD180000}"/>
    <cellStyle name="20% - Accent5 22 3" xfId="10901" xr:uid="{00000000-0005-0000-0000-0000FE180000}"/>
    <cellStyle name="20% - Accent5 22 3 2" xfId="22189" xr:uid="{00000000-0005-0000-0000-0000FF180000}"/>
    <cellStyle name="20% - Accent5 22 4" xfId="8907" xr:uid="{00000000-0005-0000-0000-000000190000}"/>
    <cellStyle name="20% - Accent5 22 4 2" xfId="20195" xr:uid="{00000000-0005-0000-0000-000001190000}"/>
    <cellStyle name="20% - Accent5 22 5" xfId="6913" xr:uid="{00000000-0005-0000-0000-000002190000}"/>
    <cellStyle name="20% - Accent5 22 5 2" xfId="18201" xr:uid="{00000000-0005-0000-0000-000003190000}"/>
    <cellStyle name="20% - Accent5 22 6" xfId="4919" xr:uid="{00000000-0005-0000-0000-000004190000}"/>
    <cellStyle name="20% - Accent5 22 6 2" xfId="16207" xr:uid="{00000000-0005-0000-0000-000005190000}"/>
    <cellStyle name="20% - Accent5 22 7" xfId="14213" xr:uid="{00000000-0005-0000-0000-000006190000}"/>
    <cellStyle name="20% - Accent5 22 8" xfId="12899" xr:uid="{00000000-0005-0000-0000-000007190000}"/>
    <cellStyle name="20% - Accent5 23" xfId="964" xr:uid="{00000000-0005-0000-0000-000008190000}"/>
    <cellStyle name="20% - Accent5 23 2" xfId="3920" xr:uid="{00000000-0005-0000-0000-000009190000}"/>
    <cellStyle name="20% - Accent5 23 2 2" xfId="11899" xr:uid="{00000000-0005-0000-0000-00000A190000}"/>
    <cellStyle name="20% - Accent5 23 2 2 2" xfId="23187" xr:uid="{00000000-0005-0000-0000-00000B190000}"/>
    <cellStyle name="20% - Accent5 23 2 3" xfId="9905" xr:uid="{00000000-0005-0000-0000-00000C190000}"/>
    <cellStyle name="20% - Accent5 23 2 3 2" xfId="21193" xr:uid="{00000000-0005-0000-0000-00000D190000}"/>
    <cellStyle name="20% - Accent5 23 2 4" xfId="7911" xr:uid="{00000000-0005-0000-0000-00000E190000}"/>
    <cellStyle name="20% - Accent5 23 2 4 2" xfId="19199" xr:uid="{00000000-0005-0000-0000-00000F190000}"/>
    <cellStyle name="20% - Accent5 23 2 5" xfId="5917" xr:uid="{00000000-0005-0000-0000-000010190000}"/>
    <cellStyle name="20% - Accent5 23 2 5 2" xfId="17205" xr:uid="{00000000-0005-0000-0000-000011190000}"/>
    <cellStyle name="20% - Accent5 23 2 6" xfId="15211" xr:uid="{00000000-0005-0000-0000-000012190000}"/>
    <cellStyle name="20% - Accent5 23 3" xfId="10902" xr:uid="{00000000-0005-0000-0000-000013190000}"/>
    <cellStyle name="20% - Accent5 23 3 2" xfId="22190" xr:uid="{00000000-0005-0000-0000-000014190000}"/>
    <cellStyle name="20% - Accent5 23 4" xfId="8908" xr:uid="{00000000-0005-0000-0000-000015190000}"/>
    <cellStyle name="20% - Accent5 23 4 2" xfId="20196" xr:uid="{00000000-0005-0000-0000-000016190000}"/>
    <cellStyle name="20% - Accent5 23 5" xfId="6914" xr:uid="{00000000-0005-0000-0000-000017190000}"/>
    <cellStyle name="20% - Accent5 23 5 2" xfId="18202" xr:uid="{00000000-0005-0000-0000-000018190000}"/>
    <cellStyle name="20% - Accent5 23 6" xfId="4920" xr:uid="{00000000-0005-0000-0000-000019190000}"/>
    <cellStyle name="20% - Accent5 23 6 2" xfId="16208" xr:uid="{00000000-0005-0000-0000-00001A190000}"/>
    <cellStyle name="20% - Accent5 23 7" xfId="14214" xr:uid="{00000000-0005-0000-0000-00001B190000}"/>
    <cellStyle name="20% - Accent5 23 8" xfId="12900" xr:uid="{00000000-0005-0000-0000-00001C190000}"/>
    <cellStyle name="20% - Accent5 24" xfId="965" xr:uid="{00000000-0005-0000-0000-00001D190000}"/>
    <cellStyle name="20% - Accent5 24 2" xfId="3921" xr:uid="{00000000-0005-0000-0000-00001E190000}"/>
    <cellStyle name="20% - Accent5 24 2 2" xfId="11900" xr:uid="{00000000-0005-0000-0000-00001F190000}"/>
    <cellStyle name="20% - Accent5 24 2 2 2" xfId="23188" xr:uid="{00000000-0005-0000-0000-000020190000}"/>
    <cellStyle name="20% - Accent5 24 2 3" xfId="9906" xr:uid="{00000000-0005-0000-0000-000021190000}"/>
    <cellStyle name="20% - Accent5 24 2 3 2" xfId="21194" xr:uid="{00000000-0005-0000-0000-000022190000}"/>
    <cellStyle name="20% - Accent5 24 2 4" xfId="7912" xr:uid="{00000000-0005-0000-0000-000023190000}"/>
    <cellStyle name="20% - Accent5 24 2 4 2" xfId="19200" xr:uid="{00000000-0005-0000-0000-000024190000}"/>
    <cellStyle name="20% - Accent5 24 2 5" xfId="5918" xr:uid="{00000000-0005-0000-0000-000025190000}"/>
    <cellStyle name="20% - Accent5 24 2 5 2" xfId="17206" xr:uid="{00000000-0005-0000-0000-000026190000}"/>
    <cellStyle name="20% - Accent5 24 2 6" xfId="15212" xr:uid="{00000000-0005-0000-0000-000027190000}"/>
    <cellStyle name="20% - Accent5 24 3" xfId="10903" xr:uid="{00000000-0005-0000-0000-000028190000}"/>
    <cellStyle name="20% - Accent5 24 3 2" xfId="22191" xr:uid="{00000000-0005-0000-0000-000029190000}"/>
    <cellStyle name="20% - Accent5 24 4" xfId="8909" xr:uid="{00000000-0005-0000-0000-00002A190000}"/>
    <cellStyle name="20% - Accent5 24 4 2" xfId="20197" xr:uid="{00000000-0005-0000-0000-00002B190000}"/>
    <cellStyle name="20% - Accent5 24 5" xfId="6915" xr:uid="{00000000-0005-0000-0000-00002C190000}"/>
    <cellStyle name="20% - Accent5 24 5 2" xfId="18203" xr:uid="{00000000-0005-0000-0000-00002D190000}"/>
    <cellStyle name="20% - Accent5 24 6" xfId="4921" xr:uid="{00000000-0005-0000-0000-00002E190000}"/>
    <cellStyle name="20% - Accent5 24 6 2" xfId="16209" xr:uid="{00000000-0005-0000-0000-00002F190000}"/>
    <cellStyle name="20% - Accent5 24 7" xfId="14215" xr:uid="{00000000-0005-0000-0000-000030190000}"/>
    <cellStyle name="20% - Accent5 24 8" xfId="12901" xr:uid="{00000000-0005-0000-0000-000031190000}"/>
    <cellStyle name="20% - Accent5 25" xfId="966" xr:uid="{00000000-0005-0000-0000-000032190000}"/>
    <cellStyle name="20% - Accent5 25 2" xfId="3922" xr:uid="{00000000-0005-0000-0000-000033190000}"/>
    <cellStyle name="20% - Accent5 25 2 2" xfId="11901" xr:uid="{00000000-0005-0000-0000-000034190000}"/>
    <cellStyle name="20% - Accent5 25 2 2 2" xfId="23189" xr:uid="{00000000-0005-0000-0000-000035190000}"/>
    <cellStyle name="20% - Accent5 25 2 3" xfId="9907" xr:uid="{00000000-0005-0000-0000-000036190000}"/>
    <cellStyle name="20% - Accent5 25 2 3 2" xfId="21195" xr:uid="{00000000-0005-0000-0000-000037190000}"/>
    <cellStyle name="20% - Accent5 25 2 4" xfId="7913" xr:uid="{00000000-0005-0000-0000-000038190000}"/>
    <cellStyle name="20% - Accent5 25 2 4 2" xfId="19201" xr:uid="{00000000-0005-0000-0000-000039190000}"/>
    <cellStyle name="20% - Accent5 25 2 5" xfId="5919" xr:uid="{00000000-0005-0000-0000-00003A190000}"/>
    <cellStyle name="20% - Accent5 25 2 5 2" xfId="17207" xr:uid="{00000000-0005-0000-0000-00003B190000}"/>
    <cellStyle name="20% - Accent5 25 2 6" xfId="15213" xr:uid="{00000000-0005-0000-0000-00003C190000}"/>
    <cellStyle name="20% - Accent5 25 3" xfId="10904" xr:uid="{00000000-0005-0000-0000-00003D190000}"/>
    <cellStyle name="20% - Accent5 25 3 2" xfId="22192" xr:uid="{00000000-0005-0000-0000-00003E190000}"/>
    <cellStyle name="20% - Accent5 25 4" xfId="8910" xr:uid="{00000000-0005-0000-0000-00003F190000}"/>
    <cellStyle name="20% - Accent5 25 4 2" xfId="20198" xr:uid="{00000000-0005-0000-0000-000040190000}"/>
    <cellStyle name="20% - Accent5 25 5" xfId="6916" xr:uid="{00000000-0005-0000-0000-000041190000}"/>
    <cellStyle name="20% - Accent5 25 5 2" xfId="18204" xr:uid="{00000000-0005-0000-0000-000042190000}"/>
    <cellStyle name="20% - Accent5 25 6" xfId="4922" xr:uid="{00000000-0005-0000-0000-000043190000}"/>
    <cellStyle name="20% - Accent5 25 6 2" xfId="16210" xr:uid="{00000000-0005-0000-0000-000044190000}"/>
    <cellStyle name="20% - Accent5 25 7" xfId="14216" xr:uid="{00000000-0005-0000-0000-000045190000}"/>
    <cellStyle name="20% - Accent5 25 8" xfId="12902" xr:uid="{00000000-0005-0000-0000-000046190000}"/>
    <cellStyle name="20% - Accent5 26" xfId="967" xr:uid="{00000000-0005-0000-0000-000047190000}"/>
    <cellStyle name="20% - Accent5 26 2" xfId="3923" xr:uid="{00000000-0005-0000-0000-000048190000}"/>
    <cellStyle name="20% - Accent5 26 2 2" xfId="11902" xr:uid="{00000000-0005-0000-0000-000049190000}"/>
    <cellStyle name="20% - Accent5 26 2 2 2" xfId="23190" xr:uid="{00000000-0005-0000-0000-00004A190000}"/>
    <cellStyle name="20% - Accent5 26 2 3" xfId="9908" xr:uid="{00000000-0005-0000-0000-00004B190000}"/>
    <cellStyle name="20% - Accent5 26 2 3 2" xfId="21196" xr:uid="{00000000-0005-0000-0000-00004C190000}"/>
    <cellStyle name="20% - Accent5 26 2 4" xfId="7914" xr:uid="{00000000-0005-0000-0000-00004D190000}"/>
    <cellStyle name="20% - Accent5 26 2 4 2" xfId="19202" xr:uid="{00000000-0005-0000-0000-00004E190000}"/>
    <cellStyle name="20% - Accent5 26 2 5" xfId="5920" xr:uid="{00000000-0005-0000-0000-00004F190000}"/>
    <cellStyle name="20% - Accent5 26 2 5 2" xfId="17208" xr:uid="{00000000-0005-0000-0000-000050190000}"/>
    <cellStyle name="20% - Accent5 26 2 6" xfId="15214" xr:uid="{00000000-0005-0000-0000-000051190000}"/>
    <cellStyle name="20% - Accent5 26 3" xfId="10905" xr:uid="{00000000-0005-0000-0000-000052190000}"/>
    <cellStyle name="20% - Accent5 26 3 2" xfId="22193" xr:uid="{00000000-0005-0000-0000-000053190000}"/>
    <cellStyle name="20% - Accent5 26 4" xfId="8911" xr:uid="{00000000-0005-0000-0000-000054190000}"/>
    <cellStyle name="20% - Accent5 26 4 2" xfId="20199" xr:uid="{00000000-0005-0000-0000-000055190000}"/>
    <cellStyle name="20% - Accent5 26 5" xfId="6917" xr:uid="{00000000-0005-0000-0000-000056190000}"/>
    <cellStyle name="20% - Accent5 26 5 2" xfId="18205" xr:uid="{00000000-0005-0000-0000-000057190000}"/>
    <cellStyle name="20% - Accent5 26 6" xfId="4923" xr:uid="{00000000-0005-0000-0000-000058190000}"/>
    <cellStyle name="20% - Accent5 26 6 2" xfId="16211" xr:uid="{00000000-0005-0000-0000-000059190000}"/>
    <cellStyle name="20% - Accent5 26 7" xfId="14217" xr:uid="{00000000-0005-0000-0000-00005A190000}"/>
    <cellStyle name="20% - Accent5 26 8" xfId="12903" xr:uid="{00000000-0005-0000-0000-00005B190000}"/>
    <cellStyle name="20% - Accent5 27" xfId="968" xr:uid="{00000000-0005-0000-0000-00005C190000}"/>
    <cellStyle name="20% - Accent5 27 2" xfId="3924" xr:uid="{00000000-0005-0000-0000-00005D190000}"/>
    <cellStyle name="20% - Accent5 27 2 2" xfId="11903" xr:uid="{00000000-0005-0000-0000-00005E190000}"/>
    <cellStyle name="20% - Accent5 27 2 2 2" xfId="23191" xr:uid="{00000000-0005-0000-0000-00005F190000}"/>
    <cellStyle name="20% - Accent5 27 2 3" xfId="9909" xr:uid="{00000000-0005-0000-0000-000060190000}"/>
    <cellStyle name="20% - Accent5 27 2 3 2" xfId="21197" xr:uid="{00000000-0005-0000-0000-000061190000}"/>
    <cellStyle name="20% - Accent5 27 2 4" xfId="7915" xr:uid="{00000000-0005-0000-0000-000062190000}"/>
    <cellStyle name="20% - Accent5 27 2 4 2" xfId="19203" xr:uid="{00000000-0005-0000-0000-000063190000}"/>
    <cellStyle name="20% - Accent5 27 2 5" xfId="5921" xr:uid="{00000000-0005-0000-0000-000064190000}"/>
    <cellStyle name="20% - Accent5 27 2 5 2" xfId="17209" xr:uid="{00000000-0005-0000-0000-000065190000}"/>
    <cellStyle name="20% - Accent5 27 2 6" xfId="15215" xr:uid="{00000000-0005-0000-0000-000066190000}"/>
    <cellStyle name="20% - Accent5 27 3" xfId="10906" xr:uid="{00000000-0005-0000-0000-000067190000}"/>
    <cellStyle name="20% - Accent5 27 3 2" xfId="22194" xr:uid="{00000000-0005-0000-0000-000068190000}"/>
    <cellStyle name="20% - Accent5 27 4" xfId="8912" xr:uid="{00000000-0005-0000-0000-000069190000}"/>
    <cellStyle name="20% - Accent5 27 4 2" xfId="20200" xr:uid="{00000000-0005-0000-0000-00006A190000}"/>
    <cellStyle name="20% - Accent5 27 5" xfId="6918" xr:uid="{00000000-0005-0000-0000-00006B190000}"/>
    <cellStyle name="20% - Accent5 27 5 2" xfId="18206" xr:uid="{00000000-0005-0000-0000-00006C190000}"/>
    <cellStyle name="20% - Accent5 27 6" xfId="4924" xr:uid="{00000000-0005-0000-0000-00006D190000}"/>
    <cellStyle name="20% - Accent5 27 6 2" xfId="16212" xr:uid="{00000000-0005-0000-0000-00006E190000}"/>
    <cellStyle name="20% - Accent5 27 7" xfId="14218" xr:uid="{00000000-0005-0000-0000-00006F190000}"/>
    <cellStyle name="20% - Accent5 27 8" xfId="12904" xr:uid="{00000000-0005-0000-0000-000070190000}"/>
    <cellStyle name="20% - Accent5 28" xfId="969" xr:uid="{00000000-0005-0000-0000-000071190000}"/>
    <cellStyle name="20% - Accent5 28 2" xfId="3925" xr:uid="{00000000-0005-0000-0000-000072190000}"/>
    <cellStyle name="20% - Accent5 28 2 2" xfId="11904" xr:uid="{00000000-0005-0000-0000-000073190000}"/>
    <cellStyle name="20% - Accent5 28 2 2 2" xfId="23192" xr:uid="{00000000-0005-0000-0000-000074190000}"/>
    <cellStyle name="20% - Accent5 28 2 3" xfId="9910" xr:uid="{00000000-0005-0000-0000-000075190000}"/>
    <cellStyle name="20% - Accent5 28 2 3 2" xfId="21198" xr:uid="{00000000-0005-0000-0000-000076190000}"/>
    <cellStyle name="20% - Accent5 28 2 4" xfId="7916" xr:uid="{00000000-0005-0000-0000-000077190000}"/>
    <cellStyle name="20% - Accent5 28 2 4 2" xfId="19204" xr:uid="{00000000-0005-0000-0000-000078190000}"/>
    <cellStyle name="20% - Accent5 28 2 5" xfId="5922" xr:uid="{00000000-0005-0000-0000-000079190000}"/>
    <cellStyle name="20% - Accent5 28 2 5 2" xfId="17210" xr:uid="{00000000-0005-0000-0000-00007A190000}"/>
    <cellStyle name="20% - Accent5 28 2 6" xfId="15216" xr:uid="{00000000-0005-0000-0000-00007B190000}"/>
    <cellStyle name="20% - Accent5 28 3" xfId="10907" xr:uid="{00000000-0005-0000-0000-00007C190000}"/>
    <cellStyle name="20% - Accent5 28 3 2" xfId="22195" xr:uid="{00000000-0005-0000-0000-00007D190000}"/>
    <cellStyle name="20% - Accent5 28 4" xfId="8913" xr:uid="{00000000-0005-0000-0000-00007E190000}"/>
    <cellStyle name="20% - Accent5 28 4 2" xfId="20201" xr:uid="{00000000-0005-0000-0000-00007F190000}"/>
    <cellStyle name="20% - Accent5 28 5" xfId="6919" xr:uid="{00000000-0005-0000-0000-000080190000}"/>
    <cellStyle name="20% - Accent5 28 5 2" xfId="18207" xr:uid="{00000000-0005-0000-0000-000081190000}"/>
    <cellStyle name="20% - Accent5 28 6" xfId="4925" xr:uid="{00000000-0005-0000-0000-000082190000}"/>
    <cellStyle name="20% - Accent5 28 6 2" xfId="16213" xr:uid="{00000000-0005-0000-0000-000083190000}"/>
    <cellStyle name="20% - Accent5 28 7" xfId="14219" xr:uid="{00000000-0005-0000-0000-000084190000}"/>
    <cellStyle name="20% - Accent5 28 8" xfId="12905" xr:uid="{00000000-0005-0000-0000-000085190000}"/>
    <cellStyle name="20% - Accent5 29" xfId="970" xr:uid="{00000000-0005-0000-0000-000086190000}"/>
    <cellStyle name="20% - Accent5 29 2" xfId="3926" xr:uid="{00000000-0005-0000-0000-000087190000}"/>
    <cellStyle name="20% - Accent5 29 2 2" xfId="11905" xr:uid="{00000000-0005-0000-0000-000088190000}"/>
    <cellStyle name="20% - Accent5 29 2 2 2" xfId="23193" xr:uid="{00000000-0005-0000-0000-000089190000}"/>
    <cellStyle name="20% - Accent5 29 2 3" xfId="9911" xr:uid="{00000000-0005-0000-0000-00008A190000}"/>
    <cellStyle name="20% - Accent5 29 2 3 2" xfId="21199" xr:uid="{00000000-0005-0000-0000-00008B190000}"/>
    <cellStyle name="20% - Accent5 29 2 4" xfId="7917" xr:uid="{00000000-0005-0000-0000-00008C190000}"/>
    <cellStyle name="20% - Accent5 29 2 4 2" xfId="19205" xr:uid="{00000000-0005-0000-0000-00008D190000}"/>
    <cellStyle name="20% - Accent5 29 2 5" xfId="5923" xr:uid="{00000000-0005-0000-0000-00008E190000}"/>
    <cellStyle name="20% - Accent5 29 2 5 2" xfId="17211" xr:uid="{00000000-0005-0000-0000-00008F190000}"/>
    <cellStyle name="20% - Accent5 29 2 6" xfId="15217" xr:uid="{00000000-0005-0000-0000-000090190000}"/>
    <cellStyle name="20% - Accent5 29 3" xfId="10908" xr:uid="{00000000-0005-0000-0000-000091190000}"/>
    <cellStyle name="20% - Accent5 29 3 2" xfId="22196" xr:uid="{00000000-0005-0000-0000-000092190000}"/>
    <cellStyle name="20% - Accent5 29 4" xfId="8914" xr:uid="{00000000-0005-0000-0000-000093190000}"/>
    <cellStyle name="20% - Accent5 29 4 2" xfId="20202" xr:uid="{00000000-0005-0000-0000-000094190000}"/>
    <cellStyle name="20% - Accent5 29 5" xfId="6920" xr:uid="{00000000-0005-0000-0000-000095190000}"/>
    <cellStyle name="20% - Accent5 29 5 2" xfId="18208" xr:uid="{00000000-0005-0000-0000-000096190000}"/>
    <cellStyle name="20% - Accent5 29 6" xfId="4926" xr:uid="{00000000-0005-0000-0000-000097190000}"/>
    <cellStyle name="20% - Accent5 29 6 2" xfId="16214" xr:uid="{00000000-0005-0000-0000-000098190000}"/>
    <cellStyle name="20% - Accent5 29 7" xfId="14220" xr:uid="{00000000-0005-0000-0000-000099190000}"/>
    <cellStyle name="20% - Accent5 29 8" xfId="12906" xr:uid="{00000000-0005-0000-0000-00009A190000}"/>
    <cellStyle name="20% - Accent5 3" xfId="971" xr:uid="{00000000-0005-0000-0000-00009B190000}"/>
    <cellStyle name="20% - Accent5 3 10" xfId="24584" xr:uid="{00000000-0005-0000-0000-00009C190000}"/>
    <cellStyle name="20% - Accent5 3 11" xfId="24974" xr:uid="{00000000-0005-0000-0000-00009D190000}"/>
    <cellStyle name="20% - Accent5 3 2" xfId="3927" xr:uid="{00000000-0005-0000-0000-00009E190000}"/>
    <cellStyle name="20% - Accent5 3 2 2" xfId="11906" xr:uid="{00000000-0005-0000-0000-00009F190000}"/>
    <cellStyle name="20% - Accent5 3 2 2 2" xfId="23194" xr:uid="{00000000-0005-0000-0000-0000A0190000}"/>
    <cellStyle name="20% - Accent5 3 2 3" xfId="9912" xr:uid="{00000000-0005-0000-0000-0000A1190000}"/>
    <cellStyle name="20% - Accent5 3 2 3 2" xfId="21200" xr:uid="{00000000-0005-0000-0000-0000A2190000}"/>
    <cellStyle name="20% - Accent5 3 2 4" xfId="7918" xr:uid="{00000000-0005-0000-0000-0000A3190000}"/>
    <cellStyle name="20% - Accent5 3 2 4 2" xfId="19206" xr:uid="{00000000-0005-0000-0000-0000A4190000}"/>
    <cellStyle name="20% - Accent5 3 2 5" xfId="5924" xr:uid="{00000000-0005-0000-0000-0000A5190000}"/>
    <cellStyle name="20% - Accent5 3 2 5 2" xfId="17212" xr:uid="{00000000-0005-0000-0000-0000A6190000}"/>
    <cellStyle name="20% - Accent5 3 2 6" xfId="15218" xr:uid="{00000000-0005-0000-0000-0000A7190000}"/>
    <cellStyle name="20% - Accent5 3 2 7" xfId="24345" xr:uid="{00000000-0005-0000-0000-0000A8190000}"/>
    <cellStyle name="20% - Accent5 3 2 8" xfId="24809" xr:uid="{00000000-0005-0000-0000-0000A9190000}"/>
    <cellStyle name="20% - Accent5 3 2 9" xfId="25176" xr:uid="{00000000-0005-0000-0000-0000AA190000}"/>
    <cellStyle name="20% - Accent5 3 3" xfId="10909" xr:uid="{00000000-0005-0000-0000-0000AB190000}"/>
    <cellStyle name="20% - Accent5 3 3 2" xfId="22197" xr:uid="{00000000-0005-0000-0000-0000AC190000}"/>
    <cellStyle name="20% - Accent5 3 4" xfId="8915" xr:uid="{00000000-0005-0000-0000-0000AD190000}"/>
    <cellStyle name="20% - Accent5 3 4 2" xfId="20203" xr:uid="{00000000-0005-0000-0000-0000AE190000}"/>
    <cellStyle name="20% - Accent5 3 5" xfId="6921" xr:uid="{00000000-0005-0000-0000-0000AF190000}"/>
    <cellStyle name="20% - Accent5 3 5 2" xfId="18209" xr:uid="{00000000-0005-0000-0000-0000B0190000}"/>
    <cellStyle name="20% - Accent5 3 6" xfId="4927" xr:uid="{00000000-0005-0000-0000-0000B1190000}"/>
    <cellStyle name="20% - Accent5 3 6 2" xfId="16215" xr:uid="{00000000-0005-0000-0000-0000B2190000}"/>
    <cellStyle name="20% - Accent5 3 7" xfId="14221" xr:uid="{00000000-0005-0000-0000-0000B3190000}"/>
    <cellStyle name="20% - Accent5 3 8" xfId="12907" xr:uid="{00000000-0005-0000-0000-0000B4190000}"/>
    <cellStyle name="20% - Accent5 3 9" xfId="23957" xr:uid="{00000000-0005-0000-0000-0000B5190000}"/>
    <cellStyle name="20% - Accent5 30" xfId="972" xr:uid="{00000000-0005-0000-0000-0000B6190000}"/>
    <cellStyle name="20% - Accent5 30 2" xfId="3928" xr:uid="{00000000-0005-0000-0000-0000B7190000}"/>
    <cellStyle name="20% - Accent5 30 2 2" xfId="11907" xr:uid="{00000000-0005-0000-0000-0000B8190000}"/>
    <cellStyle name="20% - Accent5 30 2 2 2" xfId="23195" xr:uid="{00000000-0005-0000-0000-0000B9190000}"/>
    <cellStyle name="20% - Accent5 30 2 3" xfId="9913" xr:uid="{00000000-0005-0000-0000-0000BA190000}"/>
    <cellStyle name="20% - Accent5 30 2 3 2" xfId="21201" xr:uid="{00000000-0005-0000-0000-0000BB190000}"/>
    <cellStyle name="20% - Accent5 30 2 4" xfId="7919" xr:uid="{00000000-0005-0000-0000-0000BC190000}"/>
    <cellStyle name="20% - Accent5 30 2 4 2" xfId="19207" xr:uid="{00000000-0005-0000-0000-0000BD190000}"/>
    <cellStyle name="20% - Accent5 30 2 5" xfId="5925" xr:uid="{00000000-0005-0000-0000-0000BE190000}"/>
    <cellStyle name="20% - Accent5 30 2 5 2" xfId="17213" xr:uid="{00000000-0005-0000-0000-0000BF190000}"/>
    <cellStyle name="20% - Accent5 30 2 6" xfId="15219" xr:uid="{00000000-0005-0000-0000-0000C0190000}"/>
    <cellStyle name="20% - Accent5 30 3" xfId="10910" xr:uid="{00000000-0005-0000-0000-0000C1190000}"/>
    <cellStyle name="20% - Accent5 30 3 2" xfId="22198" xr:uid="{00000000-0005-0000-0000-0000C2190000}"/>
    <cellStyle name="20% - Accent5 30 4" xfId="8916" xr:uid="{00000000-0005-0000-0000-0000C3190000}"/>
    <cellStyle name="20% - Accent5 30 4 2" xfId="20204" xr:uid="{00000000-0005-0000-0000-0000C4190000}"/>
    <cellStyle name="20% - Accent5 30 5" xfId="6922" xr:uid="{00000000-0005-0000-0000-0000C5190000}"/>
    <cellStyle name="20% - Accent5 30 5 2" xfId="18210" xr:uid="{00000000-0005-0000-0000-0000C6190000}"/>
    <cellStyle name="20% - Accent5 30 6" xfId="4928" xr:uid="{00000000-0005-0000-0000-0000C7190000}"/>
    <cellStyle name="20% - Accent5 30 6 2" xfId="16216" xr:uid="{00000000-0005-0000-0000-0000C8190000}"/>
    <cellStyle name="20% - Accent5 30 7" xfId="14222" xr:uid="{00000000-0005-0000-0000-0000C9190000}"/>
    <cellStyle name="20% - Accent5 30 8" xfId="12908" xr:uid="{00000000-0005-0000-0000-0000CA190000}"/>
    <cellStyle name="20% - Accent5 31" xfId="973" xr:uid="{00000000-0005-0000-0000-0000CB190000}"/>
    <cellStyle name="20% - Accent5 31 2" xfId="3929" xr:uid="{00000000-0005-0000-0000-0000CC190000}"/>
    <cellStyle name="20% - Accent5 31 2 2" xfId="11908" xr:uid="{00000000-0005-0000-0000-0000CD190000}"/>
    <cellStyle name="20% - Accent5 31 2 2 2" xfId="23196" xr:uid="{00000000-0005-0000-0000-0000CE190000}"/>
    <cellStyle name="20% - Accent5 31 2 3" xfId="9914" xr:uid="{00000000-0005-0000-0000-0000CF190000}"/>
    <cellStyle name="20% - Accent5 31 2 3 2" xfId="21202" xr:uid="{00000000-0005-0000-0000-0000D0190000}"/>
    <cellStyle name="20% - Accent5 31 2 4" xfId="7920" xr:uid="{00000000-0005-0000-0000-0000D1190000}"/>
    <cellStyle name="20% - Accent5 31 2 4 2" xfId="19208" xr:uid="{00000000-0005-0000-0000-0000D2190000}"/>
    <cellStyle name="20% - Accent5 31 2 5" xfId="5926" xr:uid="{00000000-0005-0000-0000-0000D3190000}"/>
    <cellStyle name="20% - Accent5 31 2 5 2" xfId="17214" xr:uid="{00000000-0005-0000-0000-0000D4190000}"/>
    <cellStyle name="20% - Accent5 31 2 6" xfId="15220" xr:uid="{00000000-0005-0000-0000-0000D5190000}"/>
    <cellStyle name="20% - Accent5 31 3" xfId="10911" xr:uid="{00000000-0005-0000-0000-0000D6190000}"/>
    <cellStyle name="20% - Accent5 31 3 2" xfId="22199" xr:uid="{00000000-0005-0000-0000-0000D7190000}"/>
    <cellStyle name="20% - Accent5 31 4" xfId="8917" xr:uid="{00000000-0005-0000-0000-0000D8190000}"/>
    <cellStyle name="20% - Accent5 31 4 2" xfId="20205" xr:uid="{00000000-0005-0000-0000-0000D9190000}"/>
    <cellStyle name="20% - Accent5 31 5" xfId="6923" xr:uid="{00000000-0005-0000-0000-0000DA190000}"/>
    <cellStyle name="20% - Accent5 31 5 2" xfId="18211" xr:uid="{00000000-0005-0000-0000-0000DB190000}"/>
    <cellStyle name="20% - Accent5 31 6" xfId="4929" xr:uid="{00000000-0005-0000-0000-0000DC190000}"/>
    <cellStyle name="20% - Accent5 31 6 2" xfId="16217" xr:uid="{00000000-0005-0000-0000-0000DD190000}"/>
    <cellStyle name="20% - Accent5 31 7" xfId="14223" xr:uid="{00000000-0005-0000-0000-0000DE190000}"/>
    <cellStyle name="20% - Accent5 31 8" xfId="12909" xr:uid="{00000000-0005-0000-0000-0000DF190000}"/>
    <cellStyle name="20% - Accent5 32" xfId="974" xr:uid="{00000000-0005-0000-0000-0000E0190000}"/>
    <cellStyle name="20% - Accent5 32 2" xfId="3930" xr:uid="{00000000-0005-0000-0000-0000E1190000}"/>
    <cellStyle name="20% - Accent5 32 2 2" xfId="11909" xr:uid="{00000000-0005-0000-0000-0000E2190000}"/>
    <cellStyle name="20% - Accent5 32 2 2 2" xfId="23197" xr:uid="{00000000-0005-0000-0000-0000E3190000}"/>
    <cellStyle name="20% - Accent5 32 2 3" xfId="9915" xr:uid="{00000000-0005-0000-0000-0000E4190000}"/>
    <cellStyle name="20% - Accent5 32 2 3 2" xfId="21203" xr:uid="{00000000-0005-0000-0000-0000E5190000}"/>
    <cellStyle name="20% - Accent5 32 2 4" xfId="7921" xr:uid="{00000000-0005-0000-0000-0000E6190000}"/>
    <cellStyle name="20% - Accent5 32 2 4 2" xfId="19209" xr:uid="{00000000-0005-0000-0000-0000E7190000}"/>
    <cellStyle name="20% - Accent5 32 2 5" xfId="5927" xr:uid="{00000000-0005-0000-0000-0000E8190000}"/>
    <cellStyle name="20% - Accent5 32 2 5 2" xfId="17215" xr:uid="{00000000-0005-0000-0000-0000E9190000}"/>
    <cellStyle name="20% - Accent5 32 2 6" xfId="15221" xr:uid="{00000000-0005-0000-0000-0000EA190000}"/>
    <cellStyle name="20% - Accent5 32 3" xfId="10912" xr:uid="{00000000-0005-0000-0000-0000EB190000}"/>
    <cellStyle name="20% - Accent5 32 3 2" xfId="22200" xr:uid="{00000000-0005-0000-0000-0000EC190000}"/>
    <cellStyle name="20% - Accent5 32 4" xfId="8918" xr:uid="{00000000-0005-0000-0000-0000ED190000}"/>
    <cellStyle name="20% - Accent5 32 4 2" xfId="20206" xr:uid="{00000000-0005-0000-0000-0000EE190000}"/>
    <cellStyle name="20% - Accent5 32 5" xfId="6924" xr:uid="{00000000-0005-0000-0000-0000EF190000}"/>
    <cellStyle name="20% - Accent5 32 5 2" xfId="18212" xr:uid="{00000000-0005-0000-0000-0000F0190000}"/>
    <cellStyle name="20% - Accent5 32 6" xfId="4930" xr:uid="{00000000-0005-0000-0000-0000F1190000}"/>
    <cellStyle name="20% - Accent5 32 6 2" xfId="16218" xr:uid="{00000000-0005-0000-0000-0000F2190000}"/>
    <cellStyle name="20% - Accent5 32 7" xfId="14224" xr:uid="{00000000-0005-0000-0000-0000F3190000}"/>
    <cellStyle name="20% - Accent5 32 8" xfId="12910" xr:uid="{00000000-0005-0000-0000-0000F4190000}"/>
    <cellStyle name="20% - Accent5 33" xfId="975" xr:uid="{00000000-0005-0000-0000-0000F5190000}"/>
    <cellStyle name="20% - Accent5 33 2" xfId="3931" xr:uid="{00000000-0005-0000-0000-0000F6190000}"/>
    <cellStyle name="20% - Accent5 33 2 2" xfId="11910" xr:uid="{00000000-0005-0000-0000-0000F7190000}"/>
    <cellStyle name="20% - Accent5 33 2 2 2" xfId="23198" xr:uid="{00000000-0005-0000-0000-0000F8190000}"/>
    <cellStyle name="20% - Accent5 33 2 3" xfId="9916" xr:uid="{00000000-0005-0000-0000-0000F9190000}"/>
    <cellStyle name="20% - Accent5 33 2 3 2" xfId="21204" xr:uid="{00000000-0005-0000-0000-0000FA190000}"/>
    <cellStyle name="20% - Accent5 33 2 4" xfId="7922" xr:uid="{00000000-0005-0000-0000-0000FB190000}"/>
    <cellStyle name="20% - Accent5 33 2 4 2" xfId="19210" xr:uid="{00000000-0005-0000-0000-0000FC190000}"/>
    <cellStyle name="20% - Accent5 33 2 5" xfId="5928" xr:uid="{00000000-0005-0000-0000-0000FD190000}"/>
    <cellStyle name="20% - Accent5 33 2 5 2" xfId="17216" xr:uid="{00000000-0005-0000-0000-0000FE190000}"/>
    <cellStyle name="20% - Accent5 33 2 6" xfId="15222" xr:uid="{00000000-0005-0000-0000-0000FF190000}"/>
    <cellStyle name="20% - Accent5 33 3" xfId="10913" xr:uid="{00000000-0005-0000-0000-0000001A0000}"/>
    <cellStyle name="20% - Accent5 33 3 2" xfId="22201" xr:uid="{00000000-0005-0000-0000-0000011A0000}"/>
    <cellStyle name="20% - Accent5 33 4" xfId="8919" xr:uid="{00000000-0005-0000-0000-0000021A0000}"/>
    <cellStyle name="20% - Accent5 33 4 2" xfId="20207" xr:uid="{00000000-0005-0000-0000-0000031A0000}"/>
    <cellStyle name="20% - Accent5 33 5" xfId="6925" xr:uid="{00000000-0005-0000-0000-0000041A0000}"/>
    <cellStyle name="20% - Accent5 33 5 2" xfId="18213" xr:uid="{00000000-0005-0000-0000-0000051A0000}"/>
    <cellStyle name="20% - Accent5 33 6" xfId="4931" xr:uid="{00000000-0005-0000-0000-0000061A0000}"/>
    <cellStyle name="20% - Accent5 33 6 2" xfId="16219" xr:uid="{00000000-0005-0000-0000-0000071A0000}"/>
    <cellStyle name="20% - Accent5 33 7" xfId="14225" xr:uid="{00000000-0005-0000-0000-0000081A0000}"/>
    <cellStyle name="20% - Accent5 33 8" xfId="12911" xr:uid="{00000000-0005-0000-0000-0000091A0000}"/>
    <cellStyle name="20% - Accent5 34" xfId="976" xr:uid="{00000000-0005-0000-0000-00000A1A0000}"/>
    <cellStyle name="20% - Accent5 34 2" xfId="3932" xr:uid="{00000000-0005-0000-0000-00000B1A0000}"/>
    <cellStyle name="20% - Accent5 34 2 2" xfId="11911" xr:uid="{00000000-0005-0000-0000-00000C1A0000}"/>
    <cellStyle name="20% - Accent5 34 2 2 2" xfId="23199" xr:uid="{00000000-0005-0000-0000-00000D1A0000}"/>
    <cellStyle name="20% - Accent5 34 2 3" xfId="9917" xr:uid="{00000000-0005-0000-0000-00000E1A0000}"/>
    <cellStyle name="20% - Accent5 34 2 3 2" xfId="21205" xr:uid="{00000000-0005-0000-0000-00000F1A0000}"/>
    <cellStyle name="20% - Accent5 34 2 4" xfId="7923" xr:uid="{00000000-0005-0000-0000-0000101A0000}"/>
    <cellStyle name="20% - Accent5 34 2 4 2" xfId="19211" xr:uid="{00000000-0005-0000-0000-0000111A0000}"/>
    <cellStyle name="20% - Accent5 34 2 5" xfId="5929" xr:uid="{00000000-0005-0000-0000-0000121A0000}"/>
    <cellStyle name="20% - Accent5 34 2 5 2" xfId="17217" xr:uid="{00000000-0005-0000-0000-0000131A0000}"/>
    <cellStyle name="20% - Accent5 34 2 6" xfId="15223" xr:uid="{00000000-0005-0000-0000-0000141A0000}"/>
    <cellStyle name="20% - Accent5 34 3" xfId="10914" xr:uid="{00000000-0005-0000-0000-0000151A0000}"/>
    <cellStyle name="20% - Accent5 34 3 2" xfId="22202" xr:uid="{00000000-0005-0000-0000-0000161A0000}"/>
    <cellStyle name="20% - Accent5 34 4" xfId="8920" xr:uid="{00000000-0005-0000-0000-0000171A0000}"/>
    <cellStyle name="20% - Accent5 34 4 2" xfId="20208" xr:uid="{00000000-0005-0000-0000-0000181A0000}"/>
    <cellStyle name="20% - Accent5 34 5" xfId="6926" xr:uid="{00000000-0005-0000-0000-0000191A0000}"/>
    <cellStyle name="20% - Accent5 34 5 2" xfId="18214" xr:uid="{00000000-0005-0000-0000-00001A1A0000}"/>
    <cellStyle name="20% - Accent5 34 6" xfId="4932" xr:uid="{00000000-0005-0000-0000-00001B1A0000}"/>
    <cellStyle name="20% - Accent5 34 6 2" xfId="16220" xr:uid="{00000000-0005-0000-0000-00001C1A0000}"/>
    <cellStyle name="20% - Accent5 34 7" xfId="14226" xr:uid="{00000000-0005-0000-0000-00001D1A0000}"/>
    <cellStyle name="20% - Accent5 34 8" xfId="12912" xr:uid="{00000000-0005-0000-0000-00001E1A0000}"/>
    <cellStyle name="20% - Accent5 35" xfId="977" xr:uid="{00000000-0005-0000-0000-00001F1A0000}"/>
    <cellStyle name="20% - Accent5 35 2" xfId="3933" xr:uid="{00000000-0005-0000-0000-0000201A0000}"/>
    <cellStyle name="20% - Accent5 35 2 2" xfId="11912" xr:uid="{00000000-0005-0000-0000-0000211A0000}"/>
    <cellStyle name="20% - Accent5 35 2 2 2" xfId="23200" xr:uid="{00000000-0005-0000-0000-0000221A0000}"/>
    <cellStyle name="20% - Accent5 35 2 3" xfId="9918" xr:uid="{00000000-0005-0000-0000-0000231A0000}"/>
    <cellStyle name="20% - Accent5 35 2 3 2" xfId="21206" xr:uid="{00000000-0005-0000-0000-0000241A0000}"/>
    <cellStyle name="20% - Accent5 35 2 4" xfId="7924" xr:uid="{00000000-0005-0000-0000-0000251A0000}"/>
    <cellStyle name="20% - Accent5 35 2 4 2" xfId="19212" xr:uid="{00000000-0005-0000-0000-0000261A0000}"/>
    <cellStyle name="20% - Accent5 35 2 5" xfId="5930" xr:uid="{00000000-0005-0000-0000-0000271A0000}"/>
    <cellStyle name="20% - Accent5 35 2 5 2" xfId="17218" xr:uid="{00000000-0005-0000-0000-0000281A0000}"/>
    <cellStyle name="20% - Accent5 35 2 6" xfId="15224" xr:uid="{00000000-0005-0000-0000-0000291A0000}"/>
    <cellStyle name="20% - Accent5 35 3" xfId="10915" xr:uid="{00000000-0005-0000-0000-00002A1A0000}"/>
    <cellStyle name="20% - Accent5 35 3 2" xfId="22203" xr:uid="{00000000-0005-0000-0000-00002B1A0000}"/>
    <cellStyle name="20% - Accent5 35 4" xfId="8921" xr:uid="{00000000-0005-0000-0000-00002C1A0000}"/>
    <cellStyle name="20% - Accent5 35 4 2" xfId="20209" xr:uid="{00000000-0005-0000-0000-00002D1A0000}"/>
    <cellStyle name="20% - Accent5 35 5" xfId="6927" xr:uid="{00000000-0005-0000-0000-00002E1A0000}"/>
    <cellStyle name="20% - Accent5 35 5 2" xfId="18215" xr:uid="{00000000-0005-0000-0000-00002F1A0000}"/>
    <cellStyle name="20% - Accent5 35 6" xfId="4933" xr:uid="{00000000-0005-0000-0000-0000301A0000}"/>
    <cellStyle name="20% - Accent5 35 6 2" xfId="16221" xr:uid="{00000000-0005-0000-0000-0000311A0000}"/>
    <cellStyle name="20% - Accent5 35 7" xfId="14227" xr:uid="{00000000-0005-0000-0000-0000321A0000}"/>
    <cellStyle name="20% - Accent5 35 8" xfId="12913" xr:uid="{00000000-0005-0000-0000-0000331A0000}"/>
    <cellStyle name="20% - Accent5 36" xfId="978" xr:uid="{00000000-0005-0000-0000-0000341A0000}"/>
    <cellStyle name="20% - Accent5 36 2" xfId="3934" xr:uid="{00000000-0005-0000-0000-0000351A0000}"/>
    <cellStyle name="20% - Accent5 36 2 2" xfId="11913" xr:uid="{00000000-0005-0000-0000-0000361A0000}"/>
    <cellStyle name="20% - Accent5 36 2 2 2" xfId="23201" xr:uid="{00000000-0005-0000-0000-0000371A0000}"/>
    <cellStyle name="20% - Accent5 36 2 3" xfId="9919" xr:uid="{00000000-0005-0000-0000-0000381A0000}"/>
    <cellStyle name="20% - Accent5 36 2 3 2" xfId="21207" xr:uid="{00000000-0005-0000-0000-0000391A0000}"/>
    <cellStyle name="20% - Accent5 36 2 4" xfId="7925" xr:uid="{00000000-0005-0000-0000-00003A1A0000}"/>
    <cellStyle name="20% - Accent5 36 2 4 2" xfId="19213" xr:uid="{00000000-0005-0000-0000-00003B1A0000}"/>
    <cellStyle name="20% - Accent5 36 2 5" xfId="5931" xr:uid="{00000000-0005-0000-0000-00003C1A0000}"/>
    <cellStyle name="20% - Accent5 36 2 5 2" xfId="17219" xr:uid="{00000000-0005-0000-0000-00003D1A0000}"/>
    <cellStyle name="20% - Accent5 36 2 6" xfId="15225" xr:uid="{00000000-0005-0000-0000-00003E1A0000}"/>
    <cellStyle name="20% - Accent5 36 3" xfId="10916" xr:uid="{00000000-0005-0000-0000-00003F1A0000}"/>
    <cellStyle name="20% - Accent5 36 3 2" xfId="22204" xr:uid="{00000000-0005-0000-0000-0000401A0000}"/>
    <cellStyle name="20% - Accent5 36 4" xfId="8922" xr:uid="{00000000-0005-0000-0000-0000411A0000}"/>
    <cellStyle name="20% - Accent5 36 4 2" xfId="20210" xr:uid="{00000000-0005-0000-0000-0000421A0000}"/>
    <cellStyle name="20% - Accent5 36 5" xfId="6928" xr:uid="{00000000-0005-0000-0000-0000431A0000}"/>
    <cellStyle name="20% - Accent5 36 5 2" xfId="18216" xr:uid="{00000000-0005-0000-0000-0000441A0000}"/>
    <cellStyle name="20% - Accent5 36 6" xfId="4934" xr:uid="{00000000-0005-0000-0000-0000451A0000}"/>
    <cellStyle name="20% - Accent5 36 6 2" xfId="16222" xr:uid="{00000000-0005-0000-0000-0000461A0000}"/>
    <cellStyle name="20% - Accent5 36 7" xfId="14228" xr:uid="{00000000-0005-0000-0000-0000471A0000}"/>
    <cellStyle name="20% - Accent5 36 8" xfId="12914" xr:uid="{00000000-0005-0000-0000-0000481A0000}"/>
    <cellStyle name="20% - Accent5 37" xfId="979" xr:uid="{00000000-0005-0000-0000-0000491A0000}"/>
    <cellStyle name="20% - Accent5 37 2" xfId="3935" xr:uid="{00000000-0005-0000-0000-00004A1A0000}"/>
    <cellStyle name="20% - Accent5 37 2 2" xfId="11914" xr:uid="{00000000-0005-0000-0000-00004B1A0000}"/>
    <cellStyle name="20% - Accent5 37 2 2 2" xfId="23202" xr:uid="{00000000-0005-0000-0000-00004C1A0000}"/>
    <cellStyle name="20% - Accent5 37 2 3" xfId="9920" xr:uid="{00000000-0005-0000-0000-00004D1A0000}"/>
    <cellStyle name="20% - Accent5 37 2 3 2" xfId="21208" xr:uid="{00000000-0005-0000-0000-00004E1A0000}"/>
    <cellStyle name="20% - Accent5 37 2 4" xfId="7926" xr:uid="{00000000-0005-0000-0000-00004F1A0000}"/>
    <cellStyle name="20% - Accent5 37 2 4 2" xfId="19214" xr:uid="{00000000-0005-0000-0000-0000501A0000}"/>
    <cellStyle name="20% - Accent5 37 2 5" xfId="5932" xr:uid="{00000000-0005-0000-0000-0000511A0000}"/>
    <cellStyle name="20% - Accent5 37 2 5 2" xfId="17220" xr:uid="{00000000-0005-0000-0000-0000521A0000}"/>
    <cellStyle name="20% - Accent5 37 2 6" xfId="15226" xr:uid="{00000000-0005-0000-0000-0000531A0000}"/>
    <cellStyle name="20% - Accent5 37 3" xfId="10917" xr:uid="{00000000-0005-0000-0000-0000541A0000}"/>
    <cellStyle name="20% - Accent5 37 3 2" xfId="22205" xr:uid="{00000000-0005-0000-0000-0000551A0000}"/>
    <cellStyle name="20% - Accent5 37 4" xfId="8923" xr:uid="{00000000-0005-0000-0000-0000561A0000}"/>
    <cellStyle name="20% - Accent5 37 4 2" xfId="20211" xr:uid="{00000000-0005-0000-0000-0000571A0000}"/>
    <cellStyle name="20% - Accent5 37 5" xfId="6929" xr:uid="{00000000-0005-0000-0000-0000581A0000}"/>
    <cellStyle name="20% - Accent5 37 5 2" xfId="18217" xr:uid="{00000000-0005-0000-0000-0000591A0000}"/>
    <cellStyle name="20% - Accent5 37 6" xfId="4935" xr:uid="{00000000-0005-0000-0000-00005A1A0000}"/>
    <cellStyle name="20% - Accent5 37 6 2" xfId="16223" xr:uid="{00000000-0005-0000-0000-00005B1A0000}"/>
    <cellStyle name="20% - Accent5 37 7" xfId="14229" xr:uid="{00000000-0005-0000-0000-00005C1A0000}"/>
    <cellStyle name="20% - Accent5 37 8" xfId="12915" xr:uid="{00000000-0005-0000-0000-00005D1A0000}"/>
    <cellStyle name="20% - Accent5 38" xfId="980" xr:uid="{00000000-0005-0000-0000-00005E1A0000}"/>
    <cellStyle name="20% - Accent5 38 2" xfId="3936" xr:uid="{00000000-0005-0000-0000-00005F1A0000}"/>
    <cellStyle name="20% - Accent5 38 2 2" xfId="11915" xr:uid="{00000000-0005-0000-0000-0000601A0000}"/>
    <cellStyle name="20% - Accent5 38 2 2 2" xfId="23203" xr:uid="{00000000-0005-0000-0000-0000611A0000}"/>
    <cellStyle name="20% - Accent5 38 2 3" xfId="9921" xr:uid="{00000000-0005-0000-0000-0000621A0000}"/>
    <cellStyle name="20% - Accent5 38 2 3 2" xfId="21209" xr:uid="{00000000-0005-0000-0000-0000631A0000}"/>
    <cellStyle name="20% - Accent5 38 2 4" xfId="7927" xr:uid="{00000000-0005-0000-0000-0000641A0000}"/>
    <cellStyle name="20% - Accent5 38 2 4 2" xfId="19215" xr:uid="{00000000-0005-0000-0000-0000651A0000}"/>
    <cellStyle name="20% - Accent5 38 2 5" xfId="5933" xr:uid="{00000000-0005-0000-0000-0000661A0000}"/>
    <cellStyle name="20% - Accent5 38 2 5 2" xfId="17221" xr:uid="{00000000-0005-0000-0000-0000671A0000}"/>
    <cellStyle name="20% - Accent5 38 2 6" xfId="15227" xr:uid="{00000000-0005-0000-0000-0000681A0000}"/>
    <cellStyle name="20% - Accent5 38 3" xfId="10918" xr:uid="{00000000-0005-0000-0000-0000691A0000}"/>
    <cellStyle name="20% - Accent5 38 3 2" xfId="22206" xr:uid="{00000000-0005-0000-0000-00006A1A0000}"/>
    <cellStyle name="20% - Accent5 38 4" xfId="8924" xr:uid="{00000000-0005-0000-0000-00006B1A0000}"/>
    <cellStyle name="20% - Accent5 38 4 2" xfId="20212" xr:uid="{00000000-0005-0000-0000-00006C1A0000}"/>
    <cellStyle name="20% - Accent5 38 5" xfId="6930" xr:uid="{00000000-0005-0000-0000-00006D1A0000}"/>
    <cellStyle name="20% - Accent5 38 5 2" xfId="18218" xr:uid="{00000000-0005-0000-0000-00006E1A0000}"/>
    <cellStyle name="20% - Accent5 38 6" xfId="4936" xr:uid="{00000000-0005-0000-0000-00006F1A0000}"/>
    <cellStyle name="20% - Accent5 38 6 2" xfId="16224" xr:uid="{00000000-0005-0000-0000-0000701A0000}"/>
    <cellStyle name="20% - Accent5 38 7" xfId="14230" xr:uid="{00000000-0005-0000-0000-0000711A0000}"/>
    <cellStyle name="20% - Accent5 38 8" xfId="12916" xr:uid="{00000000-0005-0000-0000-0000721A0000}"/>
    <cellStyle name="20% - Accent5 39" xfId="981" xr:uid="{00000000-0005-0000-0000-0000731A0000}"/>
    <cellStyle name="20% - Accent5 39 2" xfId="3937" xr:uid="{00000000-0005-0000-0000-0000741A0000}"/>
    <cellStyle name="20% - Accent5 39 2 2" xfId="11916" xr:uid="{00000000-0005-0000-0000-0000751A0000}"/>
    <cellStyle name="20% - Accent5 39 2 2 2" xfId="23204" xr:uid="{00000000-0005-0000-0000-0000761A0000}"/>
    <cellStyle name="20% - Accent5 39 2 3" xfId="9922" xr:uid="{00000000-0005-0000-0000-0000771A0000}"/>
    <cellStyle name="20% - Accent5 39 2 3 2" xfId="21210" xr:uid="{00000000-0005-0000-0000-0000781A0000}"/>
    <cellStyle name="20% - Accent5 39 2 4" xfId="7928" xr:uid="{00000000-0005-0000-0000-0000791A0000}"/>
    <cellStyle name="20% - Accent5 39 2 4 2" xfId="19216" xr:uid="{00000000-0005-0000-0000-00007A1A0000}"/>
    <cellStyle name="20% - Accent5 39 2 5" xfId="5934" xr:uid="{00000000-0005-0000-0000-00007B1A0000}"/>
    <cellStyle name="20% - Accent5 39 2 5 2" xfId="17222" xr:uid="{00000000-0005-0000-0000-00007C1A0000}"/>
    <cellStyle name="20% - Accent5 39 2 6" xfId="15228" xr:uid="{00000000-0005-0000-0000-00007D1A0000}"/>
    <cellStyle name="20% - Accent5 39 3" xfId="10919" xr:uid="{00000000-0005-0000-0000-00007E1A0000}"/>
    <cellStyle name="20% - Accent5 39 3 2" xfId="22207" xr:uid="{00000000-0005-0000-0000-00007F1A0000}"/>
    <cellStyle name="20% - Accent5 39 4" xfId="8925" xr:uid="{00000000-0005-0000-0000-0000801A0000}"/>
    <cellStyle name="20% - Accent5 39 4 2" xfId="20213" xr:uid="{00000000-0005-0000-0000-0000811A0000}"/>
    <cellStyle name="20% - Accent5 39 5" xfId="6931" xr:uid="{00000000-0005-0000-0000-0000821A0000}"/>
    <cellStyle name="20% - Accent5 39 5 2" xfId="18219" xr:uid="{00000000-0005-0000-0000-0000831A0000}"/>
    <cellStyle name="20% - Accent5 39 6" xfId="4937" xr:uid="{00000000-0005-0000-0000-0000841A0000}"/>
    <cellStyle name="20% - Accent5 39 6 2" xfId="16225" xr:uid="{00000000-0005-0000-0000-0000851A0000}"/>
    <cellStyle name="20% - Accent5 39 7" xfId="14231" xr:uid="{00000000-0005-0000-0000-0000861A0000}"/>
    <cellStyle name="20% - Accent5 39 8" xfId="12917" xr:uid="{00000000-0005-0000-0000-0000871A0000}"/>
    <cellStyle name="20% - Accent5 4" xfId="982" xr:uid="{00000000-0005-0000-0000-0000881A0000}"/>
    <cellStyle name="20% - Accent5 4 10" xfId="24585" xr:uid="{00000000-0005-0000-0000-0000891A0000}"/>
    <cellStyle name="20% - Accent5 4 11" xfId="24975" xr:uid="{00000000-0005-0000-0000-00008A1A0000}"/>
    <cellStyle name="20% - Accent5 4 2" xfId="3938" xr:uid="{00000000-0005-0000-0000-00008B1A0000}"/>
    <cellStyle name="20% - Accent5 4 2 2" xfId="11917" xr:uid="{00000000-0005-0000-0000-00008C1A0000}"/>
    <cellStyle name="20% - Accent5 4 2 2 2" xfId="23205" xr:uid="{00000000-0005-0000-0000-00008D1A0000}"/>
    <cellStyle name="20% - Accent5 4 2 3" xfId="9923" xr:uid="{00000000-0005-0000-0000-00008E1A0000}"/>
    <cellStyle name="20% - Accent5 4 2 3 2" xfId="21211" xr:uid="{00000000-0005-0000-0000-00008F1A0000}"/>
    <cellStyle name="20% - Accent5 4 2 4" xfId="7929" xr:uid="{00000000-0005-0000-0000-0000901A0000}"/>
    <cellStyle name="20% - Accent5 4 2 4 2" xfId="19217" xr:uid="{00000000-0005-0000-0000-0000911A0000}"/>
    <cellStyle name="20% - Accent5 4 2 5" xfId="5935" xr:uid="{00000000-0005-0000-0000-0000921A0000}"/>
    <cellStyle name="20% - Accent5 4 2 5 2" xfId="17223" xr:uid="{00000000-0005-0000-0000-0000931A0000}"/>
    <cellStyle name="20% - Accent5 4 2 6" xfId="15229" xr:uid="{00000000-0005-0000-0000-0000941A0000}"/>
    <cellStyle name="20% - Accent5 4 2 7" xfId="24346" xr:uid="{00000000-0005-0000-0000-0000951A0000}"/>
    <cellStyle name="20% - Accent5 4 2 8" xfId="24810" xr:uid="{00000000-0005-0000-0000-0000961A0000}"/>
    <cellStyle name="20% - Accent5 4 2 9" xfId="25177" xr:uid="{00000000-0005-0000-0000-0000971A0000}"/>
    <cellStyle name="20% - Accent5 4 3" xfId="10920" xr:uid="{00000000-0005-0000-0000-0000981A0000}"/>
    <cellStyle name="20% - Accent5 4 3 2" xfId="22208" xr:uid="{00000000-0005-0000-0000-0000991A0000}"/>
    <cellStyle name="20% - Accent5 4 4" xfId="8926" xr:uid="{00000000-0005-0000-0000-00009A1A0000}"/>
    <cellStyle name="20% - Accent5 4 4 2" xfId="20214" xr:uid="{00000000-0005-0000-0000-00009B1A0000}"/>
    <cellStyle name="20% - Accent5 4 5" xfId="6932" xr:uid="{00000000-0005-0000-0000-00009C1A0000}"/>
    <cellStyle name="20% - Accent5 4 5 2" xfId="18220" xr:uid="{00000000-0005-0000-0000-00009D1A0000}"/>
    <cellStyle name="20% - Accent5 4 6" xfId="4938" xr:uid="{00000000-0005-0000-0000-00009E1A0000}"/>
    <cellStyle name="20% - Accent5 4 6 2" xfId="16226" xr:uid="{00000000-0005-0000-0000-00009F1A0000}"/>
    <cellStyle name="20% - Accent5 4 7" xfId="14232" xr:uid="{00000000-0005-0000-0000-0000A01A0000}"/>
    <cellStyle name="20% - Accent5 4 8" xfId="12918" xr:uid="{00000000-0005-0000-0000-0000A11A0000}"/>
    <cellStyle name="20% - Accent5 4 9" xfId="23958" xr:uid="{00000000-0005-0000-0000-0000A21A0000}"/>
    <cellStyle name="20% - Accent5 40" xfId="983" xr:uid="{00000000-0005-0000-0000-0000A31A0000}"/>
    <cellStyle name="20% - Accent5 40 2" xfId="3939" xr:uid="{00000000-0005-0000-0000-0000A41A0000}"/>
    <cellStyle name="20% - Accent5 40 2 2" xfId="11918" xr:uid="{00000000-0005-0000-0000-0000A51A0000}"/>
    <cellStyle name="20% - Accent5 40 2 2 2" xfId="23206" xr:uid="{00000000-0005-0000-0000-0000A61A0000}"/>
    <cellStyle name="20% - Accent5 40 2 3" xfId="9924" xr:uid="{00000000-0005-0000-0000-0000A71A0000}"/>
    <cellStyle name="20% - Accent5 40 2 3 2" xfId="21212" xr:uid="{00000000-0005-0000-0000-0000A81A0000}"/>
    <cellStyle name="20% - Accent5 40 2 4" xfId="7930" xr:uid="{00000000-0005-0000-0000-0000A91A0000}"/>
    <cellStyle name="20% - Accent5 40 2 4 2" xfId="19218" xr:uid="{00000000-0005-0000-0000-0000AA1A0000}"/>
    <cellStyle name="20% - Accent5 40 2 5" xfId="5936" xr:uid="{00000000-0005-0000-0000-0000AB1A0000}"/>
    <cellStyle name="20% - Accent5 40 2 5 2" xfId="17224" xr:uid="{00000000-0005-0000-0000-0000AC1A0000}"/>
    <cellStyle name="20% - Accent5 40 2 6" xfId="15230" xr:uid="{00000000-0005-0000-0000-0000AD1A0000}"/>
    <cellStyle name="20% - Accent5 40 3" xfId="10921" xr:uid="{00000000-0005-0000-0000-0000AE1A0000}"/>
    <cellStyle name="20% - Accent5 40 3 2" xfId="22209" xr:uid="{00000000-0005-0000-0000-0000AF1A0000}"/>
    <cellStyle name="20% - Accent5 40 4" xfId="8927" xr:uid="{00000000-0005-0000-0000-0000B01A0000}"/>
    <cellStyle name="20% - Accent5 40 4 2" xfId="20215" xr:uid="{00000000-0005-0000-0000-0000B11A0000}"/>
    <cellStyle name="20% - Accent5 40 5" xfId="6933" xr:uid="{00000000-0005-0000-0000-0000B21A0000}"/>
    <cellStyle name="20% - Accent5 40 5 2" xfId="18221" xr:uid="{00000000-0005-0000-0000-0000B31A0000}"/>
    <cellStyle name="20% - Accent5 40 6" xfId="4939" xr:uid="{00000000-0005-0000-0000-0000B41A0000}"/>
    <cellStyle name="20% - Accent5 40 6 2" xfId="16227" xr:uid="{00000000-0005-0000-0000-0000B51A0000}"/>
    <cellStyle name="20% - Accent5 40 7" xfId="14233" xr:uid="{00000000-0005-0000-0000-0000B61A0000}"/>
    <cellStyle name="20% - Accent5 40 8" xfId="12919" xr:uid="{00000000-0005-0000-0000-0000B71A0000}"/>
    <cellStyle name="20% - Accent5 41" xfId="984" xr:uid="{00000000-0005-0000-0000-0000B81A0000}"/>
    <cellStyle name="20% - Accent5 41 2" xfId="3940" xr:uid="{00000000-0005-0000-0000-0000B91A0000}"/>
    <cellStyle name="20% - Accent5 41 2 2" xfId="11919" xr:uid="{00000000-0005-0000-0000-0000BA1A0000}"/>
    <cellStyle name="20% - Accent5 41 2 2 2" xfId="23207" xr:uid="{00000000-0005-0000-0000-0000BB1A0000}"/>
    <cellStyle name="20% - Accent5 41 2 3" xfId="9925" xr:uid="{00000000-0005-0000-0000-0000BC1A0000}"/>
    <cellStyle name="20% - Accent5 41 2 3 2" xfId="21213" xr:uid="{00000000-0005-0000-0000-0000BD1A0000}"/>
    <cellStyle name="20% - Accent5 41 2 4" xfId="7931" xr:uid="{00000000-0005-0000-0000-0000BE1A0000}"/>
    <cellStyle name="20% - Accent5 41 2 4 2" xfId="19219" xr:uid="{00000000-0005-0000-0000-0000BF1A0000}"/>
    <cellStyle name="20% - Accent5 41 2 5" xfId="5937" xr:uid="{00000000-0005-0000-0000-0000C01A0000}"/>
    <cellStyle name="20% - Accent5 41 2 5 2" xfId="17225" xr:uid="{00000000-0005-0000-0000-0000C11A0000}"/>
    <cellStyle name="20% - Accent5 41 2 6" xfId="15231" xr:uid="{00000000-0005-0000-0000-0000C21A0000}"/>
    <cellStyle name="20% - Accent5 41 3" xfId="10922" xr:uid="{00000000-0005-0000-0000-0000C31A0000}"/>
    <cellStyle name="20% - Accent5 41 3 2" xfId="22210" xr:uid="{00000000-0005-0000-0000-0000C41A0000}"/>
    <cellStyle name="20% - Accent5 41 4" xfId="8928" xr:uid="{00000000-0005-0000-0000-0000C51A0000}"/>
    <cellStyle name="20% - Accent5 41 4 2" xfId="20216" xr:uid="{00000000-0005-0000-0000-0000C61A0000}"/>
    <cellStyle name="20% - Accent5 41 5" xfId="6934" xr:uid="{00000000-0005-0000-0000-0000C71A0000}"/>
    <cellStyle name="20% - Accent5 41 5 2" xfId="18222" xr:uid="{00000000-0005-0000-0000-0000C81A0000}"/>
    <cellStyle name="20% - Accent5 41 6" xfId="4940" xr:uid="{00000000-0005-0000-0000-0000C91A0000}"/>
    <cellStyle name="20% - Accent5 41 6 2" xfId="16228" xr:uid="{00000000-0005-0000-0000-0000CA1A0000}"/>
    <cellStyle name="20% - Accent5 41 7" xfId="14234" xr:uid="{00000000-0005-0000-0000-0000CB1A0000}"/>
    <cellStyle name="20% - Accent5 41 8" xfId="12920" xr:uid="{00000000-0005-0000-0000-0000CC1A0000}"/>
    <cellStyle name="20% - Accent5 42" xfId="985" xr:uid="{00000000-0005-0000-0000-0000CD1A0000}"/>
    <cellStyle name="20% - Accent5 42 2" xfId="3941" xr:uid="{00000000-0005-0000-0000-0000CE1A0000}"/>
    <cellStyle name="20% - Accent5 42 2 2" xfId="11920" xr:uid="{00000000-0005-0000-0000-0000CF1A0000}"/>
    <cellStyle name="20% - Accent5 42 2 2 2" xfId="23208" xr:uid="{00000000-0005-0000-0000-0000D01A0000}"/>
    <cellStyle name="20% - Accent5 42 2 3" xfId="9926" xr:uid="{00000000-0005-0000-0000-0000D11A0000}"/>
    <cellStyle name="20% - Accent5 42 2 3 2" xfId="21214" xr:uid="{00000000-0005-0000-0000-0000D21A0000}"/>
    <cellStyle name="20% - Accent5 42 2 4" xfId="7932" xr:uid="{00000000-0005-0000-0000-0000D31A0000}"/>
    <cellStyle name="20% - Accent5 42 2 4 2" xfId="19220" xr:uid="{00000000-0005-0000-0000-0000D41A0000}"/>
    <cellStyle name="20% - Accent5 42 2 5" xfId="5938" xr:uid="{00000000-0005-0000-0000-0000D51A0000}"/>
    <cellStyle name="20% - Accent5 42 2 5 2" xfId="17226" xr:uid="{00000000-0005-0000-0000-0000D61A0000}"/>
    <cellStyle name="20% - Accent5 42 2 6" xfId="15232" xr:uid="{00000000-0005-0000-0000-0000D71A0000}"/>
    <cellStyle name="20% - Accent5 42 3" xfId="10923" xr:uid="{00000000-0005-0000-0000-0000D81A0000}"/>
    <cellStyle name="20% - Accent5 42 3 2" xfId="22211" xr:uid="{00000000-0005-0000-0000-0000D91A0000}"/>
    <cellStyle name="20% - Accent5 42 4" xfId="8929" xr:uid="{00000000-0005-0000-0000-0000DA1A0000}"/>
    <cellStyle name="20% - Accent5 42 4 2" xfId="20217" xr:uid="{00000000-0005-0000-0000-0000DB1A0000}"/>
    <cellStyle name="20% - Accent5 42 5" xfId="6935" xr:uid="{00000000-0005-0000-0000-0000DC1A0000}"/>
    <cellStyle name="20% - Accent5 42 5 2" xfId="18223" xr:uid="{00000000-0005-0000-0000-0000DD1A0000}"/>
    <cellStyle name="20% - Accent5 42 6" xfId="4941" xr:uid="{00000000-0005-0000-0000-0000DE1A0000}"/>
    <cellStyle name="20% - Accent5 42 6 2" xfId="16229" xr:uid="{00000000-0005-0000-0000-0000DF1A0000}"/>
    <cellStyle name="20% - Accent5 42 7" xfId="14235" xr:uid="{00000000-0005-0000-0000-0000E01A0000}"/>
    <cellStyle name="20% - Accent5 42 8" xfId="12921" xr:uid="{00000000-0005-0000-0000-0000E11A0000}"/>
    <cellStyle name="20% - Accent5 43" xfId="986" xr:uid="{00000000-0005-0000-0000-0000E21A0000}"/>
    <cellStyle name="20% - Accent5 43 2" xfId="3942" xr:uid="{00000000-0005-0000-0000-0000E31A0000}"/>
    <cellStyle name="20% - Accent5 43 2 2" xfId="11921" xr:uid="{00000000-0005-0000-0000-0000E41A0000}"/>
    <cellStyle name="20% - Accent5 43 2 2 2" xfId="23209" xr:uid="{00000000-0005-0000-0000-0000E51A0000}"/>
    <cellStyle name="20% - Accent5 43 2 3" xfId="9927" xr:uid="{00000000-0005-0000-0000-0000E61A0000}"/>
    <cellStyle name="20% - Accent5 43 2 3 2" xfId="21215" xr:uid="{00000000-0005-0000-0000-0000E71A0000}"/>
    <cellStyle name="20% - Accent5 43 2 4" xfId="7933" xr:uid="{00000000-0005-0000-0000-0000E81A0000}"/>
    <cellStyle name="20% - Accent5 43 2 4 2" xfId="19221" xr:uid="{00000000-0005-0000-0000-0000E91A0000}"/>
    <cellStyle name="20% - Accent5 43 2 5" xfId="5939" xr:uid="{00000000-0005-0000-0000-0000EA1A0000}"/>
    <cellStyle name="20% - Accent5 43 2 5 2" xfId="17227" xr:uid="{00000000-0005-0000-0000-0000EB1A0000}"/>
    <cellStyle name="20% - Accent5 43 2 6" xfId="15233" xr:uid="{00000000-0005-0000-0000-0000EC1A0000}"/>
    <cellStyle name="20% - Accent5 43 3" xfId="10924" xr:uid="{00000000-0005-0000-0000-0000ED1A0000}"/>
    <cellStyle name="20% - Accent5 43 3 2" xfId="22212" xr:uid="{00000000-0005-0000-0000-0000EE1A0000}"/>
    <cellStyle name="20% - Accent5 43 4" xfId="8930" xr:uid="{00000000-0005-0000-0000-0000EF1A0000}"/>
    <cellStyle name="20% - Accent5 43 4 2" xfId="20218" xr:uid="{00000000-0005-0000-0000-0000F01A0000}"/>
    <cellStyle name="20% - Accent5 43 5" xfId="6936" xr:uid="{00000000-0005-0000-0000-0000F11A0000}"/>
    <cellStyle name="20% - Accent5 43 5 2" xfId="18224" xr:uid="{00000000-0005-0000-0000-0000F21A0000}"/>
    <cellStyle name="20% - Accent5 43 6" xfId="4942" xr:uid="{00000000-0005-0000-0000-0000F31A0000}"/>
    <cellStyle name="20% - Accent5 43 6 2" xfId="16230" xr:uid="{00000000-0005-0000-0000-0000F41A0000}"/>
    <cellStyle name="20% - Accent5 43 7" xfId="14236" xr:uid="{00000000-0005-0000-0000-0000F51A0000}"/>
    <cellStyle name="20% - Accent5 43 8" xfId="12922" xr:uid="{00000000-0005-0000-0000-0000F61A0000}"/>
    <cellStyle name="20% - Accent5 44" xfId="987" xr:uid="{00000000-0005-0000-0000-0000F71A0000}"/>
    <cellStyle name="20% - Accent5 44 2" xfId="3943" xr:uid="{00000000-0005-0000-0000-0000F81A0000}"/>
    <cellStyle name="20% - Accent5 44 2 2" xfId="11922" xr:uid="{00000000-0005-0000-0000-0000F91A0000}"/>
    <cellStyle name="20% - Accent5 44 2 2 2" xfId="23210" xr:uid="{00000000-0005-0000-0000-0000FA1A0000}"/>
    <cellStyle name="20% - Accent5 44 2 3" xfId="9928" xr:uid="{00000000-0005-0000-0000-0000FB1A0000}"/>
    <cellStyle name="20% - Accent5 44 2 3 2" xfId="21216" xr:uid="{00000000-0005-0000-0000-0000FC1A0000}"/>
    <cellStyle name="20% - Accent5 44 2 4" xfId="7934" xr:uid="{00000000-0005-0000-0000-0000FD1A0000}"/>
    <cellStyle name="20% - Accent5 44 2 4 2" xfId="19222" xr:uid="{00000000-0005-0000-0000-0000FE1A0000}"/>
    <cellStyle name="20% - Accent5 44 2 5" xfId="5940" xr:uid="{00000000-0005-0000-0000-0000FF1A0000}"/>
    <cellStyle name="20% - Accent5 44 2 5 2" xfId="17228" xr:uid="{00000000-0005-0000-0000-0000001B0000}"/>
    <cellStyle name="20% - Accent5 44 2 6" xfId="15234" xr:uid="{00000000-0005-0000-0000-0000011B0000}"/>
    <cellStyle name="20% - Accent5 44 3" xfId="10925" xr:uid="{00000000-0005-0000-0000-0000021B0000}"/>
    <cellStyle name="20% - Accent5 44 3 2" xfId="22213" xr:uid="{00000000-0005-0000-0000-0000031B0000}"/>
    <cellStyle name="20% - Accent5 44 4" xfId="8931" xr:uid="{00000000-0005-0000-0000-0000041B0000}"/>
    <cellStyle name="20% - Accent5 44 4 2" xfId="20219" xr:uid="{00000000-0005-0000-0000-0000051B0000}"/>
    <cellStyle name="20% - Accent5 44 5" xfId="6937" xr:uid="{00000000-0005-0000-0000-0000061B0000}"/>
    <cellStyle name="20% - Accent5 44 5 2" xfId="18225" xr:uid="{00000000-0005-0000-0000-0000071B0000}"/>
    <cellStyle name="20% - Accent5 44 6" xfId="4943" xr:uid="{00000000-0005-0000-0000-0000081B0000}"/>
    <cellStyle name="20% - Accent5 44 6 2" xfId="16231" xr:uid="{00000000-0005-0000-0000-0000091B0000}"/>
    <cellStyle name="20% - Accent5 44 7" xfId="14237" xr:uid="{00000000-0005-0000-0000-00000A1B0000}"/>
    <cellStyle name="20% - Accent5 44 8" xfId="12923" xr:uid="{00000000-0005-0000-0000-00000B1B0000}"/>
    <cellStyle name="20% - Accent5 45" xfId="988" xr:uid="{00000000-0005-0000-0000-00000C1B0000}"/>
    <cellStyle name="20% - Accent5 45 2" xfId="3944" xr:uid="{00000000-0005-0000-0000-00000D1B0000}"/>
    <cellStyle name="20% - Accent5 45 2 2" xfId="11923" xr:uid="{00000000-0005-0000-0000-00000E1B0000}"/>
    <cellStyle name="20% - Accent5 45 2 2 2" xfId="23211" xr:uid="{00000000-0005-0000-0000-00000F1B0000}"/>
    <cellStyle name="20% - Accent5 45 2 3" xfId="9929" xr:uid="{00000000-0005-0000-0000-0000101B0000}"/>
    <cellStyle name="20% - Accent5 45 2 3 2" xfId="21217" xr:uid="{00000000-0005-0000-0000-0000111B0000}"/>
    <cellStyle name="20% - Accent5 45 2 4" xfId="7935" xr:uid="{00000000-0005-0000-0000-0000121B0000}"/>
    <cellStyle name="20% - Accent5 45 2 4 2" xfId="19223" xr:uid="{00000000-0005-0000-0000-0000131B0000}"/>
    <cellStyle name="20% - Accent5 45 2 5" xfId="5941" xr:uid="{00000000-0005-0000-0000-0000141B0000}"/>
    <cellStyle name="20% - Accent5 45 2 5 2" xfId="17229" xr:uid="{00000000-0005-0000-0000-0000151B0000}"/>
    <cellStyle name="20% - Accent5 45 2 6" xfId="15235" xr:uid="{00000000-0005-0000-0000-0000161B0000}"/>
    <cellStyle name="20% - Accent5 45 3" xfId="10926" xr:uid="{00000000-0005-0000-0000-0000171B0000}"/>
    <cellStyle name="20% - Accent5 45 3 2" xfId="22214" xr:uid="{00000000-0005-0000-0000-0000181B0000}"/>
    <cellStyle name="20% - Accent5 45 4" xfId="8932" xr:uid="{00000000-0005-0000-0000-0000191B0000}"/>
    <cellStyle name="20% - Accent5 45 4 2" xfId="20220" xr:uid="{00000000-0005-0000-0000-00001A1B0000}"/>
    <cellStyle name="20% - Accent5 45 5" xfId="6938" xr:uid="{00000000-0005-0000-0000-00001B1B0000}"/>
    <cellStyle name="20% - Accent5 45 5 2" xfId="18226" xr:uid="{00000000-0005-0000-0000-00001C1B0000}"/>
    <cellStyle name="20% - Accent5 45 6" xfId="4944" xr:uid="{00000000-0005-0000-0000-00001D1B0000}"/>
    <cellStyle name="20% - Accent5 45 6 2" xfId="16232" xr:uid="{00000000-0005-0000-0000-00001E1B0000}"/>
    <cellStyle name="20% - Accent5 45 7" xfId="14238" xr:uid="{00000000-0005-0000-0000-00001F1B0000}"/>
    <cellStyle name="20% - Accent5 45 8" xfId="12924" xr:uid="{00000000-0005-0000-0000-0000201B0000}"/>
    <cellStyle name="20% - Accent5 46" xfId="989" xr:uid="{00000000-0005-0000-0000-0000211B0000}"/>
    <cellStyle name="20% - Accent5 46 2" xfId="3945" xr:uid="{00000000-0005-0000-0000-0000221B0000}"/>
    <cellStyle name="20% - Accent5 46 2 2" xfId="11924" xr:uid="{00000000-0005-0000-0000-0000231B0000}"/>
    <cellStyle name="20% - Accent5 46 2 2 2" xfId="23212" xr:uid="{00000000-0005-0000-0000-0000241B0000}"/>
    <cellStyle name="20% - Accent5 46 2 3" xfId="9930" xr:uid="{00000000-0005-0000-0000-0000251B0000}"/>
    <cellStyle name="20% - Accent5 46 2 3 2" xfId="21218" xr:uid="{00000000-0005-0000-0000-0000261B0000}"/>
    <cellStyle name="20% - Accent5 46 2 4" xfId="7936" xr:uid="{00000000-0005-0000-0000-0000271B0000}"/>
    <cellStyle name="20% - Accent5 46 2 4 2" xfId="19224" xr:uid="{00000000-0005-0000-0000-0000281B0000}"/>
    <cellStyle name="20% - Accent5 46 2 5" xfId="5942" xr:uid="{00000000-0005-0000-0000-0000291B0000}"/>
    <cellStyle name="20% - Accent5 46 2 5 2" xfId="17230" xr:uid="{00000000-0005-0000-0000-00002A1B0000}"/>
    <cellStyle name="20% - Accent5 46 2 6" xfId="15236" xr:uid="{00000000-0005-0000-0000-00002B1B0000}"/>
    <cellStyle name="20% - Accent5 46 3" xfId="10927" xr:uid="{00000000-0005-0000-0000-00002C1B0000}"/>
    <cellStyle name="20% - Accent5 46 3 2" xfId="22215" xr:uid="{00000000-0005-0000-0000-00002D1B0000}"/>
    <cellStyle name="20% - Accent5 46 4" xfId="8933" xr:uid="{00000000-0005-0000-0000-00002E1B0000}"/>
    <cellStyle name="20% - Accent5 46 4 2" xfId="20221" xr:uid="{00000000-0005-0000-0000-00002F1B0000}"/>
    <cellStyle name="20% - Accent5 46 5" xfId="6939" xr:uid="{00000000-0005-0000-0000-0000301B0000}"/>
    <cellStyle name="20% - Accent5 46 5 2" xfId="18227" xr:uid="{00000000-0005-0000-0000-0000311B0000}"/>
    <cellStyle name="20% - Accent5 46 6" xfId="4945" xr:uid="{00000000-0005-0000-0000-0000321B0000}"/>
    <cellStyle name="20% - Accent5 46 6 2" xfId="16233" xr:uid="{00000000-0005-0000-0000-0000331B0000}"/>
    <cellStyle name="20% - Accent5 46 7" xfId="14239" xr:uid="{00000000-0005-0000-0000-0000341B0000}"/>
    <cellStyle name="20% - Accent5 46 8" xfId="12925" xr:uid="{00000000-0005-0000-0000-0000351B0000}"/>
    <cellStyle name="20% - Accent5 47" xfId="990" xr:uid="{00000000-0005-0000-0000-0000361B0000}"/>
    <cellStyle name="20% - Accent5 47 2" xfId="3946" xr:uid="{00000000-0005-0000-0000-0000371B0000}"/>
    <cellStyle name="20% - Accent5 47 2 2" xfId="11925" xr:uid="{00000000-0005-0000-0000-0000381B0000}"/>
    <cellStyle name="20% - Accent5 47 2 2 2" xfId="23213" xr:uid="{00000000-0005-0000-0000-0000391B0000}"/>
    <cellStyle name="20% - Accent5 47 2 3" xfId="9931" xr:uid="{00000000-0005-0000-0000-00003A1B0000}"/>
    <cellStyle name="20% - Accent5 47 2 3 2" xfId="21219" xr:uid="{00000000-0005-0000-0000-00003B1B0000}"/>
    <cellStyle name="20% - Accent5 47 2 4" xfId="7937" xr:uid="{00000000-0005-0000-0000-00003C1B0000}"/>
    <cellStyle name="20% - Accent5 47 2 4 2" xfId="19225" xr:uid="{00000000-0005-0000-0000-00003D1B0000}"/>
    <cellStyle name="20% - Accent5 47 2 5" xfId="5943" xr:uid="{00000000-0005-0000-0000-00003E1B0000}"/>
    <cellStyle name="20% - Accent5 47 2 5 2" xfId="17231" xr:uid="{00000000-0005-0000-0000-00003F1B0000}"/>
    <cellStyle name="20% - Accent5 47 2 6" xfId="15237" xr:uid="{00000000-0005-0000-0000-0000401B0000}"/>
    <cellStyle name="20% - Accent5 47 3" xfId="10928" xr:uid="{00000000-0005-0000-0000-0000411B0000}"/>
    <cellStyle name="20% - Accent5 47 3 2" xfId="22216" xr:uid="{00000000-0005-0000-0000-0000421B0000}"/>
    <cellStyle name="20% - Accent5 47 4" xfId="8934" xr:uid="{00000000-0005-0000-0000-0000431B0000}"/>
    <cellStyle name="20% - Accent5 47 4 2" xfId="20222" xr:uid="{00000000-0005-0000-0000-0000441B0000}"/>
    <cellStyle name="20% - Accent5 47 5" xfId="6940" xr:uid="{00000000-0005-0000-0000-0000451B0000}"/>
    <cellStyle name="20% - Accent5 47 5 2" xfId="18228" xr:uid="{00000000-0005-0000-0000-0000461B0000}"/>
    <cellStyle name="20% - Accent5 47 6" xfId="4946" xr:uid="{00000000-0005-0000-0000-0000471B0000}"/>
    <cellStyle name="20% - Accent5 47 6 2" xfId="16234" xr:uid="{00000000-0005-0000-0000-0000481B0000}"/>
    <cellStyle name="20% - Accent5 47 7" xfId="14240" xr:uid="{00000000-0005-0000-0000-0000491B0000}"/>
    <cellStyle name="20% - Accent5 47 8" xfId="12926" xr:uid="{00000000-0005-0000-0000-00004A1B0000}"/>
    <cellStyle name="20% - Accent5 48" xfId="991" xr:uid="{00000000-0005-0000-0000-00004B1B0000}"/>
    <cellStyle name="20% - Accent5 48 2" xfId="3947" xr:uid="{00000000-0005-0000-0000-00004C1B0000}"/>
    <cellStyle name="20% - Accent5 48 2 2" xfId="11926" xr:uid="{00000000-0005-0000-0000-00004D1B0000}"/>
    <cellStyle name="20% - Accent5 48 2 2 2" xfId="23214" xr:uid="{00000000-0005-0000-0000-00004E1B0000}"/>
    <cellStyle name="20% - Accent5 48 2 3" xfId="9932" xr:uid="{00000000-0005-0000-0000-00004F1B0000}"/>
    <cellStyle name="20% - Accent5 48 2 3 2" xfId="21220" xr:uid="{00000000-0005-0000-0000-0000501B0000}"/>
    <cellStyle name="20% - Accent5 48 2 4" xfId="7938" xr:uid="{00000000-0005-0000-0000-0000511B0000}"/>
    <cellStyle name="20% - Accent5 48 2 4 2" xfId="19226" xr:uid="{00000000-0005-0000-0000-0000521B0000}"/>
    <cellStyle name="20% - Accent5 48 2 5" xfId="5944" xr:uid="{00000000-0005-0000-0000-0000531B0000}"/>
    <cellStyle name="20% - Accent5 48 2 5 2" xfId="17232" xr:uid="{00000000-0005-0000-0000-0000541B0000}"/>
    <cellStyle name="20% - Accent5 48 2 6" xfId="15238" xr:uid="{00000000-0005-0000-0000-0000551B0000}"/>
    <cellStyle name="20% - Accent5 48 3" xfId="10929" xr:uid="{00000000-0005-0000-0000-0000561B0000}"/>
    <cellStyle name="20% - Accent5 48 3 2" xfId="22217" xr:uid="{00000000-0005-0000-0000-0000571B0000}"/>
    <cellStyle name="20% - Accent5 48 4" xfId="8935" xr:uid="{00000000-0005-0000-0000-0000581B0000}"/>
    <cellStyle name="20% - Accent5 48 4 2" xfId="20223" xr:uid="{00000000-0005-0000-0000-0000591B0000}"/>
    <cellStyle name="20% - Accent5 48 5" xfId="6941" xr:uid="{00000000-0005-0000-0000-00005A1B0000}"/>
    <cellStyle name="20% - Accent5 48 5 2" xfId="18229" xr:uid="{00000000-0005-0000-0000-00005B1B0000}"/>
    <cellStyle name="20% - Accent5 48 6" xfId="4947" xr:uid="{00000000-0005-0000-0000-00005C1B0000}"/>
    <cellStyle name="20% - Accent5 48 6 2" xfId="16235" xr:uid="{00000000-0005-0000-0000-00005D1B0000}"/>
    <cellStyle name="20% - Accent5 48 7" xfId="14241" xr:uid="{00000000-0005-0000-0000-00005E1B0000}"/>
    <cellStyle name="20% - Accent5 48 8" xfId="12927" xr:uid="{00000000-0005-0000-0000-00005F1B0000}"/>
    <cellStyle name="20% - Accent5 49" xfId="992" xr:uid="{00000000-0005-0000-0000-0000601B0000}"/>
    <cellStyle name="20% - Accent5 49 2" xfId="3948" xr:uid="{00000000-0005-0000-0000-0000611B0000}"/>
    <cellStyle name="20% - Accent5 49 2 2" xfId="11927" xr:uid="{00000000-0005-0000-0000-0000621B0000}"/>
    <cellStyle name="20% - Accent5 49 2 2 2" xfId="23215" xr:uid="{00000000-0005-0000-0000-0000631B0000}"/>
    <cellStyle name="20% - Accent5 49 2 3" xfId="9933" xr:uid="{00000000-0005-0000-0000-0000641B0000}"/>
    <cellStyle name="20% - Accent5 49 2 3 2" xfId="21221" xr:uid="{00000000-0005-0000-0000-0000651B0000}"/>
    <cellStyle name="20% - Accent5 49 2 4" xfId="7939" xr:uid="{00000000-0005-0000-0000-0000661B0000}"/>
    <cellStyle name="20% - Accent5 49 2 4 2" xfId="19227" xr:uid="{00000000-0005-0000-0000-0000671B0000}"/>
    <cellStyle name="20% - Accent5 49 2 5" xfId="5945" xr:uid="{00000000-0005-0000-0000-0000681B0000}"/>
    <cellStyle name="20% - Accent5 49 2 5 2" xfId="17233" xr:uid="{00000000-0005-0000-0000-0000691B0000}"/>
    <cellStyle name="20% - Accent5 49 2 6" xfId="15239" xr:uid="{00000000-0005-0000-0000-00006A1B0000}"/>
    <cellStyle name="20% - Accent5 49 3" xfId="10930" xr:uid="{00000000-0005-0000-0000-00006B1B0000}"/>
    <cellStyle name="20% - Accent5 49 3 2" xfId="22218" xr:uid="{00000000-0005-0000-0000-00006C1B0000}"/>
    <cellStyle name="20% - Accent5 49 4" xfId="8936" xr:uid="{00000000-0005-0000-0000-00006D1B0000}"/>
    <cellStyle name="20% - Accent5 49 4 2" xfId="20224" xr:uid="{00000000-0005-0000-0000-00006E1B0000}"/>
    <cellStyle name="20% - Accent5 49 5" xfId="6942" xr:uid="{00000000-0005-0000-0000-00006F1B0000}"/>
    <cellStyle name="20% - Accent5 49 5 2" xfId="18230" xr:uid="{00000000-0005-0000-0000-0000701B0000}"/>
    <cellStyle name="20% - Accent5 49 6" xfId="4948" xr:uid="{00000000-0005-0000-0000-0000711B0000}"/>
    <cellStyle name="20% - Accent5 49 6 2" xfId="16236" xr:uid="{00000000-0005-0000-0000-0000721B0000}"/>
    <cellStyle name="20% - Accent5 49 7" xfId="14242" xr:uid="{00000000-0005-0000-0000-0000731B0000}"/>
    <cellStyle name="20% - Accent5 49 8" xfId="12928" xr:uid="{00000000-0005-0000-0000-0000741B0000}"/>
    <cellStyle name="20% - Accent5 5" xfId="993" xr:uid="{00000000-0005-0000-0000-0000751B0000}"/>
    <cellStyle name="20% - Accent5 5 10" xfId="24586" xr:uid="{00000000-0005-0000-0000-0000761B0000}"/>
    <cellStyle name="20% - Accent5 5 11" xfId="24976" xr:uid="{00000000-0005-0000-0000-0000771B0000}"/>
    <cellStyle name="20% - Accent5 5 2" xfId="3949" xr:uid="{00000000-0005-0000-0000-0000781B0000}"/>
    <cellStyle name="20% - Accent5 5 2 2" xfId="11928" xr:uid="{00000000-0005-0000-0000-0000791B0000}"/>
    <cellStyle name="20% - Accent5 5 2 2 2" xfId="23216" xr:uid="{00000000-0005-0000-0000-00007A1B0000}"/>
    <cellStyle name="20% - Accent5 5 2 3" xfId="9934" xr:uid="{00000000-0005-0000-0000-00007B1B0000}"/>
    <cellStyle name="20% - Accent5 5 2 3 2" xfId="21222" xr:uid="{00000000-0005-0000-0000-00007C1B0000}"/>
    <cellStyle name="20% - Accent5 5 2 4" xfId="7940" xr:uid="{00000000-0005-0000-0000-00007D1B0000}"/>
    <cellStyle name="20% - Accent5 5 2 4 2" xfId="19228" xr:uid="{00000000-0005-0000-0000-00007E1B0000}"/>
    <cellStyle name="20% - Accent5 5 2 5" xfId="5946" xr:uid="{00000000-0005-0000-0000-00007F1B0000}"/>
    <cellStyle name="20% - Accent5 5 2 5 2" xfId="17234" xr:uid="{00000000-0005-0000-0000-0000801B0000}"/>
    <cellStyle name="20% - Accent5 5 2 6" xfId="15240" xr:uid="{00000000-0005-0000-0000-0000811B0000}"/>
    <cellStyle name="20% - Accent5 5 2 7" xfId="24347" xr:uid="{00000000-0005-0000-0000-0000821B0000}"/>
    <cellStyle name="20% - Accent5 5 2 8" xfId="24811" xr:uid="{00000000-0005-0000-0000-0000831B0000}"/>
    <cellStyle name="20% - Accent5 5 2 9" xfId="25178" xr:uid="{00000000-0005-0000-0000-0000841B0000}"/>
    <cellStyle name="20% - Accent5 5 3" xfId="10931" xr:uid="{00000000-0005-0000-0000-0000851B0000}"/>
    <cellStyle name="20% - Accent5 5 3 2" xfId="22219" xr:uid="{00000000-0005-0000-0000-0000861B0000}"/>
    <cellStyle name="20% - Accent5 5 4" xfId="8937" xr:uid="{00000000-0005-0000-0000-0000871B0000}"/>
    <cellStyle name="20% - Accent5 5 4 2" xfId="20225" xr:uid="{00000000-0005-0000-0000-0000881B0000}"/>
    <cellStyle name="20% - Accent5 5 5" xfId="6943" xr:uid="{00000000-0005-0000-0000-0000891B0000}"/>
    <cellStyle name="20% - Accent5 5 5 2" xfId="18231" xr:uid="{00000000-0005-0000-0000-00008A1B0000}"/>
    <cellStyle name="20% - Accent5 5 6" xfId="4949" xr:uid="{00000000-0005-0000-0000-00008B1B0000}"/>
    <cellStyle name="20% - Accent5 5 6 2" xfId="16237" xr:uid="{00000000-0005-0000-0000-00008C1B0000}"/>
    <cellStyle name="20% - Accent5 5 7" xfId="14243" xr:uid="{00000000-0005-0000-0000-00008D1B0000}"/>
    <cellStyle name="20% - Accent5 5 8" xfId="12929" xr:uid="{00000000-0005-0000-0000-00008E1B0000}"/>
    <cellStyle name="20% - Accent5 5 9" xfId="23959" xr:uid="{00000000-0005-0000-0000-00008F1B0000}"/>
    <cellStyle name="20% - Accent5 50" xfId="994" xr:uid="{00000000-0005-0000-0000-0000901B0000}"/>
    <cellStyle name="20% - Accent5 50 2" xfId="3950" xr:uid="{00000000-0005-0000-0000-0000911B0000}"/>
    <cellStyle name="20% - Accent5 50 2 2" xfId="11929" xr:uid="{00000000-0005-0000-0000-0000921B0000}"/>
    <cellStyle name="20% - Accent5 50 2 2 2" xfId="23217" xr:uid="{00000000-0005-0000-0000-0000931B0000}"/>
    <cellStyle name="20% - Accent5 50 2 3" xfId="9935" xr:uid="{00000000-0005-0000-0000-0000941B0000}"/>
    <cellStyle name="20% - Accent5 50 2 3 2" xfId="21223" xr:uid="{00000000-0005-0000-0000-0000951B0000}"/>
    <cellStyle name="20% - Accent5 50 2 4" xfId="7941" xr:uid="{00000000-0005-0000-0000-0000961B0000}"/>
    <cellStyle name="20% - Accent5 50 2 4 2" xfId="19229" xr:uid="{00000000-0005-0000-0000-0000971B0000}"/>
    <cellStyle name="20% - Accent5 50 2 5" xfId="5947" xr:uid="{00000000-0005-0000-0000-0000981B0000}"/>
    <cellStyle name="20% - Accent5 50 2 5 2" xfId="17235" xr:uid="{00000000-0005-0000-0000-0000991B0000}"/>
    <cellStyle name="20% - Accent5 50 2 6" xfId="15241" xr:uid="{00000000-0005-0000-0000-00009A1B0000}"/>
    <cellStyle name="20% - Accent5 50 3" xfId="10932" xr:uid="{00000000-0005-0000-0000-00009B1B0000}"/>
    <cellStyle name="20% - Accent5 50 3 2" xfId="22220" xr:uid="{00000000-0005-0000-0000-00009C1B0000}"/>
    <cellStyle name="20% - Accent5 50 4" xfId="8938" xr:uid="{00000000-0005-0000-0000-00009D1B0000}"/>
    <cellStyle name="20% - Accent5 50 4 2" xfId="20226" xr:uid="{00000000-0005-0000-0000-00009E1B0000}"/>
    <cellStyle name="20% - Accent5 50 5" xfId="6944" xr:uid="{00000000-0005-0000-0000-00009F1B0000}"/>
    <cellStyle name="20% - Accent5 50 5 2" xfId="18232" xr:uid="{00000000-0005-0000-0000-0000A01B0000}"/>
    <cellStyle name="20% - Accent5 50 6" xfId="4950" xr:uid="{00000000-0005-0000-0000-0000A11B0000}"/>
    <cellStyle name="20% - Accent5 50 6 2" xfId="16238" xr:uid="{00000000-0005-0000-0000-0000A21B0000}"/>
    <cellStyle name="20% - Accent5 50 7" xfId="14244" xr:uid="{00000000-0005-0000-0000-0000A31B0000}"/>
    <cellStyle name="20% - Accent5 50 8" xfId="12930" xr:uid="{00000000-0005-0000-0000-0000A41B0000}"/>
    <cellStyle name="20% - Accent5 51" xfId="995" xr:uid="{00000000-0005-0000-0000-0000A51B0000}"/>
    <cellStyle name="20% - Accent5 51 2" xfId="3951" xr:uid="{00000000-0005-0000-0000-0000A61B0000}"/>
    <cellStyle name="20% - Accent5 51 2 2" xfId="11930" xr:uid="{00000000-0005-0000-0000-0000A71B0000}"/>
    <cellStyle name="20% - Accent5 51 2 2 2" xfId="23218" xr:uid="{00000000-0005-0000-0000-0000A81B0000}"/>
    <cellStyle name="20% - Accent5 51 2 3" xfId="9936" xr:uid="{00000000-0005-0000-0000-0000A91B0000}"/>
    <cellStyle name="20% - Accent5 51 2 3 2" xfId="21224" xr:uid="{00000000-0005-0000-0000-0000AA1B0000}"/>
    <cellStyle name="20% - Accent5 51 2 4" xfId="7942" xr:uid="{00000000-0005-0000-0000-0000AB1B0000}"/>
    <cellStyle name="20% - Accent5 51 2 4 2" xfId="19230" xr:uid="{00000000-0005-0000-0000-0000AC1B0000}"/>
    <cellStyle name="20% - Accent5 51 2 5" xfId="5948" xr:uid="{00000000-0005-0000-0000-0000AD1B0000}"/>
    <cellStyle name="20% - Accent5 51 2 5 2" xfId="17236" xr:uid="{00000000-0005-0000-0000-0000AE1B0000}"/>
    <cellStyle name="20% - Accent5 51 2 6" xfId="15242" xr:uid="{00000000-0005-0000-0000-0000AF1B0000}"/>
    <cellStyle name="20% - Accent5 51 3" xfId="10933" xr:uid="{00000000-0005-0000-0000-0000B01B0000}"/>
    <cellStyle name="20% - Accent5 51 3 2" xfId="22221" xr:uid="{00000000-0005-0000-0000-0000B11B0000}"/>
    <cellStyle name="20% - Accent5 51 4" xfId="8939" xr:uid="{00000000-0005-0000-0000-0000B21B0000}"/>
    <cellStyle name="20% - Accent5 51 4 2" xfId="20227" xr:uid="{00000000-0005-0000-0000-0000B31B0000}"/>
    <cellStyle name="20% - Accent5 51 5" xfId="6945" xr:uid="{00000000-0005-0000-0000-0000B41B0000}"/>
    <cellStyle name="20% - Accent5 51 5 2" xfId="18233" xr:uid="{00000000-0005-0000-0000-0000B51B0000}"/>
    <cellStyle name="20% - Accent5 51 6" xfId="4951" xr:uid="{00000000-0005-0000-0000-0000B61B0000}"/>
    <cellStyle name="20% - Accent5 51 6 2" xfId="16239" xr:uid="{00000000-0005-0000-0000-0000B71B0000}"/>
    <cellStyle name="20% - Accent5 51 7" xfId="14245" xr:uid="{00000000-0005-0000-0000-0000B81B0000}"/>
    <cellStyle name="20% - Accent5 51 8" xfId="12931" xr:uid="{00000000-0005-0000-0000-0000B91B0000}"/>
    <cellStyle name="20% - Accent5 52" xfId="996" xr:uid="{00000000-0005-0000-0000-0000BA1B0000}"/>
    <cellStyle name="20% - Accent5 52 2" xfId="3952" xr:uid="{00000000-0005-0000-0000-0000BB1B0000}"/>
    <cellStyle name="20% - Accent5 52 2 2" xfId="11931" xr:uid="{00000000-0005-0000-0000-0000BC1B0000}"/>
    <cellStyle name="20% - Accent5 52 2 2 2" xfId="23219" xr:uid="{00000000-0005-0000-0000-0000BD1B0000}"/>
    <cellStyle name="20% - Accent5 52 2 3" xfId="9937" xr:uid="{00000000-0005-0000-0000-0000BE1B0000}"/>
    <cellStyle name="20% - Accent5 52 2 3 2" xfId="21225" xr:uid="{00000000-0005-0000-0000-0000BF1B0000}"/>
    <cellStyle name="20% - Accent5 52 2 4" xfId="7943" xr:uid="{00000000-0005-0000-0000-0000C01B0000}"/>
    <cellStyle name="20% - Accent5 52 2 4 2" xfId="19231" xr:uid="{00000000-0005-0000-0000-0000C11B0000}"/>
    <cellStyle name="20% - Accent5 52 2 5" xfId="5949" xr:uid="{00000000-0005-0000-0000-0000C21B0000}"/>
    <cellStyle name="20% - Accent5 52 2 5 2" xfId="17237" xr:uid="{00000000-0005-0000-0000-0000C31B0000}"/>
    <cellStyle name="20% - Accent5 52 2 6" xfId="15243" xr:uid="{00000000-0005-0000-0000-0000C41B0000}"/>
    <cellStyle name="20% - Accent5 52 3" xfId="10934" xr:uid="{00000000-0005-0000-0000-0000C51B0000}"/>
    <cellStyle name="20% - Accent5 52 3 2" xfId="22222" xr:uid="{00000000-0005-0000-0000-0000C61B0000}"/>
    <cellStyle name="20% - Accent5 52 4" xfId="8940" xr:uid="{00000000-0005-0000-0000-0000C71B0000}"/>
    <cellStyle name="20% - Accent5 52 4 2" xfId="20228" xr:uid="{00000000-0005-0000-0000-0000C81B0000}"/>
    <cellStyle name="20% - Accent5 52 5" xfId="6946" xr:uid="{00000000-0005-0000-0000-0000C91B0000}"/>
    <cellStyle name="20% - Accent5 52 5 2" xfId="18234" xr:uid="{00000000-0005-0000-0000-0000CA1B0000}"/>
    <cellStyle name="20% - Accent5 52 6" xfId="4952" xr:uid="{00000000-0005-0000-0000-0000CB1B0000}"/>
    <cellStyle name="20% - Accent5 52 6 2" xfId="16240" xr:uid="{00000000-0005-0000-0000-0000CC1B0000}"/>
    <cellStyle name="20% - Accent5 52 7" xfId="14246" xr:uid="{00000000-0005-0000-0000-0000CD1B0000}"/>
    <cellStyle name="20% - Accent5 52 8" xfId="12932" xr:uid="{00000000-0005-0000-0000-0000CE1B0000}"/>
    <cellStyle name="20% - Accent5 53" xfId="997" xr:uid="{00000000-0005-0000-0000-0000CF1B0000}"/>
    <cellStyle name="20% - Accent5 53 2" xfId="3953" xr:uid="{00000000-0005-0000-0000-0000D01B0000}"/>
    <cellStyle name="20% - Accent5 53 2 2" xfId="11932" xr:uid="{00000000-0005-0000-0000-0000D11B0000}"/>
    <cellStyle name="20% - Accent5 53 2 2 2" xfId="23220" xr:uid="{00000000-0005-0000-0000-0000D21B0000}"/>
    <cellStyle name="20% - Accent5 53 2 3" xfId="9938" xr:uid="{00000000-0005-0000-0000-0000D31B0000}"/>
    <cellStyle name="20% - Accent5 53 2 3 2" xfId="21226" xr:uid="{00000000-0005-0000-0000-0000D41B0000}"/>
    <cellStyle name="20% - Accent5 53 2 4" xfId="7944" xr:uid="{00000000-0005-0000-0000-0000D51B0000}"/>
    <cellStyle name="20% - Accent5 53 2 4 2" xfId="19232" xr:uid="{00000000-0005-0000-0000-0000D61B0000}"/>
    <cellStyle name="20% - Accent5 53 2 5" xfId="5950" xr:uid="{00000000-0005-0000-0000-0000D71B0000}"/>
    <cellStyle name="20% - Accent5 53 2 5 2" xfId="17238" xr:uid="{00000000-0005-0000-0000-0000D81B0000}"/>
    <cellStyle name="20% - Accent5 53 2 6" xfId="15244" xr:uid="{00000000-0005-0000-0000-0000D91B0000}"/>
    <cellStyle name="20% - Accent5 53 3" xfId="10935" xr:uid="{00000000-0005-0000-0000-0000DA1B0000}"/>
    <cellStyle name="20% - Accent5 53 3 2" xfId="22223" xr:uid="{00000000-0005-0000-0000-0000DB1B0000}"/>
    <cellStyle name="20% - Accent5 53 4" xfId="8941" xr:uid="{00000000-0005-0000-0000-0000DC1B0000}"/>
    <cellStyle name="20% - Accent5 53 4 2" xfId="20229" xr:uid="{00000000-0005-0000-0000-0000DD1B0000}"/>
    <cellStyle name="20% - Accent5 53 5" xfId="6947" xr:uid="{00000000-0005-0000-0000-0000DE1B0000}"/>
    <cellStyle name="20% - Accent5 53 5 2" xfId="18235" xr:uid="{00000000-0005-0000-0000-0000DF1B0000}"/>
    <cellStyle name="20% - Accent5 53 6" xfId="4953" xr:uid="{00000000-0005-0000-0000-0000E01B0000}"/>
    <cellStyle name="20% - Accent5 53 6 2" xfId="16241" xr:uid="{00000000-0005-0000-0000-0000E11B0000}"/>
    <cellStyle name="20% - Accent5 53 7" xfId="14247" xr:uid="{00000000-0005-0000-0000-0000E21B0000}"/>
    <cellStyle name="20% - Accent5 53 8" xfId="12933" xr:uid="{00000000-0005-0000-0000-0000E31B0000}"/>
    <cellStyle name="20% - Accent5 54" xfId="998" xr:uid="{00000000-0005-0000-0000-0000E41B0000}"/>
    <cellStyle name="20% - Accent5 54 2" xfId="3954" xr:uid="{00000000-0005-0000-0000-0000E51B0000}"/>
    <cellStyle name="20% - Accent5 54 2 2" xfId="11933" xr:uid="{00000000-0005-0000-0000-0000E61B0000}"/>
    <cellStyle name="20% - Accent5 54 2 2 2" xfId="23221" xr:uid="{00000000-0005-0000-0000-0000E71B0000}"/>
    <cellStyle name="20% - Accent5 54 2 3" xfId="9939" xr:uid="{00000000-0005-0000-0000-0000E81B0000}"/>
    <cellStyle name="20% - Accent5 54 2 3 2" xfId="21227" xr:uid="{00000000-0005-0000-0000-0000E91B0000}"/>
    <cellStyle name="20% - Accent5 54 2 4" xfId="7945" xr:uid="{00000000-0005-0000-0000-0000EA1B0000}"/>
    <cellStyle name="20% - Accent5 54 2 4 2" xfId="19233" xr:uid="{00000000-0005-0000-0000-0000EB1B0000}"/>
    <cellStyle name="20% - Accent5 54 2 5" xfId="5951" xr:uid="{00000000-0005-0000-0000-0000EC1B0000}"/>
    <cellStyle name="20% - Accent5 54 2 5 2" xfId="17239" xr:uid="{00000000-0005-0000-0000-0000ED1B0000}"/>
    <cellStyle name="20% - Accent5 54 2 6" xfId="15245" xr:uid="{00000000-0005-0000-0000-0000EE1B0000}"/>
    <cellStyle name="20% - Accent5 54 3" xfId="10936" xr:uid="{00000000-0005-0000-0000-0000EF1B0000}"/>
    <cellStyle name="20% - Accent5 54 3 2" xfId="22224" xr:uid="{00000000-0005-0000-0000-0000F01B0000}"/>
    <cellStyle name="20% - Accent5 54 4" xfId="8942" xr:uid="{00000000-0005-0000-0000-0000F11B0000}"/>
    <cellStyle name="20% - Accent5 54 4 2" xfId="20230" xr:uid="{00000000-0005-0000-0000-0000F21B0000}"/>
    <cellStyle name="20% - Accent5 54 5" xfId="6948" xr:uid="{00000000-0005-0000-0000-0000F31B0000}"/>
    <cellStyle name="20% - Accent5 54 5 2" xfId="18236" xr:uid="{00000000-0005-0000-0000-0000F41B0000}"/>
    <cellStyle name="20% - Accent5 54 6" xfId="4954" xr:uid="{00000000-0005-0000-0000-0000F51B0000}"/>
    <cellStyle name="20% - Accent5 54 6 2" xfId="16242" xr:uid="{00000000-0005-0000-0000-0000F61B0000}"/>
    <cellStyle name="20% - Accent5 54 7" xfId="14248" xr:uid="{00000000-0005-0000-0000-0000F71B0000}"/>
    <cellStyle name="20% - Accent5 54 8" xfId="12934" xr:uid="{00000000-0005-0000-0000-0000F81B0000}"/>
    <cellStyle name="20% - Accent5 55" xfId="999" xr:uid="{00000000-0005-0000-0000-0000F91B0000}"/>
    <cellStyle name="20% - Accent5 55 2" xfId="3955" xr:uid="{00000000-0005-0000-0000-0000FA1B0000}"/>
    <cellStyle name="20% - Accent5 55 2 2" xfId="11934" xr:uid="{00000000-0005-0000-0000-0000FB1B0000}"/>
    <cellStyle name="20% - Accent5 55 2 2 2" xfId="23222" xr:uid="{00000000-0005-0000-0000-0000FC1B0000}"/>
    <cellStyle name="20% - Accent5 55 2 3" xfId="9940" xr:uid="{00000000-0005-0000-0000-0000FD1B0000}"/>
    <cellStyle name="20% - Accent5 55 2 3 2" xfId="21228" xr:uid="{00000000-0005-0000-0000-0000FE1B0000}"/>
    <cellStyle name="20% - Accent5 55 2 4" xfId="7946" xr:uid="{00000000-0005-0000-0000-0000FF1B0000}"/>
    <cellStyle name="20% - Accent5 55 2 4 2" xfId="19234" xr:uid="{00000000-0005-0000-0000-0000001C0000}"/>
    <cellStyle name="20% - Accent5 55 2 5" xfId="5952" xr:uid="{00000000-0005-0000-0000-0000011C0000}"/>
    <cellStyle name="20% - Accent5 55 2 5 2" xfId="17240" xr:uid="{00000000-0005-0000-0000-0000021C0000}"/>
    <cellStyle name="20% - Accent5 55 2 6" xfId="15246" xr:uid="{00000000-0005-0000-0000-0000031C0000}"/>
    <cellStyle name="20% - Accent5 55 3" xfId="10937" xr:uid="{00000000-0005-0000-0000-0000041C0000}"/>
    <cellStyle name="20% - Accent5 55 3 2" xfId="22225" xr:uid="{00000000-0005-0000-0000-0000051C0000}"/>
    <cellStyle name="20% - Accent5 55 4" xfId="8943" xr:uid="{00000000-0005-0000-0000-0000061C0000}"/>
    <cellStyle name="20% - Accent5 55 4 2" xfId="20231" xr:uid="{00000000-0005-0000-0000-0000071C0000}"/>
    <cellStyle name="20% - Accent5 55 5" xfId="6949" xr:uid="{00000000-0005-0000-0000-0000081C0000}"/>
    <cellStyle name="20% - Accent5 55 5 2" xfId="18237" xr:uid="{00000000-0005-0000-0000-0000091C0000}"/>
    <cellStyle name="20% - Accent5 55 6" xfId="4955" xr:uid="{00000000-0005-0000-0000-00000A1C0000}"/>
    <cellStyle name="20% - Accent5 55 6 2" xfId="16243" xr:uid="{00000000-0005-0000-0000-00000B1C0000}"/>
    <cellStyle name="20% - Accent5 55 7" xfId="14249" xr:uid="{00000000-0005-0000-0000-00000C1C0000}"/>
    <cellStyle name="20% - Accent5 55 8" xfId="12935" xr:uid="{00000000-0005-0000-0000-00000D1C0000}"/>
    <cellStyle name="20% - Accent5 56" xfId="1000" xr:uid="{00000000-0005-0000-0000-00000E1C0000}"/>
    <cellStyle name="20% - Accent5 56 2" xfId="3956" xr:uid="{00000000-0005-0000-0000-00000F1C0000}"/>
    <cellStyle name="20% - Accent5 56 2 2" xfId="11935" xr:uid="{00000000-0005-0000-0000-0000101C0000}"/>
    <cellStyle name="20% - Accent5 56 2 2 2" xfId="23223" xr:uid="{00000000-0005-0000-0000-0000111C0000}"/>
    <cellStyle name="20% - Accent5 56 2 3" xfId="9941" xr:uid="{00000000-0005-0000-0000-0000121C0000}"/>
    <cellStyle name="20% - Accent5 56 2 3 2" xfId="21229" xr:uid="{00000000-0005-0000-0000-0000131C0000}"/>
    <cellStyle name="20% - Accent5 56 2 4" xfId="7947" xr:uid="{00000000-0005-0000-0000-0000141C0000}"/>
    <cellStyle name="20% - Accent5 56 2 4 2" xfId="19235" xr:uid="{00000000-0005-0000-0000-0000151C0000}"/>
    <cellStyle name="20% - Accent5 56 2 5" xfId="5953" xr:uid="{00000000-0005-0000-0000-0000161C0000}"/>
    <cellStyle name="20% - Accent5 56 2 5 2" xfId="17241" xr:uid="{00000000-0005-0000-0000-0000171C0000}"/>
    <cellStyle name="20% - Accent5 56 2 6" xfId="15247" xr:uid="{00000000-0005-0000-0000-0000181C0000}"/>
    <cellStyle name="20% - Accent5 56 3" xfId="10938" xr:uid="{00000000-0005-0000-0000-0000191C0000}"/>
    <cellStyle name="20% - Accent5 56 3 2" xfId="22226" xr:uid="{00000000-0005-0000-0000-00001A1C0000}"/>
    <cellStyle name="20% - Accent5 56 4" xfId="8944" xr:uid="{00000000-0005-0000-0000-00001B1C0000}"/>
    <cellStyle name="20% - Accent5 56 4 2" xfId="20232" xr:uid="{00000000-0005-0000-0000-00001C1C0000}"/>
    <cellStyle name="20% - Accent5 56 5" xfId="6950" xr:uid="{00000000-0005-0000-0000-00001D1C0000}"/>
    <cellStyle name="20% - Accent5 56 5 2" xfId="18238" xr:uid="{00000000-0005-0000-0000-00001E1C0000}"/>
    <cellStyle name="20% - Accent5 56 6" xfId="4956" xr:uid="{00000000-0005-0000-0000-00001F1C0000}"/>
    <cellStyle name="20% - Accent5 56 6 2" xfId="16244" xr:uid="{00000000-0005-0000-0000-0000201C0000}"/>
    <cellStyle name="20% - Accent5 56 7" xfId="14250" xr:uid="{00000000-0005-0000-0000-0000211C0000}"/>
    <cellStyle name="20% - Accent5 56 8" xfId="12936" xr:uid="{00000000-0005-0000-0000-0000221C0000}"/>
    <cellStyle name="20% - Accent5 57" xfId="1001" xr:uid="{00000000-0005-0000-0000-0000231C0000}"/>
    <cellStyle name="20% - Accent5 57 2" xfId="3957" xr:uid="{00000000-0005-0000-0000-0000241C0000}"/>
    <cellStyle name="20% - Accent5 57 2 2" xfId="11936" xr:uid="{00000000-0005-0000-0000-0000251C0000}"/>
    <cellStyle name="20% - Accent5 57 2 2 2" xfId="23224" xr:uid="{00000000-0005-0000-0000-0000261C0000}"/>
    <cellStyle name="20% - Accent5 57 2 3" xfId="9942" xr:uid="{00000000-0005-0000-0000-0000271C0000}"/>
    <cellStyle name="20% - Accent5 57 2 3 2" xfId="21230" xr:uid="{00000000-0005-0000-0000-0000281C0000}"/>
    <cellStyle name="20% - Accent5 57 2 4" xfId="7948" xr:uid="{00000000-0005-0000-0000-0000291C0000}"/>
    <cellStyle name="20% - Accent5 57 2 4 2" xfId="19236" xr:uid="{00000000-0005-0000-0000-00002A1C0000}"/>
    <cellStyle name="20% - Accent5 57 2 5" xfId="5954" xr:uid="{00000000-0005-0000-0000-00002B1C0000}"/>
    <cellStyle name="20% - Accent5 57 2 5 2" xfId="17242" xr:uid="{00000000-0005-0000-0000-00002C1C0000}"/>
    <cellStyle name="20% - Accent5 57 2 6" xfId="15248" xr:uid="{00000000-0005-0000-0000-00002D1C0000}"/>
    <cellStyle name="20% - Accent5 57 3" xfId="10939" xr:uid="{00000000-0005-0000-0000-00002E1C0000}"/>
    <cellStyle name="20% - Accent5 57 3 2" xfId="22227" xr:uid="{00000000-0005-0000-0000-00002F1C0000}"/>
    <cellStyle name="20% - Accent5 57 4" xfId="8945" xr:uid="{00000000-0005-0000-0000-0000301C0000}"/>
    <cellStyle name="20% - Accent5 57 4 2" xfId="20233" xr:uid="{00000000-0005-0000-0000-0000311C0000}"/>
    <cellStyle name="20% - Accent5 57 5" xfId="6951" xr:uid="{00000000-0005-0000-0000-0000321C0000}"/>
    <cellStyle name="20% - Accent5 57 5 2" xfId="18239" xr:uid="{00000000-0005-0000-0000-0000331C0000}"/>
    <cellStyle name="20% - Accent5 57 6" xfId="4957" xr:uid="{00000000-0005-0000-0000-0000341C0000}"/>
    <cellStyle name="20% - Accent5 57 6 2" xfId="16245" xr:uid="{00000000-0005-0000-0000-0000351C0000}"/>
    <cellStyle name="20% - Accent5 57 7" xfId="14251" xr:uid="{00000000-0005-0000-0000-0000361C0000}"/>
    <cellStyle name="20% - Accent5 57 8" xfId="12937" xr:uid="{00000000-0005-0000-0000-0000371C0000}"/>
    <cellStyle name="20% - Accent5 58" xfId="1002" xr:uid="{00000000-0005-0000-0000-0000381C0000}"/>
    <cellStyle name="20% - Accent5 58 2" xfId="3958" xr:uid="{00000000-0005-0000-0000-0000391C0000}"/>
    <cellStyle name="20% - Accent5 58 2 2" xfId="11937" xr:uid="{00000000-0005-0000-0000-00003A1C0000}"/>
    <cellStyle name="20% - Accent5 58 2 2 2" xfId="23225" xr:uid="{00000000-0005-0000-0000-00003B1C0000}"/>
    <cellStyle name="20% - Accent5 58 2 3" xfId="9943" xr:uid="{00000000-0005-0000-0000-00003C1C0000}"/>
    <cellStyle name="20% - Accent5 58 2 3 2" xfId="21231" xr:uid="{00000000-0005-0000-0000-00003D1C0000}"/>
    <cellStyle name="20% - Accent5 58 2 4" xfId="7949" xr:uid="{00000000-0005-0000-0000-00003E1C0000}"/>
    <cellStyle name="20% - Accent5 58 2 4 2" xfId="19237" xr:uid="{00000000-0005-0000-0000-00003F1C0000}"/>
    <cellStyle name="20% - Accent5 58 2 5" xfId="5955" xr:uid="{00000000-0005-0000-0000-0000401C0000}"/>
    <cellStyle name="20% - Accent5 58 2 5 2" xfId="17243" xr:uid="{00000000-0005-0000-0000-0000411C0000}"/>
    <cellStyle name="20% - Accent5 58 2 6" xfId="15249" xr:uid="{00000000-0005-0000-0000-0000421C0000}"/>
    <cellStyle name="20% - Accent5 58 3" xfId="10940" xr:uid="{00000000-0005-0000-0000-0000431C0000}"/>
    <cellStyle name="20% - Accent5 58 3 2" xfId="22228" xr:uid="{00000000-0005-0000-0000-0000441C0000}"/>
    <cellStyle name="20% - Accent5 58 4" xfId="8946" xr:uid="{00000000-0005-0000-0000-0000451C0000}"/>
    <cellStyle name="20% - Accent5 58 4 2" xfId="20234" xr:uid="{00000000-0005-0000-0000-0000461C0000}"/>
    <cellStyle name="20% - Accent5 58 5" xfId="6952" xr:uid="{00000000-0005-0000-0000-0000471C0000}"/>
    <cellStyle name="20% - Accent5 58 5 2" xfId="18240" xr:uid="{00000000-0005-0000-0000-0000481C0000}"/>
    <cellStyle name="20% - Accent5 58 6" xfId="4958" xr:uid="{00000000-0005-0000-0000-0000491C0000}"/>
    <cellStyle name="20% - Accent5 58 6 2" xfId="16246" xr:uid="{00000000-0005-0000-0000-00004A1C0000}"/>
    <cellStyle name="20% - Accent5 58 7" xfId="14252" xr:uid="{00000000-0005-0000-0000-00004B1C0000}"/>
    <cellStyle name="20% - Accent5 58 8" xfId="12938" xr:uid="{00000000-0005-0000-0000-00004C1C0000}"/>
    <cellStyle name="20% - Accent5 59" xfId="1003" xr:uid="{00000000-0005-0000-0000-00004D1C0000}"/>
    <cellStyle name="20% - Accent5 59 2" xfId="3959" xr:uid="{00000000-0005-0000-0000-00004E1C0000}"/>
    <cellStyle name="20% - Accent5 59 2 2" xfId="11938" xr:uid="{00000000-0005-0000-0000-00004F1C0000}"/>
    <cellStyle name="20% - Accent5 59 2 2 2" xfId="23226" xr:uid="{00000000-0005-0000-0000-0000501C0000}"/>
    <cellStyle name="20% - Accent5 59 2 3" xfId="9944" xr:uid="{00000000-0005-0000-0000-0000511C0000}"/>
    <cellStyle name="20% - Accent5 59 2 3 2" xfId="21232" xr:uid="{00000000-0005-0000-0000-0000521C0000}"/>
    <cellStyle name="20% - Accent5 59 2 4" xfId="7950" xr:uid="{00000000-0005-0000-0000-0000531C0000}"/>
    <cellStyle name="20% - Accent5 59 2 4 2" xfId="19238" xr:uid="{00000000-0005-0000-0000-0000541C0000}"/>
    <cellStyle name="20% - Accent5 59 2 5" xfId="5956" xr:uid="{00000000-0005-0000-0000-0000551C0000}"/>
    <cellStyle name="20% - Accent5 59 2 5 2" xfId="17244" xr:uid="{00000000-0005-0000-0000-0000561C0000}"/>
    <cellStyle name="20% - Accent5 59 2 6" xfId="15250" xr:uid="{00000000-0005-0000-0000-0000571C0000}"/>
    <cellStyle name="20% - Accent5 59 3" xfId="10941" xr:uid="{00000000-0005-0000-0000-0000581C0000}"/>
    <cellStyle name="20% - Accent5 59 3 2" xfId="22229" xr:uid="{00000000-0005-0000-0000-0000591C0000}"/>
    <cellStyle name="20% - Accent5 59 4" xfId="8947" xr:uid="{00000000-0005-0000-0000-00005A1C0000}"/>
    <cellStyle name="20% - Accent5 59 4 2" xfId="20235" xr:uid="{00000000-0005-0000-0000-00005B1C0000}"/>
    <cellStyle name="20% - Accent5 59 5" xfId="6953" xr:uid="{00000000-0005-0000-0000-00005C1C0000}"/>
    <cellStyle name="20% - Accent5 59 5 2" xfId="18241" xr:uid="{00000000-0005-0000-0000-00005D1C0000}"/>
    <cellStyle name="20% - Accent5 59 6" xfId="4959" xr:uid="{00000000-0005-0000-0000-00005E1C0000}"/>
    <cellStyle name="20% - Accent5 59 6 2" xfId="16247" xr:uid="{00000000-0005-0000-0000-00005F1C0000}"/>
    <cellStyle name="20% - Accent5 59 7" xfId="14253" xr:uid="{00000000-0005-0000-0000-0000601C0000}"/>
    <cellStyle name="20% - Accent5 59 8" xfId="12939" xr:uid="{00000000-0005-0000-0000-0000611C0000}"/>
    <cellStyle name="20% - Accent5 6" xfId="1004" xr:uid="{00000000-0005-0000-0000-0000621C0000}"/>
    <cellStyle name="20% - Accent5 6 10" xfId="24587" xr:uid="{00000000-0005-0000-0000-0000631C0000}"/>
    <cellStyle name="20% - Accent5 6 11" xfId="24977" xr:uid="{00000000-0005-0000-0000-0000641C0000}"/>
    <cellStyle name="20% - Accent5 6 2" xfId="3960" xr:uid="{00000000-0005-0000-0000-0000651C0000}"/>
    <cellStyle name="20% - Accent5 6 2 2" xfId="11939" xr:uid="{00000000-0005-0000-0000-0000661C0000}"/>
    <cellStyle name="20% - Accent5 6 2 2 2" xfId="23227" xr:uid="{00000000-0005-0000-0000-0000671C0000}"/>
    <cellStyle name="20% - Accent5 6 2 3" xfId="9945" xr:uid="{00000000-0005-0000-0000-0000681C0000}"/>
    <cellStyle name="20% - Accent5 6 2 3 2" xfId="21233" xr:uid="{00000000-0005-0000-0000-0000691C0000}"/>
    <cellStyle name="20% - Accent5 6 2 4" xfId="7951" xr:uid="{00000000-0005-0000-0000-00006A1C0000}"/>
    <cellStyle name="20% - Accent5 6 2 4 2" xfId="19239" xr:uid="{00000000-0005-0000-0000-00006B1C0000}"/>
    <cellStyle name="20% - Accent5 6 2 5" xfId="5957" xr:uid="{00000000-0005-0000-0000-00006C1C0000}"/>
    <cellStyle name="20% - Accent5 6 2 5 2" xfId="17245" xr:uid="{00000000-0005-0000-0000-00006D1C0000}"/>
    <cellStyle name="20% - Accent5 6 2 6" xfId="15251" xr:uid="{00000000-0005-0000-0000-00006E1C0000}"/>
    <cellStyle name="20% - Accent5 6 2 7" xfId="24348" xr:uid="{00000000-0005-0000-0000-00006F1C0000}"/>
    <cellStyle name="20% - Accent5 6 2 8" xfId="24812" xr:uid="{00000000-0005-0000-0000-0000701C0000}"/>
    <cellStyle name="20% - Accent5 6 2 9" xfId="25179" xr:uid="{00000000-0005-0000-0000-0000711C0000}"/>
    <cellStyle name="20% - Accent5 6 3" xfId="10942" xr:uid="{00000000-0005-0000-0000-0000721C0000}"/>
    <cellStyle name="20% - Accent5 6 3 2" xfId="22230" xr:uid="{00000000-0005-0000-0000-0000731C0000}"/>
    <cellStyle name="20% - Accent5 6 4" xfId="8948" xr:uid="{00000000-0005-0000-0000-0000741C0000}"/>
    <cellStyle name="20% - Accent5 6 4 2" xfId="20236" xr:uid="{00000000-0005-0000-0000-0000751C0000}"/>
    <cellStyle name="20% - Accent5 6 5" xfId="6954" xr:uid="{00000000-0005-0000-0000-0000761C0000}"/>
    <cellStyle name="20% - Accent5 6 5 2" xfId="18242" xr:uid="{00000000-0005-0000-0000-0000771C0000}"/>
    <cellStyle name="20% - Accent5 6 6" xfId="4960" xr:uid="{00000000-0005-0000-0000-0000781C0000}"/>
    <cellStyle name="20% - Accent5 6 6 2" xfId="16248" xr:uid="{00000000-0005-0000-0000-0000791C0000}"/>
    <cellStyle name="20% - Accent5 6 7" xfId="14254" xr:uid="{00000000-0005-0000-0000-00007A1C0000}"/>
    <cellStyle name="20% - Accent5 6 8" xfId="12940" xr:uid="{00000000-0005-0000-0000-00007B1C0000}"/>
    <cellStyle name="20% - Accent5 6 9" xfId="23960" xr:uid="{00000000-0005-0000-0000-00007C1C0000}"/>
    <cellStyle name="20% - Accent5 60" xfId="1005" xr:uid="{00000000-0005-0000-0000-00007D1C0000}"/>
    <cellStyle name="20% - Accent5 60 2" xfId="3961" xr:uid="{00000000-0005-0000-0000-00007E1C0000}"/>
    <cellStyle name="20% - Accent5 60 2 2" xfId="11940" xr:uid="{00000000-0005-0000-0000-00007F1C0000}"/>
    <cellStyle name="20% - Accent5 60 2 2 2" xfId="23228" xr:uid="{00000000-0005-0000-0000-0000801C0000}"/>
    <cellStyle name="20% - Accent5 60 2 3" xfId="9946" xr:uid="{00000000-0005-0000-0000-0000811C0000}"/>
    <cellStyle name="20% - Accent5 60 2 3 2" xfId="21234" xr:uid="{00000000-0005-0000-0000-0000821C0000}"/>
    <cellStyle name="20% - Accent5 60 2 4" xfId="7952" xr:uid="{00000000-0005-0000-0000-0000831C0000}"/>
    <cellStyle name="20% - Accent5 60 2 4 2" xfId="19240" xr:uid="{00000000-0005-0000-0000-0000841C0000}"/>
    <cellStyle name="20% - Accent5 60 2 5" xfId="5958" xr:uid="{00000000-0005-0000-0000-0000851C0000}"/>
    <cellStyle name="20% - Accent5 60 2 5 2" xfId="17246" xr:uid="{00000000-0005-0000-0000-0000861C0000}"/>
    <cellStyle name="20% - Accent5 60 2 6" xfId="15252" xr:uid="{00000000-0005-0000-0000-0000871C0000}"/>
    <cellStyle name="20% - Accent5 60 3" xfId="10943" xr:uid="{00000000-0005-0000-0000-0000881C0000}"/>
    <cellStyle name="20% - Accent5 60 3 2" xfId="22231" xr:uid="{00000000-0005-0000-0000-0000891C0000}"/>
    <cellStyle name="20% - Accent5 60 4" xfId="8949" xr:uid="{00000000-0005-0000-0000-00008A1C0000}"/>
    <cellStyle name="20% - Accent5 60 4 2" xfId="20237" xr:uid="{00000000-0005-0000-0000-00008B1C0000}"/>
    <cellStyle name="20% - Accent5 60 5" xfId="6955" xr:uid="{00000000-0005-0000-0000-00008C1C0000}"/>
    <cellStyle name="20% - Accent5 60 5 2" xfId="18243" xr:uid="{00000000-0005-0000-0000-00008D1C0000}"/>
    <cellStyle name="20% - Accent5 60 6" xfId="4961" xr:uid="{00000000-0005-0000-0000-00008E1C0000}"/>
    <cellStyle name="20% - Accent5 60 6 2" xfId="16249" xr:uid="{00000000-0005-0000-0000-00008F1C0000}"/>
    <cellStyle name="20% - Accent5 60 7" xfId="14255" xr:uid="{00000000-0005-0000-0000-0000901C0000}"/>
    <cellStyle name="20% - Accent5 60 8" xfId="12941" xr:uid="{00000000-0005-0000-0000-0000911C0000}"/>
    <cellStyle name="20% - Accent5 61" xfId="1006" xr:uid="{00000000-0005-0000-0000-0000921C0000}"/>
    <cellStyle name="20% - Accent5 61 2" xfId="3962" xr:uid="{00000000-0005-0000-0000-0000931C0000}"/>
    <cellStyle name="20% - Accent5 61 2 2" xfId="11941" xr:uid="{00000000-0005-0000-0000-0000941C0000}"/>
    <cellStyle name="20% - Accent5 61 2 2 2" xfId="23229" xr:uid="{00000000-0005-0000-0000-0000951C0000}"/>
    <cellStyle name="20% - Accent5 61 2 3" xfId="9947" xr:uid="{00000000-0005-0000-0000-0000961C0000}"/>
    <cellStyle name="20% - Accent5 61 2 3 2" xfId="21235" xr:uid="{00000000-0005-0000-0000-0000971C0000}"/>
    <cellStyle name="20% - Accent5 61 2 4" xfId="7953" xr:uid="{00000000-0005-0000-0000-0000981C0000}"/>
    <cellStyle name="20% - Accent5 61 2 4 2" xfId="19241" xr:uid="{00000000-0005-0000-0000-0000991C0000}"/>
    <cellStyle name="20% - Accent5 61 2 5" xfId="5959" xr:uid="{00000000-0005-0000-0000-00009A1C0000}"/>
    <cellStyle name="20% - Accent5 61 2 5 2" xfId="17247" xr:uid="{00000000-0005-0000-0000-00009B1C0000}"/>
    <cellStyle name="20% - Accent5 61 2 6" xfId="15253" xr:uid="{00000000-0005-0000-0000-00009C1C0000}"/>
    <cellStyle name="20% - Accent5 61 3" xfId="10944" xr:uid="{00000000-0005-0000-0000-00009D1C0000}"/>
    <cellStyle name="20% - Accent5 61 3 2" xfId="22232" xr:uid="{00000000-0005-0000-0000-00009E1C0000}"/>
    <cellStyle name="20% - Accent5 61 4" xfId="8950" xr:uid="{00000000-0005-0000-0000-00009F1C0000}"/>
    <cellStyle name="20% - Accent5 61 4 2" xfId="20238" xr:uid="{00000000-0005-0000-0000-0000A01C0000}"/>
    <cellStyle name="20% - Accent5 61 5" xfId="6956" xr:uid="{00000000-0005-0000-0000-0000A11C0000}"/>
    <cellStyle name="20% - Accent5 61 5 2" xfId="18244" xr:uid="{00000000-0005-0000-0000-0000A21C0000}"/>
    <cellStyle name="20% - Accent5 61 6" xfId="4962" xr:uid="{00000000-0005-0000-0000-0000A31C0000}"/>
    <cellStyle name="20% - Accent5 61 6 2" xfId="16250" xr:uid="{00000000-0005-0000-0000-0000A41C0000}"/>
    <cellStyle name="20% - Accent5 61 7" xfId="14256" xr:uid="{00000000-0005-0000-0000-0000A51C0000}"/>
    <cellStyle name="20% - Accent5 61 8" xfId="12942" xr:uid="{00000000-0005-0000-0000-0000A61C0000}"/>
    <cellStyle name="20% - Accent5 62" xfId="1007" xr:uid="{00000000-0005-0000-0000-0000A71C0000}"/>
    <cellStyle name="20% - Accent5 62 2" xfId="3963" xr:uid="{00000000-0005-0000-0000-0000A81C0000}"/>
    <cellStyle name="20% - Accent5 62 2 2" xfId="11942" xr:uid="{00000000-0005-0000-0000-0000A91C0000}"/>
    <cellStyle name="20% - Accent5 62 2 2 2" xfId="23230" xr:uid="{00000000-0005-0000-0000-0000AA1C0000}"/>
    <cellStyle name="20% - Accent5 62 2 3" xfId="9948" xr:uid="{00000000-0005-0000-0000-0000AB1C0000}"/>
    <cellStyle name="20% - Accent5 62 2 3 2" xfId="21236" xr:uid="{00000000-0005-0000-0000-0000AC1C0000}"/>
    <cellStyle name="20% - Accent5 62 2 4" xfId="7954" xr:uid="{00000000-0005-0000-0000-0000AD1C0000}"/>
    <cellStyle name="20% - Accent5 62 2 4 2" xfId="19242" xr:uid="{00000000-0005-0000-0000-0000AE1C0000}"/>
    <cellStyle name="20% - Accent5 62 2 5" xfId="5960" xr:uid="{00000000-0005-0000-0000-0000AF1C0000}"/>
    <cellStyle name="20% - Accent5 62 2 5 2" xfId="17248" xr:uid="{00000000-0005-0000-0000-0000B01C0000}"/>
    <cellStyle name="20% - Accent5 62 2 6" xfId="15254" xr:uid="{00000000-0005-0000-0000-0000B11C0000}"/>
    <cellStyle name="20% - Accent5 62 3" xfId="10945" xr:uid="{00000000-0005-0000-0000-0000B21C0000}"/>
    <cellStyle name="20% - Accent5 62 3 2" xfId="22233" xr:uid="{00000000-0005-0000-0000-0000B31C0000}"/>
    <cellStyle name="20% - Accent5 62 4" xfId="8951" xr:uid="{00000000-0005-0000-0000-0000B41C0000}"/>
    <cellStyle name="20% - Accent5 62 4 2" xfId="20239" xr:uid="{00000000-0005-0000-0000-0000B51C0000}"/>
    <cellStyle name="20% - Accent5 62 5" xfId="6957" xr:uid="{00000000-0005-0000-0000-0000B61C0000}"/>
    <cellStyle name="20% - Accent5 62 5 2" xfId="18245" xr:uid="{00000000-0005-0000-0000-0000B71C0000}"/>
    <cellStyle name="20% - Accent5 62 6" xfId="4963" xr:uid="{00000000-0005-0000-0000-0000B81C0000}"/>
    <cellStyle name="20% - Accent5 62 6 2" xfId="16251" xr:uid="{00000000-0005-0000-0000-0000B91C0000}"/>
    <cellStyle name="20% - Accent5 62 7" xfId="14257" xr:uid="{00000000-0005-0000-0000-0000BA1C0000}"/>
    <cellStyle name="20% - Accent5 62 8" xfId="12943" xr:uid="{00000000-0005-0000-0000-0000BB1C0000}"/>
    <cellStyle name="20% - Accent5 63" xfId="1008" xr:uid="{00000000-0005-0000-0000-0000BC1C0000}"/>
    <cellStyle name="20% - Accent5 63 2" xfId="3964" xr:uid="{00000000-0005-0000-0000-0000BD1C0000}"/>
    <cellStyle name="20% - Accent5 63 2 2" xfId="11943" xr:uid="{00000000-0005-0000-0000-0000BE1C0000}"/>
    <cellStyle name="20% - Accent5 63 2 2 2" xfId="23231" xr:uid="{00000000-0005-0000-0000-0000BF1C0000}"/>
    <cellStyle name="20% - Accent5 63 2 3" xfId="9949" xr:uid="{00000000-0005-0000-0000-0000C01C0000}"/>
    <cellStyle name="20% - Accent5 63 2 3 2" xfId="21237" xr:uid="{00000000-0005-0000-0000-0000C11C0000}"/>
    <cellStyle name="20% - Accent5 63 2 4" xfId="7955" xr:uid="{00000000-0005-0000-0000-0000C21C0000}"/>
    <cellStyle name="20% - Accent5 63 2 4 2" xfId="19243" xr:uid="{00000000-0005-0000-0000-0000C31C0000}"/>
    <cellStyle name="20% - Accent5 63 2 5" xfId="5961" xr:uid="{00000000-0005-0000-0000-0000C41C0000}"/>
    <cellStyle name="20% - Accent5 63 2 5 2" xfId="17249" xr:uid="{00000000-0005-0000-0000-0000C51C0000}"/>
    <cellStyle name="20% - Accent5 63 2 6" xfId="15255" xr:uid="{00000000-0005-0000-0000-0000C61C0000}"/>
    <cellStyle name="20% - Accent5 63 3" xfId="10946" xr:uid="{00000000-0005-0000-0000-0000C71C0000}"/>
    <cellStyle name="20% - Accent5 63 3 2" xfId="22234" xr:uid="{00000000-0005-0000-0000-0000C81C0000}"/>
    <cellStyle name="20% - Accent5 63 4" xfId="8952" xr:uid="{00000000-0005-0000-0000-0000C91C0000}"/>
    <cellStyle name="20% - Accent5 63 4 2" xfId="20240" xr:uid="{00000000-0005-0000-0000-0000CA1C0000}"/>
    <cellStyle name="20% - Accent5 63 5" xfId="6958" xr:uid="{00000000-0005-0000-0000-0000CB1C0000}"/>
    <cellStyle name="20% - Accent5 63 5 2" xfId="18246" xr:uid="{00000000-0005-0000-0000-0000CC1C0000}"/>
    <cellStyle name="20% - Accent5 63 6" xfId="4964" xr:uid="{00000000-0005-0000-0000-0000CD1C0000}"/>
    <cellStyle name="20% - Accent5 63 6 2" xfId="16252" xr:uid="{00000000-0005-0000-0000-0000CE1C0000}"/>
    <cellStyle name="20% - Accent5 63 7" xfId="14258" xr:uid="{00000000-0005-0000-0000-0000CF1C0000}"/>
    <cellStyle name="20% - Accent5 63 8" xfId="12944" xr:uid="{00000000-0005-0000-0000-0000D01C0000}"/>
    <cellStyle name="20% - Accent5 64" xfId="1009" xr:uid="{00000000-0005-0000-0000-0000D11C0000}"/>
    <cellStyle name="20% - Accent5 64 2" xfId="3965" xr:uid="{00000000-0005-0000-0000-0000D21C0000}"/>
    <cellStyle name="20% - Accent5 64 2 2" xfId="11944" xr:uid="{00000000-0005-0000-0000-0000D31C0000}"/>
    <cellStyle name="20% - Accent5 64 2 2 2" xfId="23232" xr:uid="{00000000-0005-0000-0000-0000D41C0000}"/>
    <cellStyle name="20% - Accent5 64 2 3" xfId="9950" xr:uid="{00000000-0005-0000-0000-0000D51C0000}"/>
    <cellStyle name="20% - Accent5 64 2 3 2" xfId="21238" xr:uid="{00000000-0005-0000-0000-0000D61C0000}"/>
    <cellStyle name="20% - Accent5 64 2 4" xfId="7956" xr:uid="{00000000-0005-0000-0000-0000D71C0000}"/>
    <cellStyle name="20% - Accent5 64 2 4 2" xfId="19244" xr:uid="{00000000-0005-0000-0000-0000D81C0000}"/>
    <cellStyle name="20% - Accent5 64 2 5" xfId="5962" xr:uid="{00000000-0005-0000-0000-0000D91C0000}"/>
    <cellStyle name="20% - Accent5 64 2 5 2" xfId="17250" xr:uid="{00000000-0005-0000-0000-0000DA1C0000}"/>
    <cellStyle name="20% - Accent5 64 2 6" xfId="15256" xr:uid="{00000000-0005-0000-0000-0000DB1C0000}"/>
    <cellStyle name="20% - Accent5 64 3" xfId="10947" xr:uid="{00000000-0005-0000-0000-0000DC1C0000}"/>
    <cellStyle name="20% - Accent5 64 3 2" xfId="22235" xr:uid="{00000000-0005-0000-0000-0000DD1C0000}"/>
    <cellStyle name="20% - Accent5 64 4" xfId="8953" xr:uid="{00000000-0005-0000-0000-0000DE1C0000}"/>
    <cellStyle name="20% - Accent5 64 4 2" xfId="20241" xr:uid="{00000000-0005-0000-0000-0000DF1C0000}"/>
    <cellStyle name="20% - Accent5 64 5" xfId="6959" xr:uid="{00000000-0005-0000-0000-0000E01C0000}"/>
    <cellStyle name="20% - Accent5 64 5 2" xfId="18247" xr:uid="{00000000-0005-0000-0000-0000E11C0000}"/>
    <cellStyle name="20% - Accent5 64 6" xfId="4965" xr:uid="{00000000-0005-0000-0000-0000E21C0000}"/>
    <cellStyle name="20% - Accent5 64 6 2" xfId="16253" xr:uid="{00000000-0005-0000-0000-0000E31C0000}"/>
    <cellStyle name="20% - Accent5 64 7" xfId="14259" xr:uid="{00000000-0005-0000-0000-0000E41C0000}"/>
    <cellStyle name="20% - Accent5 64 8" xfId="12945" xr:uid="{00000000-0005-0000-0000-0000E51C0000}"/>
    <cellStyle name="20% - Accent5 65" xfId="1010" xr:uid="{00000000-0005-0000-0000-0000E61C0000}"/>
    <cellStyle name="20% - Accent5 65 2" xfId="3966" xr:uid="{00000000-0005-0000-0000-0000E71C0000}"/>
    <cellStyle name="20% - Accent5 65 2 2" xfId="11945" xr:uid="{00000000-0005-0000-0000-0000E81C0000}"/>
    <cellStyle name="20% - Accent5 65 2 2 2" xfId="23233" xr:uid="{00000000-0005-0000-0000-0000E91C0000}"/>
    <cellStyle name="20% - Accent5 65 2 3" xfId="9951" xr:uid="{00000000-0005-0000-0000-0000EA1C0000}"/>
    <cellStyle name="20% - Accent5 65 2 3 2" xfId="21239" xr:uid="{00000000-0005-0000-0000-0000EB1C0000}"/>
    <cellStyle name="20% - Accent5 65 2 4" xfId="7957" xr:uid="{00000000-0005-0000-0000-0000EC1C0000}"/>
    <cellStyle name="20% - Accent5 65 2 4 2" xfId="19245" xr:uid="{00000000-0005-0000-0000-0000ED1C0000}"/>
    <cellStyle name="20% - Accent5 65 2 5" xfId="5963" xr:uid="{00000000-0005-0000-0000-0000EE1C0000}"/>
    <cellStyle name="20% - Accent5 65 2 5 2" xfId="17251" xr:uid="{00000000-0005-0000-0000-0000EF1C0000}"/>
    <cellStyle name="20% - Accent5 65 2 6" xfId="15257" xr:uid="{00000000-0005-0000-0000-0000F01C0000}"/>
    <cellStyle name="20% - Accent5 65 3" xfId="10948" xr:uid="{00000000-0005-0000-0000-0000F11C0000}"/>
    <cellStyle name="20% - Accent5 65 3 2" xfId="22236" xr:uid="{00000000-0005-0000-0000-0000F21C0000}"/>
    <cellStyle name="20% - Accent5 65 4" xfId="8954" xr:uid="{00000000-0005-0000-0000-0000F31C0000}"/>
    <cellStyle name="20% - Accent5 65 4 2" xfId="20242" xr:uid="{00000000-0005-0000-0000-0000F41C0000}"/>
    <cellStyle name="20% - Accent5 65 5" xfId="6960" xr:uid="{00000000-0005-0000-0000-0000F51C0000}"/>
    <cellStyle name="20% - Accent5 65 5 2" xfId="18248" xr:uid="{00000000-0005-0000-0000-0000F61C0000}"/>
    <cellStyle name="20% - Accent5 65 6" xfId="4966" xr:uid="{00000000-0005-0000-0000-0000F71C0000}"/>
    <cellStyle name="20% - Accent5 65 6 2" xfId="16254" xr:uid="{00000000-0005-0000-0000-0000F81C0000}"/>
    <cellStyle name="20% - Accent5 65 7" xfId="14260" xr:uid="{00000000-0005-0000-0000-0000F91C0000}"/>
    <cellStyle name="20% - Accent5 65 8" xfId="12946" xr:uid="{00000000-0005-0000-0000-0000FA1C0000}"/>
    <cellStyle name="20% - Accent5 66" xfId="1011" xr:uid="{00000000-0005-0000-0000-0000FB1C0000}"/>
    <cellStyle name="20% - Accent5 66 2" xfId="3967" xr:uid="{00000000-0005-0000-0000-0000FC1C0000}"/>
    <cellStyle name="20% - Accent5 66 2 2" xfId="11946" xr:uid="{00000000-0005-0000-0000-0000FD1C0000}"/>
    <cellStyle name="20% - Accent5 66 2 2 2" xfId="23234" xr:uid="{00000000-0005-0000-0000-0000FE1C0000}"/>
    <cellStyle name="20% - Accent5 66 2 3" xfId="9952" xr:uid="{00000000-0005-0000-0000-0000FF1C0000}"/>
    <cellStyle name="20% - Accent5 66 2 3 2" xfId="21240" xr:uid="{00000000-0005-0000-0000-0000001D0000}"/>
    <cellStyle name="20% - Accent5 66 2 4" xfId="7958" xr:uid="{00000000-0005-0000-0000-0000011D0000}"/>
    <cellStyle name="20% - Accent5 66 2 4 2" xfId="19246" xr:uid="{00000000-0005-0000-0000-0000021D0000}"/>
    <cellStyle name="20% - Accent5 66 2 5" xfId="5964" xr:uid="{00000000-0005-0000-0000-0000031D0000}"/>
    <cellStyle name="20% - Accent5 66 2 5 2" xfId="17252" xr:uid="{00000000-0005-0000-0000-0000041D0000}"/>
    <cellStyle name="20% - Accent5 66 2 6" xfId="15258" xr:uid="{00000000-0005-0000-0000-0000051D0000}"/>
    <cellStyle name="20% - Accent5 66 3" xfId="10949" xr:uid="{00000000-0005-0000-0000-0000061D0000}"/>
    <cellStyle name="20% - Accent5 66 3 2" xfId="22237" xr:uid="{00000000-0005-0000-0000-0000071D0000}"/>
    <cellStyle name="20% - Accent5 66 4" xfId="8955" xr:uid="{00000000-0005-0000-0000-0000081D0000}"/>
    <cellStyle name="20% - Accent5 66 4 2" xfId="20243" xr:uid="{00000000-0005-0000-0000-0000091D0000}"/>
    <cellStyle name="20% - Accent5 66 5" xfId="6961" xr:uid="{00000000-0005-0000-0000-00000A1D0000}"/>
    <cellStyle name="20% - Accent5 66 5 2" xfId="18249" xr:uid="{00000000-0005-0000-0000-00000B1D0000}"/>
    <cellStyle name="20% - Accent5 66 6" xfId="4967" xr:uid="{00000000-0005-0000-0000-00000C1D0000}"/>
    <cellStyle name="20% - Accent5 66 6 2" xfId="16255" xr:uid="{00000000-0005-0000-0000-00000D1D0000}"/>
    <cellStyle name="20% - Accent5 66 7" xfId="14261" xr:uid="{00000000-0005-0000-0000-00000E1D0000}"/>
    <cellStyle name="20% - Accent5 66 8" xfId="12947" xr:uid="{00000000-0005-0000-0000-00000F1D0000}"/>
    <cellStyle name="20% - Accent5 67" xfId="1012" xr:uid="{00000000-0005-0000-0000-0000101D0000}"/>
    <cellStyle name="20% - Accent5 67 2" xfId="3968" xr:uid="{00000000-0005-0000-0000-0000111D0000}"/>
    <cellStyle name="20% - Accent5 67 2 2" xfId="11947" xr:uid="{00000000-0005-0000-0000-0000121D0000}"/>
    <cellStyle name="20% - Accent5 67 2 2 2" xfId="23235" xr:uid="{00000000-0005-0000-0000-0000131D0000}"/>
    <cellStyle name="20% - Accent5 67 2 3" xfId="9953" xr:uid="{00000000-0005-0000-0000-0000141D0000}"/>
    <cellStyle name="20% - Accent5 67 2 3 2" xfId="21241" xr:uid="{00000000-0005-0000-0000-0000151D0000}"/>
    <cellStyle name="20% - Accent5 67 2 4" xfId="7959" xr:uid="{00000000-0005-0000-0000-0000161D0000}"/>
    <cellStyle name="20% - Accent5 67 2 4 2" xfId="19247" xr:uid="{00000000-0005-0000-0000-0000171D0000}"/>
    <cellStyle name="20% - Accent5 67 2 5" xfId="5965" xr:uid="{00000000-0005-0000-0000-0000181D0000}"/>
    <cellStyle name="20% - Accent5 67 2 5 2" xfId="17253" xr:uid="{00000000-0005-0000-0000-0000191D0000}"/>
    <cellStyle name="20% - Accent5 67 2 6" xfId="15259" xr:uid="{00000000-0005-0000-0000-00001A1D0000}"/>
    <cellStyle name="20% - Accent5 67 3" xfId="10950" xr:uid="{00000000-0005-0000-0000-00001B1D0000}"/>
    <cellStyle name="20% - Accent5 67 3 2" xfId="22238" xr:uid="{00000000-0005-0000-0000-00001C1D0000}"/>
    <cellStyle name="20% - Accent5 67 4" xfId="8956" xr:uid="{00000000-0005-0000-0000-00001D1D0000}"/>
    <cellStyle name="20% - Accent5 67 4 2" xfId="20244" xr:uid="{00000000-0005-0000-0000-00001E1D0000}"/>
    <cellStyle name="20% - Accent5 67 5" xfId="6962" xr:uid="{00000000-0005-0000-0000-00001F1D0000}"/>
    <cellStyle name="20% - Accent5 67 5 2" xfId="18250" xr:uid="{00000000-0005-0000-0000-0000201D0000}"/>
    <cellStyle name="20% - Accent5 67 6" xfId="4968" xr:uid="{00000000-0005-0000-0000-0000211D0000}"/>
    <cellStyle name="20% - Accent5 67 6 2" xfId="16256" xr:uid="{00000000-0005-0000-0000-0000221D0000}"/>
    <cellStyle name="20% - Accent5 67 7" xfId="14262" xr:uid="{00000000-0005-0000-0000-0000231D0000}"/>
    <cellStyle name="20% - Accent5 67 8" xfId="12948" xr:uid="{00000000-0005-0000-0000-0000241D0000}"/>
    <cellStyle name="20% - Accent5 68" xfId="1013" xr:uid="{00000000-0005-0000-0000-0000251D0000}"/>
    <cellStyle name="20% - Accent5 68 2" xfId="3969" xr:uid="{00000000-0005-0000-0000-0000261D0000}"/>
    <cellStyle name="20% - Accent5 68 2 2" xfId="11948" xr:uid="{00000000-0005-0000-0000-0000271D0000}"/>
    <cellStyle name="20% - Accent5 68 2 2 2" xfId="23236" xr:uid="{00000000-0005-0000-0000-0000281D0000}"/>
    <cellStyle name="20% - Accent5 68 2 3" xfId="9954" xr:uid="{00000000-0005-0000-0000-0000291D0000}"/>
    <cellStyle name="20% - Accent5 68 2 3 2" xfId="21242" xr:uid="{00000000-0005-0000-0000-00002A1D0000}"/>
    <cellStyle name="20% - Accent5 68 2 4" xfId="7960" xr:uid="{00000000-0005-0000-0000-00002B1D0000}"/>
    <cellStyle name="20% - Accent5 68 2 4 2" xfId="19248" xr:uid="{00000000-0005-0000-0000-00002C1D0000}"/>
    <cellStyle name="20% - Accent5 68 2 5" xfId="5966" xr:uid="{00000000-0005-0000-0000-00002D1D0000}"/>
    <cellStyle name="20% - Accent5 68 2 5 2" xfId="17254" xr:uid="{00000000-0005-0000-0000-00002E1D0000}"/>
    <cellStyle name="20% - Accent5 68 2 6" xfId="15260" xr:uid="{00000000-0005-0000-0000-00002F1D0000}"/>
    <cellStyle name="20% - Accent5 68 3" xfId="10951" xr:uid="{00000000-0005-0000-0000-0000301D0000}"/>
    <cellStyle name="20% - Accent5 68 3 2" xfId="22239" xr:uid="{00000000-0005-0000-0000-0000311D0000}"/>
    <cellStyle name="20% - Accent5 68 4" xfId="8957" xr:uid="{00000000-0005-0000-0000-0000321D0000}"/>
    <cellStyle name="20% - Accent5 68 4 2" xfId="20245" xr:uid="{00000000-0005-0000-0000-0000331D0000}"/>
    <cellStyle name="20% - Accent5 68 5" xfId="6963" xr:uid="{00000000-0005-0000-0000-0000341D0000}"/>
    <cellStyle name="20% - Accent5 68 5 2" xfId="18251" xr:uid="{00000000-0005-0000-0000-0000351D0000}"/>
    <cellStyle name="20% - Accent5 68 6" xfId="4969" xr:uid="{00000000-0005-0000-0000-0000361D0000}"/>
    <cellStyle name="20% - Accent5 68 6 2" xfId="16257" xr:uid="{00000000-0005-0000-0000-0000371D0000}"/>
    <cellStyle name="20% - Accent5 68 7" xfId="14263" xr:uid="{00000000-0005-0000-0000-0000381D0000}"/>
    <cellStyle name="20% - Accent5 68 8" xfId="12949" xr:uid="{00000000-0005-0000-0000-0000391D0000}"/>
    <cellStyle name="20% - Accent5 69" xfId="1014" xr:uid="{00000000-0005-0000-0000-00003A1D0000}"/>
    <cellStyle name="20% - Accent5 69 2" xfId="3970" xr:uid="{00000000-0005-0000-0000-00003B1D0000}"/>
    <cellStyle name="20% - Accent5 69 2 2" xfId="11949" xr:uid="{00000000-0005-0000-0000-00003C1D0000}"/>
    <cellStyle name="20% - Accent5 69 2 2 2" xfId="23237" xr:uid="{00000000-0005-0000-0000-00003D1D0000}"/>
    <cellStyle name="20% - Accent5 69 2 3" xfId="9955" xr:uid="{00000000-0005-0000-0000-00003E1D0000}"/>
    <cellStyle name="20% - Accent5 69 2 3 2" xfId="21243" xr:uid="{00000000-0005-0000-0000-00003F1D0000}"/>
    <cellStyle name="20% - Accent5 69 2 4" xfId="7961" xr:uid="{00000000-0005-0000-0000-0000401D0000}"/>
    <cellStyle name="20% - Accent5 69 2 4 2" xfId="19249" xr:uid="{00000000-0005-0000-0000-0000411D0000}"/>
    <cellStyle name="20% - Accent5 69 2 5" xfId="5967" xr:uid="{00000000-0005-0000-0000-0000421D0000}"/>
    <cellStyle name="20% - Accent5 69 2 5 2" xfId="17255" xr:uid="{00000000-0005-0000-0000-0000431D0000}"/>
    <cellStyle name="20% - Accent5 69 2 6" xfId="15261" xr:uid="{00000000-0005-0000-0000-0000441D0000}"/>
    <cellStyle name="20% - Accent5 69 3" xfId="10952" xr:uid="{00000000-0005-0000-0000-0000451D0000}"/>
    <cellStyle name="20% - Accent5 69 3 2" xfId="22240" xr:uid="{00000000-0005-0000-0000-0000461D0000}"/>
    <cellStyle name="20% - Accent5 69 4" xfId="8958" xr:uid="{00000000-0005-0000-0000-0000471D0000}"/>
    <cellStyle name="20% - Accent5 69 4 2" xfId="20246" xr:uid="{00000000-0005-0000-0000-0000481D0000}"/>
    <cellStyle name="20% - Accent5 69 5" xfId="6964" xr:uid="{00000000-0005-0000-0000-0000491D0000}"/>
    <cellStyle name="20% - Accent5 69 5 2" xfId="18252" xr:uid="{00000000-0005-0000-0000-00004A1D0000}"/>
    <cellStyle name="20% - Accent5 69 6" xfId="4970" xr:uid="{00000000-0005-0000-0000-00004B1D0000}"/>
    <cellStyle name="20% - Accent5 69 6 2" xfId="16258" xr:uid="{00000000-0005-0000-0000-00004C1D0000}"/>
    <cellStyle name="20% - Accent5 69 7" xfId="14264" xr:uid="{00000000-0005-0000-0000-00004D1D0000}"/>
    <cellStyle name="20% - Accent5 69 8" xfId="12950" xr:uid="{00000000-0005-0000-0000-00004E1D0000}"/>
    <cellStyle name="20% - Accent5 7" xfId="1015" xr:uid="{00000000-0005-0000-0000-00004F1D0000}"/>
    <cellStyle name="20% - Accent5 7 10" xfId="24588" xr:uid="{00000000-0005-0000-0000-0000501D0000}"/>
    <cellStyle name="20% - Accent5 7 11" xfId="24978" xr:uid="{00000000-0005-0000-0000-0000511D0000}"/>
    <cellStyle name="20% - Accent5 7 2" xfId="3971" xr:uid="{00000000-0005-0000-0000-0000521D0000}"/>
    <cellStyle name="20% - Accent5 7 2 2" xfId="11950" xr:uid="{00000000-0005-0000-0000-0000531D0000}"/>
    <cellStyle name="20% - Accent5 7 2 2 2" xfId="23238" xr:uid="{00000000-0005-0000-0000-0000541D0000}"/>
    <cellStyle name="20% - Accent5 7 2 3" xfId="9956" xr:uid="{00000000-0005-0000-0000-0000551D0000}"/>
    <cellStyle name="20% - Accent5 7 2 3 2" xfId="21244" xr:uid="{00000000-0005-0000-0000-0000561D0000}"/>
    <cellStyle name="20% - Accent5 7 2 4" xfId="7962" xr:uid="{00000000-0005-0000-0000-0000571D0000}"/>
    <cellStyle name="20% - Accent5 7 2 4 2" xfId="19250" xr:uid="{00000000-0005-0000-0000-0000581D0000}"/>
    <cellStyle name="20% - Accent5 7 2 5" xfId="5968" xr:uid="{00000000-0005-0000-0000-0000591D0000}"/>
    <cellStyle name="20% - Accent5 7 2 5 2" xfId="17256" xr:uid="{00000000-0005-0000-0000-00005A1D0000}"/>
    <cellStyle name="20% - Accent5 7 2 6" xfId="15262" xr:uid="{00000000-0005-0000-0000-00005B1D0000}"/>
    <cellStyle name="20% - Accent5 7 2 7" xfId="24349" xr:uid="{00000000-0005-0000-0000-00005C1D0000}"/>
    <cellStyle name="20% - Accent5 7 2 8" xfId="24813" xr:uid="{00000000-0005-0000-0000-00005D1D0000}"/>
    <cellStyle name="20% - Accent5 7 2 9" xfId="25180" xr:uid="{00000000-0005-0000-0000-00005E1D0000}"/>
    <cellStyle name="20% - Accent5 7 3" xfId="10953" xr:uid="{00000000-0005-0000-0000-00005F1D0000}"/>
    <cellStyle name="20% - Accent5 7 3 2" xfId="22241" xr:uid="{00000000-0005-0000-0000-0000601D0000}"/>
    <cellStyle name="20% - Accent5 7 4" xfId="8959" xr:uid="{00000000-0005-0000-0000-0000611D0000}"/>
    <cellStyle name="20% - Accent5 7 4 2" xfId="20247" xr:uid="{00000000-0005-0000-0000-0000621D0000}"/>
    <cellStyle name="20% - Accent5 7 5" xfId="6965" xr:uid="{00000000-0005-0000-0000-0000631D0000}"/>
    <cellStyle name="20% - Accent5 7 5 2" xfId="18253" xr:uid="{00000000-0005-0000-0000-0000641D0000}"/>
    <cellStyle name="20% - Accent5 7 6" xfId="4971" xr:uid="{00000000-0005-0000-0000-0000651D0000}"/>
    <cellStyle name="20% - Accent5 7 6 2" xfId="16259" xr:uid="{00000000-0005-0000-0000-0000661D0000}"/>
    <cellStyle name="20% - Accent5 7 7" xfId="14265" xr:uid="{00000000-0005-0000-0000-0000671D0000}"/>
    <cellStyle name="20% - Accent5 7 8" xfId="12951" xr:uid="{00000000-0005-0000-0000-0000681D0000}"/>
    <cellStyle name="20% - Accent5 7 9" xfId="23961" xr:uid="{00000000-0005-0000-0000-0000691D0000}"/>
    <cellStyle name="20% - Accent5 70" xfId="1016" xr:uid="{00000000-0005-0000-0000-00006A1D0000}"/>
    <cellStyle name="20% - Accent5 70 2" xfId="3972" xr:uid="{00000000-0005-0000-0000-00006B1D0000}"/>
    <cellStyle name="20% - Accent5 70 2 2" xfId="11951" xr:uid="{00000000-0005-0000-0000-00006C1D0000}"/>
    <cellStyle name="20% - Accent5 70 2 2 2" xfId="23239" xr:uid="{00000000-0005-0000-0000-00006D1D0000}"/>
    <cellStyle name="20% - Accent5 70 2 3" xfId="9957" xr:uid="{00000000-0005-0000-0000-00006E1D0000}"/>
    <cellStyle name="20% - Accent5 70 2 3 2" xfId="21245" xr:uid="{00000000-0005-0000-0000-00006F1D0000}"/>
    <cellStyle name="20% - Accent5 70 2 4" xfId="7963" xr:uid="{00000000-0005-0000-0000-0000701D0000}"/>
    <cellStyle name="20% - Accent5 70 2 4 2" xfId="19251" xr:uid="{00000000-0005-0000-0000-0000711D0000}"/>
    <cellStyle name="20% - Accent5 70 2 5" xfId="5969" xr:uid="{00000000-0005-0000-0000-0000721D0000}"/>
    <cellStyle name="20% - Accent5 70 2 5 2" xfId="17257" xr:uid="{00000000-0005-0000-0000-0000731D0000}"/>
    <cellStyle name="20% - Accent5 70 2 6" xfId="15263" xr:uid="{00000000-0005-0000-0000-0000741D0000}"/>
    <cellStyle name="20% - Accent5 70 3" xfId="10954" xr:uid="{00000000-0005-0000-0000-0000751D0000}"/>
    <cellStyle name="20% - Accent5 70 3 2" xfId="22242" xr:uid="{00000000-0005-0000-0000-0000761D0000}"/>
    <cellStyle name="20% - Accent5 70 4" xfId="8960" xr:uid="{00000000-0005-0000-0000-0000771D0000}"/>
    <cellStyle name="20% - Accent5 70 4 2" xfId="20248" xr:uid="{00000000-0005-0000-0000-0000781D0000}"/>
    <cellStyle name="20% - Accent5 70 5" xfId="6966" xr:uid="{00000000-0005-0000-0000-0000791D0000}"/>
    <cellStyle name="20% - Accent5 70 5 2" xfId="18254" xr:uid="{00000000-0005-0000-0000-00007A1D0000}"/>
    <cellStyle name="20% - Accent5 70 6" xfId="4972" xr:uid="{00000000-0005-0000-0000-00007B1D0000}"/>
    <cellStyle name="20% - Accent5 70 6 2" xfId="16260" xr:uid="{00000000-0005-0000-0000-00007C1D0000}"/>
    <cellStyle name="20% - Accent5 70 7" xfId="14266" xr:uid="{00000000-0005-0000-0000-00007D1D0000}"/>
    <cellStyle name="20% - Accent5 70 8" xfId="12952" xr:uid="{00000000-0005-0000-0000-00007E1D0000}"/>
    <cellStyle name="20% - Accent5 71" xfId="1017" xr:uid="{00000000-0005-0000-0000-00007F1D0000}"/>
    <cellStyle name="20% - Accent5 71 2" xfId="3973" xr:uid="{00000000-0005-0000-0000-0000801D0000}"/>
    <cellStyle name="20% - Accent5 71 2 2" xfId="11952" xr:uid="{00000000-0005-0000-0000-0000811D0000}"/>
    <cellStyle name="20% - Accent5 71 2 2 2" xfId="23240" xr:uid="{00000000-0005-0000-0000-0000821D0000}"/>
    <cellStyle name="20% - Accent5 71 2 3" xfId="9958" xr:uid="{00000000-0005-0000-0000-0000831D0000}"/>
    <cellStyle name="20% - Accent5 71 2 3 2" xfId="21246" xr:uid="{00000000-0005-0000-0000-0000841D0000}"/>
    <cellStyle name="20% - Accent5 71 2 4" xfId="7964" xr:uid="{00000000-0005-0000-0000-0000851D0000}"/>
    <cellStyle name="20% - Accent5 71 2 4 2" xfId="19252" xr:uid="{00000000-0005-0000-0000-0000861D0000}"/>
    <cellStyle name="20% - Accent5 71 2 5" xfId="5970" xr:uid="{00000000-0005-0000-0000-0000871D0000}"/>
    <cellStyle name="20% - Accent5 71 2 5 2" xfId="17258" xr:uid="{00000000-0005-0000-0000-0000881D0000}"/>
    <cellStyle name="20% - Accent5 71 2 6" xfId="15264" xr:uid="{00000000-0005-0000-0000-0000891D0000}"/>
    <cellStyle name="20% - Accent5 71 3" xfId="10955" xr:uid="{00000000-0005-0000-0000-00008A1D0000}"/>
    <cellStyle name="20% - Accent5 71 3 2" xfId="22243" xr:uid="{00000000-0005-0000-0000-00008B1D0000}"/>
    <cellStyle name="20% - Accent5 71 4" xfId="8961" xr:uid="{00000000-0005-0000-0000-00008C1D0000}"/>
    <cellStyle name="20% - Accent5 71 4 2" xfId="20249" xr:uid="{00000000-0005-0000-0000-00008D1D0000}"/>
    <cellStyle name="20% - Accent5 71 5" xfId="6967" xr:uid="{00000000-0005-0000-0000-00008E1D0000}"/>
    <cellStyle name="20% - Accent5 71 5 2" xfId="18255" xr:uid="{00000000-0005-0000-0000-00008F1D0000}"/>
    <cellStyle name="20% - Accent5 71 6" xfId="4973" xr:uid="{00000000-0005-0000-0000-0000901D0000}"/>
    <cellStyle name="20% - Accent5 71 6 2" xfId="16261" xr:uid="{00000000-0005-0000-0000-0000911D0000}"/>
    <cellStyle name="20% - Accent5 71 7" xfId="14267" xr:uid="{00000000-0005-0000-0000-0000921D0000}"/>
    <cellStyle name="20% - Accent5 71 8" xfId="12953" xr:uid="{00000000-0005-0000-0000-0000931D0000}"/>
    <cellStyle name="20% - Accent5 72" xfId="1018" xr:uid="{00000000-0005-0000-0000-0000941D0000}"/>
    <cellStyle name="20% - Accent5 72 2" xfId="3974" xr:uid="{00000000-0005-0000-0000-0000951D0000}"/>
    <cellStyle name="20% - Accent5 72 2 2" xfId="11953" xr:uid="{00000000-0005-0000-0000-0000961D0000}"/>
    <cellStyle name="20% - Accent5 72 2 2 2" xfId="23241" xr:uid="{00000000-0005-0000-0000-0000971D0000}"/>
    <cellStyle name="20% - Accent5 72 2 3" xfId="9959" xr:uid="{00000000-0005-0000-0000-0000981D0000}"/>
    <cellStyle name="20% - Accent5 72 2 3 2" xfId="21247" xr:uid="{00000000-0005-0000-0000-0000991D0000}"/>
    <cellStyle name="20% - Accent5 72 2 4" xfId="7965" xr:uid="{00000000-0005-0000-0000-00009A1D0000}"/>
    <cellStyle name="20% - Accent5 72 2 4 2" xfId="19253" xr:uid="{00000000-0005-0000-0000-00009B1D0000}"/>
    <cellStyle name="20% - Accent5 72 2 5" xfId="5971" xr:uid="{00000000-0005-0000-0000-00009C1D0000}"/>
    <cellStyle name="20% - Accent5 72 2 5 2" xfId="17259" xr:uid="{00000000-0005-0000-0000-00009D1D0000}"/>
    <cellStyle name="20% - Accent5 72 2 6" xfId="15265" xr:uid="{00000000-0005-0000-0000-00009E1D0000}"/>
    <cellStyle name="20% - Accent5 72 3" xfId="10956" xr:uid="{00000000-0005-0000-0000-00009F1D0000}"/>
    <cellStyle name="20% - Accent5 72 3 2" xfId="22244" xr:uid="{00000000-0005-0000-0000-0000A01D0000}"/>
    <cellStyle name="20% - Accent5 72 4" xfId="8962" xr:uid="{00000000-0005-0000-0000-0000A11D0000}"/>
    <cellStyle name="20% - Accent5 72 4 2" xfId="20250" xr:uid="{00000000-0005-0000-0000-0000A21D0000}"/>
    <cellStyle name="20% - Accent5 72 5" xfId="6968" xr:uid="{00000000-0005-0000-0000-0000A31D0000}"/>
    <cellStyle name="20% - Accent5 72 5 2" xfId="18256" xr:uid="{00000000-0005-0000-0000-0000A41D0000}"/>
    <cellStyle name="20% - Accent5 72 6" xfId="4974" xr:uid="{00000000-0005-0000-0000-0000A51D0000}"/>
    <cellStyle name="20% - Accent5 72 6 2" xfId="16262" xr:uid="{00000000-0005-0000-0000-0000A61D0000}"/>
    <cellStyle name="20% - Accent5 72 7" xfId="14268" xr:uid="{00000000-0005-0000-0000-0000A71D0000}"/>
    <cellStyle name="20% - Accent5 72 8" xfId="12954" xr:uid="{00000000-0005-0000-0000-0000A81D0000}"/>
    <cellStyle name="20% - Accent5 8" xfId="1019" xr:uid="{00000000-0005-0000-0000-0000A91D0000}"/>
    <cellStyle name="20% - Accent5 8 2" xfId="3975" xr:uid="{00000000-0005-0000-0000-0000AA1D0000}"/>
    <cellStyle name="20% - Accent5 8 2 2" xfId="11954" xr:uid="{00000000-0005-0000-0000-0000AB1D0000}"/>
    <cellStyle name="20% - Accent5 8 2 2 2" xfId="23242" xr:uid="{00000000-0005-0000-0000-0000AC1D0000}"/>
    <cellStyle name="20% - Accent5 8 2 3" xfId="9960" xr:uid="{00000000-0005-0000-0000-0000AD1D0000}"/>
    <cellStyle name="20% - Accent5 8 2 3 2" xfId="21248" xr:uid="{00000000-0005-0000-0000-0000AE1D0000}"/>
    <cellStyle name="20% - Accent5 8 2 4" xfId="7966" xr:uid="{00000000-0005-0000-0000-0000AF1D0000}"/>
    <cellStyle name="20% - Accent5 8 2 4 2" xfId="19254" xr:uid="{00000000-0005-0000-0000-0000B01D0000}"/>
    <cellStyle name="20% - Accent5 8 2 5" xfId="5972" xr:uid="{00000000-0005-0000-0000-0000B11D0000}"/>
    <cellStyle name="20% - Accent5 8 2 5 2" xfId="17260" xr:uid="{00000000-0005-0000-0000-0000B21D0000}"/>
    <cellStyle name="20% - Accent5 8 2 6" xfId="15266" xr:uid="{00000000-0005-0000-0000-0000B31D0000}"/>
    <cellStyle name="20% - Accent5 8 3" xfId="10957" xr:uid="{00000000-0005-0000-0000-0000B41D0000}"/>
    <cellStyle name="20% - Accent5 8 3 2" xfId="22245" xr:uid="{00000000-0005-0000-0000-0000B51D0000}"/>
    <cellStyle name="20% - Accent5 8 4" xfId="8963" xr:uid="{00000000-0005-0000-0000-0000B61D0000}"/>
    <cellStyle name="20% - Accent5 8 4 2" xfId="20251" xr:uid="{00000000-0005-0000-0000-0000B71D0000}"/>
    <cellStyle name="20% - Accent5 8 5" xfId="6969" xr:uid="{00000000-0005-0000-0000-0000B81D0000}"/>
    <cellStyle name="20% - Accent5 8 5 2" xfId="18257" xr:uid="{00000000-0005-0000-0000-0000B91D0000}"/>
    <cellStyle name="20% - Accent5 8 6" xfId="4975" xr:uid="{00000000-0005-0000-0000-0000BA1D0000}"/>
    <cellStyle name="20% - Accent5 8 6 2" xfId="16263" xr:uid="{00000000-0005-0000-0000-0000BB1D0000}"/>
    <cellStyle name="20% - Accent5 8 7" xfId="14269" xr:uid="{00000000-0005-0000-0000-0000BC1D0000}"/>
    <cellStyle name="20% - Accent5 8 8" xfId="12955" xr:uid="{00000000-0005-0000-0000-0000BD1D0000}"/>
    <cellStyle name="20% - Accent5 9" xfId="1020" xr:uid="{00000000-0005-0000-0000-0000BE1D0000}"/>
    <cellStyle name="20% - Accent5 9 2" xfId="3976" xr:uid="{00000000-0005-0000-0000-0000BF1D0000}"/>
    <cellStyle name="20% - Accent5 9 2 2" xfId="11955" xr:uid="{00000000-0005-0000-0000-0000C01D0000}"/>
    <cellStyle name="20% - Accent5 9 2 2 2" xfId="23243" xr:uid="{00000000-0005-0000-0000-0000C11D0000}"/>
    <cellStyle name="20% - Accent5 9 2 3" xfId="9961" xr:uid="{00000000-0005-0000-0000-0000C21D0000}"/>
    <cellStyle name="20% - Accent5 9 2 3 2" xfId="21249" xr:uid="{00000000-0005-0000-0000-0000C31D0000}"/>
    <cellStyle name="20% - Accent5 9 2 4" xfId="7967" xr:uid="{00000000-0005-0000-0000-0000C41D0000}"/>
    <cellStyle name="20% - Accent5 9 2 4 2" xfId="19255" xr:uid="{00000000-0005-0000-0000-0000C51D0000}"/>
    <cellStyle name="20% - Accent5 9 2 5" xfId="5973" xr:uid="{00000000-0005-0000-0000-0000C61D0000}"/>
    <cellStyle name="20% - Accent5 9 2 5 2" xfId="17261" xr:uid="{00000000-0005-0000-0000-0000C71D0000}"/>
    <cellStyle name="20% - Accent5 9 2 6" xfId="15267" xr:uid="{00000000-0005-0000-0000-0000C81D0000}"/>
    <cellStyle name="20% - Accent5 9 3" xfId="10958" xr:uid="{00000000-0005-0000-0000-0000C91D0000}"/>
    <cellStyle name="20% - Accent5 9 3 2" xfId="22246" xr:uid="{00000000-0005-0000-0000-0000CA1D0000}"/>
    <cellStyle name="20% - Accent5 9 4" xfId="8964" xr:uid="{00000000-0005-0000-0000-0000CB1D0000}"/>
    <cellStyle name="20% - Accent5 9 4 2" xfId="20252" xr:uid="{00000000-0005-0000-0000-0000CC1D0000}"/>
    <cellStyle name="20% - Accent5 9 5" xfId="6970" xr:uid="{00000000-0005-0000-0000-0000CD1D0000}"/>
    <cellStyle name="20% - Accent5 9 5 2" xfId="18258" xr:uid="{00000000-0005-0000-0000-0000CE1D0000}"/>
    <cellStyle name="20% - Accent5 9 6" xfId="4976" xr:uid="{00000000-0005-0000-0000-0000CF1D0000}"/>
    <cellStyle name="20% - Accent5 9 6 2" xfId="16264" xr:uid="{00000000-0005-0000-0000-0000D01D0000}"/>
    <cellStyle name="20% - Accent5 9 7" xfId="14270" xr:uid="{00000000-0005-0000-0000-0000D11D0000}"/>
    <cellStyle name="20% - Accent5 9 8" xfId="12956" xr:uid="{00000000-0005-0000-0000-0000D21D0000}"/>
    <cellStyle name="20% - Accent6 10" xfId="1021" xr:uid="{00000000-0005-0000-0000-0000D31D0000}"/>
    <cellStyle name="20% - Accent6 10 2" xfId="3977" xr:uid="{00000000-0005-0000-0000-0000D41D0000}"/>
    <cellStyle name="20% - Accent6 10 2 2" xfId="11956" xr:uid="{00000000-0005-0000-0000-0000D51D0000}"/>
    <cellStyle name="20% - Accent6 10 2 2 2" xfId="23244" xr:uid="{00000000-0005-0000-0000-0000D61D0000}"/>
    <cellStyle name="20% - Accent6 10 2 3" xfId="9962" xr:uid="{00000000-0005-0000-0000-0000D71D0000}"/>
    <cellStyle name="20% - Accent6 10 2 3 2" xfId="21250" xr:uid="{00000000-0005-0000-0000-0000D81D0000}"/>
    <cellStyle name="20% - Accent6 10 2 4" xfId="7968" xr:uid="{00000000-0005-0000-0000-0000D91D0000}"/>
    <cellStyle name="20% - Accent6 10 2 4 2" xfId="19256" xr:uid="{00000000-0005-0000-0000-0000DA1D0000}"/>
    <cellStyle name="20% - Accent6 10 2 5" xfId="5974" xr:uid="{00000000-0005-0000-0000-0000DB1D0000}"/>
    <cellStyle name="20% - Accent6 10 2 5 2" xfId="17262" xr:uid="{00000000-0005-0000-0000-0000DC1D0000}"/>
    <cellStyle name="20% - Accent6 10 2 6" xfId="15268" xr:uid="{00000000-0005-0000-0000-0000DD1D0000}"/>
    <cellStyle name="20% - Accent6 10 3" xfId="10959" xr:uid="{00000000-0005-0000-0000-0000DE1D0000}"/>
    <cellStyle name="20% - Accent6 10 3 2" xfId="22247" xr:uid="{00000000-0005-0000-0000-0000DF1D0000}"/>
    <cellStyle name="20% - Accent6 10 4" xfId="8965" xr:uid="{00000000-0005-0000-0000-0000E01D0000}"/>
    <cellStyle name="20% - Accent6 10 4 2" xfId="20253" xr:uid="{00000000-0005-0000-0000-0000E11D0000}"/>
    <cellStyle name="20% - Accent6 10 5" xfId="6971" xr:uid="{00000000-0005-0000-0000-0000E21D0000}"/>
    <cellStyle name="20% - Accent6 10 5 2" xfId="18259" xr:uid="{00000000-0005-0000-0000-0000E31D0000}"/>
    <cellStyle name="20% - Accent6 10 6" xfId="4977" xr:uid="{00000000-0005-0000-0000-0000E41D0000}"/>
    <cellStyle name="20% - Accent6 10 6 2" xfId="16265" xr:uid="{00000000-0005-0000-0000-0000E51D0000}"/>
    <cellStyle name="20% - Accent6 10 7" xfId="14271" xr:uid="{00000000-0005-0000-0000-0000E61D0000}"/>
    <cellStyle name="20% - Accent6 10 8" xfId="12957" xr:uid="{00000000-0005-0000-0000-0000E71D0000}"/>
    <cellStyle name="20% - Accent6 11" xfId="1022" xr:uid="{00000000-0005-0000-0000-0000E81D0000}"/>
    <cellStyle name="20% - Accent6 11 2" xfId="3978" xr:uid="{00000000-0005-0000-0000-0000E91D0000}"/>
    <cellStyle name="20% - Accent6 11 2 2" xfId="11957" xr:uid="{00000000-0005-0000-0000-0000EA1D0000}"/>
    <cellStyle name="20% - Accent6 11 2 2 2" xfId="23245" xr:uid="{00000000-0005-0000-0000-0000EB1D0000}"/>
    <cellStyle name="20% - Accent6 11 2 3" xfId="9963" xr:uid="{00000000-0005-0000-0000-0000EC1D0000}"/>
    <cellStyle name="20% - Accent6 11 2 3 2" xfId="21251" xr:uid="{00000000-0005-0000-0000-0000ED1D0000}"/>
    <cellStyle name="20% - Accent6 11 2 4" xfId="7969" xr:uid="{00000000-0005-0000-0000-0000EE1D0000}"/>
    <cellStyle name="20% - Accent6 11 2 4 2" xfId="19257" xr:uid="{00000000-0005-0000-0000-0000EF1D0000}"/>
    <cellStyle name="20% - Accent6 11 2 5" xfId="5975" xr:uid="{00000000-0005-0000-0000-0000F01D0000}"/>
    <cellStyle name="20% - Accent6 11 2 5 2" xfId="17263" xr:uid="{00000000-0005-0000-0000-0000F11D0000}"/>
    <cellStyle name="20% - Accent6 11 2 6" xfId="15269" xr:uid="{00000000-0005-0000-0000-0000F21D0000}"/>
    <cellStyle name="20% - Accent6 11 3" xfId="10960" xr:uid="{00000000-0005-0000-0000-0000F31D0000}"/>
    <cellStyle name="20% - Accent6 11 3 2" xfId="22248" xr:uid="{00000000-0005-0000-0000-0000F41D0000}"/>
    <cellStyle name="20% - Accent6 11 4" xfId="8966" xr:uid="{00000000-0005-0000-0000-0000F51D0000}"/>
    <cellStyle name="20% - Accent6 11 4 2" xfId="20254" xr:uid="{00000000-0005-0000-0000-0000F61D0000}"/>
    <cellStyle name="20% - Accent6 11 5" xfId="6972" xr:uid="{00000000-0005-0000-0000-0000F71D0000}"/>
    <cellStyle name="20% - Accent6 11 5 2" xfId="18260" xr:uid="{00000000-0005-0000-0000-0000F81D0000}"/>
    <cellStyle name="20% - Accent6 11 6" xfId="4978" xr:uid="{00000000-0005-0000-0000-0000F91D0000}"/>
    <cellStyle name="20% - Accent6 11 6 2" xfId="16266" xr:uid="{00000000-0005-0000-0000-0000FA1D0000}"/>
    <cellStyle name="20% - Accent6 11 7" xfId="14272" xr:uid="{00000000-0005-0000-0000-0000FB1D0000}"/>
    <cellStyle name="20% - Accent6 11 8" xfId="12958" xr:uid="{00000000-0005-0000-0000-0000FC1D0000}"/>
    <cellStyle name="20% - Accent6 12" xfId="1023" xr:uid="{00000000-0005-0000-0000-0000FD1D0000}"/>
    <cellStyle name="20% - Accent6 12 2" xfId="3979" xr:uid="{00000000-0005-0000-0000-0000FE1D0000}"/>
    <cellStyle name="20% - Accent6 12 2 2" xfId="11958" xr:uid="{00000000-0005-0000-0000-0000FF1D0000}"/>
    <cellStyle name="20% - Accent6 12 2 2 2" xfId="23246" xr:uid="{00000000-0005-0000-0000-0000001E0000}"/>
    <cellStyle name="20% - Accent6 12 2 3" xfId="9964" xr:uid="{00000000-0005-0000-0000-0000011E0000}"/>
    <cellStyle name="20% - Accent6 12 2 3 2" xfId="21252" xr:uid="{00000000-0005-0000-0000-0000021E0000}"/>
    <cellStyle name="20% - Accent6 12 2 4" xfId="7970" xr:uid="{00000000-0005-0000-0000-0000031E0000}"/>
    <cellStyle name="20% - Accent6 12 2 4 2" xfId="19258" xr:uid="{00000000-0005-0000-0000-0000041E0000}"/>
    <cellStyle name="20% - Accent6 12 2 5" xfId="5976" xr:uid="{00000000-0005-0000-0000-0000051E0000}"/>
    <cellStyle name="20% - Accent6 12 2 5 2" xfId="17264" xr:uid="{00000000-0005-0000-0000-0000061E0000}"/>
    <cellStyle name="20% - Accent6 12 2 6" xfId="15270" xr:uid="{00000000-0005-0000-0000-0000071E0000}"/>
    <cellStyle name="20% - Accent6 12 3" xfId="10961" xr:uid="{00000000-0005-0000-0000-0000081E0000}"/>
    <cellStyle name="20% - Accent6 12 3 2" xfId="22249" xr:uid="{00000000-0005-0000-0000-0000091E0000}"/>
    <cellStyle name="20% - Accent6 12 4" xfId="8967" xr:uid="{00000000-0005-0000-0000-00000A1E0000}"/>
    <cellStyle name="20% - Accent6 12 4 2" xfId="20255" xr:uid="{00000000-0005-0000-0000-00000B1E0000}"/>
    <cellStyle name="20% - Accent6 12 5" xfId="6973" xr:uid="{00000000-0005-0000-0000-00000C1E0000}"/>
    <cellStyle name="20% - Accent6 12 5 2" xfId="18261" xr:uid="{00000000-0005-0000-0000-00000D1E0000}"/>
    <cellStyle name="20% - Accent6 12 6" xfId="4979" xr:uid="{00000000-0005-0000-0000-00000E1E0000}"/>
    <cellStyle name="20% - Accent6 12 6 2" xfId="16267" xr:uid="{00000000-0005-0000-0000-00000F1E0000}"/>
    <cellStyle name="20% - Accent6 12 7" xfId="14273" xr:uid="{00000000-0005-0000-0000-0000101E0000}"/>
    <cellStyle name="20% - Accent6 12 8" xfId="12959" xr:uid="{00000000-0005-0000-0000-0000111E0000}"/>
    <cellStyle name="20% - Accent6 13" xfId="1024" xr:uid="{00000000-0005-0000-0000-0000121E0000}"/>
    <cellStyle name="20% - Accent6 13 2" xfId="3980" xr:uid="{00000000-0005-0000-0000-0000131E0000}"/>
    <cellStyle name="20% - Accent6 13 2 2" xfId="11959" xr:uid="{00000000-0005-0000-0000-0000141E0000}"/>
    <cellStyle name="20% - Accent6 13 2 2 2" xfId="23247" xr:uid="{00000000-0005-0000-0000-0000151E0000}"/>
    <cellStyle name="20% - Accent6 13 2 3" xfId="9965" xr:uid="{00000000-0005-0000-0000-0000161E0000}"/>
    <cellStyle name="20% - Accent6 13 2 3 2" xfId="21253" xr:uid="{00000000-0005-0000-0000-0000171E0000}"/>
    <cellStyle name="20% - Accent6 13 2 4" xfId="7971" xr:uid="{00000000-0005-0000-0000-0000181E0000}"/>
    <cellStyle name="20% - Accent6 13 2 4 2" xfId="19259" xr:uid="{00000000-0005-0000-0000-0000191E0000}"/>
    <cellStyle name="20% - Accent6 13 2 5" xfId="5977" xr:uid="{00000000-0005-0000-0000-00001A1E0000}"/>
    <cellStyle name="20% - Accent6 13 2 5 2" xfId="17265" xr:uid="{00000000-0005-0000-0000-00001B1E0000}"/>
    <cellStyle name="20% - Accent6 13 2 6" xfId="15271" xr:uid="{00000000-0005-0000-0000-00001C1E0000}"/>
    <cellStyle name="20% - Accent6 13 3" xfId="10962" xr:uid="{00000000-0005-0000-0000-00001D1E0000}"/>
    <cellStyle name="20% - Accent6 13 3 2" xfId="22250" xr:uid="{00000000-0005-0000-0000-00001E1E0000}"/>
    <cellStyle name="20% - Accent6 13 4" xfId="8968" xr:uid="{00000000-0005-0000-0000-00001F1E0000}"/>
    <cellStyle name="20% - Accent6 13 4 2" xfId="20256" xr:uid="{00000000-0005-0000-0000-0000201E0000}"/>
    <cellStyle name="20% - Accent6 13 5" xfId="6974" xr:uid="{00000000-0005-0000-0000-0000211E0000}"/>
    <cellStyle name="20% - Accent6 13 5 2" xfId="18262" xr:uid="{00000000-0005-0000-0000-0000221E0000}"/>
    <cellStyle name="20% - Accent6 13 6" xfId="4980" xr:uid="{00000000-0005-0000-0000-0000231E0000}"/>
    <cellStyle name="20% - Accent6 13 6 2" xfId="16268" xr:uid="{00000000-0005-0000-0000-0000241E0000}"/>
    <cellStyle name="20% - Accent6 13 7" xfId="14274" xr:uid="{00000000-0005-0000-0000-0000251E0000}"/>
    <cellStyle name="20% - Accent6 13 8" xfId="12960" xr:uid="{00000000-0005-0000-0000-0000261E0000}"/>
    <cellStyle name="20% - Accent6 14" xfId="1025" xr:uid="{00000000-0005-0000-0000-0000271E0000}"/>
    <cellStyle name="20% - Accent6 14 2" xfId="3981" xr:uid="{00000000-0005-0000-0000-0000281E0000}"/>
    <cellStyle name="20% - Accent6 14 2 2" xfId="11960" xr:uid="{00000000-0005-0000-0000-0000291E0000}"/>
    <cellStyle name="20% - Accent6 14 2 2 2" xfId="23248" xr:uid="{00000000-0005-0000-0000-00002A1E0000}"/>
    <cellStyle name="20% - Accent6 14 2 3" xfId="9966" xr:uid="{00000000-0005-0000-0000-00002B1E0000}"/>
    <cellStyle name="20% - Accent6 14 2 3 2" xfId="21254" xr:uid="{00000000-0005-0000-0000-00002C1E0000}"/>
    <cellStyle name="20% - Accent6 14 2 4" xfId="7972" xr:uid="{00000000-0005-0000-0000-00002D1E0000}"/>
    <cellStyle name="20% - Accent6 14 2 4 2" xfId="19260" xr:uid="{00000000-0005-0000-0000-00002E1E0000}"/>
    <cellStyle name="20% - Accent6 14 2 5" xfId="5978" xr:uid="{00000000-0005-0000-0000-00002F1E0000}"/>
    <cellStyle name="20% - Accent6 14 2 5 2" xfId="17266" xr:uid="{00000000-0005-0000-0000-0000301E0000}"/>
    <cellStyle name="20% - Accent6 14 2 6" xfId="15272" xr:uid="{00000000-0005-0000-0000-0000311E0000}"/>
    <cellStyle name="20% - Accent6 14 3" xfId="10963" xr:uid="{00000000-0005-0000-0000-0000321E0000}"/>
    <cellStyle name="20% - Accent6 14 3 2" xfId="22251" xr:uid="{00000000-0005-0000-0000-0000331E0000}"/>
    <cellStyle name="20% - Accent6 14 4" xfId="8969" xr:uid="{00000000-0005-0000-0000-0000341E0000}"/>
    <cellStyle name="20% - Accent6 14 4 2" xfId="20257" xr:uid="{00000000-0005-0000-0000-0000351E0000}"/>
    <cellStyle name="20% - Accent6 14 5" xfId="6975" xr:uid="{00000000-0005-0000-0000-0000361E0000}"/>
    <cellStyle name="20% - Accent6 14 5 2" xfId="18263" xr:uid="{00000000-0005-0000-0000-0000371E0000}"/>
    <cellStyle name="20% - Accent6 14 6" xfId="4981" xr:uid="{00000000-0005-0000-0000-0000381E0000}"/>
    <cellStyle name="20% - Accent6 14 6 2" xfId="16269" xr:uid="{00000000-0005-0000-0000-0000391E0000}"/>
    <cellStyle name="20% - Accent6 14 7" xfId="14275" xr:uid="{00000000-0005-0000-0000-00003A1E0000}"/>
    <cellStyle name="20% - Accent6 14 8" xfId="12961" xr:uid="{00000000-0005-0000-0000-00003B1E0000}"/>
    <cellStyle name="20% - Accent6 15" xfId="1026" xr:uid="{00000000-0005-0000-0000-00003C1E0000}"/>
    <cellStyle name="20% - Accent6 15 2" xfId="3982" xr:uid="{00000000-0005-0000-0000-00003D1E0000}"/>
    <cellStyle name="20% - Accent6 15 2 2" xfId="11961" xr:uid="{00000000-0005-0000-0000-00003E1E0000}"/>
    <cellStyle name="20% - Accent6 15 2 2 2" xfId="23249" xr:uid="{00000000-0005-0000-0000-00003F1E0000}"/>
    <cellStyle name="20% - Accent6 15 2 3" xfId="9967" xr:uid="{00000000-0005-0000-0000-0000401E0000}"/>
    <cellStyle name="20% - Accent6 15 2 3 2" xfId="21255" xr:uid="{00000000-0005-0000-0000-0000411E0000}"/>
    <cellStyle name="20% - Accent6 15 2 4" xfId="7973" xr:uid="{00000000-0005-0000-0000-0000421E0000}"/>
    <cellStyle name="20% - Accent6 15 2 4 2" xfId="19261" xr:uid="{00000000-0005-0000-0000-0000431E0000}"/>
    <cellStyle name="20% - Accent6 15 2 5" xfId="5979" xr:uid="{00000000-0005-0000-0000-0000441E0000}"/>
    <cellStyle name="20% - Accent6 15 2 5 2" xfId="17267" xr:uid="{00000000-0005-0000-0000-0000451E0000}"/>
    <cellStyle name="20% - Accent6 15 2 6" xfId="15273" xr:uid="{00000000-0005-0000-0000-0000461E0000}"/>
    <cellStyle name="20% - Accent6 15 3" xfId="10964" xr:uid="{00000000-0005-0000-0000-0000471E0000}"/>
    <cellStyle name="20% - Accent6 15 3 2" xfId="22252" xr:uid="{00000000-0005-0000-0000-0000481E0000}"/>
    <cellStyle name="20% - Accent6 15 4" xfId="8970" xr:uid="{00000000-0005-0000-0000-0000491E0000}"/>
    <cellStyle name="20% - Accent6 15 4 2" xfId="20258" xr:uid="{00000000-0005-0000-0000-00004A1E0000}"/>
    <cellStyle name="20% - Accent6 15 5" xfId="6976" xr:uid="{00000000-0005-0000-0000-00004B1E0000}"/>
    <cellStyle name="20% - Accent6 15 5 2" xfId="18264" xr:uid="{00000000-0005-0000-0000-00004C1E0000}"/>
    <cellStyle name="20% - Accent6 15 6" xfId="4982" xr:uid="{00000000-0005-0000-0000-00004D1E0000}"/>
    <cellStyle name="20% - Accent6 15 6 2" xfId="16270" xr:uid="{00000000-0005-0000-0000-00004E1E0000}"/>
    <cellStyle name="20% - Accent6 15 7" xfId="14276" xr:uid="{00000000-0005-0000-0000-00004F1E0000}"/>
    <cellStyle name="20% - Accent6 15 8" xfId="12962" xr:uid="{00000000-0005-0000-0000-0000501E0000}"/>
    <cellStyle name="20% - Accent6 16" xfId="1027" xr:uid="{00000000-0005-0000-0000-0000511E0000}"/>
    <cellStyle name="20% - Accent6 16 2" xfId="3983" xr:uid="{00000000-0005-0000-0000-0000521E0000}"/>
    <cellStyle name="20% - Accent6 16 2 2" xfId="11962" xr:uid="{00000000-0005-0000-0000-0000531E0000}"/>
    <cellStyle name="20% - Accent6 16 2 2 2" xfId="23250" xr:uid="{00000000-0005-0000-0000-0000541E0000}"/>
    <cellStyle name="20% - Accent6 16 2 3" xfId="9968" xr:uid="{00000000-0005-0000-0000-0000551E0000}"/>
    <cellStyle name="20% - Accent6 16 2 3 2" xfId="21256" xr:uid="{00000000-0005-0000-0000-0000561E0000}"/>
    <cellStyle name="20% - Accent6 16 2 4" xfId="7974" xr:uid="{00000000-0005-0000-0000-0000571E0000}"/>
    <cellStyle name="20% - Accent6 16 2 4 2" xfId="19262" xr:uid="{00000000-0005-0000-0000-0000581E0000}"/>
    <cellStyle name="20% - Accent6 16 2 5" xfId="5980" xr:uid="{00000000-0005-0000-0000-0000591E0000}"/>
    <cellStyle name="20% - Accent6 16 2 5 2" xfId="17268" xr:uid="{00000000-0005-0000-0000-00005A1E0000}"/>
    <cellStyle name="20% - Accent6 16 2 6" xfId="15274" xr:uid="{00000000-0005-0000-0000-00005B1E0000}"/>
    <cellStyle name="20% - Accent6 16 3" xfId="10965" xr:uid="{00000000-0005-0000-0000-00005C1E0000}"/>
    <cellStyle name="20% - Accent6 16 3 2" xfId="22253" xr:uid="{00000000-0005-0000-0000-00005D1E0000}"/>
    <cellStyle name="20% - Accent6 16 4" xfId="8971" xr:uid="{00000000-0005-0000-0000-00005E1E0000}"/>
    <cellStyle name="20% - Accent6 16 4 2" xfId="20259" xr:uid="{00000000-0005-0000-0000-00005F1E0000}"/>
    <cellStyle name="20% - Accent6 16 5" xfId="6977" xr:uid="{00000000-0005-0000-0000-0000601E0000}"/>
    <cellStyle name="20% - Accent6 16 5 2" xfId="18265" xr:uid="{00000000-0005-0000-0000-0000611E0000}"/>
    <cellStyle name="20% - Accent6 16 6" xfId="4983" xr:uid="{00000000-0005-0000-0000-0000621E0000}"/>
    <cellStyle name="20% - Accent6 16 6 2" xfId="16271" xr:uid="{00000000-0005-0000-0000-0000631E0000}"/>
    <cellStyle name="20% - Accent6 16 7" xfId="14277" xr:uid="{00000000-0005-0000-0000-0000641E0000}"/>
    <cellStyle name="20% - Accent6 16 8" xfId="12963" xr:uid="{00000000-0005-0000-0000-0000651E0000}"/>
    <cellStyle name="20% - Accent6 17" xfId="1028" xr:uid="{00000000-0005-0000-0000-0000661E0000}"/>
    <cellStyle name="20% - Accent6 17 2" xfId="3984" xr:uid="{00000000-0005-0000-0000-0000671E0000}"/>
    <cellStyle name="20% - Accent6 17 2 2" xfId="11963" xr:uid="{00000000-0005-0000-0000-0000681E0000}"/>
    <cellStyle name="20% - Accent6 17 2 2 2" xfId="23251" xr:uid="{00000000-0005-0000-0000-0000691E0000}"/>
    <cellStyle name="20% - Accent6 17 2 3" xfId="9969" xr:uid="{00000000-0005-0000-0000-00006A1E0000}"/>
    <cellStyle name="20% - Accent6 17 2 3 2" xfId="21257" xr:uid="{00000000-0005-0000-0000-00006B1E0000}"/>
    <cellStyle name="20% - Accent6 17 2 4" xfId="7975" xr:uid="{00000000-0005-0000-0000-00006C1E0000}"/>
    <cellStyle name="20% - Accent6 17 2 4 2" xfId="19263" xr:uid="{00000000-0005-0000-0000-00006D1E0000}"/>
    <cellStyle name="20% - Accent6 17 2 5" xfId="5981" xr:uid="{00000000-0005-0000-0000-00006E1E0000}"/>
    <cellStyle name="20% - Accent6 17 2 5 2" xfId="17269" xr:uid="{00000000-0005-0000-0000-00006F1E0000}"/>
    <cellStyle name="20% - Accent6 17 2 6" xfId="15275" xr:uid="{00000000-0005-0000-0000-0000701E0000}"/>
    <cellStyle name="20% - Accent6 17 3" xfId="10966" xr:uid="{00000000-0005-0000-0000-0000711E0000}"/>
    <cellStyle name="20% - Accent6 17 3 2" xfId="22254" xr:uid="{00000000-0005-0000-0000-0000721E0000}"/>
    <cellStyle name="20% - Accent6 17 4" xfId="8972" xr:uid="{00000000-0005-0000-0000-0000731E0000}"/>
    <cellStyle name="20% - Accent6 17 4 2" xfId="20260" xr:uid="{00000000-0005-0000-0000-0000741E0000}"/>
    <cellStyle name="20% - Accent6 17 5" xfId="6978" xr:uid="{00000000-0005-0000-0000-0000751E0000}"/>
    <cellStyle name="20% - Accent6 17 5 2" xfId="18266" xr:uid="{00000000-0005-0000-0000-0000761E0000}"/>
    <cellStyle name="20% - Accent6 17 6" xfId="4984" xr:uid="{00000000-0005-0000-0000-0000771E0000}"/>
    <cellStyle name="20% - Accent6 17 6 2" xfId="16272" xr:uid="{00000000-0005-0000-0000-0000781E0000}"/>
    <cellStyle name="20% - Accent6 17 7" xfId="14278" xr:uid="{00000000-0005-0000-0000-0000791E0000}"/>
    <cellStyle name="20% - Accent6 17 8" xfId="12964" xr:uid="{00000000-0005-0000-0000-00007A1E0000}"/>
    <cellStyle name="20% - Accent6 18" xfId="1029" xr:uid="{00000000-0005-0000-0000-00007B1E0000}"/>
    <cellStyle name="20% - Accent6 18 2" xfId="3985" xr:uid="{00000000-0005-0000-0000-00007C1E0000}"/>
    <cellStyle name="20% - Accent6 18 2 2" xfId="11964" xr:uid="{00000000-0005-0000-0000-00007D1E0000}"/>
    <cellStyle name="20% - Accent6 18 2 2 2" xfId="23252" xr:uid="{00000000-0005-0000-0000-00007E1E0000}"/>
    <cellStyle name="20% - Accent6 18 2 3" xfId="9970" xr:uid="{00000000-0005-0000-0000-00007F1E0000}"/>
    <cellStyle name="20% - Accent6 18 2 3 2" xfId="21258" xr:uid="{00000000-0005-0000-0000-0000801E0000}"/>
    <cellStyle name="20% - Accent6 18 2 4" xfId="7976" xr:uid="{00000000-0005-0000-0000-0000811E0000}"/>
    <cellStyle name="20% - Accent6 18 2 4 2" xfId="19264" xr:uid="{00000000-0005-0000-0000-0000821E0000}"/>
    <cellStyle name="20% - Accent6 18 2 5" xfId="5982" xr:uid="{00000000-0005-0000-0000-0000831E0000}"/>
    <cellStyle name="20% - Accent6 18 2 5 2" xfId="17270" xr:uid="{00000000-0005-0000-0000-0000841E0000}"/>
    <cellStyle name="20% - Accent6 18 2 6" xfId="15276" xr:uid="{00000000-0005-0000-0000-0000851E0000}"/>
    <cellStyle name="20% - Accent6 18 3" xfId="10967" xr:uid="{00000000-0005-0000-0000-0000861E0000}"/>
    <cellStyle name="20% - Accent6 18 3 2" xfId="22255" xr:uid="{00000000-0005-0000-0000-0000871E0000}"/>
    <cellStyle name="20% - Accent6 18 4" xfId="8973" xr:uid="{00000000-0005-0000-0000-0000881E0000}"/>
    <cellStyle name="20% - Accent6 18 4 2" xfId="20261" xr:uid="{00000000-0005-0000-0000-0000891E0000}"/>
    <cellStyle name="20% - Accent6 18 5" xfId="6979" xr:uid="{00000000-0005-0000-0000-00008A1E0000}"/>
    <cellStyle name="20% - Accent6 18 5 2" xfId="18267" xr:uid="{00000000-0005-0000-0000-00008B1E0000}"/>
    <cellStyle name="20% - Accent6 18 6" xfId="4985" xr:uid="{00000000-0005-0000-0000-00008C1E0000}"/>
    <cellStyle name="20% - Accent6 18 6 2" xfId="16273" xr:uid="{00000000-0005-0000-0000-00008D1E0000}"/>
    <cellStyle name="20% - Accent6 18 7" xfId="14279" xr:uid="{00000000-0005-0000-0000-00008E1E0000}"/>
    <cellStyle name="20% - Accent6 18 8" xfId="12965" xr:uid="{00000000-0005-0000-0000-00008F1E0000}"/>
    <cellStyle name="20% - Accent6 19" xfId="1030" xr:uid="{00000000-0005-0000-0000-0000901E0000}"/>
    <cellStyle name="20% - Accent6 19 2" xfId="3986" xr:uid="{00000000-0005-0000-0000-0000911E0000}"/>
    <cellStyle name="20% - Accent6 19 2 2" xfId="11965" xr:uid="{00000000-0005-0000-0000-0000921E0000}"/>
    <cellStyle name="20% - Accent6 19 2 2 2" xfId="23253" xr:uid="{00000000-0005-0000-0000-0000931E0000}"/>
    <cellStyle name="20% - Accent6 19 2 3" xfId="9971" xr:uid="{00000000-0005-0000-0000-0000941E0000}"/>
    <cellStyle name="20% - Accent6 19 2 3 2" xfId="21259" xr:uid="{00000000-0005-0000-0000-0000951E0000}"/>
    <cellStyle name="20% - Accent6 19 2 4" xfId="7977" xr:uid="{00000000-0005-0000-0000-0000961E0000}"/>
    <cellStyle name="20% - Accent6 19 2 4 2" xfId="19265" xr:uid="{00000000-0005-0000-0000-0000971E0000}"/>
    <cellStyle name="20% - Accent6 19 2 5" xfId="5983" xr:uid="{00000000-0005-0000-0000-0000981E0000}"/>
    <cellStyle name="20% - Accent6 19 2 5 2" xfId="17271" xr:uid="{00000000-0005-0000-0000-0000991E0000}"/>
    <cellStyle name="20% - Accent6 19 2 6" xfId="15277" xr:uid="{00000000-0005-0000-0000-00009A1E0000}"/>
    <cellStyle name="20% - Accent6 19 3" xfId="10968" xr:uid="{00000000-0005-0000-0000-00009B1E0000}"/>
    <cellStyle name="20% - Accent6 19 3 2" xfId="22256" xr:uid="{00000000-0005-0000-0000-00009C1E0000}"/>
    <cellStyle name="20% - Accent6 19 4" xfId="8974" xr:uid="{00000000-0005-0000-0000-00009D1E0000}"/>
    <cellStyle name="20% - Accent6 19 4 2" xfId="20262" xr:uid="{00000000-0005-0000-0000-00009E1E0000}"/>
    <cellStyle name="20% - Accent6 19 5" xfId="6980" xr:uid="{00000000-0005-0000-0000-00009F1E0000}"/>
    <cellStyle name="20% - Accent6 19 5 2" xfId="18268" xr:uid="{00000000-0005-0000-0000-0000A01E0000}"/>
    <cellStyle name="20% - Accent6 19 6" xfId="4986" xr:uid="{00000000-0005-0000-0000-0000A11E0000}"/>
    <cellStyle name="20% - Accent6 19 6 2" xfId="16274" xr:uid="{00000000-0005-0000-0000-0000A21E0000}"/>
    <cellStyle name="20% - Accent6 19 7" xfId="14280" xr:uid="{00000000-0005-0000-0000-0000A31E0000}"/>
    <cellStyle name="20% - Accent6 19 8" xfId="12966" xr:uid="{00000000-0005-0000-0000-0000A41E0000}"/>
    <cellStyle name="20% - Accent6 2" xfId="1031" xr:uid="{00000000-0005-0000-0000-0000A51E0000}"/>
    <cellStyle name="20% - Accent6 2 10" xfId="24589" xr:uid="{00000000-0005-0000-0000-0000A61E0000}"/>
    <cellStyle name="20% - Accent6 2 11" xfId="24979" xr:uid="{00000000-0005-0000-0000-0000A71E0000}"/>
    <cellStyle name="20% - Accent6 2 2" xfId="3987" xr:uid="{00000000-0005-0000-0000-0000A81E0000}"/>
    <cellStyle name="20% - Accent6 2 2 2" xfId="11966" xr:uid="{00000000-0005-0000-0000-0000A91E0000}"/>
    <cellStyle name="20% - Accent6 2 2 2 2" xfId="23254" xr:uid="{00000000-0005-0000-0000-0000AA1E0000}"/>
    <cellStyle name="20% - Accent6 2 2 3" xfId="9972" xr:uid="{00000000-0005-0000-0000-0000AB1E0000}"/>
    <cellStyle name="20% - Accent6 2 2 3 2" xfId="21260" xr:uid="{00000000-0005-0000-0000-0000AC1E0000}"/>
    <cellStyle name="20% - Accent6 2 2 4" xfId="7978" xr:uid="{00000000-0005-0000-0000-0000AD1E0000}"/>
    <cellStyle name="20% - Accent6 2 2 4 2" xfId="19266" xr:uid="{00000000-0005-0000-0000-0000AE1E0000}"/>
    <cellStyle name="20% - Accent6 2 2 5" xfId="5984" xr:uid="{00000000-0005-0000-0000-0000AF1E0000}"/>
    <cellStyle name="20% - Accent6 2 2 5 2" xfId="17272" xr:uid="{00000000-0005-0000-0000-0000B01E0000}"/>
    <cellStyle name="20% - Accent6 2 2 6" xfId="15278" xr:uid="{00000000-0005-0000-0000-0000B11E0000}"/>
    <cellStyle name="20% - Accent6 2 2 7" xfId="24350" xr:uid="{00000000-0005-0000-0000-0000B21E0000}"/>
    <cellStyle name="20% - Accent6 2 2 8" xfId="24814" xr:uid="{00000000-0005-0000-0000-0000B31E0000}"/>
    <cellStyle name="20% - Accent6 2 2 9" xfId="25181" xr:uid="{00000000-0005-0000-0000-0000B41E0000}"/>
    <cellStyle name="20% - Accent6 2 3" xfId="10969" xr:uid="{00000000-0005-0000-0000-0000B51E0000}"/>
    <cellStyle name="20% - Accent6 2 3 2" xfId="22257" xr:uid="{00000000-0005-0000-0000-0000B61E0000}"/>
    <cellStyle name="20% - Accent6 2 4" xfId="8975" xr:uid="{00000000-0005-0000-0000-0000B71E0000}"/>
    <cellStyle name="20% - Accent6 2 4 2" xfId="20263" xr:uid="{00000000-0005-0000-0000-0000B81E0000}"/>
    <cellStyle name="20% - Accent6 2 5" xfId="6981" xr:uid="{00000000-0005-0000-0000-0000B91E0000}"/>
    <cellStyle name="20% - Accent6 2 5 2" xfId="18269" xr:uid="{00000000-0005-0000-0000-0000BA1E0000}"/>
    <cellStyle name="20% - Accent6 2 6" xfId="4987" xr:uid="{00000000-0005-0000-0000-0000BB1E0000}"/>
    <cellStyle name="20% - Accent6 2 6 2" xfId="16275" xr:uid="{00000000-0005-0000-0000-0000BC1E0000}"/>
    <cellStyle name="20% - Accent6 2 7" xfId="14281" xr:uid="{00000000-0005-0000-0000-0000BD1E0000}"/>
    <cellStyle name="20% - Accent6 2 8" xfId="12967" xr:uid="{00000000-0005-0000-0000-0000BE1E0000}"/>
    <cellStyle name="20% - Accent6 2 9" xfId="23962" xr:uid="{00000000-0005-0000-0000-0000BF1E0000}"/>
    <cellStyle name="20% - Accent6 20" xfId="1032" xr:uid="{00000000-0005-0000-0000-0000C01E0000}"/>
    <cellStyle name="20% - Accent6 20 2" xfId="3988" xr:uid="{00000000-0005-0000-0000-0000C11E0000}"/>
    <cellStyle name="20% - Accent6 20 2 2" xfId="11967" xr:uid="{00000000-0005-0000-0000-0000C21E0000}"/>
    <cellStyle name="20% - Accent6 20 2 2 2" xfId="23255" xr:uid="{00000000-0005-0000-0000-0000C31E0000}"/>
    <cellStyle name="20% - Accent6 20 2 3" xfId="9973" xr:uid="{00000000-0005-0000-0000-0000C41E0000}"/>
    <cellStyle name="20% - Accent6 20 2 3 2" xfId="21261" xr:uid="{00000000-0005-0000-0000-0000C51E0000}"/>
    <cellStyle name="20% - Accent6 20 2 4" xfId="7979" xr:uid="{00000000-0005-0000-0000-0000C61E0000}"/>
    <cellStyle name="20% - Accent6 20 2 4 2" xfId="19267" xr:uid="{00000000-0005-0000-0000-0000C71E0000}"/>
    <cellStyle name="20% - Accent6 20 2 5" xfId="5985" xr:uid="{00000000-0005-0000-0000-0000C81E0000}"/>
    <cellStyle name="20% - Accent6 20 2 5 2" xfId="17273" xr:uid="{00000000-0005-0000-0000-0000C91E0000}"/>
    <cellStyle name="20% - Accent6 20 2 6" xfId="15279" xr:uid="{00000000-0005-0000-0000-0000CA1E0000}"/>
    <cellStyle name="20% - Accent6 20 3" xfId="10970" xr:uid="{00000000-0005-0000-0000-0000CB1E0000}"/>
    <cellStyle name="20% - Accent6 20 3 2" xfId="22258" xr:uid="{00000000-0005-0000-0000-0000CC1E0000}"/>
    <cellStyle name="20% - Accent6 20 4" xfId="8976" xr:uid="{00000000-0005-0000-0000-0000CD1E0000}"/>
    <cellStyle name="20% - Accent6 20 4 2" xfId="20264" xr:uid="{00000000-0005-0000-0000-0000CE1E0000}"/>
    <cellStyle name="20% - Accent6 20 5" xfId="6982" xr:uid="{00000000-0005-0000-0000-0000CF1E0000}"/>
    <cellStyle name="20% - Accent6 20 5 2" xfId="18270" xr:uid="{00000000-0005-0000-0000-0000D01E0000}"/>
    <cellStyle name="20% - Accent6 20 6" xfId="4988" xr:uid="{00000000-0005-0000-0000-0000D11E0000}"/>
    <cellStyle name="20% - Accent6 20 6 2" xfId="16276" xr:uid="{00000000-0005-0000-0000-0000D21E0000}"/>
    <cellStyle name="20% - Accent6 20 7" xfId="14282" xr:uid="{00000000-0005-0000-0000-0000D31E0000}"/>
    <cellStyle name="20% - Accent6 20 8" xfId="12968" xr:uid="{00000000-0005-0000-0000-0000D41E0000}"/>
    <cellStyle name="20% - Accent6 21" xfId="1033" xr:uid="{00000000-0005-0000-0000-0000D51E0000}"/>
    <cellStyle name="20% - Accent6 21 2" xfId="3989" xr:uid="{00000000-0005-0000-0000-0000D61E0000}"/>
    <cellStyle name="20% - Accent6 21 2 2" xfId="11968" xr:uid="{00000000-0005-0000-0000-0000D71E0000}"/>
    <cellStyle name="20% - Accent6 21 2 2 2" xfId="23256" xr:uid="{00000000-0005-0000-0000-0000D81E0000}"/>
    <cellStyle name="20% - Accent6 21 2 3" xfId="9974" xr:uid="{00000000-0005-0000-0000-0000D91E0000}"/>
    <cellStyle name="20% - Accent6 21 2 3 2" xfId="21262" xr:uid="{00000000-0005-0000-0000-0000DA1E0000}"/>
    <cellStyle name="20% - Accent6 21 2 4" xfId="7980" xr:uid="{00000000-0005-0000-0000-0000DB1E0000}"/>
    <cellStyle name="20% - Accent6 21 2 4 2" xfId="19268" xr:uid="{00000000-0005-0000-0000-0000DC1E0000}"/>
    <cellStyle name="20% - Accent6 21 2 5" xfId="5986" xr:uid="{00000000-0005-0000-0000-0000DD1E0000}"/>
    <cellStyle name="20% - Accent6 21 2 5 2" xfId="17274" xr:uid="{00000000-0005-0000-0000-0000DE1E0000}"/>
    <cellStyle name="20% - Accent6 21 2 6" xfId="15280" xr:uid="{00000000-0005-0000-0000-0000DF1E0000}"/>
    <cellStyle name="20% - Accent6 21 3" xfId="10971" xr:uid="{00000000-0005-0000-0000-0000E01E0000}"/>
    <cellStyle name="20% - Accent6 21 3 2" xfId="22259" xr:uid="{00000000-0005-0000-0000-0000E11E0000}"/>
    <cellStyle name="20% - Accent6 21 4" xfId="8977" xr:uid="{00000000-0005-0000-0000-0000E21E0000}"/>
    <cellStyle name="20% - Accent6 21 4 2" xfId="20265" xr:uid="{00000000-0005-0000-0000-0000E31E0000}"/>
    <cellStyle name="20% - Accent6 21 5" xfId="6983" xr:uid="{00000000-0005-0000-0000-0000E41E0000}"/>
    <cellStyle name="20% - Accent6 21 5 2" xfId="18271" xr:uid="{00000000-0005-0000-0000-0000E51E0000}"/>
    <cellStyle name="20% - Accent6 21 6" xfId="4989" xr:uid="{00000000-0005-0000-0000-0000E61E0000}"/>
    <cellStyle name="20% - Accent6 21 6 2" xfId="16277" xr:uid="{00000000-0005-0000-0000-0000E71E0000}"/>
    <cellStyle name="20% - Accent6 21 7" xfId="14283" xr:uid="{00000000-0005-0000-0000-0000E81E0000}"/>
    <cellStyle name="20% - Accent6 21 8" xfId="12969" xr:uid="{00000000-0005-0000-0000-0000E91E0000}"/>
    <cellStyle name="20% - Accent6 22" xfId="1034" xr:uid="{00000000-0005-0000-0000-0000EA1E0000}"/>
    <cellStyle name="20% - Accent6 22 2" xfId="3990" xr:uid="{00000000-0005-0000-0000-0000EB1E0000}"/>
    <cellStyle name="20% - Accent6 22 2 2" xfId="11969" xr:uid="{00000000-0005-0000-0000-0000EC1E0000}"/>
    <cellStyle name="20% - Accent6 22 2 2 2" xfId="23257" xr:uid="{00000000-0005-0000-0000-0000ED1E0000}"/>
    <cellStyle name="20% - Accent6 22 2 3" xfId="9975" xr:uid="{00000000-0005-0000-0000-0000EE1E0000}"/>
    <cellStyle name="20% - Accent6 22 2 3 2" xfId="21263" xr:uid="{00000000-0005-0000-0000-0000EF1E0000}"/>
    <cellStyle name="20% - Accent6 22 2 4" xfId="7981" xr:uid="{00000000-0005-0000-0000-0000F01E0000}"/>
    <cellStyle name="20% - Accent6 22 2 4 2" xfId="19269" xr:uid="{00000000-0005-0000-0000-0000F11E0000}"/>
    <cellStyle name="20% - Accent6 22 2 5" xfId="5987" xr:uid="{00000000-0005-0000-0000-0000F21E0000}"/>
    <cellStyle name="20% - Accent6 22 2 5 2" xfId="17275" xr:uid="{00000000-0005-0000-0000-0000F31E0000}"/>
    <cellStyle name="20% - Accent6 22 2 6" xfId="15281" xr:uid="{00000000-0005-0000-0000-0000F41E0000}"/>
    <cellStyle name="20% - Accent6 22 3" xfId="10972" xr:uid="{00000000-0005-0000-0000-0000F51E0000}"/>
    <cellStyle name="20% - Accent6 22 3 2" xfId="22260" xr:uid="{00000000-0005-0000-0000-0000F61E0000}"/>
    <cellStyle name="20% - Accent6 22 4" xfId="8978" xr:uid="{00000000-0005-0000-0000-0000F71E0000}"/>
    <cellStyle name="20% - Accent6 22 4 2" xfId="20266" xr:uid="{00000000-0005-0000-0000-0000F81E0000}"/>
    <cellStyle name="20% - Accent6 22 5" xfId="6984" xr:uid="{00000000-0005-0000-0000-0000F91E0000}"/>
    <cellStyle name="20% - Accent6 22 5 2" xfId="18272" xr:uid="{00000000-0005-0000-0000-0000FA1E0000}"/>
    <cellStyle name="20% - Accent6 22 6" xfId="4990" xr:uid="{00000000-0005-0000-0000-0000FB1E0000}"/>
    <cellStyle name="20% - Accent6 22 6 2" xfId="16278" xr:uid="{00000000-0005-0000-0000-0000FC1E0000}"/>
    <cellStyle name="20% - Accent6 22 7" xfId="14284" xr:uid="{00000000-0005-0000-0000-0000FD1E0000}"/>
    <cellStyle name="20% - Accent6 22 8" xfId="12970" xr:uid="{00000000-0005-0000-0000-0000FE1E0000}"/>
    <cellStyle name="20% - Accent6 23" xfId="1035" xr:uid="{00000000-0005-0000-0000-0000FF1E0000}"/>
    <cellStyle name="20% - Accent6 23 2" xfId="3991" xr:uid="{00000000-0005-0000-0000-0000001F0000}"/>
    <cellStyle name="20% - Accent6 23 2 2" xfId="11970" xr:uid="{00000000-0005-0000-0000-0000011F0000}"/>
    <cellStyle name="20% - Accent6 23 2 2 2" xfId="23258" xr:uid="{00000000-0005-0000-0000-0000021F0000}"/>
    <cellStyle name="20% - Accent6 23 2 3" xfId="9976" xr:uid="{00000000-0005-0000-0000-0000031F0000}"/>
    <cellStyle name="20% - Accent6 23 2 3 2" xfId="21264" xr:uid="{00000000-0005-0000-0000-0000041F0000}"/>
    <cellStyle name="20% - Accent6 23 2 4" xfId="7982" xr:uid="{00000000-0005-0000-0000-0000051F0000}"/>
    <cellStyle name="20% - Accent6 23 2 4 2" xfId="19270" xr:uid="{00000000-0005-0000-0000-0000061F0000}"/>
    <cellStyle name="20% - Accent6 23 2 5" xfId="5988" xr:uid="{00000000-0005-0000-0000-0000071F0000}"/>
    <cellStyle name="20% - Accent6 23 2 5 2" xfId="17276" xr:uid="{00000000-0005-0000-0000-0000081F0000}"/>
    <cellStyle name="20% - Accent6 23 2 6" xfId="15282" xr:uid="{00000000-0005-0000-0000-0000091F0000}"/>
    <cellStyle name="20% - Accent6 23 3" xfId="10973" xr:uid="{00000000-0005-0000-0000-00000A1F0000}"/>
    <cellStyle name="20% - Accent6 23 3 2" xfId="22261" xr:uid="{00000000-0005-0000-0000-00000B1F0000}"/>
    <cellStyle name="20% - Accent6 23 4" xfId="8979" xr:uid="{00000000-0005-0000-0000-00000C1F0000}"/>
    <cellStyle name="20% - Accent6 23 4 2" xfId="20267" xr:uid="{00000000-0005-0000-0000-00000D1F0000}"/>
    <cellStyle name="20% - Accent6 23 5" xfId="6985" xr:uid="{00000000-0005-0000-0000-00000E1F0000}"/>
    <cellStyle name="20% - Accent6 23 5 2" xfId="18273" xr:uid="{00000000-0005-0000-0000-00000F1F0000}"/>
    <cellStyle name="20% - Accent6 23 6" xfId="4991" xr:uid="{00000000-0005-0000-0000-0000101F0000}"/>
    <cellStyle name="20% - Accent6 23 6 2" xfId="16279" xr:uid="{00000000-0005-0000-0000-0000111F0000}"/>
    <cellStyle name="20% - Accent6 23 7" xfId="14285" xr:uid="{00000000-0005-0000-0000-0000121F0000}"/>
    <cellStyle name="20% - Accent6 23 8" xfId="12971" xr:uid="{00000000-0005-0000-0000-0000131F0000}"/>
    <cellStyle name="20% - Accent6 24" xfId="1036" xr:uid="{00000000-0005-0000-0000-0000141F0000}"/>
    <cellStyle name="20% - Accent6 24 2" xfId="3992" xr:uid="{00000000-0005-0000-0000-0000151F0000}"/>
    <cellStyle name="20% - Accent6 24 2 2" xfId="11971" xr:uid="{00000000-0005-0000-0000-0000161F0000}"/>
    <cellStyle name="20% - Accent6 24 2 2 2" xfId="23259" xr:uid="{00000000-0005-0000-0000-0000171F0000}"/>
    <cellStyle name="20% - Accent6 24 2 3" xfId="9977" xr:uid="{00000000-0005-0000-0000-0000181F0000}"/>
    <cellStyle name="20% - Accent6 24 2 3 2" xfId="21265" xr:uid="{00000000-0005-0000-0000-0000191F0000}"/>
    <cellStyle name="20% - Accent6 24 2 4" xfId="7983" xr:uid="{00000000-0005-0000-0000-00001A1F0000}"/>
    <cellStyle name="20% - Accent6 24 2 4 2" xfId="19271" xr:uid="{00000000-0005-0000-0000-00001B1F0000}"/>
    <cellStyle name="20% - Accent6 24 2 5" xfId="5989" xr:uid="{00000000-0005-0000-0000-00001C1F0000}"/>
    <cellStyle name="20% - Accent6 24 2 5 2" xfId="17277" xr:uid="{00000000-0005-0000-0000-00001D1F0000}"/>
    <cellStyle name="20% - Accent6 24 2 6" xfId="15283" xr:uid="{00000000-0005-0000-0000-00001E1F0000}"/>
    <cellStyle name="20% - Accent6 24 3" xfId="10974" xr:uid="{00000000-0005-0000-0000-00001F1F0000}"/>
    <cellStyle name="20% - Accent6 24 3 2" xfId="22262" xr:uid="{00000000-0005-0000-0000-0000201F0000}"/>
    <cellStyle name="20% - Accent6 24 4" xfId="8980" xr:uid="{00000000-0005-0000-0000-0000211F0000}"/>
    <cellStyle name="20% - Accent6 24 4 2" xfId="20268" xr:uid="{00000000-0005-0000-0000-0000221F0000}"/>
    <cellStyle name="20% - Accent6 24 5" xfId="6986" xr:uid="{00000000-0005-0000-0000-0000231F0000}"/>
    <cellStyle name="20% - Accent6 24 5 2" xfId="18274" xr:uid="{00000000-0005-0000-0000-0000241F0000}"/>
    <cellStyle name="20% - Accent6 24 6" xfId="4992" xr:uid="{00000000-0005-0000-0000-0000251F0000}"/>
    <cellStyle name="20% - Accent6 24 6 2" xfId="16280" xr:uid="{00000000-0005-0000-0000-0000261F0000}"/>
    <cellStyle name="20% - Accent6 24 7" xfId="14286" xr:uid="{00000000-0005-0000-0000-0000271F0000}"/>
    <cellStyle name="20% - Accent6 24 8" xfId="12972" xr:uid="{00000000-0005-0000-0000-0000281F0000}"/>
    <cellStyle name="20% - Accent6 25" xfId="1037" xr:uid="{00000000-0005-0000-0000-0000291F0000}"/>
    <cellStyle name="20% - Accent6 25 2" xfId="3993" xr:uid="{00000000-0005-0000-0000-00002A1F0000}"/>
    <cellStyle name="20% - Accent6 25 2 2" xfId="11972" xr:uid="{00000000-0005-0000-0000-00002B1F0000}"/>
    <cellStyle name="20% - Accent6 25 2 2 2" xfId="23260" xr:uid="{00000000-0005-0000-0000-00002C1F0000}"/>
    <cellStyle name="20% - Accent6 25 2 3" xfId="9978" xr:uid="{00000000-0005-0000-0000-00002D1F0000}"/>
    <cellStyle name="20% - Accent6 25 2 3 2" xfId="21266" xr:uid="{00000000-0005-0000-0000-00002E1F0000}"/>
    <cellStyle name="20% - Accent6 25 2 4" xfId="7984" xr:uid="{00000000-0005-0000-0000-00002F1F0000}"/>
    <cellStyle name="20% - Accent6 25 2 4 2" xfId="19272" xr:uid="{00000000-0005-0000-0000-0000301F0000}"/>
    <cellStyle name="20% - Accent6 25 2 5" xfId="5990" xr:uid="{00000000-0005-0000-0000-0000311F0000}"/>
    <cellStyle name="20% - Accent6 25 2 5 2" xfId="17278" xr:uid="{00000000-0005-0000-0000-0000321F0000}"/>
    <cellStyle name="20% - Accent6 25 2 6" xfId="15284" xr:uid="{00000000-0005-0000-0000-0000331F0000}"/>
    <cellStyle name="20% - Accent6 25 3" xfId="10975" xr:uid="{00000000-0005-0000-0000-0000341F0000}"/>
    <cellStyle name="20% - Accent6 25 3 2" xfId="22263" xr:uid="{00000000-0005-0000-0000-0000351F0000}"/>
    <cellStyle name="20% - Accent6 25 4" xfId="8981" xr:uid="{00000000-0005-0000-0000-0000361F0000}"/>
    <cellStyle name="20% - Accent6 25 4 2" xfId="20269" xr:uid="{00000000-0005-0000-0000-0000371F0000}"/>
    <cellStyle name="20% - Accent6 25 5" xfId="6987" xr:uid="{00000000-0005-0000-0000-0000381F0000}"/>
    <cellStyle name="20% - Accent6 25 5 2" xfId="18275" xr:uid="{00000000-0005-0000-0000-0000391F0000}"/>
    <cellStyle name="20% - Accent6 25 6" xfId="4993" xr:uid="{00000000-0005-0000-0000-00003A1F0000}"/>
    <cellStyle name="20% - Accent6 25 6 2" xfId="16281" xr:uid="{00000000-0005-0000-0000-00003B1F0000}"/>
    <cellStyle name="20% - Accent6 25 7" xfId="14287" xr:uid="{00000000-0005-0000-0000-00003C1F0000}"/>
    <cellStyle name="20% - Accent6 25 8" xfId="12973" xr:uid="{00000000-0005-0000-0000-00003D1F0000}"/>
    <cellStyle name="20% - Accent6 26" xfId="1038" xr:uid="{00000000-0005-0000-0000-00003E1F0000}"/>
    <cellStyle name="20% - Accent6 26 2" xfId="3994" xr:uid="{00000000-0005-0000-0000-00003F1F0000}"/>
    <cellStyle name="20% - Accent6 26 2 2" xfId="11973" xr:uid="{00000000-0005-0000-0000-0000401F0000}"/>
    <cellStyle name="20% - Accent6 26 2 2 2" xfId="23261" xr:uid="{00000000-0005-0000-0000-0000411F0000}"/>
    <cellStyle name="20% - Accent6 26 2 3" xfId="9979" xr:uid="{00000000-0005-0000-0000-0000421F0000}"/>
    <cellStyle name="20% - Accent6 26 2 3 2" xfId="21267" xr:uid="{00000000-0005-0000-0000-0000431F0000}"/>
    <cellStyle name="20% - Accent6 26 2 4" xfId="7985" xr:uid="{00000000-0005-0000-0000-0000441F0000}"/>
    <cellStyle name="20% - Accent6 26 2 4 2" xfId="19273" xr:uid="{00000000-0005-0000-0000-0000451F0000}"/>
    <cellStyle name="20% - Accent6 26 2 5" xfId="5991" xr:uid="{00000000-0005-0000-0000-0000461F0000}"/>
    <cellStyle name="20% - Accent6 26 2 5 2" xfId="17279" xr:uid="{00000000-0005-0000-0000-0000471F0000}"/>
    <cellStyle name="20% - Accent6 26 2 6" xfId="15285" xr:uid="{00000000-0005-0000-0000-0000481F0000}"/>
    <cellStyle name="20% - Accent6 26 3" xfId="10976" xr:uid="{00000000-0005-0000-0000-0000491F0000}"/>
    <cellStyle name="20% - Accent6 26 3 2" xfId="22264" xr:uid="{00000000-0005-0000-0000-00004A1F0000}"/>
    <cellStyle name="20% - Accent6 26 4" xfId="8982" xr:uid="{00000000-0005-0000-0000-00004B1F0000}"/>
    <cellStyle name="20% - Accent6 26 4 2" xfId="20270" xr:uid="{00000000-0005-0000-0000-00004C1F0000}"/>
    <cellStyle name="20% - Accent6 26 5" xfId="6988" xr:uid="{00000000-0005-0000-0000-00004D1F0000}"/>
    <cellStyle name="20% - Accent6 26 5 2" xfId="18276" xr:uid="{00000000-0005-0000-0000-00004E1F0000}"/>
    <cellStyle name="20% - Accent6 26 6" xfId="4994" xr:uid="{00000000-0005-0000-0000-00004F1F0000}"/>
    <cellStyle name="20% - Accent6 26 6 2" xfId="16282" xr:uid="{00000000-0005-0000-0000-0000501F0000}"/>
    <cellStyle name="20% - Accent6 26 7" xfId="14288" xr:uid="{00000000-0005-0000-0000-0000511F0000}"/>
    <cellStyle name="20% - Accent6 26 8" xfId="12974" xr:uid="{00000000-0005-0000-0000-0000521F0000}"/>
    <cellStyle name="20% - Accent6 27" xfId="1039" xr:uid="{00000000-0005-0000-0000-0000531F0000}"/>
    <cellStyle name="20% - Accent6 27 2" xfId="3995" xr:uid="{00000000-0005-0000-0000-0000541F0000}"/>
    <cellStyle name="20% - Accent6 27 2 2" xfId="11974" xr:uid="{00000000-0005-0000-0000-0000551F0000}"/>
    <cellStyle name="20% - Accent6 27 2 2 2" xfId="23262" xr:uid="{00000000-0005-0000-0000-0000561F0000}"/>
    <cellStyle name="20% - Accent6 27 2 3" xfId="9980" xr:uid="{00000000-0005-0000-0000-0000571F0000}"/>
    <cellStyle name="20% - Accent6 27 2 3 2" xfId="21268" xr:uid="{00000000-0005-0000-0000-0000581F0000}"/>
    <cellStyle name="20% - Accent6 27 2 4" xfId="7986" xr:uid="{00000000-0005-0000-0000-0000591F0000}"/>
    <cellStyle name="20% - Accent6 27 2 4 2" xfId="19274" xr:uid="{00000000-0005-0000-0000-00005A1F0000}"/>
    <cellStyle name="20% - Accent6 27 2 5" xfId="5992" xr:uid="{00000000-0005-0000-0000-00005B1F0000}"/>
    <cellStyle name="20% - Accent6 27 2 5 2" xfId="17280" xr:uid="{00000000-0005-0000-0000-00005C1F0000}"/>
    <cellStyle name="20% - Accent6 27 2 6" xfId="15286" xr:uid="{00000000-0005-0000-0000-00005D1F0000}"/>
    <cellStyle name="20% - Accent6 27 3" xfId="10977" xr:uid="{00000000-0005-0000-0000-00005E1F0000}"/>
    <cellStyle name="20% - Accent6 27 3 2" xfId="22265" xr:uid="{00000000-0005-0000-0000-00005F1F0000}"/>
    <cellStyle name="20% - Accent6 27 4" xfId="8983" xr:uid="{00000000-0005-0000-0000-0000601F0000}"/>
    <cellStyle name="20% - Accent6 27 4 2" xfId="20271" xr:uid="{00000000-0005-0000-0000-0000611F0000}"/>
    <cellStyle name="20% - Accent6 27 5" xfId="6989" xr:uid="{00000000-0005-0000-0000-0000621F0000}"/>
    <cellStyle name="20% - Accent6 27 5 2" xfId="18277" xr:uid="{00000000-0005-0000-0000-0000631F0000}"/>
    <cellStyle name="20% - Accent6 27 6" xfId="4995" xr:uid="{00000000-0005-0000-0000-0000641F0000}"/>
    <cellStyle name="20% - Accent6 27 6 2" xfId="16283" xr:uid="{00000000-0005-0000-0000-0000651F0000}"/>
    <cellStyle name="20% - Accent6 27 7" xfId="14289" xr:uid="{00000000-0005-0000-0000-0000661F0000}"/>
    <cellStyle name="20% - Accent6 27 8" xfId="12975" xr:uid="{00000000-0005-0000-0000-0000671F0000}"/>
    <cellStyle name="20% - Accent6 28" xfId="1040" xr:uid="{00000000-0005-0000-0000-0000681F0000}"/>
    <cellStyle name="20% - Accent6 28 2" xfId="3996" xr:uid="{00000000-0005-0000-0000-0000691F0000}"/>
    <cellStyle name="20% - Accent6 28 2 2" xfId="11975" xr:uid="{00000000-0005-0000-0000-00006A1F0000}"/>
    <cellStyle name="20% - Accent6 28 2 2 2" xfId="23263" xr:uid="{00000000-0005-0000-0000-00006B1F0000}"/>
    <cellStyle name="20% - Accent6 28 2 3" xfId="9981" xr:uid="{00000000-0005-0000-0000-00006C1F0000}"/>
    <cellStyle name="20% - Accent6 28 2 3 2" xfId="21269" xr:uid="{00000000-0005-0000-0000-00006D1F0000}"/>
    <cellStyle name="20% - Accent6 28 2 4" xfId="7987" xr:uid="{00000000-0005-0000-0000-00006E1F0000}"/>
    <cellStyle name="20% - Accent6 28 2 4 2" xfId="19275" xr:uid="{00000000-0005-0000-0000-00006F1F0000}"/>
    <cellStyle name="20% - Accent6 28 2 5" xfId="5993" xr:uid="{00000000-0005-0000-0000-0000701F0000}"/>
    <cellStyle name="20% - Accent6 28 2 5 2" xfId="17281" xr:uid="{00000000-0005-0000-0000-0000711F0000}"/>
    <cellStyle name="20% - Accent6 28 2 6" xfId="15287" xr:uid="{00000000-0005-0000-0000-0000721F0000}"/>
    <cellStyle name="20% - Accent6 28 3" xfId="10978" xr:uid="{00000000-0005-0000-0000-0000731F0000}"/>
    <cellStyle name="20% - Accent6 28 3 2" xfId="22266" xr:uid="{00000000-0005-0000-0000-0000741F0000}"/>
    <cellStyle name="20% - Accent6 28 4" xfId="8984" xr:uid="{00000000-0005-0000-0000-0000751F0000}"/>
    <cellStyle name="20% - Accent6 28 4 2" xfId="20272" xr:uid="{00000000-0005-0000-0000-0000761F0000}"/>
    <cellStyle name="20% - Accent6 28 5" xfId="6990" xr:uid="{00000000-0005-0000-0000-0000771F0000}"/>
    <cellStyle name="20% - Accent6 28 5 2" xfId="18278" xr:uid="{00000000-0005-0000-0000-0000781F0000}"/>
    <cellStyle name="20% - Accent6 28 6" xfId="4996" xr:uid="{00000000-0005-0000-0000-0000791F0000}"/>
    <cellStyle name="20% - Accent6 28 6 2" xfId="16284" xr:uid="{00000000-0005-0000-0000-00007A1F0000}"/>
    <cellStyle name="20% - Accent6 28 7" xfId="14290" xr:uid="{00000000-0005-0000-0000-00007B1F0000}"/>
    <cellStyle name="20% - Accent6 28 8" xfId="12976" xr:uid="{00000000-0005-0000-0000-00007C1F0000}"/>
    <cellStyle name="20% - Accent6 29" xfId="1041" xr:uid="{00000000-0005-0000-0000-00007D1F0000}"/>
    <cellStyle name="20% - Accent6 29 2" xfId="3997" xr:uid="{00000000-0005-0000-0000-00007E1F0000}"/>
    <cellStyle name="20% - Accent6 29 2 2" xfId="11976" xr:uid="{00000000-0005-0000-0000-00007F1F0000}"/>
    <cellStyle name="20% - Accent6 29 2 2 2" xfId="23264" xr:uid="{00000000-0005-0000-0000-0000801F0000}"/>
    <cellStyle name="20% - Accent6 29 2 3" xfId="9982" xr:uid="{00000000-0005-0000-0000-0000811F0000}"/>
    <cellStyle name="20% - Accent6 29 2 3 2" xfId="21270" xr:uid="{00000000-0005-0000-0000-0000821F0000}"/>
    <cellStyle name="20% - Accent6 29 2 4" xfId="7988" xr:uid="{00000000-0005-0000-0000-0000831F0000}"/>
    <cellStyle name="20% - Accent6 29 2 4 2" xfId="19276" xr:uid="{00000000-0005-0000-0000-0000841F0000}"/>
    <cellStyle name="20% - Accent6 29 2 5" xfId="5994" xr:uid="{00000000-0005-0000-0000-0000851F0000}"/>
    <cellStyle name="20% - Accent6 29 2 5 2" xfId="17282" xr:uid="{00000000-0005-0000-0000-0000861F0000}"/>
    <cellStyle name="20% - Accent6 29 2 6" xfId="15288" xr:uid="{00000000-0005-0000-0000-0000871F0000}"/>
    <cellStyle name="20% - Accent6 29 3" xfId="10979" xr:uid="{00000000-0005-0000-0000-0000881F0000}"/>
    <cellStyle name="20% - Accent6 29 3 2" xfId="22267" xr:uid="{00000000-0005-0000-0000-0000891F0000}"/>
    <cellStyle name="20% - Accent6 29 4" xfId="8985" xr:uid="{00000000-0005-0000-0000-00008A1F0000}"/>
    <cellStyle name="20% - Accent6 29 4 2" xfId="20273" xr:uid="{00000000-0005-0000-0000-00008B1F0000}"/>
    <cellStyle name="20% - Accent6 29 5" xfId="6991" xr:uid="{00000000-0005-0000-0000-00008C1F0000}"/>
    <cellStyle name="20% - Accent6 29 5 2" xfId="18279" xr:uid="{00000000-0005-0000-0000-00008D1F0000}"/>
    <cellStyle name="20% - Accent6 29 6" xfId="4997" xr:uid="{00000000-0005-0000-0000-00008E1F0000}"/>
    <cellStyle name="20% - Accent6 29 6 2" xfId="16285" xr:uid="{00000000-0005-0000-0000-00008F1F0000}"/>
    <cellStyle name="20% - Accent6 29 7" xfId="14291" xr:uid="{00000000-0005-0000-0000-0000901F0000}"/>
    <cellStyle name="20% - Accent6 29 8" xfId="12977" xr:uid="{00000000-0005-0000-0000-0000911F0000}"/>
    <cellStyle name="20% - Accent6 3" xfId="1042" xr:uid="{00000000-0005-0000-0000-0000921F0000}"/>
    <cellStyle name="20% - Accent6 3 10" xfId="24590" xr:uid="{00000000-0005-0000-0000-0000931F0000}"/>
    <cellStyle name="20% - Accent6 3 11" xfId="24980" xr:uid="{00000000-0005-0000-0000-0000941F0000}"/>
    <cellStyle name="20% - Accent6 3 2" xfId="3998" xr:uid="{00000000-0005-0000-0000-0000951F0000}"/>
    <cellStyle name="20% - Accent6 3 2 2" xfId="11977" xr:uid="{00000000-0005-0000-0000-0000961F0000}"/>
    <cellStyle name="20% - Accent6 3 2 2 2" xfId="23265" xr:uid="{00000000-0005-0000-0000-0000971F0000}"/>
    <cellStyle name="20% - Accent6 3 2 3" xfId="9983" xr:uid="{00000000-0005-0000-0000-0000981F0000}"/>
    <cellStyle name="20% - Accent6 3 2 3 2" xfId="21271" xr:uid="{00000000-0005-0000-0000-0000991F0000}"/>
    <cellStyle name="20% - Accent6 3 2 4" xfId="7989" xr:uid="{00000000-0005-0000-0000-00009A1F0000}"/>
    <cellStyle name="20% - Accent6 3 2 4 2" xfId="19277" xr:uid="{00000000-0005-0000-0000-00009B1F0000}"/>
    <cellStyle name="20% - Accent6 3 2 5" xfId="5995" xr:uid="{00000000-0005-0000-0000-00009C1F0000}"/>
    <cellStyle name="20% - Accent6 3 2 5 2" xfId="17283" xr:uid="{00000000-0005-0000-0000-00009D1F0000}"/>
    <cellStyle name="20% - Accent6 3 2 6" xfId="15289" xr:uid="{00000000-0005-0000-0000-00009E1F0000}"/>
    <cellStyle name="20% - Accent6 3 2 7" xfId="24351" xr:uid="{00000000-0005-0000-0000-00009F1F0000}"/>
    <cellStyle name="20% - Accent6 3 2 8" xfId="24815" xr:uid="{00000000-0005-0000-0000-0000A01F0000}"/>
    <cellStyle name="20% - Accent6 3 2 9" xfId="25182" xr:uid="{00000000-0005-0000-0000-0000A11F0000}"/>
    <cellStyle name="20% - Accent6 3 3" xfId="10980" xr:uid="{00000000-0005-0000-0000-0000A21F0000}"/>
    <cellStyle name="20% - Accent6 3 3 2" xfId="22268" xr:uid="{00000000-0005-0000-0000-0000A31F0000}"/>
    <cellStyle name="20% - Accent6 3 4" xfId="8986" xr:uid="{00000000-0005-0000-0000-0000A41F0000}"/>
    <cellStyle name="20% - Accent6 3 4 2" xfId="20274" xr:uid="{00000000-0005-0000-0000-0000A51F0000}"/>
    <cellStyle name="20% - Accent6 3 5" xfId="6992" xr:uid="{00000000-0005-0000-0000-0000A61F0000}"/>
    <cellStyle name="20% - Accent6 3 5 2" xfId="18280" xr:uid="{00000000-0005-0000-0000-0000A71F0000}"/>
    <cellStyle name="20% - Accent6 3 6" xfId="4998" xr:uid="{00000000-0005-0000-0000-0000A81F0000}"/>
    <cellStyle name="20% - Accent6 3 6 2" xfId="16286" xr:uid="{00000000-0005-0000-0000-0000A91F0000}"/>
    <cellStyle name="20% - Accent6 3 7" xfId="14292" xr:uid="{00000000-0005-0000-0000-0000AA1F0000}"/>
    <cellStyle name="20% - Accent6 3 8" xfId="12978" xr:uid="{00000000-0005-0000-0000-0000AB1F0000}"/>
    <cellStyle name="20% - Accent6 3 9" xfId="23963" xr:uid="{00000000-0005-0000-0000-0000AC1F0000}"/>
    <cellStyle name="20% - Accent6 30" xfId="1043" xr:uid="{00000000-0005-0000-0000-0000AD1F0000}"/>
    <cellStyle name="20% - Accent6 30 2" xfId="3999" xr:uid="{00000000-0005-0000-0000-0000AE1F0000}"/>
    <cellStyle name="20% - Accent6 30 2 2" xfId="11978" xr:uid="{00000000-0005-0000-0000-0000AF1F0000}"/>
    <cellStyle name="20% - Accent6 30 2 2 2" xfId="23266" xr:uid="{00000000-0005-0000-0000-0000B01F0000}"/>
    <cellStyle name="20% - Accent6 30 2 3" xfId="9984" xr:uid="{00000000-0005-0000-0000-0000B11F0000}"/>
    <cellStyle name="20% - Accent6 30 2 3 2" xfId="21272" xr:uid="{00000000-0005-0000-0000-0000B21F0000}"/>
    <cellStyle name="20% - Accent6 30 2 4" xfId="7990" xr:uid="{00000000-0005-0000-0000-0000B31F0000}"/>
    <cellStyle name="20% - Accent6 30 2 4 2" xfId="19278" xr:uid="{00000000-0005-0000-0000-0000B41F0000}"/>
    <cellStyle name="20% - Accent6 30 2 5" xfId="5996" xr:uid="{00000000-0005-0000-0000-0000B51F0000}"/>
    <cellStyle name="20% - Accent6 30 2 5 2" xfId="17284" xr:uid="{00000000-0005-0000-0000-0000B61F0000}"/>
    <cellStyle name="20% - Accent6 30 2 6" xfId="15290" xr:uid="{00000000-0005-0000-0000-0000B71F0000}"/>
    <cellStyle name="20% - Accent6 30 3" xfId="10981" xr:uid="{00000000-0005-0000-0000-0000B81F0000}"/>
    <cellStyle name="20% - Accent6 30 3 2" xfId="22269" xr:uid="{00000000-0005-0000-0000-0000B91F0000}"/>
    <cellStyle name="20% - Accent6 30 4" xfId="8987" xr:uid="{00000000-0005-0000-0000-0000BA1F0000}"/>
    <cellStyle name="20% - Accent6 30 4 2" xfId="20275" xr:uid="{00000000-0005-0000-0000-0000BB1F0000}"/>
    <cellStyle name="20% - Accent6 30 5" xfId="6993" xr:uid="{00000000-0005-0000-0000-0000BC1F0000}"/>
    <cellStyle name="20% - Accent6 30 5 2" xfId="18281" xr:uid="{00000000-0005-0000-0000-0000BD1F0000}"/>
    <cellStyle name="20% - Accent6 30 6" xfId="4999" xr:uid="{00000000-0005-0000-0000-0000BE1F0000}"/>
    <cellStyle name="20% - Accent6 30 6 2" xfId="16287" xr:uid="{00000000-0005-0000-0000-0000BF1F0000}"/>
    <cellStyle name="20% - Accent6 30 7" xfId="14293" xr:uid="{00000000-0005-0000-0000-0000C01F0000}"/>
    <cellStyle name="20% - Accent6 30 8" xfId="12979" xr:uid="{00000000-0005-0000-0000-0000C11F0000}"/>
    <cellStyle name="20% - Accent6 31" xfId="1044" xr:uid="{00000000-0005-0000-0000-0000C21F0000}"/>
    <cellStyle name="20% - Accent6 31 2" xfId="4000" xr:uid="{00000000-0005-0000-0000-0000C31F0000}"/>
    <cellStyle name="20% - Accent6 31 2 2" xfId="11979" xr:uid="{00000000-0005-0000-0000-0000C41F0000}"/>
    <cellStyle name="20% - Accent6 31 2 2 2" xfId="23267" xr:uid="{00000000-0005-0000-0000-0000C51F0000}"/>
    <cellStyle name="20% - Accent6 31 2 3" xfId="9985" xr:uid="{00000000-0005-0000-0000-0000C61F0000}"/>
    <cellStyle name="20% - Accent6 31 2 3 2" xfId="21273" xr:uid="{00000000-0005-0000-0000-0000C71F0000}"/>
    <cellStyle name="20% - Accent6 31 2 4" xfId="7991" xr:uid="{00000000-0005-0000-0000-0000C81F0000}"/>
    <cellStyle name="20% - Accent6 31 2 4 2" xfId="19279" xr:uid="{00000000-0005-0000-0000-0000C91F0000}"/>
    <cellStyle name="20% - Accent6 31 2 5" xfId="5997" xr:uid="{00000000-0005-0000-0000-0000CA1F0000}"/>
    <cellStyle name="20% - Accent6 31 2 5 2" xfId="17285" xr:uid="{00000000-0005-0000-0000-0000CB1F0000}"/>
    <cellStyle name="20% - Accent6 31 2 6" xfId="15291" xr:uid="{00000000-0005-0000-0000-0000CC1F0000}"/>
    <cellStyle name="20% - Accent6 31 3" xfId="10982" xr:uid="{00000000-0005-0000-0000-0000CD1F0000}"/>
    <cellStyle name="20% - Accent6 31 3 2" xfId="22270" xr:uid="{00000000-0005-0000-0000-0000CE1F0000}"/>
    <cellStyle name="20% - Accent6 31 4" xfId="8988" xr:uid="{00000000-0005-0000-0000-0000CF1F0000}"/>
    <cellStyle name="20% - Accent6 31 4 2" xfId="20276" xr:uid="{00000000-0005-0000-0000-0000D01F0000}"/>
    <cellStyle name="20% - Accent6 31 5" xfId="6994" xr:uid="{00000000-0005-0000-0000-0000D11F0000}"/>
    <cellStyle name="20% - Accent6 31 5 2" xfId="18282" xr:uid="{00000000-0005-0000-0000-0000D21F0000}"/>
    <cellStyle name="20% - Accent6 31 6" xfId="5000" xr:uid="{00000000-0005-0000-0000-0000D31F0000}"/>
    <cellStyle name="20% - Accent6 31 6 2" xfId="16288" xr:uid="{00000000-0005-0000-0000-0000D41F0000}"/>
    <cellStyle name="20% - Accent6 31 7" xfId="14294" xr:uid="{00000000-0005-0000-0000-0000D51F0000}"/>
    <cellStyle name="20% - Accent6 31 8" xfId="12980" xr:uid="{00000000-0005-0000-0000-0000D61F0000}"/>
    <cellStyle name="20% - Accent6 32" xfId="1045" xr:uid="{00000000-0005-0000-0000-0000D71F0000}"/>
    <cellStyle name="20% - Accent6 32 2" xfId="4001" xr:uid="{00000000-0005-0000-0000-0000D81F0000}"/>
    <cellStyle name="20% - Accent6 32 2 2" xfId="11980" xr:uid="{00000000-0005-0000-0000-0000D91F0000}"/>
    <cellStyle name="20% - Accent6 32 2 2 2" xfId="23268" xr:uid="{00000000-0005-0000-0000-0000DA1F0000}"/>
    <cellStyle name="20% - Accent6 32 2 3" xfId="9986" xr:uid="{00000000-0005-0000-0000-0000DB1F0000}"/>
    <cellStyle name="20% - Accent6 32 2 3 2" xfId="21274" xr:uid="{00000000-0005-0000-0000-0000DC1F0000}"/>
    <cellStyle name="20% - Accent6 32 2 4" xfId="7992" xr:uid="{00000000-0005-0000-0000-0000DD1F0000}"/>
    <cellStyle name="20% - Accent6 32 2 4 2" xfId="19280" xr:uid="{00000000-0005-0000-0000-0000DE1F0000}"/>
    <cellStyle name="20% - Accent6 32 2 5" xfId="5998" xr:uid="{00000000-0005-0000-0000-0000DF1F0000}"/>
    <cellStyle name="20% - Accent6 32 2 5 2" xfId="17286" xr:uid="{00000000-0005-0000-0000-0000E01F0000}"/>
    <cellStyle name="20% - Accent6 32 2 6" xfId="15292" xr:uid="{00000000-0005-0000-0000-0000E11F0000}"/>
    <cellStyle name="20% - Accent6 32 3" xfId="10983" xr:uid="{00000000-0005-0000-0000-0000E21F0000}"/>
    <cellStyle name="20% - Accent6 32 3 2" xfId="22271" xr:uid="{00000000-0005-0000-0000-0000E31F0000}"/>
    <cellStyle name="20% - Accent6 32 4" xfId="8989" xr:uid="{00000000-0005-0000-0000-0000E41F0000}"/>
    <cellStyle name="20% - Accent6 32 4 2" xfId="20277" xr:uid="{00000000-0005-0000-0000-0000E51F0000}"/>
    <cellStyle name="20% - Accent6 32 5" xfId="6995" xr:uid="{00000000-0005-0000-0000-0000E61F0000}"/>
    <cellStyle name="20% - Accent6 32 5 2" xfId="18283" xr:uid="{00000000-0005-0000-0000-0000E71F0000}"/>
    <cellStyle name="20% - Accent6 32 6" xfId="5001" xr:uid="{00000000-0005-0000-0000-0000E81F0000}"/>
    <cellStyle name="20% - Accent6 32 6 2" xfId="16289" xr:uid="{00000000-0005-0000-0000-0000E91F0000}"/>
    <cellStyle name="20% - Accent6 32 7" xfId="14295" xr:uid="{00000000-0005-0000-0000-0000EA1F0000}"/>
    <cellStyle name="20% - Accent6 32 8" xfId="12981" xr:uid="{00000000-0005-0000-0000-0000EB1F0000}"/>
    <cellStyle name="20% - Accent6 33" xfId="1046" xr:uid="{00000000-0005-0000-0000-0000EC1F0000}"/>
    <cellStyle name="20% - Accent6 33 2" xfId="4002" xr:uid="{00000000-0005-0000-0000-0000ED1F0000}"/>
    <cellStyle name="20% - Accent6 33 2 2" xfId="11981" xr:uid="{00000000-0005-0000-0000-0000EE1F0000}"/>
    <cellStyle name="20% - Accent6 33 2 2 2" xfId="23269" xr:uid="{00000000-0005-0000-0000-0000EF1F0000}"/>
    <cellStyle name="20% - Accent6 33 2 3" xfId="9987" xr:uid="{00000000-0005-0000-0000-0000F01F0000}"/>
    <cellStyle name="20% - Accent6 33 2 3 2" xfId="21275" xr:uid="{00000000-0005-0000-0000-0000F11F0000}"/>
    <cellStyle name="20% - Accent6 33 2 4" xfId="7993" xr:uid="{00000000-0005-0000-0000-0000F21F0000}"/>
    <cellStyle name="20% - Accent6 33 2 4 2" xfId="19281" xr:uid="{00000000-0005-0000-0000-0000F31F0000}"/>
    <cellStyle name="20% - Accent6 33 2 5" xfId="5999" xr:uid="{00000000-0005-0000-0000-0000F41F0000}"/>
    <cellStyle name="20% - Accent6 33 2 5 2" xfId="17287" xr:uid="{00000000-0005-0000-0000-0000F51F0000}"/>
    <cellStyle name="20% - Accent6 33 2 6" xfId="15293" xr:uid="{00000000-0005-0000-0000-0000F61F0000}"/>
    <cellStyle name="20% - Accent6 33 3" xfId="10984" xr:uid="{00000000-0005-0000-0000-0000F71F0000}"/>
    <cellStyle name="20% - Accent6 33 3 2" xfId="22272" xr:uid="{00000000-0005-0000-0000-0000F81F0000}"/>
    <cellStyle name="20% - Accent6 33 4" xfId="8990" xr:uid="{00000000-0005-0000-0000-0000F91F0000}"/>
    <cellStyle name="20% - Accent6 33 4 2" xfId="20278" xr:uid="{00000000-0005-0000-0000-0000FA1F0000}"/>
    <cellStyle name="20% - Accent6 33 5" xfId="6996" xr:uid="{00000000-0005-0000-0000-0000FB1F0000}"/>
    <cellStyle name="20% - Accent6 33 5 2" xfId="18284" xr:uid="{00000000-0005-0000-0000-0000FC1F0000}"/>
    <cellStyle name="20% - Accent6 33 6" xfId="5002" xr:uid="{00000000-0005-0000-0000-0000FD1F0000}"/>
    <cellStyle name="20% - Accent6 33 6 2" xfId="16290" xr:uid="{00000000-0005-0000-0000-0000FE1F0000}"/>
    <cellStyle name="20% - Accent6 33 7" xfId="14296" xr:uid="{00000000-0005-0000-0000-0000FF1F0000}"/>
    <cellStyle name="20% - Accent6 33 8" xfId="12982" xr:uid="{00000000-0005-0000-0000-000000200000}"/>
    <cellStyle name="20% - Accent6 34" xfId="1047" xr:uid="{00000000-0005-0000-0000-000001200000}"/>
    <cellStyle name="20% - Accent6 34 2" xfId="4003" xr:uid="{00000000-0005-0000-0000-000002200000}"/>
    <cellStyle name="20% - Accent6 34 2 2" xfId="11982" xr:uid="{00000000-0005-0000-0000-000003200000}"/>
    <cellStyle name="20% - Accent6 34 2 2 2" xfId="23270" xr:uid="{00000000-0005-0000-0000-000004200000}"/>
    <cellStyle name="20% - Accent6 34 2 3" xfId="9988" xr:uid="{00000000-0005-0000-0000-000005200000}"/>
    <cellStyle name="20% - Accent6 34 2 3 2" xfId="21276" xr:uid="{00000000-0005-0000-0000-000006200000}"/>
    <cellStyle name="20% - Accent6 34 2 4" xfId="7994" xr:uid="{00000000-0005-0000-0000-000007200000}"/>
    <cellStyle name="20% - Accent6 34 2 4 2" xfId="19282" xr:uid="{00000000-0005-0000-0000-000008200000}"/>
    <cellStyle name="20% - Accent6 34 2 5" xfId="6000" xr:uid="{00000000-0005-0000-0000-000009200000}"/>
    <cellStyle name="20% - Accent6 34 2 5 2" xfId="17288" xr:uid="{00000000-0005-0000-0000-00000A200000}"/>
    <cellStyle name="20% - Accent6 34 2 6" xfId="15294" xr:uid="{00000000-0005-0000-0000-00000B200000}"/>
    <cellStyle name="20% - Accent6 34 3" xfId="10985" xr:uid="{00000000-0005-0000-0000-00000C200000}"/>
    <cellStyle name="20% - Accent6 34 3 2" xfId="22273" xr:uid="{00000000-0005-0000-0000-00000D200000}"/>
    <cellStyle name="20% - Accent6 34 4" xfId="8991" xr:uid="{00000000-0005-0000-0000-00000E200000}"/>
    <cellStyle name="20% - Accent6 34 4 2" xfId="20279" xr:uid="{00000000-0005-0000-0000-00000F200000}"/>
    <cellStyle name="20% - Accent6 34 5" xfId="6997" xr:uid="{00000000-0005-0000-0000-000010200000}"/>
    <cellStyle name="20% - Accent6 34 5 2" xfId="18285" xr:uid="{00000000-0005-0000-0000-000011200000}"/>
    <cellStyle name="20% - Accent6 34 6" xfId="5003" xr:uid="{00000000-0005-0000-0000-000012200000}"/>
    <cellStyle name="20% - Accent6 34 6 2" xfId="16291" xr:uid="{00000000-0005-0000-0000-000013200000}"/>
    <cellStyle name="20% - Accent6 34 7" xfId="14297" xr:uid="{00000000-0005-0000-0000-000014200000}"/>
    <cellStyle name="20% - Accent6 34 8" xfId="12983" xr:uid="{00000000-0005-0000-0000-000015200000}"/>
    <cellStyle name="20% - Accent6 35" xfId="1048" xr:uid="{00000000-0005-0000-0000-000016200000}"/>
    <cellStyle name="20% - Accent6 35 2" xfId="4004" xr:uid="{00000000-0005-0000-0000-000017200000}"/>
    <cellStyle name="20% - Accent6 35 2 2" xfId="11983" xr:uid="{00000000-0005-0000-0000-000018200000}"/>
    <cellStyle name="20% - Accent6 35 2 2 2" xfId="23271" xr:uid="{00000000-0005-0000-0000-000019200000}"/>
    <cellStyle name="20% - Accent6 35 2 3" xfId="9989" xr:uid="{00000000-0005-0000-0000-00001A200000}"/>
    <cellStyle name="20% - Accent6 35 2 3 2" xfId="21277" xr:uid="{00000000-0005-0000-0000-00001B200000}"/>
    <cellStyle name="20% - Accent6 35 2 4" xfId="7995" xr:uid="{00000000-0005-0000-0000-00001C200000}"/>
    <cellStyle name="20% - Accent6 35 2 4 2" xfId="19283" xr:uid="{00000000-0005-0000-0000-00001D200000}"/>
    <cellStyle name="20% - Accent6 35 2 5" xfId="6001" xr:uid="{00000000-0005-0000-0000-00001E200000}"/>
    <cellStyle name="20% - Accent6 35 2 5 2" xfId="17289" xr:uid="{00000000-0005-0000-0000-00001F200000}"/>
    <cellStyle name="20% - Accent6 35 2 6" xfId="15295" xr:uid="{00000000-0005-0000-0000-000020200000}"/>
    <cellStyle name="20% - Accent6 35 3" xfId="10986" xr:uid="{00000000-0005-0000-0000-000021200000}"/>
    <cellStyle name="20% - Accent6 35 3 2" xfId="22274" xr:uid="{00000000-0005-0000-0000-000022200000}"/>
    <cellStyle name="20% - Accent6 35 4" xfId="8992" xr:uid="{00000000-0005-0000-0000-000023200000}"/>
    <cellStyle name="20% - Accent6 35 4 2" xfId="20280" xr:uid="{00000000-0005-0000-0000-000024200000}"/>
    <cellStyle name="20% - Accent6 35 5" xfId="6998" xr:uid="{00000000-0005-0000-0000-000025200000}"/>
    <cellStyle name="20% - Accent6 35 5 2" xfId="18286" xr:uid="{00000000-0005-0000-0000-000026200000}"/>
    <cellStyle name="20% - Accent6 35 6" xfId="5004" xr:uid="{00000000-0005-0000-0000-000027200000}"/>
    <cellStyle name="20% - Accent6 35 6 2" xfId="16292" xr:uid="{00000000-0005-0000-0000-000028200000}"/>
    <cellStyle name="20% - Accent6 35 7" xfId="14298" xr:uid="{00000000-0005-0000-0000-000029200000}"/>
    <cellStyle name="20% - Accent6 35 8" xfId="12984" xr:uid="{00000000-0005-0000-0000-00002A200000}"/>
    <cellStyle name="20% - Accent6 36" xfId="1049" xr:uid="{00000000-0005-0000-0000-00002B200000}"/>
    <cellStyle name="20% - Accent6 36 2" xfId="4005" xr:uid="{00000000-0005-0000-0000-00002C200000}"/>
    <cellStyle name="20% - Accent6 36 2 2" xfId="11984" xr:uid="{00000000-0005-0000-0000-00002D200000}"/>
    <cellStyle name="20% - Accent6 36 2 2 2" xfId="23272" xr:uid="{00000000-0005-0000-0000-00002E200000}"/>
    <cellStyle name="20% - Accent6 36 2 3" xfId="9990" xr:uid="{00000000-0005-0000-0000-00002F200000}"/>
    <cellStyle name="20% - Accent6 36 2 3 2" xfId="21278" xr:uid="{00000000-0005-0000-0000-000030200000}"/>
    <cellStyle name="20% - Accent6 36 2 4" xfId="7996" xr:uid="{00000000-0005-0000-0000-000031200000}"/>
    <cellStyle name="20% - Accent6 36 2 4 2" xfId="19284" xr:uid="{00000000-0005-0000-0000-000032200000}"/>
    <cellStyle name="20% - Accent6 36 2 5" xfId="6002" xr:uid="{00000000-0005-0000-0000-000033200000}"/>
    <cellStyle name="20% - Accent6 36 2 5 2" xfId="17290" xr:uid="{00000000-0005-0000-0000-000034200000}"/>
    <cellStyle name="20% - Accent6 36 2 6" xfId="15296" xr:uid="{00000000-0005-0000-0000-000035200000}"/>
    <cellStyle name="20% - Accent6 36 3" xfId="10987" xr:uid="{00000000-0005-0000-0000-000036200000}"/>
    <cellStyle name="20% - Accent6 36 3 2" xfId="22275" xr:uid="{00000000-0005-0000-0000-000037200000}"/>
    <cellStyle name="20% - Accent6 36 4" xfId="8993" xr:uid="{00000000-0005-0000-0000-000038200000}"/>
    <cellStyle name="20% - Accent6 36 4 2" xfId="20281" xr:uid="{00000000-0005-0000-0000-000039200000}"/>
    <cellStyle name="20% - Accent6 36 5" xfId="6999" xr:uid="{00000000-0005-0000-0000-00003A200000}"/>
    <cellStyle name="20% - Accent6 36 5 2" xfId="18287" xr:uid="{00000000-0005-0000-0000-00003B200000}"/>
    <cellStyle name="20% - Accent6 36 6" xfId="5005" xr:uid="{00000000-0005-0000-0000-00003C200000}"/>
    <cellStyle name="20% - Accent6 36 6 2" xfId="16293" xr:uid="{00000000-0005-0000-0000-00003D200000}"/>
    <cellStyle name="20% - Accent6 36 7" xfId="14299" xr:uid="{00000000-0005-0000-0000-00003E200000}"/>
    <cellStyle name="20% - Accent6 36 8" xfId="12985" xr:uid="{00000000-0005-0000-0000-00003F200000}"/>
    <cellStyle name="20% - Accent6 37" xfId="1050" xr:uid="{00000000-0005-0000-0000-000040200000}"/>
    <cellStyle name="20% - Accent6 37 2" xfId="4006" xr:uid="{00000000-0005-0000-0000-000041200000}"/>
    <cellStyle name="20% - Accent6 37 2 2" xfId="11985" xr:uid="{00000000-0005-0000-0000-000042200000}"/>
    <cellStyle name="20% - Accent6 37 2 2 2" xfId="23273" xr:uid="{00000000-0005-0000-0000-000043200000}"/>
    <cellStyle name="20% - Accent6 37 2 3" xfId="9991" xr:uid="{00000000-0005-0000-0000-000044200000}"/>
    <cellStyle name="20% - Accent6 37 2 3 2" xfId="21279" xr:uid="{00000000-0005-0000-0000-000045200000}"/>
    <cellStyle name="20% - Accent6 37 2 4" xfId="7997" xr:uid="{00000000-0005-0000-0000-000046200000}"/>
    <cellStyle name="20% - Accent6 37 2 4 2" xfId="19285" xr:uid="{00000000-0005-0000-0000-000047200000}"/>
    <cellStyle name="20% - Accent6 37 2 5" xfId="6003" xr:uid="{00000000-0005-0000-0000-000048200000}"/>
    <cellStyle name="20% - Accent6 37 2 5 2" xfId="17291" xr:uid="{00000000-0005-0000-0000-000049200000}"/>
    <cellStyle name="20% - Accent6 37 2 6" xfId="15297" xr:uid="{00000000-0005-0000-0000-00004A200000}"/>
    <cellStyle name="20% - Accent6 37 3" xfId="10988" xr:uid="{00000000-0005-0000-0000-00004B200000}"/>
    <cellStyle name="20% - Accent6 37 3 2" xfId="22276" xr:uid="{00000000-0005-0000-0000-00004C200000}"/>
    <cellStyle name="20% - Accent6 37 4" xfId="8994" xr:uid="{00000000-0005-0000-0000-00004D200000}"/>
    <cellStyle name="20% - Accent6 37 4 2" xfId="20282" xr:uid="{00000000-0005-0000-0000-00004E200000}"/>
    <cellStyle name="20% - Accent6 37 5" xfId="7000" xr:uid="{00000000-0005-0000-0000-00004F200000}"/>
    <cellStyle name="20% - Accent6 37 5 2" xfId="18288" xr:uid="{00000000-0005-0000-0000-000050200000}"/>
    <cellStyle name="20% - Accent6 37 6" xfId="5006" xr:uid="{00000000-0005-0000-0000-000051200000}"/>
    <cellStyle name="20% - Accent6 37 6 2" xfId="16294" xr:uid="{00000000-0005-0000-0000-000052200000}"/>
    <cellStyle name="20% - Accent6 37 7" xfId="14300" xr:uid="{00000000-0005-0000-0000-000053200000}"/>
    <cellStyle name="20% - Accent6 37 8" xfId="12986" xr:uid="{00000000-0005-0000-0000-000054200000}"/>
    <cellStyle name="20% - Accent6 38" xfId="1051" xr:uid="{00000000-0005-0000-0000-000055200000}"/>
    <cellStyle name="20% - Accent6 38 2" xfId="4007" xr:uid="{00000000-0005-0000-0000-000056200000}"/>
    <cellStyle name="20% - Accent6 38 2 2" xfId="11986" xr:uid="{00000000-0005-0000-0000-000057200000}"/>
    <cellStyle name="20% - Accent6 38 2 2 2" xfId="23274" xr:uid="{00000000-0005-0000-0000-000058200000}"/>
    <cellStyle name="20% - Accent6 38 2 3" xfId="9992" xr:uid="{00000000-0005-0000-0000-000059200000}"/>
    <cellStyle name="20% - Accent6 38 2 3 2" xfId="21280" xr:uid="{00000000-0005-0000-0000-00005A200000}"/>
    <cellStyle name="20% - Accent6 38 2 4" xfId="7998" xr:uid="{00000000-0005-0000-0000-00005B200000}"/>
    <cellStyle name="20% - Accent6 38 2 4 2" xfId="19286" xr:uid="{00000000-0005-0000-0000-00005C200000}"/>
    <cellStyle name="20% - Accent6 38 2 5" xfId="6004" xr:uid="{00000000-0005-0000-0000-00005D200000}"/>
    <cellStyle name="20% - Accent6 38 2 5 2" xfId="17292" xr:uid="{00000000-0005-0000-0000-00005E200000}"/>
    <cellStyle name="20% - Accent6 38 2 6" xfId="15298" xr:uid="{00000000-0005-0000-0000-00005F200000}"/>
    <cellStyle name="20% - Accent6 38 3" xfId="10989" xr:uid="{00000000-0005-0000-0000-000060200000}"/>
    <cellStyle name="20% - Accent6 38 3 2" xfId="22277" xr:uid="{00000000-0005-0000-0000-000061200000}"/>
    <cellStyle name="20% - Accent6 38 4" xfId="8995" xr:uid="{00000000-0005-0000-0000-000062200000}"/>
    <cellStyle name="20% - Accent6 38 4 2" xfId="20283" xr:uid="{00000000-0005-0000-0000-000063200000}"/>
    <cellStyle name="20% - Accent6 38 5" xfId="7001" xr:uid="{00000000-0005-0000-0000-000064200000}"/>
    <cellStyle name="20% - Accent6 38 5 2" xfId="18289" xr:uid="{00000000-0005-0000-0000-000065200000}"/>
    <cellStyle name="20% - Accent6 38 6" xfId="5007" xr:uid="{00000000-0005-0000-0000-000066200000}"/>
    <cellStyle name="20% - Accent6 38 6 2" xfId="16295" xr:uid="{00000000-0005-0000-0000-000067200000}"/>
    <cellStyle name="20% - Accent6 38 7" xfId="14301" xr:uid="{00000000-0005-0000-0000-000068200000}"/>
    <cellStyle name="20% - Accent6 38 8" xfId="12987" xr:uid="{00000000-0005-0000-0000-000069200000}"/>
    <cellStyle name="20% - Accent6 39" xfId="1052" xr:uid="{00000000-0005-0000-0000-00006A200000}"/>
    <cellStyle name="20% - Accent6 39 2" xfId="4008" xr:uid="{00000000-0005-0000-0000-00006B200000}"/>
    <cellStyle name="20% - Accent6 39 2 2" xfId="11987" xr:uid="{00000000-0005-0000-0000-00006C200000}"/>
    <cellStyle name="20% - Accent6 39 2 2 2" xfId="23275" xr:uid="{00000000-0005-0000-0000-00006D200000}"/>
    <cellStyle name="20% - Accent6 39 2 3" xfId="9993" xr:uid="{00000000-0005-0000-0000-00006E200000}"/>
    <cellStyle name="20% - Accent6 39 2 3 2" xfId="21281" xr:uid="{00000000-0005-0000-0000-00006F200000}"/>
    <cellStyle name="20% - Accent6 39 2 4" xfId="7999" xr:uid="{00000000-0005-0000-0000-000070200000}"/>
    <cellStyle name="20% - Accent6 39 2 4 2" xfId="19287" xr:uid="{00000000-0005-0000-0000-000071200000}"/>
    <cellStyle name="20% - Accent6 39 2 5" xfId="6005" xr:uid="{00000000-0005-0000-0000-000072200000}"/>
    <cellStyle name="20% - Accent6 39 2 5 2" xfId="17293" xr:uid="{00000000-0005-0000-0000-000073200000}"/>
    <cellStyle name="20% - Accent6 39 2 6" xfId="15299" xr:uid="{00000000-0005-0000-0000-000074200000}"/>
    <cellStyle name="20% - Accent6 39 3" xfId="10990" xr:uid="{00000000-0005-0000-0000-000075200000}"/>
    <cellStyle name="20% - Accent6 39 3 2" xfId="22278" xr:uid="{00000000-0005-0000-0000-000076200000}"/>
    <cellStyle name="20% - Accent6 39 4" xfId="8996" xr:uid="{00000000-0005-0000-0000-000077200000}"/>
    <cellStyle name="20% - Accent6 39 4 2" xfId="20284" xr:uid="{00000000-0005-0000-0000-000078200000}"/>
    <cellStyle name="20% - Accent6 39 5" xfId="7002" xr:uid="{00000000-0005-0000-0000-000079200000}"/>
    <cellStyle name="20% - Accent6 39 5 2" xfId="18290" xr:uid="{00000000-0005-0000-0000-00007A200000}"/>
    <cellStyle name="20% - Accent6 39 6" xfId="5008" xr:uid="{00000000-0005-0000-0000-00007B200000}"/>
    <cellStyle name="20% - Accent6 39 6 2" xfId="16296" xr:uid="{00000000-0005-0000-0000-00007C200000}"/>
    <cellStyle name="20% - Accent6 39 7" xfId="14302" xr:uid="{00000000-0005-0000-0000-00007D200000}"/>
    <cellStyle name="20% - Accent6 39 8" xfId="12988" xr:uid="{00000000-0005-0000-0000-00007E200000}"/>
    <cellStyle name="20% - Accent6 4" xfId="1053" xr:uid="{00000000-0005-0000-0000-00007F200000}"/>
    <cellStyle name="20% - Accent6 4 10" xfId="24591" xr:uid="{00000000-0005-0000-0000-000080200000}"/>
    <cellStyle name="20% - Accent6 4 11" xfId="24981" xr:uid="{00000000-0005-0000-0000-000081200000}"/>
    <cellStyle name="20% - Accent6 4 2" xfId="4009" xr:uid="{00000000-0005-0000-0000-000082200000}"/>
    <cellStyle name="20% - Accent6 4 2 2" xfId="11988" xr:uid="{00000000-0005-0000-0000-000083200000}"/>
    <cellStyle name="20% - Accent6 4 2 2 2" xfId="23276" xr:uid="{00000000-0005-0000-0000-000084200000}"/>
    <cellStyle name="20% - Accent6 4 2 3" xfId="9994" xr:uid="{00000000-0005-0000-0000-000085200000}"/>
    <cellStyle name="20% - Accent6 4 2 3 2" xfId="21282" xr:uid="{00000000-0005-0000-0000-000086200000}"/>
    <cellStyle name="20% - Accent6 4 2 4" xfId="8000" xr:uid="{00000000-0005-0000-0000-000087200000}"/>
    <cellStyle name="20% - Accent6 4 2 4 2" xfId="19288" xr:uid="{00000000-0005-0000-0000-000088200000}"/>
    <cellStyle name="20% - Accent6 4 2 5" xfId="6006" xr:uid="{00000000-0005-0000-0000-000089200000}"/>
    <cellStyle name="20% - Accent6 4 2 5 2" xfId="17294" xr:uid="{00000000-0005-0000-0000-00008A200000}"/>
    <cellStyle name="20% - Accent6 4 2 6" xfId="15300" xr:uid="{00000000-0005-0000-0000-00008B200000}"/>
    <cellStyle name="20% - Accent6 4 2 7" xfId="24352" xr:uid="{00000000-0005-0000-0000-00008C200000}"/>
    <cellStyle name="20% - Accent6 4 2 8" xfId="24816" xr:uid="{00000000-0005-0000-0000-00008D200000}"/>
    <cellStyle name="20% - Accent6 4 2 9" xfId="25183" xr:uid="{00000000-0005-0000-0000-00008E200000}"/>
    <cellStyle name="20% - Accent6 4 3" xfId="10991" xr:uid="{00000000-0005-0000-0000-00008F200000}"/>
    <cellStyle name="20% - Accent6 4 3 2" xfId="22279" xr:uid="{00000000-0005-0000-0000-000090200000}"/>
    <cellStyle name="20% - Accent6 4 4" xfId="8997" xr:uid="{00000000-0005-0000-0000-000091200000}"/>
    <cellStyle name="20% - Accent6 4 4 2" xfId="20285" xr:uid="{00000000-0005-0000-0000-000092200000}"/>
    <cellStyle name="20% - Accent6 4 5" xfId="7003" xr:uid="{00000000-0005-0000-0000-000093200000}"/>
    <cellStyle name="20% - Accent6 4 5 2" xfId="18291" xr:uid="{00000000-0005-0000-0000-000094200000}"/>
    <cellStyle name="20% - Accent6 4 6" xfId="5009" xr:uid="{00000000-0005-0000-0000-000095200000}"/>
    <cellStyle name="20% - Accent6 4 6 2" xfId="16297" xr:uid="{00000000-0005-0000-0000-000096200000}"/>
    <cellStyle name="20% - Accent6 4 7" xfId="14303" xr:uid="{00000000-0005-0000-0000-000097200000}"/>
    <cellStyle name="20% - Accent6 4 8" xfId="12989" xr:uid="{00000000-0005-0000-0000-000098200000}"/>
    <cellStyle name="20% - Accent6 4 9" xfId="23964" xr:uid="{00000000-0005-0000-0000-000099200000}"/>
    <cellStyle name="20% - Accent6 40" xfId="1054" xr:uid="{00000000-0005-0000-0000-00009A200000}"/>
    <cellStyle name="20% - Accent6 40 2" xfId="4010" xr:uid="{00000000-0005-0000-0000-00009B200000}"/>
    <cellStyle name="20% - Accent6 40 2 2" xfId="11989" xr:uid="{00000000-0005-0000-0000-00009C200000}"/>
    <cellStyle name="20% - Accent6 40 2 2 2" xfId="23277" xr:uid="{00000000-0005-0000-0000-00009D200000}"/>
    <cellStyle name="20% - Accent6 40 2 3" xfId="9995" xr:uid="{00000000-0005-0000-0000-00009E200000}"/>
    <cellStyle name="20% - Accent6 40 2 3 2" xfId="21283" xr:uid="{00000000-0005-0000-0000-00009F200000}"/>
    <cellStyle name="20% - Accent6 40 2 4" xfId="8001" xr:uid="{00000000-0005-0000-0000-0000A0200000}"/>
    <cellStyle name="20% - Accent6 40 2 4 2" xfId="19289" xr:uid="{00000000-0005-0000-0000-0000A1200000}"/>
    <cellStyle name="20% - Accent6 40 2 5" xfId="6007" xr:uid="{00000000-0005-0000-0000-0000A2200000}"/>
    <cellStyle name="20% - Accent6 40 2 5 2" xfId="17295" xr:uid="{00000000-0005-0000-0000-0000A3200000}"/>
    <cellStyle name="20% - Accent6 40 2 6" xfId="15301" xr:uid="{00000000-0005-0000-0000-0000A4200000}"/>
    <cellStyle name="20% - Accent6 40 3" xfId="10992" xr:uid="{00000000-0005-0000-0000-0000A5200000}"/>
    <cellStyle name="20% - Accent6 40 3 2" xfId="22280" xr:uid="{00000000-0005-0000-0000-0000A6200000}"/>
    <cellStyle name="20% - Accent6 40 4" xfId="8998" xr:uid="{00000000-0005-0000-0000-0000A7200000}"/>
    <cellStyle name="20% - Accent6 40 4 2" xfId="20286" xr:uid="{00000000-0005-0000-0000-0000A8200000}"/>
    <cellStyle name="20% - Accent6 40 5" xfId="7004" xr:uid="{00000000-0005-0000-0000-0000A9200000}"/>
    <cellStyle name="20% - Accent6 40 5 2" xfId="18292" xr:uid="{00000000-0005-0000-0000-0000AA200000}"/>
    <cellStyle name="20% - Accent6 40 6" xfId="5010" xr:uid="{00000000-0005-0000-0000-0000AB200000}"/>
    <cellStyle name="20% - Accent6 40 6 2" xfId="16298" xr:uid="{00000000-0005-0000-0000-0000AC200000}"/>
    <cellStyle name="20% - Accent6 40 7" xfId="14304" xr:uid="{00000000-0005-0000-0000-0000AD200000}"/>
    <cellStyle name="20% - Accent6 40 8" xfId="12990" xr:uid="{00000000-0005-0000-0000-0000AE200000}"/>
    <cellStyle name="20% - Accent6 41" xfId="1055" xr:uid="{00000000-0005-0000-0000-0000AF200000}"/>
    <cellStyle name="20% - Accent6 41 2" xfId="4011" xr:uid="{00000000-0005-0000-0000-0000B0200000}"/>
    <cellStyle name="20% - Accent6 41 2 2" xfId="11990" xr:uid="{00000000-0005-0000-0000-0000B1200000}"/>
    <cellStyle name="20% - Accent6 41 2 2 2" xfId="23278" xr:uid="{00000000-0005-0000-0000-0000B2200000}"/>
    <cellStyle name="20% - Accent6 41 2 3" xfId="9996" xr:uid="{00000000-0005-0000-0000-0000B3200000}"/>
    <cellStyle name="20% - Accent6 41 2 3 2" xfId="21284" xr:uid="{00000000-0005-0000-0000-0000B4200000}"/>
    <cellStyle name="20% - Accent6 41 2 4" xfId="8002" xr:uid="{00000000-0005-0000-0000-0000B5200000}"/>
    <cellStyle name="20% - Accent6 41 2 4 2" xfId="19290" xr:uid="{00000000-0005-0000-0000-0000B6200000}"/>
    <cellStyle name="20% - Accent6 41 2 5" xfId="6008" xr:uid="{00000000-0005-0000-0000-0000B7200000}"/>
    <cellStyle name="20% - Accent6 41 2 5 2" xfId="17296" xr:uid="{00000000-0005-0000-0000-0000B8200000}"/>
    <cellStyle name="20% - Accent6 41 2 6" xfId="15302" xr:uid="{00000000-0005-0000-0000-0000B9200000}"/>
    <cellStyle name="20% - Accent6 41 3" xfId="10993" xr:uid="{00000000-0005-0000-0000-0000BA200000}"/>
    <cellStyle name="20% - Accent6 41 3 2" xfId="22281" xr:uid="{00000000-0005-0000-0000-0000BB200000}"/>
    <cellStyle name="20% - Accent6 41 4" xfId="8999" xr:uid="{00000000-0005-0000-0000-0000BC200000}"/>
    <cellStyle name="20% - Accent6 41 4 2" xfId="20287" xr:uid="{00000000-0005-0000-0000-0000BD200000}"/>
    <cellStyle name="20% - Accent6 41 5" xfId="7005" xr:uid="{00000000-0005-0000-0000-0000BE200000}"/>
    <cellStyle name="20% - Accent6 41 5 2" xfId="18293" xr:uid="{00000000-0005-0000-0000-0000BF200000}"/>
    <cellStyle name="20% - Accent6 41 6" xfId="5011" xr:uid="{00000000-0005-0000-0000-0000C0200000}"/>
    <cellStyle name="20% - Accent6 41 6 2" xfId="16299" xr:uid="{00000000-0005-0000-0000-0000C1200000}"/>
    <cellStyle name="20% - Accent6 41 7" xfId="14305" xr:uid="{00000000-0005-0000-0000-0000C2200000}"/>
    <cellStyle name="20% - Accent6 41 8" xfId="12991" xr:uid="{00000000-0005-0000-0000-0000C3200000}"/>
    <cellStyle name="20% - Accent6 42" xfId="1056" xr:uid="{00000000-0005-0000-0000-0000C4200000}"/>
    <cellStyle name="20% - Accent6 42 2" xfId="4012" xr:uid="{00000000-0005-0000-0000-0000C5200000}"/>
    <cellStyle name="20% - Accent6 42 2 2" xfId="11991" xr:uid="{00000000-0005-0000-0000-0000C6200000}"/>
    <cellStyle name="20% - Accent6 42 2 2 2" xfId="23279" xr:uid="{00000000-0005-0000-0000-0000C7200000}"/>
    <cellStyle name="20% - Accent6 42 2 3" xfId="9997" xr:uid="{00000000-0005-0000-0000-0000C8200000}"/>
    <cellStyle name="20% - Accent6 42 2 3 2" xfId="21285" xr:uid="{00000000-0005-0000-0000-0000C9200000}"/>
    <cellStyle name="20% - Accent6 42 2 4" xfId="8003" xr:uid="{00000000-0005-0000-0000-0000CA200000}"/>
    <cellStyle name="20% - Accent6 42 2 4 2" xfId="19291" xr:uid="{00000000-0005-0000-0000-0000CB200000}"/>
    <cellStyle name="20% - Accent6 42 2 5" xfId="6009" xr:uid="{00000000-0005-0000-0000-0000CC200000}"/>
    <cellStyle name="20% - Accent6 42 2 5 2" xfId="17297" xr:uid="{00000000-0005-0000-0000-0000CD200000}"/>
    <cellStyle name="20% - Accent6 42 2 6" xfId="15303" xr:uid="{00000000-0005-0000-0000-0000CE200000}"/>
    <cellStyle name="20% - Accent6 42 3" xfId="10994" xr:uid="{00000000-0005-0000-0000-0000CF200000}"/>
    <cellStyle name="20% - Accent6 42 3 2" xfId="22282" xr:uid="{00000000-0005-0000-0000-0000D0200000}"/>
    <cellStyle name="20% - Accent6 42 4" xfId="9000" xr:uid="{00000000-0005-0000-0000-0000D1200000}"/>
    <cellStyle name="20% - Accent6 42 4 2" xfId="20288" xr:uid="{00000000-0005-0000-0000-0000D2200000}"/>
    <cellStyle name="20% - Accent6 42 5" xfId="7006" xr:uid="{00000000-0005-0000-0000-0000D3200000}"/>
    <cellStyle name="20% - Accent6 42 5 2" xfId="18294" xr:uid="{00000000-0005-0000-0000-0000D4200000}"/>
    <cellStyle name="20% - Accent6 42 6" xfId="5012" xr:uid="{00000000-0005-0000-0000-0000D5200000}"/>
    <cellStyle name="20% - Accent6 42 6 2" xfId="16300" xr:uid="{00000000-0005-0000-0000-0000D6200000}"/>
    <cellStyle name="20% - Accent6 42 7" xfId="14306" xr:uid="{00000000-0005-0000-0000-0000D7200000}"/>
    <cellStyle name="20% - Accent6 42 8" xfId="12992" xr:uid="{00000000-0005-0000-0000-0000D8200000}"/>
    <cellStyle name="20% - Accent6 43" xfId="1057" xr:uid="{00000000-0005-0000-0000-0000D9200000}"/>
    <cellStyle name="20% - Accent6 43 2" xfId="4013" xr:uid="{00000000-0005-0000-0000-0000DA200000}"/>
    <cellStyle name="20% - Accent6 43 2 2" xfId="11992" xr:uid="{00000000-0005-0000-0000-0000DB200000}"/>
    <cellStyle name="20% - Accent6 43 2 2 2" xfId="23280" xr:uid="{00000000-0005-0000-0000-0000DC200000}"/>
    <cellStyle name="20% - Accent6 43 2 3" xfId="9998" xr:uid="{00000000-0005-0000-0000-0000DD200000}"/>
    <cellStyle name="20% - Accent6 43 2 3 2" xfId="21286" xr:uid="{00000000-0005-0000-0000-0000DE200000}"/>
    <cellStyle name="20% - Accent6 43 2 4" xfId="8004" xr:uid="{00000000-0005-0000-0000-0000DF200000}"/>
    <cellStyle name="20% - Accent6 43 2 4 2" xfId="19292" xr:uid="{00000000-0005-0000-0000-0000E0200000}"/>
    <cellStyle name="20% - Accent6 43 2 5" xfId="6010" xr:uid="{00000000-0005-0000-0000-0000E1200000}"/>
    <cellStyle name="20% - Accent6 43 2 5 2" xfId="17298" xr:uid="{00000000-0005-0000-0000-0000E2200000}"/>
    <cellStyle name="20% - Accent6 43 2 6" xfId="15304" xr:uid="{00000000-0005-0000-0000-0000E3200000}"/>
    <cellStyle name="20% - Accent6 43 3" xfId="10995" xr:uid="{00000000-0005-0000-0000-0000E4200000}"/>
    <cellStyle name="20% - Accent6 43 3 2" xfId="22283" xr:uid="{00000000-0005-0000-0000-0000E5200000}"/>
    <cellStyle name="20% - Accent6 43 4" xfId="9001" xr:uid="{00000000-0005-0000-0000-0000E6200000}"/>
    <cellStyle name="20% - Accent6 43 4 2" xfId="20289" xr:uid="{00000000-0005-0000-0000-0000E7200000}"/>
    <cellStyle name="20% - Accent6 43 5" xfId="7007" xr:uid="{00000000-0005-0000-0000-0000E8200000}"/>
    <cellStyle name="20% - Accent6 43 5 2" xfId="18295" xr:uid="{00000000-0005-0000-0000-0000E9200000}"/>
    <cellStyle name="20% - Accent6 43 6" xfId="5013" xr:uid="{00000000-0005-0000-0000-0000EA200000}"/>
    <cellStyle name="20% - Accent6 43 6 2" xfId="16301" xr:uid="{00000000-0005-0000-0000-0000EB200000}"/>
    <cellStyle name="20% - Accent6 43 7" xfId="14307" xr:uid="{00000000-0005-0000-0000-0000EC200000}"/>
    <cellStyle name="20% - Accent6 43 8" xfId="12993" xr:uid="{00000000-0005-0000-0000-0000ED200000}"/>
    <cellStyle name="20% - Accent6 44" xfId="1058" xr:uid="{00000000-0005-0000-0000-0000EE200000}"/>
    <cellStyle name="20% - Accent6 44 2" xfId="4014" xr:uid="{00000000-0005-0000-0000-0000EF200000}"/>
    <cellStyle name="20% - Accent6 44 2 2" xfId="11993" xr:uid="{00000000-0005-0000-0000-0000F0200000}"/>
    <cellStyle name="20% - Accent6 44 2 2 2" xfId="23281" xr:uid="{00000000-0005-0000-0000-0000F1200000}"/>
    <cellStyle name="20% - Accent6 44 2 3" xfId="9999" xr:uid="{00000000-0005-0000-0000-0000F2200000}"/>
    <cellStyle name="20% - Accent6 44 2 3 2" xfId="21287" xr:uid="{00000000-0005-0000-0000-0000F3200000}"/>
    <cellStyle name="20% - Accent6 44 2 4" xfId="8005" xr:uid="{00000000-0005-0000-0000-0000F4200000}"/>
    <cellStyle name="20% - Accent6 44 2 4 2" xfId="19293" xr:uid="{00000000-0005-0000-0000-0000F5200000}"/>
    <cellStyle name="20% - Accent6 44 2 5" xfId="6011" xr:uid="{00000000-0005-0000-0000-0000F6200000}"/>
    <cellStyle name="20% - Accent6 44 2 5 2" xfId="17299" xr:uid="{00000000-0005-0000-0000-0000F7200000}"/>
    <cellStyle name="20% - Accent6 44 2 6" xfId="15305" xr:uid="{00000000-0005-0000-0000-0000F8200000}"/>
    <cellStyle name="20% - Accent6 44 3" xfId="10996" xr:uid="{00000000-0005-0000-0000-0000F9200000}"/>
    <cellStyle name="20% - Accent6 44 3 2" xfId="22284" xr:uid="{00000000-0005-0000-0000-0000FA200000}"/>
    <cellStyle name="20% - Accent6 44 4" xfId="9002" xr:uid="{00000000-0005-0000-0000-0000FB200000}"/>
    <cellStyle name="20% - Accent6 44 4 2" xfId="20290" xr:uid="{00000000-0005-0000-0000-0000FC200000}"/>
    <cellStyle name="20% - Accent6 44 5" xfId="7008" xr:uid="{00000000-0005-0000-0000-0000FD200000}"/>
    <cellStyle name="20% - Accent6 44 5 2" xfId="18296" xr:uid="{00000000-0005-0000-0000-0000FE200000}"/>
    <cellStyle name="20% - Accent6 44 6" xfId="5014" xr:uid="{00000000-0005-0000-0000-0000FF200000}"/>
    <cellStyle name="20% - Accent6 44 6 2" xfId="16302" xr:uid="{00000000-0005-0000-0000-000000210000}"/>
    <cellStyle name="20% - Accent6 44 7" xfId="14308" xr:uid="{00000000-0005-0000-0000-000001210000}"/>
    <cellStyle name="20% - Accent6 44 8" xfId="12994" xr:uid="{00000000-0005-0000-0000-000002210000}"/>
    <cellStyle name="20% - Accent6 45" xfId="1059" xr:uid="{00000000-0005-0000-0000-000003210000}"/>
    <cellStyle name="20% - Accent6 45 2" xfId="4015" xr:uid="{00000000-0005-0000-0000-000004210000}"/>
    <cellStyle name="20% - Accent6 45 2 2" xfId="11994" xr:uid="{00000000-0005-0000-0000-000005210000}"/>
    <cellStyle name="20% - Accent6 45 2 2 2" xfId="23282" xr:uid="{00000000-0005-0000-0000-000006210000}"/>
    <cellStyle name="20% - Accent6 45 2 3" xfId="10000" xr:uid="{00000000-0005-0000-0000-000007210000}"/>
    <cellStyle name="20% - Accent6 45 2 3 2" xfId="21288" xr:uid="{00000000-0005-0000-0000-000008210000}"/>
    <cellStyle name="20% - Accent6 45 2 4" xfId="8006" xr:uid="{00000000-0005-0000-0000-000009210000}"/>
    <cellStyle name="20% - Accent6 45 2 4 2" xfId="19294" xr:uid="{00000000-0005-0000-0000-00000A210000}"/>
    <cellStyle name="20% - Accent6 45 2 5" xfId="6012" xr:uid="{00000000-0005-0000-0000-00000B210000}"/>
    <cellStyle name="20% - Accent6 45 2 5 2" xfId="17300" xr:uid="{00000000-0005-0000-0000-00000C210000}"/>
    <cellStyle name="20% - Accent6 45 2 6" xfId="15306" xr:uid="{00000000-0005-0000-0000-00000D210000}"/>
    <cellStyle name="20% - Accent6 45 3" xfId="10997" xr:uid="{00000000-0005-0000-0000-00000E210000}"/>
    <cellStyle name="20% - Accent6 45 3 2" xfId="22285" xr:uid="{00000000-0005-0000-0000-00000F210000}"/>
    <cellStyle name="20% - Accent6 45 4" xfId="9003" xr:uid="{00000000-0005-0000-0000-000010210000}"/>
    <cellStyle name="20% - Accent6 45 4 2" xfId="20291" xr:uid="{00000000-0005-0000-0000-000011210000}"/>
    <cellStyle name="20% - Accent6 45 5" xfId="7009" xr:uid="{00000000-0005-0000-0000-000012210000}"/>
    <cellStyle name="20% - Accent6 45 5 2" xfId="18297" xr:uid="{00000000-0005-0000-0000-000013210000}"/>
    <cellStyle name="20% - Accent6 45 6" xfId="5015" xr:uid="{00000000-0005-0000-0000-000014210000}"/>
    <cellStyle name="20% - Accent6 45 6 2" xfId="16303" xr:uid="{00000000-0005-0000-0000-000015210000}"/>
    <cellStyle name="20% - Accent6 45 7" xfId="14309" xr:uid="{00000000-0005-0000-0000-000016210000}"/>
    <cellStyle name="20% - Accent6 45 8" xfId="12995" xr:uid="{00000000-0005-0000-0000-000017210000}"/>
    <cellStyle name="20% - Accent6 46" xfId="1060" xr:uid="{00000000-0005-0000-0000-000018210000}"/>
    <cellStyle name="20% - Accent6 46 2" xfId="4016" xr:uid="{00000000-0005-0000-0000-000019210000}"/>
    <cellStyle name="20% - Accent6 46 2 2" xfId="11995" xr:uid="{00000000-0005-0000-0000-00001A210000}"/>
    <cellStyle name="20% - Accent6 46 2 2 2" xfId="23283" xr:uid="{00000000-0005-0000-0000-00001B210000}"/>
    <cellStyle name="20% - Accent6 46 2 3" xfId="10001" xr:uid="{00000000-0005-0000-0000-00001C210000}"/>
    <cellStyle name="20% - Accent6 46 2 3 2" xfId="21289" xr:uid="{00000000-0005-0000-0000-00001D210000}"/>
    <cellStyle name="20% - Accent6 46 2 4" xfId="8007" xr:uid="{00000000-0005-0000-0000-00001E210000}"/>
    <cellStyle name="20% - Accent6 46 2 4 2" xfId="19295" xr:uid="{00000000-0005-0000-0000-00001F210000}"/>
    <cellStyle name="20% - Accent6 46 2 5" xfId="6013" xr:uid="{00000000-0005-0000-0000-000020210000}"/>
    <cellStyle name="20% - Accent6 46 2 5 2" xfId="17301" xr:uid="{00000000-0005-0000-0000-000021210000}"/>
    <cellStyle name="20% - Accent6 46 2 6" xfId="15307" xr:uid="{00000000-0005-0000-0000-000022210000}"/>
    <cellStyle name="20% - Accent6 46 3" xfId="10998" xr:uid="{00000000-0005-0000-0000-000023210000}"/>
    <cellStyle name="20% - Accent6 46 3 2" xfId="22286" xr:uid="{00000000-0005-0000-0000-000024210000}"/>
    <cellStyle name="20% - Accent6 46 4" xfId="9004" xr:uid="{00000000-0005-0000-0000-000025210000}"/>
    <cellStyle name="20% - Accent6 46 4 2" xfId="20292" xr:uid="{00000000-0005-0000-0000-000026210000}"/>
    <cellStyle name="20% - Accent6 46 5" xfId="7010" xr:uid="{00000000-0005-0000-0000-000027210000}"/>
    <cellStyle name="20% - Accent6 46 5 2" xfId="18298" xr:uid="{00000000-0005-0000-0000-000028210000}"/>
    <cellStyle name="20% - Accent6 46 6" xfId="5016" xr:uid="{00000000-0005-0000-0000-000029210000}"/>
    <cellStyle name="20% - Accent6 46 6 2" xfId="16304" xr:uid="{00000000-0005-0000-0000-00002A210000}"/>
    <cellStyle name="20% - Accent6 46 7" xfId="14310" xr:uid="{00000000-0005-0000-0000-00002B210000}"/>
    <cellStyle name="20% - Accent6 46 8" xfId="12996" xr:uid="{00000000-0005-0000-0000-00002C210000}"/>
    <cellStyle name="20% - Accent6 47" xfId="1061" xr:uid="{00000000-0005-0000-0000-00002D210000}"/>
    <cellStyle name="20% - Accent6 47 2" xfId="4017" xr:uid="{00000000-0005-0000-0000-00002E210000}"/>
    <cellStyle name="20% - Accent6 47 2 2" xfId="11996" xr:uid="{00000000-0005-0000-0000-00002F210000}"/>
    <cellStyle name="20% - Accent6 47 2 2 2" xfId="23284" xr:uid="{00000000-0005-0000-0000-000030210000}"/>
    <cellStyle name="20% - Accent6 47 2 3" xfId="10002" xr:uid="{00000000-0005-0000-0000-000031210000}"/>
    <cellStyle name="20% - Accent6 47 2 3 2" xfId="21290" xr:uid="{00000000-0005-0000-0000-000032210000}"/>
    <cellStyle name="20% - Accent6 47 2 4" xfId="8008" xr:uid="{00000000-0005-0000-0000-000033210000}"/>
    <cellStyle name="20% - Accent6 47 2 4 2" xfId="19296" xr:uid="{00000000-0005-0000-0000-000034210000}"/>
    <cellStyle name="20% - Accent6 47 2 5" xfId="6014" xr:uid="{00000000-0005-0000-0000-000035210000}"/>
    <cellStyle name="20% - Accent6 47 2 5 2" xfId="17302" xr:uid="{00000000-0005-0000-0000-000036210000}"/>
    <cellStyle name="20% - Accent6 47 2 6" xfId="15308" xr:uid="{00000000-0005-0000-0000-000037210000}"/>
    <cellStyle name="20% - Accent6 47 3" xfId="10999" xr:uid="{00000000-0005-0000-0000-000038210000}"/>
    <cellStyle name="20% - Accent6 47 3 2" xfId="22287" xr:uid="{00000000-0005-0000-0000-000039210000}"/>
    <cellStyle name="20% - Accent6 47 4" xfId="9005" xr:uid="{00000000-0005-0000-0000-00003A210000}"/>
    <cellStyle name="20% - Accent6 47 4 2" xfId="20293" xr:uid="{00000000-0005-0000-0000-00003B210000}"/>
    <cellStyle name="20% - Accent6 47 5" xfId="7011" xr:uid="{00000000-0005-0000-0000-00003C210000}"/>
    <cellStyle name="20% - Accent6 47 5 2" xfId="18299" xr:uid="{00000000-0005-0000-0000-00003D210000}"/>
    <cellStyle name="20% - Accent6 47 6" xfId="5017" xr:uid="{00000000-0005-0000-0000-00003E210000}"/>
    <cellStyle name="20% - Accent6 47 6 2" xfId="16305" xr:uid="{00000000-0005-0000-0000-00003F210000}"/>
    <cellStyle name="20% - Accent6 47 7" xfId="14311" xr:uid="{00000000-0005-0000-0000-000040210000}"/>
    <cellStyle name="20% - Accent6 47 8" xfId="12997" xr:uid="{00000000-0005-0000-0000-000041210000}"/>
    <cellStyle name="20% - Accent6 48" xfId="1062" xr:uid="{00000000-0005-0000-0000-000042210000}"/>
    <cellStyle name="20% - Accent6 48 2" xfId="4018" xr:uid="{00000000-0005-0000-0000-000043210000}"/>
    <cellStyle name="20% - Accent6 48 2 2" xfId="11997" xr:uid="{00000000-0005-0000-0000-000044210000}"/>
    <cellStyle name="20% - Accent6 48 2 2 2" xfId="23285" xr:uid="{00000000-0005-0000-0000-000045210000}"/>
    <cellStyle name="20% - Accent6 48 2 3" xfId="10003" xr:uid="{00000000-0005-0000-0000-000046210000}"/>
    <cellStyle name="20% - Accent6 48 2 3 2" xfId="21291" xr:uid="{00000000-0005-0000-0000-000047210000}"/>
    <cellStyle name="20% - Accent6 48 2 4" xfId="8009" xr:uid="{00000000-0005-0000-0000-000048210000}"/>
    <cellStyle name="20% - Accent6 48 2 4 2" xfId="19297" xr:uid="{00000000-0005-0000-0000-000049210000}"/>
    <cellStyle name="20% - Accent6 48 2 5" xfId="6015" xr:uid="{00000000-0005-0000-0000-00004A210000}"/>
    <cellStyle name="20% - Accent6 48 2 5 2" xfId="17303" xr:uid="{00000000-0005-0000-0000-00004B210000}"/>
    <cellStyle name="20% - Accent6 48 2 6" xfId="15309" xr:uid="{00000000-0005-0000-0000-00004C210000}"/>
    <cellStyle name="20% - Accent6 48 3" xfId="11000" xr:uid="{00000000-0005-0000-0000-00004D210000}"/>
    <cellStyle name="20% - Accent6 48 3 2" xfId="22288" xr:uid="{00000000-0005-0000-0000-00004E210000}"/>
    <cellStyle name="20% - Accent6 48 4" xfId="9006" xr:uid="{00000000-0005-0000-0000-00004F210000}"/>
    <cellStyle name="20% - Accent6 48 4 2" xfId="20294" xr:uid="{00000000-0005-0000-0000-000050210000}"/>
    <cellStyle name="20% - Accent6 48 5" xfId="7012" xr:uid="{00000000-0005-0000-0000-000051210000}"/>
    <cellStyle name="20% - Accent6 48 5 2" xfId="18300" xr:uid="{00000000-0005-0000-0000-000052210000}"/>
    <cellStyle name="20% - Accent6 48 6" xfId="5018" xr:uid="{00000000-0005-0000-0000-000053210000}"/>
    <cellStyle name="20% - Accent6 48 6 2" xfId="16306" xr:uid="{00000000-0005-0000-0000-000054210000}"/>
    <cellStyle name="20% - Accent6 48 7" xfId="14312" xr:uid="{00000000-0005-0000-0000-000055210000}"/>
    <cellStyle name="20% - Accent6 48 8" xfId="12998" xr:uid="{00000000-0005-0000-0000-000056210000}"/>
    <cellStyle name="20% - Accent6 49" xfId="1063" xr:uid="{00000000-0005-0000-0000-000057210000}"/>
    <cellStyle name="20% - Accent6 49 2" xfId="4019" xr:uid="{00000000-0005-0000-0000-000058210000}"/>
    <cellStyle name="20% - Accent6 49 2 2" xfId="11998" xr:uid="{00000000-0005-0000-0000-000059210000}"/>
    <cellStyle name="20% - Accent6 49 2 2 2" xfId="23286" xr:uid="{00000000-0005-0000-0000-00005A210000}"/>
    <cellStyle name="20% - Accent6 49 2 3" xfId="10004" xr:uid="{00000000-0005-0000-0000-00005B210000}"/>
    <cellStyle name="20% - Accent6 49 2 3 2" xfId="21292" xr:uid="{00000000-0005-0000-0000-00005C210000}"/>
    <cellStyle name="20% - Accent6 49 2 4" xfId="8010" xr:uid="{00000000-0005-0000-0000-00005D210000}"/>
    <cellStyle name="20% - Accent6 49 2 4 2" xfId="19298" xr:uid="{00000000-0005-0000-0000-00005E210000}"/>
    <cellStyle name="20% - Accent6 49 2 5" xfId="6016" xr:uid="{00000000-0005-0000-0000-00005F210000}"/>
    <cellStyle name="20% - Accent6 49 2 5 2" xfId="17304" xr:uid="{00000000-0005-0000-0000-000060210000}"/>
    <cellStyle name="20% - Accent6 49 2 6" xfId="15310" xr:uid="{00000000-0005-0000-0000-000061210000}"/>
    <cellStyle name="20% - Accent6 49 3" xfId="11001" xr:uid="{00000000-0005-0000-0000-000062210000}"/>
    <cellStyle name="20% - Accent6 49 3 2" xfId="22289" xr:uid="{00000000-0005-0000-0000-000063210000}"/>
    <cellStyle name="20% - Accent6 49 4" xfId="9007" xr:uid="{00000000-0005-0000-0000-000064210000}"/>
    <cellStyle name="20% - Accent6 49 4 2" xfId="20295" xr:uid="{00000000-0005-0000-0000-000065210000}"/>
    <cellStyle name="20% - Accent6 49 5" xfId="7013" xr:uid="{00000000-0005-0000-0000-000066210000}"/>
    <cellStyle name="20% - Accent6 49 5 2" xfId="18301" xr:uid="{00000000-0005-0000-0000-000067210000}"/>
    <cellStyle name="20% - Accent6 49 6" xfId="5019" xr:uid="{00000000-0005-0000-0000-000068210000}"/>
    <cellStyle name="20% - Accent6 49 6 2" xfId="16307" xr:uid="{00000000-0005-0000-0000-000069210000}"/>
    <cellStyle name="20% - Accent6 49 7" xfId="14313" xr:uid="{00000000-0005-0000-0000-00006A210000}"/>
    <cellStyle name="20% - Accent6 49 8" xfId="12999" xr:uid="{00000000-0005-0000-0000-00006B210000}"/>
    <cellStyle name="20% - Accent6 5" xfId="1064" xr:uid="{00000000-0005-0000-0000-00006C210000}"/>
    <cellStyle name="20% - Accent6 5 10" xfId="24592" xr:uid="{00000000-0005-0000-0000-00006D210000}"/>
    <cellStyle name="20% - Accent6 5 11" xfId="24982" xr:uid="{00000000-0005-0000-0000-00006E210000}"/>
    <cellStyle name="20% - Accent6 5 2" xfId="4020" xr:uid="{00000000-0005-0000-0000-00006F210000}"/>
    <cellStyle name="20% - Accent6 5 2 2" xfId="11999" xr:uid="{00000000-0005-0000-0000-000070210000}"/>
    <cellStyle name="20% - Accent6 5 2 2 2" xfId="23287" xr:uid="{00000000-0005-0000-0000-000071210000}"/>
    <cellStyle name="20% - Accent6 5 2 3" xfId="10005" xr:uid="{00000000-0005-0000-0000-000072210000}"/>
    <cellStyle name="20% - Accent6 5 2 3 2" xfId="21293" xr:uid="{00000000-0005-0000-0000-000073210000}"/>
    <cellStyle name="20% - Accent6 5 2 4" xfId="8011" xr:uid="{00000000-0005-0000-0000-000074210000}"/>
    <cellStyle name="20% - Accent6 5 2 4 2" xfId="19299" xr:uid="{00000000-0005-0000-0000-000075210000}"/>
    <cellStyle name="20% - Accent6 5 2 5" xfId="6017" xr:uid="{00000000-0005-0000-0000-000076210000}"/>
    <cellStyle name="20% - Accent6 5 2 5 2" xfId="17305" xr:uid="{00000000-0005-0000-0000-000077210000}"/>
    <cellStyle name="20% - Accent6 5 2 6" xfId="15311" xr:uid="{00000000-0005-0000-0000-000078210000}"/>
    <cellStyle name="20% - Accent6 5 2 7" xfId="24353" xr:uid="{00000000-0005-0000-0000-000079210000}"/>
    <cellStyle name="20% - Accent6 5 2 8" xfId="24817" xr:uid="{00000000-0005-0000-0000-00007A210000}"/>
    <cellStyle name="20% - Accent6 5 2 9" xfId="25184" xr:uid="{00000000-0005-0000-0000-00007B210000}"/>
    <cellStyle name="20% - Accent6 5 3" xfId="11002" xr:uid="{00000000-0005-0000-0000-00007C210000}"/>
    <cellStyle name="20% - Accent6 5 3 2" xfId="22290" xr:uid="{00000000-0005-0000-0000-00007D210000}"/>
    <cellStyle name="20% - Accent6 5 4" xfId="9008" xr:uid="{00000000-0005-0000-0000-00007E210000}"/>
    <cellStyle name="20% - Accent6 5 4 2" xfId="20296" xr:uid="{00000000-0005-0000-0000-00007F210000}"/>
    <cellStyle name="20% - Accent6 5 5" xfId="7014" xr:uid="{00000000-0005-0000-0000-000080210000}"/>
    <cellStyle name="20% - Accent6 5 5 2" xfId="18302" xr:uid="{00000000-0005-0000-0000-000081210000}"/>
    <cellStyle name="20% - Accent6 5 6" xfId="5020" xr:uid="{00000000-0005-0000-0000-000082210000}"/>
    <cellStyle name="20% - Accent6 5 6 2" xfId="16308" xr:uid="{00000000-0005-0000-0000-000083210000}"/>
    <cellStyle name="20% - Accent6 5 7" xfId="14314" xr:uid="{00000000-0005-0000-0000-000084210000}"/>
    <cellStyle name="20% - Accent6 5 8" xfId="13000" xr:uid="{00000000-0005-0000-0000-000085210000}"/>
    <cellStyle name="20% - Accent6 5 9" xfId="23965" xr:uid="{00000000-0005-0000-0000-000086210000}"/>
    <cellStyle name="20% - Accent6 50" xfId="1065" xr:uid="{00000000-0005-0000-0000-000087210000}"/>
    <cellStyle name="20% - Accent6 50 2" xfId="4021" xr:uid="{00000000-0005-0000-0000-000088210000}"/>
    <cellStyle name="20% - Accent6 50 2 2" xfId="12000" xr:uid="{00000000-0005-0000-0000-000089210000}"/>
    <cellStyle name="20% - Accent6 50 2 2 2" xfId="23288" xr:uid="{00000000-0005-0000-0000-00008A210000}"/>
    <cellStyle name="20% - Accent6 50 2 3" xfId="10006" xr:uid="{00000000-0005-0000-0000-00008B210000}"/>
    <cellStyle name="20% - Accent6 50 2 3 2" xfId="21294" xr:uid="{00000000-0005-0000-0000-00008C210000}"/>
    <cellStyle name="20% - Accent6 50 2 4" xfId="8012" xr:uid="{00000000-0005-0000-0000-00008D210000}"/>
    <cellStyle name="20% - Accent6 50 2 4 2" xfId="19300" xr:uid="{00000000-0005-0000-0000-00008E210000}"/>
    <cellStyle name="20% - Accent6 50 2 5" xfId="6018" xr:uid="{00000000-0005-0000-0000-00008F210000}"/>
    <cellStyle name="20% - Accent6 50 2 5 2" xfId="17306" xr:uid="{00000000-0005-0000-0000-000090210000}"/>
    <cellStyle name="20% - Accent6 50 2 6" xfId="15312" xr:uid="{00000000-0005-0000-0000-000091210000}"/>
    <cellStyle name="20% - Accent6 50 3" xfId="11003" xr:uid="{00000000-0005-0000-0000-000092210000}"/>
    <cellStyle name="20% - Accent6 50 3 2" xfId="22291" xr:uid="{00000000-0005-0000-0000-000093210000}"/>
    <cellStyle name="20% - Accent6 50 4" xfId="9009" xr:uid="{00000000-0005-0000-0000-000094210000}"/>
    <cellStyle name="20% - Accent6 50 4 2" xfId="20297" xr:uid="{00000000-0005-0000-0000-000095210000}"/>
    <cellStyle name="20% - Accent6 50 5" xfId="7015" xr:uid="{00000000-0005-0000-0000-000096210000}"/>
    <cellStyle name="20% - Accent6 50 5 2" xfId="18303" xr:uid="{00000000-0005-0000-0000-000097210000}"/>
    <cellStyle name="20% - Accent6 50 6" xfId="5021" xr:uid="{00000000-0005-0000-0000-000098210000}"/>
    <cellStyle name="20% - Accent6 50 6 2" xfId="16309" xr:uid="{00000000-0005-0000-0000-000099210000}"/>
    <cellStyle name="20% - Accent6 50 7" xfId="14315" xr:uid="{00000000-0005-0000-0000-00009A210000}"/>
    <cellStyle name="20% - Accent6 50 8" xfId="13001" xr:uid="{00000000-0005-0000-0000-00009B210000}"/>
    <cellStyle name="20% - Accent6 51" xfId="1066" xr:uid="{00000000-0005-0000-0000-00009C210000}"/>
    <cellStyle name="20% - Accent6 51 2" xfId="4022" xr:uid="{00000000-0005-0000-0000-00009D210000}"/>
    <cellStyle name="20% - Accent6 51 2 2" xfId="12001" xr:uid="{00000000-0005-0000-0000-00009E210000}"/>
    <cellStyle name="20% - Accent6 51 2 2 2" xfId="23289" xr:uid="{00000000-0005-0000-0000-00009F210000}"/>
    <cellStyle name="20% - Accent6 51 2 3" xfId="10007" xr:uid="{00000000-0005-0000-0000-0000A0210000}"/>
    <cellStyle name="20% - Accent6 51 2 3 2" xfId="21295" xr:uid="{00000000-0005-0000-0000-0000A1210000}"/>
    <cellStyle name="20% - Accent6 51 2 4" xfId="8013" xr:uid="{00000000-0005-0000-0000-0000A2210000}"/>
    <cellStyle name="20% - Accent6 51 2 4 2" xfId="19301" xr:uid="{00000000-0005-0000-0000-0000A3210000}"/>
    <cellStyle name="20% - Accent6 51 2 5" xfId="6019" xr:uid="{00000000-0005-0000-0000-0000A4210000}"/>
    <cellStyle name="20% - Accent6 51 2 5 2" xfId="17307" xr:uid="{00000000-0005-0000-0000-0000A5210000}"/>
    <cellStyle name="20% - Accent6 51 2 6" xfId="15313" xr:uid="{00000000-0005-0000-0000-0000A6210000}"/>
    <cellStyle name="20% - Accent6 51 3" xfId="11004" xr:uid="{00000000-0005-0000-0000-0000A7210000}"/>
    <cellStyle name="20% - Accent6 51 3 2" xfId="22292" xr:uid="{00000000-0005-0000-0000-0000A8210000}"/>
    <cellStyle name="20% - Accent6 51 4" xfId="9010" xr:uid="{00000000-0005-0000-0000-0000A9210000}"/>
    <cellStyle name="20% - Accent6 51 4 2" xfId="20298" xr:uid="{00000000-0005-0000-0000-0000AA210000}"/>
    <cellStyle name="20% - Accent6 51 5" xfId="7016" xr:uid="{00000000-0005-0000-0000-0000AB210000}"/>
    <cellStyle name="20% - Accent6 51 5 2" xfId="18304" xr:uid="{00000000-0005-0000-0000-0000AC210000}"/>
    <cellStyle name="20% - Accent6 51 6" xfId="5022" xr:uid="{00000000-0005-0000-0000-0000AD210000}"/>
    <cellStyle name="20% - Accent6 51 6 2" xfId="16310" xr:uid="{00000000-0005-0000-0000-0000AE210000}"/>
    <cellStyle name="20% - Accent6 51 7" xfId="14316" xr:uid="{00000000-0005-0000-0000-0000AF210000}"/>
    <cellStyle name="20% - Accent6 51 8" xfId="13002" xr:uid="{00000000-0005-0000-0000-0000B0210000}"/>
    <cellStyle name="20% - Accent6 52" xfId="1067" xr:uid="{00000000-0005-0000-0000-0000B1210000}"/>
    <cellStyle name="20% - Accent6 52 2" xfId="4023" xr:uid="{00000000-0005-0000-0000-0000B2210000}"/>
    <cellStyle name="20% - Accent6 52 2 2" xfId="12002" xr:uid="{00000000-0005-0000-0000-0000B3210000}"/>
    <cellStyle name="20% - Accent6 52 2 2 2" xfId="23290" xr:uid="{00000000-0005-0000-0000-0000B4210000}"/>
    <cellStyle name="20% - Accent6 52 2 3" xfId="10008" xr:uid="{00000000-0005-0000-0000-0000B5210000}"/>
    <cellStyle name="20% - Accent6 52 2 3 2" xfId="21296" xr:uid="{00000000-0005-0000-0000-0000B6210000}"/>
    <cellStyle name="20% - Accent6 52 2 4" xfId="8014" xr:uid="{00000000-0005-0000-0000-0000B7210000}"/>
    <cellStyle name="20% - Accent6 52 2 4 2" xfId="19302" xr:uid="{00000000-0005-0000-0000-0000B8210000}"/>
    <cellStyle name="20% - Accent6 52 2 5" xfId="6020" xr:uid="{00000000-0005-0000-0000-0000B9210000}"/>
    <cellStyle name="20% - Accent6 52 2 5 2" xfId="17308" xr:uid="{00000000-0005-0000-0000-0000BA210000}"/>
    <cellStyle name="20% - Accent6 52 2 6" xfId="15314" xr:uid="{00000000-0005-0000-0000-0000BB210000}"/>
    <cellStyle name="20% - Accent6 52 3" xfId="11005" xr:uid="{00000000-0005-0000-0000-0000BC210000}"/>
    <cellStyle name="20% - Accent6 52 3 2" xfId="22293" xr:uid="{00000000-0005-0000-0000-0000BD210000}"/>
    <cellStyle name="20% - Accent6 52 4" xfId="9011" xr:uid="{00000000-0005-0000-0000-0000BE210000}"/>
    <cellStyle name="20% - Accent6 52 4 2" xfId="20299" xr:uid="{00000000-0005-0000-0000-0000BF210000}"/>
    <cellStyle name="20% - Accent6 52 5" xfId="7017" xr:uid="{00000000-0005-0000-0000-0000C0210000}"/>
    <cellStyle name="20% - Accent6 52 5 2" xfId="18305" xr:uid="{00000000-0005-0000-0000-0000C1210000}"/>
    <cellStyle name="20% - Accent6 52 6" xfId="5023" xr:uid="{00000000-0005-0000-0000-0000C2210000}"/>
    <cellStyle name="20% - Accent6 52 6 2" xfId="16311" xr:uid="{00000000-0005-0000-0000-0000C3210000}"/>
    <cellStyle name="20% - Accent6 52 7" xfId="14317" xr:uid="{00000000-0005-0000-0000-0000C4210000}"/>
    <cellStyle name="20% - Accent6 52 8" xfId="13003" xr:uid="{00000000-0005-0000-0000-0000C5210000}"/>
    <cellStyle name="20% - Accent6 53" xfId="1068" xr:uid="{00000000-0005-0000-0000-0000C6210000}"/>
    <cellStyle name="20% - Accent6 53 2" xfId="4024" xr:uid="{00000000-0005-0000-0000-0000C7210000}"/>
    <cellStyle name="20% - Accent6 53 2 2" xfId="12003" xr:uid="{00000000-0005-0000-0000-0000C8210000}"/>
    <cellStyle name="20% - Accent6 53 2 2 2" xfId="23291" xr:uid="{00000000-0005-0000-0000-0000C9210000}"/>
    <cellStyle name="20% - Accent6 53 2 3" xfId="10009" xr:uid="{00000000-0005-0000-0000-0000CA210000}"/>
    <cellStyle name="20% - Accent6 53 2 3 2" xfId="21297" xr:uid="{00000000-0005-0000-0000-0000CB210000}"/>
    <cellStyle name="20% - Accent6 53 2 4" xfId="8015" xr:uid="{00000000-0005-0000-0000-0000CC210000}"/>
    <cellStyle name="20% - Accent6 53 2 4 2" xfId="19303" xr:uid="{00000000-0005-0000-0000-0000CD210000}"/>
    <cellStyle name="20% - Accent6 53 2 5" xfId="6021" xr:uid="{00000000-0005-0000-0000-0000CE210000}"/>
    <cellStyle name="20% - Accent6 53 2 5 2" xfId="17309" xr:uid="{00000000-0005-0000-0000-0000CF210000}"/>
    <cellStyle name="20% - Accent6 53 2 6" xfId="15315" xr:uid="{00000000-0005-0000-0000-0000D0210000}"/>
    <cellStyle name="20% - Accent6 53 3" xfId="11006" xr:uid="{00000000-0005-0000-0000-0000D1210000}"/>
    <cellStyle name="20% - Accent6 53 3 2" xfId="22294" xr:uid="{00000000-0005-0000-0000-0000D2210000}"/>
    <cellStyle name="20% - Accent6 53 4" xfId="9012" xr:uid="{00000000-0005-0000-0000-0000D3210000}"/>
    <cellStyle name="20% - Accent6 53 4 2" xfId="20300" xr:uid="{00000000-0005-0000-0000-0000D4210000}"/>
    <cellStyle name="20% - Accent6 53 5" xfId="7018" xr:uid="{00000000-0005-0000-0000-0000D5210000}"/>
    <cellStyle name="20% - Accent6 53 5 2" xfId="18306" xr:uid="{00000000-0005-0000-0000-0000D6210000}"/>
    <cellStyle name="20% - Accent6 53 6" xfId="5024" xr:uid="{00000000-0005-0000-0000-0000D7210000}"/>
    <cellStyle name="20% - Accent6 53 6 2" xfId="16312" xr:uid="{00000000-0005-0000-0000-0000D8210000}"/>
    <cellStyle name="20% - Accent6 53 7" xfId="14318" xr:uid="{00000000-0005-0000-0000-0000D9210000}"/>
    <cellStyle name="20% - Accent6 53 8" xfId="13004" xr:uid="{00000000-0005-0000-0000-0000DA210000}"/>
    <cellStyle name="20% - Accent6 54" xfId="1069" xr:uid="{00000000-0005-0000-0000-0000DB210000}"/>
    <cellStyle name="20% - Accent6 54 2" xfId="4025" xr:uid="{00000000-0005-0000-0000-0000DC210000}"/>
    <cellStyle name="20% - Accent6 54 2 2" xfId="12004" xr:uid="{00000000-0005-0000-0000-0000DD210000}"/>
    <cellStyle name="20% - Accent6 54 2 2 2" xfId="23292" xr:uid="{00000000-0005-0000-0000-0000DE210000}"/>
    <cellStyle name="20% - Accent6 54 2 3" xfId="10010" xr:uid="{00000000-0005-0000-0000-0000DF210000}"/>
    <cellStyle name="20% - Accent6 54 2 3 2" xfId="21298" xr:uid="{00000000-0005-0000-0000-0000E0210000}"/>
    <cellStyle name="20% - Accent6 54 2 4" xfId="8016" xr:uid="{00000000-0005-0000-0000-0000E1210000}"/>
    <cellStyle name="20% - Accent6 54 2 4 2" xfId="19304" xr:uid="{00000000-0005-0000-0000-0000E2210000}"/>
    <cellStyle name="20% - Accent6 54 2 5" xfId="6022" xr:uid="{00000000-0005-0000-0000-0000E3210000}"/>
    <cellStyle name="20% - Accent6 54 2 5 2" xfId="17310" xr:uid="{00000000-0005-0000-0000-0000E4210000}"/>
    <cellStyle name="20% - Accent6 54 2 6" xfId="15316" xr:uid="{00000000-0005-0000-0000-0000E5210000}"/>
    <cellStyle name="20% - Accent6 54 3" xfId="11007" xr:uid="{00000000-0005-0000-0000-0000E6210000}"/>
    <cellStyle name="20% - Accent6 54 3 2" xfId="22295" xr:uid="{00000000-0005-0000-0000-0000E7210000}"/>
    <cellStyle name="20% - Accent6 54 4" xfId="9013" xr:uid="{00000000-0005-0000-0000-0000E8210000}"/>
    <cellStyle name="20% - Accent6 54 4 2" xfId="20301" xr:uid="{00000000-0005-0000-0000-0000E9210000}"/>
    <cellStyle name="20% - Accent6 54 5" xfId="7019" xr:uid="{00000000-0005-0000-0000-0000EA210000}"/>
    <cellStyle name="20% - Accent6 54 5 2" xfId="18307" xr:uid="{00000000-0005-0000-0000-0000EB210000}"/>
    <cellStyle name="20% - Accent6 54 6" xfId="5025" xr:uid="{00000000-0005-0000-0000-0000EC210000}"/>
    <cellStyle name="20% - Accent6 54 6 2" xfId="16313" xr:uid="{00000000-0005-0000-0000-0000ED210000}"/>
    <cellStyle name="20% - Accent6 54 7" xfId="14319" xr:uid="{00000000-0005-0000-0000-0000EE210000}"/>
    <cellStyle name="20% - Accent6 54 8" xfId="13005" xr:uid="{00000000-0005-0000-0000-0000EF210000}"/>
    <cellStyle name="20% - Accent6 55" xfId="1070" xr:uid="{00000000-0005-0000-0000-0000F0210000}"/>
    <cellStyle name="20% - Accent6 55 2" xfId="4026" xr:uid="{00000000-0005-0000-0000-0000F1210000}"/>
    <cellStyle name="20% - Accent6 55 2 2" xfId="12005" xr:uid="{00000000-0005-0000-0000-0000F2210000}"/>
    <cellStyle name="20% - Accent6 55 2 2 2" xfId="23293" xr:uid="{00000000-0005-0000-0000-0000F3210000}"/>
    <cellStyle name="20% - Accent6 55 2 3" xfId="10011" xr:uid="{00000000-0005-0000-0000-0000F4210000}"/>
    <cellStyle name="20% - Accent6 55 2 3 2" xfId="21299" xr:uid="{00000000-0005-0000-0000-0000F5210000}"/>
    <cellStyle name="20% - Accent6 55 2 4" xfId="8017" xr:uid="{00000000-0005-0000-0000-0000F6210000}"/>
    <cellStyle name="20% - Accent6 55 2 4 2" xfId="19305" xr:uid="{00000000-0005-0000-0000-0000F7210000}"/>
    <cellStyle name="20% - Accent6 55 2 5" xfId="6023" xr:uid="{00000000-0005-0000-0000-0000F8210000}"/>
    <cellStyle name="20% - Accent6 55 2 5 2" xfId="17311" xr:uid="{00000000-0005-0000-0000-0000F9210000}"/>
    <cellStyle name="20% - Accent6 55 2 6" xfId="15317" xr:uid="{00000000-0005-0000-0000-0000FA210000}"/>
    <cellStyle name="20% - Accent6 55 3" xfId="11008" xr:uid="{00000000-0005-0000-0000-0000FB210000}"/>
    <cellStyle name="20% - Accent6 55 3 2" xfId="22296" xr:uid="{00000000-0005-0000-0000-0000FC210000}"/>
    <cellStyle name="20% - Accent6 55 4" xfId="9014" xr:uid="{00000000-0005-0000-0000-0000FD210000}"/>
    <cellStyle name="20% - Accent6 55 4 2" xfId="20302" xr:uid="{00000000-0005-0000-0000-0000FE210000}"/>
    <cellStyle name="20% - Accent6 55 5" xfId="7020" xr:uid="{00000000-0005-0000-0000-0000FF210000}"/>
    <cellStyle name="20% - Accent6 55 5 2" xfId="18308" xr:uid="{00000000-0005-0000-0000-000000220000}"/>
    <cellStyle name="20% - Accent6 55 6" xfId="5026" xr:uid="{00000000-0005-0000-0000-000001220000}"/>
    <cellStyle name="20% - Accent6 55 6 2" xfId="16314" xr:uid="{00000000-0005-0000-0000-000002220000}"/>
    <cellStyle name="20% - Accent6 55 7" xfId="14320" xr:uid="{00000000-0005-0000-0000-000003220000}"/>
    <cellStyle name="20% - Accent6 55 8" xfId="13006" xr:uid="{00000000-0005-0000-0000-000004220000}"/>
    <cellStyle name="20% - Accent6 56" xfId="1071" xr:uid="{00000000-0005-0000-0000-000005220000}"/>
    <cellStyle name="20% - Accent6 56 2" xfId="4027" xr:uid="{00000000-0005-0000-0000-000006220000}"/>
    <cellStyle name="20% - Accent6 56 2 2" xfId="12006" xr:uid="{00000000-0005-0000-0000-000007220000}"/>
    <cellStyle name="20% - Accent6 56 2 2 2" xfId="23294" xr:uid="{00000000-0005-0000-0000-000008220000}"/>
    <cellStyle name="20% - Accent6 56 2 3" xfId="10012" xr:uid="{00000000-0005-0000-0000-000009220000}"/>
    <cellStyle name="20% - Accent6 56 2 3 2" xfId="21300" xr:uid="{00000000-0005-0000-0000-00000A220000}"/>
    <cellStyle name="20% - Accent6 56 2 4" xfId="8018" xr:uid="{00000000-0005-0000-0000-00000B220000}"/>
    <cellStyle name="20% - Accent6 56 2 4 2" xfId="19306" xr:uid="{00000000-0005-0000-0000-00000C220000}"/>
    <cellStyle name="20% - Accent6 56 2 5" xfId="6024" xr:uid="{00000000-0005-0000-0000-00000D220000}"/>
    <cellStyle name="20% - Accent6 56 2 5 2" xfId="17312" xr:uid="{00000000-0005-0000-0000-00000E220000}"/>
    <cellStyle name="20% - Accent6 56 2 6" xfId="15318" xr:uid="{00000000-0005-0000-0000-00000F220000}"/>
    <cellStyle name="20% - Accent6 56 3" xfId="11009" xr:uid="{00000000-0005-0000-0000-000010220000}"/>
    <cellStyle name="20% - Accent6 56 3 2" xfId="22297" xr:uid="{00000000-0005-0000-0000-000011220000}"/>
    <cellStyle name="20% - Accent6 56 4" xfId="9015" xr:uid="{00000000-0005-0000-0000-000012220000}"/>
    <cellStyle name="20% - Accent6 56 4 2" xfId="20303" xr:uid="{00000000-0005-0000-0000-000013220000}"/>
    <cellStyle name="20% - Accent6 56 5" xfId="7021" xr:uid="{00000000-0005-0000-0000-000014220000}"/>
    <cellStyle name="20% - Accent6 56 5 2" xfId="18309" xr:uid="{00000000-0005-0000-0000-000015220000}"/>
    <cellStyle name="20% - Accent6 56 6" xfId="5027" xr:uid="{00000000-0005-0000-0000-000016220000}"/>
    <cellStyle name="20% - Accent6 56 6 2" xfId="16315" xr:uid="{00000000-0005-0000-0000-000017220000}"/>
    <cellStyle name="20% - Accent6 56 7" xfId="14321" xr:uid="{00000000-0005-0000-0000-000018220000}"/>
    <cellStyle name="20% - Accent6 56 8" xfId="13007" xr:uid="{00000000-0005-0000-0000-000019220000}"/>
    <cellStyle name="20% - Accent6 57" xfId="1072" xr:uid="{00000000-0005-0000-0000-00001A220000}"/>
    <cellStyle name="20% - Accent6 57 2" xfId="4028" xr:uid="{00000000-0005-0000-0000-00001B220000}"/>
    <cellStyle name="20% - Accent6 57 2 2" xfId="12007" xr:uid="{00000000-0005-0000-0000-00001C220000}"/>
    <cellStyle name="20% - Accent6 57 2 2 2" xfId="23295" xr:uid="{00000000-0005-0000-0000-00001D220000}"/>
    <cellStyle name="20% - Accent6 57 2 3" xfId="10013" xr:uid="{00000000-0005-0000-0000-00001E220000}"/>
    <cellStyle name="20% - Accent6 57 2 3 2" xfId="21301" xr:uid="{00000000-0005-0000-0000-00001F220000}"/>
    <cellStyle name="20% - Accent6 57 2 4" xfId="8019" xr:uid="{00000000-0005-0000-0000-000020220000}"/>
    <cellStyle name="20% - Accent6 57 2 4 2" xfId="19307" xr:uid="{00000000-0005-0000-0000-000021220000}"/>
    <cellStyle name="20% - Accent6 57 2 5" xfId="6025" xr:uid="{00000000-0005-0000-0000-000022220000}"/>
    <cellStyle name="20% - Accent6 57 2 5 2" xfId="17313" xr:uid="{00000000-0005-0000-0000-000023220000}"/>
    <cellStyle name="20% - Accent6 57 2 6" xfId="15319" xr:uid="{00000000-0005-0000-0000-000024220000}"/>
    <cellStyle name="20% - Accent6 57 3" xfId="11010" xr:uid="{00000000-0005-0000-0000-000025220000}"/>
    <cellStyle name="20% - Accent6 57 3 2" xfId="22298" xr:uid="{00000000-0005-0000-0000-000026220000}"/>
    <cellStyle name="20% - Accent6 57 4" xfId="9016" xr:uid="{00000000-0005-0000-0000-000027220000}"/>
    <cellStyle name="20% - Accent6 57 4 2" xfId="20304" xr:uid="{00000000-0005-0000-0000-000028220000}"/>
    <cellStyle name="20% - Accent6 57 5" xfId="7022" xr:uid="{00000000-0005-0000-0000-000029220000}"/>
    <cellStyle name="20% - Accent6 57 5 2" xfId="18310" xr:uid="{00000000-0005-0000-0000-00002A220000}"/>
    <cellStyle name="20% - Accent6 57 6" xfId="5028" xr:uid="{00000000-0005-0000-0000-00002B220000}"/>
    <cellStyle name="20% - Accent6 57 6 2" xfId="16316" xr:uid="{00000000-0005-0000-0000-00002C220000}"/>
    <cellStyle name="20% - Accent6 57 7" xfId="14322" xr:uid="{00000000-0005-0000-0000-00002D220000}"/>
    <cellStyle name="20% - Accent6 57 8" xfId="13008" xr:uid="{00000000-0005-0000-0000-00002E220000}"/>
    <cellStyle name="20% - Accent6 58" xfId="1073" xr:uid="{00000000-0005-0000-0000-00002F220000}"/>
    <cellStyle name="20% - Accent6 58 2" xfId="4029" xr:uid="{00000000-0005-0000-0000-000030220000}"/>
    <cellStyle name="20% - Accent6 58 2 2" xfId="12008" xr:uid="{00000000-0005-0000-0000-000031220000}"/>
    <cellStyle name="20% - Accent6 58 2 2 2" xfId="23296" xr:uid="{00000000-0005-0000-0000-000032220000}"/>
    <cellStyle name="20% - Accent6 58 2 3" xfId="10014" xr:uid="{00000000-0005-0000-0000-000033220000}"/>
    <cellStyle name="20% - Accent6 58 2 3 2" xfId="21302" xr:uid="{00000000-0005-0000-0000-000034220000}"/>
    <cellStyle name="20% - Accent6 58 2 4" xfId="8020" xr:uid="{00000000-0005-0000-0000-000035220000}"/>
    <cellStyle name="20% - Accent6 58 2 4 2" xfId="19308" xr:uid="{00000000-0005-0000-0000-000036220000}"/>
    <cellStyle name="20% - Accent6 58 2 5" xfId="6026" xr:uid="{00000000-0005-0000-0000-000037220000}"/>
    <cellStyle name="20% - Accent6 58 2 5 2" xfId="17314" xr:uid="{00000000-0005-0000-0000-000038220000}"/>
    <cellStyle name="20% - Accent6 58 2 6" xfId="15320" xr:uid="{00000000-0005-0000-0000-000039220000}"/>
    <cellStyle name="20% - Accent6 58 3" xfId="11011" xr:uid="{00000000-0005-0000-0000-00003A220000}"/>
    <cellStyle name="20% - Accent6 58 3 2" xfId="22299" xr:uid="{00000000-0005-0000-0000-00003B220000}"/>
    <cellStyle name="20% - Accent6 58 4" xfId="9017" xr:uid="{00000000-0005-0000-0000-00003C220000}"/>
    <cellStyle name="20% - Accent6 58 4 2" xfId="20305" xr:uid="{00000000-0005-0000-0000-00003D220000}"/>
    <cellStyle name="20% - Accent6 58 5" xfId="7023" xr:uid="{00000000-0005-0000-0000-00003E220000}"/>
    <cellStyle name="20% - Accent6 58 5 2" xfId="18311" xr:uid="{00000000-0005-0000-0000-00003F220000}"/>
    <cellStyle name="20% - Accent6 58 6" xfId="5029" xr:uid="{00000000-0005-0000-0000-000040220000}"/>
    <cellStyle name="20% - Accent6 58 6 2" xfId="16317" xr:uid="{00000000-0005-0000-0000-000041220000}"/>
    <cellStyle name="20% - Accent6 58 7" xfId="14323" xr:uid="{00000000-0005-0000-0000-000042220000}"/>
    <cellStyle name="20% - Accent6 58 8" xfId="13009" xr:uid="{00000000-0005-0000-0000-000043220000}"/>
    <cellStyle name="20% - Accent6 59" xfId="1074" xr:uid="{00000000-0005-0000-0000-000044220000}"/>
    <cellStyle name="20% - Accent6 59 2" xfId="4030" xr:uid="{00000000-0005-0000-0000-000045220000}"/>
    <cellStyle name="20% - Accent6 59 2 2" xfId="12009" xr:uid="{00000000-0005-0000-0000-000046220000}"/>
    <cellStyle name="20% - Accent6 59 2 2 2" xfId="23297" xr:uid="{00000000-0005-0000-0000-000047220000}"/>
    <cellStyle name="20% - Accent6 59 2 3" xfId="10015" xr:uid="{00000000-0005-0000-0000-000048220000}"/>
    <cellStyle name="20% - Accent6 59 2 3 2" xfId="21303" xr:uid="{00000000-0005-0000-0000-000049220000}"/>
    <cellStyle name="20% - Accent6 59 2 4" xfId="8021" xr:uid="{00000000-0005-0000-0000-00004A220000}"/>
    <cellStyle name="20% - Accent6 59 2 4 2" xfId="19309" xr:uid="{00000000-0005-0000-0000-00004B220000}"/>
    <cellStyle name="20% - Accent6 59 2 5" xfId="6027" xr:uid="{00000000-0005-0000-0000-00004C220000}"/>
    <cellStyle name="20% - Accent6 59 2 5 2" xfId="17315" xr:uid="{00000000-0005-0000-0000-00004D220000}"/>
    <cellStyle name="20% - Accent6 59 2 6" xfId="15321" xr:uid="{00000000-0005-0000-0000-00004E220000}"/>
    <cellStyle name="20% - Accent6 59 3" xfId="11012" xr:uid="{00000000-0005-0000-0000-00004F220000}"/>
    <cellStyle name="20% - Accent6 59 3 2" xfId="22300" xr:uid="{00000000-0005-0000-0000-000050220000}"/>
    <cellStyle name="20% - Accent6 59 4" xfId="9018" xr:uid="{00000000-0005-0000-0000-000051220000}"/>
    <cellStyle name="20% - Accent6 59 4 2" xfId="20306" xr:uid="{00000000-0005-0000-0000-000052220000}"/>
    <cellStyle name="20% - Accent6 59 5" xfId="7024" xr:uid="{00000000-0005-0000-0000-000053220000}"/>
    <cellStyle name="20% - Accent6 59 5 2" xfId="18312" xr:uid="{00000000-0005-0000-0000-000054220000}"/>
    <cellStyle name="20% - Accent6 59 6" xfId="5030" xr:uid="{00000000-0005-0000-0000-000055220000}"/>
    <cellStyle name="20% - Accent6 59 6 2" xfId="16318" xr:uid="{00000000-0005-0000-0000-000056220000}"/>
    <cellStyle name="20% - Accent6 59 7" xfId="14324" xr:uid="{00000000-0005-0000-0000-000057220000}"/>
    <cellStyle name="20% - Accent6 59 8" xfId="13010" xr:uid="{00000000-0005-0000-0000-000058220000}"/>
    <cellStyle name="20% - Accent6 6" xfId="1075" xr:uid="{00000000-0005-0000-0000-000059220000}"/>
    <cellStyle name="20% - Accent6 6 10" xfId="24593" xr:uid="{00000000-0005-0000-0000-00005A220000}"/>
    <cellStyle name="20% - Accent6 6 11" xfId="24983" xr:uid="{00000000-0005-0000-0000-00005B220000}"/>
    <cellStyle name="20% - Accent6 6 2" xfId="4031" xr:uid="{00000000-0005-0000-0000-00005C220000}"/>
    <cellStyle name="20% - Accent6 6 2 2" xfId="12010" xr:uid="{00000000-0005-0000-0000-00005D220000}"/>
    <cellStyle name="20% - Accent6 6 2 2 2" xfId="23298" xr:uid="{00000000-0005-0000-0000-00005E220000}"/>
    <cellStyle name="20% - Accent6 6 2 3" xfId="10016" xr:uid="{00000000-0005-0000-0000-00005F220000}"/>
    <cellStyle name="20% - Accent6 6 2 3 2" xfId="21304" xr:uid="{00000000-0005-0000-0000-000060220000}"/>
    <cellStyle name="20% - Accent6 6 2 4" xfId="8022" xr:uid="{00000000-0005-0000-0000-000061220000}"/>
    <cellStyle name="20% - Accent6 6 2 4 2" xfId="19310" xr:uid="{00000000-0005-0000-0000-000062220000}"/>
    <cellStyle name="20% - Accent6 6 2 5" xfId="6028" xr:uid="{00000000-0005-0000-0000-000063220000}"/>
    <cellStyle name="20% - Accent6 6 2 5 2" xfId="17316" xr:uid="{00000000-0005-0000-0000-000064220000}"/>
    <cellStyle name="20% - Accent6 6 2 6" xfId="15322" xr:uid="{00000000-0005-0000-0000-000065220000}"/>
    <cellStyle name="20% - Accent6 6 2 7" xfId="24354" xr:uid="{00000000-0005-0000-0000-000066220000}"/>
    <cellStyle name="20% - Accent6 6 2 8" xfId="24818" xr:uid="{00000000-0005-0000-0000-000067220000}"/>
    <cellStyle name="20% - Accent6 6 2 9" xfId="25185" xr:uid="{00000000-0005-0000-0000-000068220000}"/>
    <cellStyle name="20% - Accent6 6 3" xfId="11013" xr:uid="{00000000-0005-0000-0000-000069220000}"/>
    <cellStyle name="20% - Accent6 6 3 2" xfId="22301" xr:uid="{00000000-0005-0000-0000-00006A220000}"/>
    <cellStyle name="20% - Accent6 6 4" xfId="9019" xr:uid="{00000000-0005-0000-0000-00006B220000}"/>
    <cellStyle name="20% - Accent6 6 4 2" xfId="20307" xr:uid="{00000000-0005-0000-0000-00006C220000}"/>
    <cellStyle name="20% - Accent6 6 5" xfId="7025" xr:uid="{00000000-0005-0000-0000-00006D220000}"/>
    <cellStyle name="20% - Accent6 6 5 2" xfId="18313" xr:uid="{00000000-0005-0000-0000-00006E220000}"/>
    <cellStyle name="20% - Accent6 6 6" xfId="5031" xr:uid="{00000000-0005-0000-0000-00006F220000}"/>
    <cellStyle name="20% - Accent6 6 6 2" xfId="16319" xr:uid="{00000000-0005-0000-0000-000070220000}"/>
    <cellStyle name="20% - Accent6 6 7" xfId="14325" xr:uid="{00000000-0005-0000-0000-000071220000}"/>
    <cellStyle name="20% - Accent6 6 8" xfId="13011" xr:uid="{00000000-0005-0000-0000-000072220000}"/>
    <cellStyle name="20% - Accent6 6 9" xfId="23966" xr:uid="{00000000-0005-0000-0000-000073220000}"/>
    <cellStyle name="20% - Accent6 60" xfId="1076" xr:uid="{00000000-0005-0000-0000-000074220000}"/>
    <cellStyle name="20% - Accent6 60 2" xfId="4032" xr:uid="{00000000-0005-0000-0000-000075220000}"/>
    <cellStyle name="20% - Accent6 60 2 2" xfId="12011" xr:uid="{00000000-0005-0000-0000-000076220000}"/>
    <cellStyle name="20% - Accent6 60 2 2 2" xfId="23299" xr:uid="{00000000-0005-0000-0000-000077220000}"/>
    <cellStyle name="20% - Accent6 60 2 3" xfId="10017" xr:uid="{00000000-0005-0000-0000-000078220000}"/>
    <cellStyle name="20% - Accent6 60 2 3 2" xfId="21305" xr:uid="{00000000-0005-0000-0000-000079220000}"/>
    <cellStyle name="20% - Accent6 60 2 4" xfId="8023" xr:uid="{00000000-0005-0000-0000-00007A220000}"/>
    <cellStyle name="20% - Accent6 60 2 4 2" xfId="19311" xr:uid="{00000000-0005-0000-0000-00007B220000}"/>
    <cellStyle name="20% - Accent6 60 2 5" xfId="6029" xr:uid="{00000000-0005-0000-0000-00007C220000}"/>
    <cellStyle name="20% - Accent6 60 2 5 2" xfId="17317" xr:uid="{00000000-0005-0000-0000-00007D220000}"/>
    <cellStyle name="20% - Accent6 60 2 6" xfId="15323" xr:uid="{00000000-0005-0000-0000-00007E220000}"/>
    <cellStyle name="20% - Accent6 60 3" xfId="11014" xr:uid="{00000000-0005-0000-0000-00007F220000}"/>
    <cellStyle name="20% - Accent6 60 3 2" xfId="22302" xr:uid="{00000000-0005-0000-0000-000080220000}"/>
    <cellStyle name="20% - Accent6 60 4" xfId="9020" xr:uid="{00000000-0005-0000-0000-000081220000}"/>
    <cellStyle name="20% - Accent6 60 4 2" xfId="20308" xr:uid="{00000000-0005-0000-0000-000082220000}"/>
    <cellStyle name="20% - Accent6 60 5" xfId="7026" xr:uid="{00000000-0005-0000-0000-000083220000}"/>
    <cellStyle name="20% - Accent6 60 5 2" xfId="18314" xr:uid="{00000000-0005-0000-0000-000084220000}"/>
    <cellStyle name="20% - Accent6 60 6" xfId="5032" xr:uid="{00000000-0005-0000-0000-000085220000}"/>
    <cellStyle name="20% - Accent6 60 6 2" xfId="16320" xr:uid="{00000000-0005-0000-0000-000086220000}"/>
    <cellStyle name="20% - Accent6 60 7" xfId="14326" xr:uid="{00000000-0005-0000-0000-000087220000}"/>
    <cellStyle name="20% - Accent6 60 8" xfId="13012" xr:uid="{00000000-0005-0000-0000-000088220000}"/>
    <cellStyle name="20% - Accent6 61" xfId="1077" xr:uid="{00000000-0005-0000-0000-000089220000}"/>
    <cellStyle name="20% - Accent6 61 2" xfId="4033" xr:uid="{00000000-0005-0000-0000-00008A220000}"/>
    <cellStyle name="20% - Accent6 61 2 2" xfId="12012" xr:uid="{00000000-0005-0000-0000-00008B220000}"/>
    <cellStyle name="20% - Accent6 61 2 2 2" xfId="23300" xr:uid="{00000000-0005-0000-0000-00008C220000}"/>
    <cellStyle name="20% - Accent6 61 2 3" xfId="10018" xr:uid="{00000000-0005-0000-0000-00008D220000}"/>
    <cellStyle name="20% - Accent6 61 2 3 2" xfId="21306" xr:uid="{00000000-0005-0000-0000-00008E220000}"/>
    <cellStyle name="20% - Accent6 61 2 4" xfId="8024" xr:uid="{00000000-0005-0000-0000-00008F220000}"/>
    <cellStyle name="20% - Accent6 61 2 4 2" xfId="19312" xr:uid="{00000000-0005-0000-0000-000090220000}"/>
    <cellStyle name="20% - Accent6 61 2 5" xfId="6030" xr:uid="{00000000-0005-0000-0000-000091220000}"/>
    <cellStyle name="20% - Accent6 61 2 5 2" xfId="17318" xr:uid="{00000000-0005-0000-0000-000092220000}"/>
    <cellStyle name="20% - Accent6 61 2 6" xfId="15324" xr:uid="{00000000-0005-0000-0000-000093220000}"/>
    <cellStyle name="20% - Accent6 61 3" xfId="11015" xr:uid="{00000000-0005-0000-0000-000094220000}"/>
    <cellStyle name="20% - Accent6 61 3 2" xfId="22303" xr:uid="{00000000-0005-0000-0000-000095220000}"/>
    <cellStyle name="20% - Accent6 61 4" xfId="9021" xr:uid="{00000000-0005-0000-0000-000096220000}"/>
    <cellStyle name="20% - Accent6 61 4 2" xfId="20309" xr:uid="{00000000-0005-0000-0000-000097220000}"/>
    <cellStyle name="20% - Accent6 61 5" xfId="7027" xr:uid="{00000000-0005-0000-0000-000098220000}"/>
    <cellStyle name="20% - Accent6 61 5 2" xfId="18315" xr:uid="{00000000-0005-0000-0000-000099220000}"/>
    <cellStyle name="20% - Accent6 61 6" xfId="5033" xr:uid="{00000000-0005-0000-0000-00009A220000}"/>
    <cellStyle name="20% - Accent6 61 6 2" xfId="16321" xr:uid="{00000000-0005-0000-0000-00009B220000}"/>
    <cellStyle name="20% - Accent6 61 7" xfId="14327" xr:uid="{00000000-0005-0000-0000-00009C220000}"/>
    <cellStyle name="20% - Accent6 61 8" xfId="13013" xr:uid="{00000000-0005-0000-0000-00009D220000}"/>
    <cellStyle name="20% - Accent6 62" xfId="1078" xr:uid="{00000000-0005-0000-0000-00009E220000}"/>
    <cellStyle name="20% - Accent6 62 2" xfId="4034" xr:uid="{00000000-0005-0000-0000-00009F220000}"/>
    <cellStyle name="20% - Accent6 62 2 2" xfId="12013" xr:uid="{00000000-0005-0000-0000-0000A0220000}"/>
    <cellStyle name="20% - Accent6 62 2 2 2" xfId="23301" xr:uid="{00000000-0005-0000-0000-0000A1220000}"/>
    <cellStyle name="20% - Accent6 62 2 3" xfId="10019" xr:uid="{00000000-0005-0000-0000-0000A2220000}"/>
    <cellStyle name="20% - Accent6 62 2 3 2" xfId="21307" xr:uid="{00000000-0005-0000-0000-0000A3220000}"/>
    <cellStyle name="20% - Accent6 62 2 4" xfId="8025" xr:uid="{00000000-0005-0000-0000-0000A4220000}"/>
    <cellStyle name="20% - Accent6 62 2 4 2" xfId="19313" xr:uid="{00000000-0005-0000-0000-0000A5220000}"/>
    <cellStyle name="20% - Accent6 62 2 5" xfId="6031" xr:uid="{00000000-0005-0000-0000-0000A6220000}"/>
    <cellStyle name="20% - Accent6 62 2 5 2" xfId="17319" xr:uid="{00000000-0005-0000-0000-0000A7220000}"/>
    <cellStyle name="20% - Accent6 62 2 6" xfId="15325" xr:uid="{00000000-0005-0000-0000-0000A8220000}"/>
    <cellStyle name="20% - Accent6 62 3" xfId="11016" xr:uid="{00000000-0005-0000-0000-0000A9220000}"/>
    <cellStyle name="20% - Accent6 62 3 2" xfId="22304" xr:uid="{00000000-0005-0000-0000-0000AA220000}"/>
    <cellStyle name="20% - Accent6 62 4" xfId="9022" xr:uid="{00000000-0005-0000-0000-0000AB220000}"/>
    <cellStyle name="20% - Accent6 62 4 2" xfId="20310" xr:uid="{00000000-0005-0000-0000-0000AC220000}"/>
    <cellStyle name="20% - Accent6 62 5" xfId="7028" xr:uid="{00000000-0005-0000-0000-0000AD220000}"/>
    <cellStyle name="20% - Accent6 62 5 2" xfId="18316" xr:uid="{00000000-0005-0000-0000-0000AE220000}"/>
    <cellStyle name="20% - Accent6 62 6" xfId="5034" xr:uid="{00000000-0005-0000-0000-0000AF220000}"/>
    <cellStyle name="20% - Accent6 62 6 2" xfId="16322" xr:uid="{00000000-0005-0000-0000-0000B0220000}"/>
    <cellStyle name="20% - Accent6 62 7" xfId="14328" xr:uid="{00000000-0005-0000-0000-0000B1220000}"/>
    <cellStyle name="20% - Accent6 62 8" xfId="13014" xr:uid="{00000000-0005-0000-0000-0000B2220000}"/>
    <cellStyle name="20% - Accent6 63" xfId="1079" xr:uid="{00000000-0005-0000-0000-0000B3220000}"/>
    <cellStyle name="20% - Accent6 63 2" xfId="4035" xr:uid="{00000000-0005-0000-0000-0000B4220000}"/>
    <cellStyle name="20% - Accent6 63 2 2" xfId="12014" xr:uid="{00000000-0005-0000-0000-0000B5220000}"/>
    <cellStyle name="20% - Accent6 63 2 2 2" xfId="23302" xr:uid="{00000000-0005-0000-0000-0000B6220000}"/>
    <cellStyle name="20% - Accent6 63 2 3" xfId="10020" xr:uid="{00000000-0005-0000-0000-0000B7220000}"/>
    <cellStyle name="20% - Accent6 63 2 3 2" xfId="21308" xr:uid="{00000000-0005-0000-0000-0000B8220000}"/>
    <cellStyle name="20% - Accent6 63 2 4" xfId="8026" xr:uid="{00000000-0005-0000-0000-0000B9220000}"/>
    <cellStyle name="20% - Accent6 63 2 4 2" xfId="19314" xr:uid="{00000000-0005-0000-0000-0000BA220000}"/>
    <cellStyle name="20% - Accent6 63 2 5" xfId="6032" xr:uid="{00000000-0005-0000-0000-0000BB220000}"/>
    <cellStyle name="20% - Accent6 63 2 5 2" xfId="17320" xr:uid="{00000000-0005-0000-0000-0000BC220000}"/>
    <cellStyle name="20% - Accent6 63 2 6" xfId="15326" xr:uid="{00000000-0005-0000-0000-0000BD220000}"/>
    <cellStyle name="20% - Accent6 63 3" xfId="11017" xr:uid="{00000000-0005-0000-0000-0000BE220000}"/>
    <cellStyle name="20% - Accent6 63 3 2" xfId="22305" xr:uid="{00000000-0005-0000-0000-0000BF220000}"/>
    <cellStyle name="20% - Accent6 63 4" xfId="9023" xr:uid="{00000000-0005-0000-0000-0000C0220000}"/>
    <cellStyle name="20% - Accent6 63 4 2" xfId="20311" xr:uid="{00000000-0005-0000-0000-0000C1220000}"/>
    <cellStyle name="20% - Accent6 63 5" xfId="7029" xr:uid="{00000000-0005-0000-0000-0000C2220000}"/>
    <cellStyle name="20% - Accent6 63 5 2" xfId="18317" xr:uid="{00000000-0005-0000-0000-0000C3220000}"/>
    <cellStyle name="20% - Accent6 63 6" xfId="5035" xr:uid="{00000000-0005-0000-0000-0000C4220000}"/>
    <cellStyle name="20% - Accent6 63 6 2" xfId="16323" xr:uid="{00000000-0005-0000-0000-0000C5220000}"/>
    <cellStyle name="20% - Accent6 63 7" xfId="14329" xr:uid="{00000000-0005-0000-0000-0000C6220000}"/>
    <cellStyle name="20% - Accent6 63 8" xfId="13015" xr:uid="{00000000-0005-0000-0000-0000C7220000}"/>
    <cellStyle name="20% - Accent6 64" xfId="1080" xr:uid="{00000000-0005-0000-0000-0000C8220000}"/>
    <cellStyle name="20% - Accent6 64 2" xfId="4036" xr:uid="{00000000-0005-0000-0000-0000C9220000}"/>
    <cellStyle name="20% - Accent6 64 2 2" xfId="12015" xr:uid="{00000000-0005-0000-0000-0000CA220000}"/>
    <cellStyle name="20% - Accent6 64 2 2 2" xfId="23303" xr:uid="{00000000-0005-0000-0000-0000CB220000}"/>
    <cellStyle name="20% - Accent6 64 2 3" xfId="10021" xr:uid="{00000000-0005-0000-0000-0000CC220000}"/>
    <cellStyle name="20% - Accent6 64 2 3 2" xfId="21309" xr:uid="{00000000-0005-0000-0000-0000CD220000}"/>
    <cellStyle name="20% - Accent6 64 2 4" xfId="8027" xr:uid="{00000000-0005-0000-0000-0000CE220000}"/>
    <cellStyle name="20% - Accent6 64 2 4 2" xfId="19315" xr:uid="{00000000-0005-0000-0000-0000CF220000}"/>
    <cellStyle name="20% - Accent6 64 2 5" xfId="6033" xr:uid="{00000000-0005-0000-0000-0000D0220000}"/>
    <cellStyle name="20% - Accent6 64 2 5 2" xfId="17321" xr:uid="{00000000-0005-0000-0000-0000D1220000}"/>
    <cellStyle name="20% - Accent6 64 2 6" xfId="15327" xr:uid="{00000000-0005-0000-0000-0000D2220000}"/>
    <cellStyle name="20% - Accent6 64 3" xfId="11018" xr:uid="{00000000-0005-0000-0000-0000D3220000}"/>
    <cellStyle name="20% - Accent6 64 3 2" xfId="22306" xr:uid="{00000000-0005-0000-0000-0000D4220000}"/>
    <cellStyle name="20% - Accent6 64 4" xfId="9024" xr:uid="{00000000-0005-0000-0000-0000D5220000}"/>
    <cellStyle name="20% - Accent6 64 4 2" xfId="20312" xr:uid="{00000000-0005-0000-0000-0000D6220000}"/>
    <cellStyle name="20% - Accent6 64 5" xfId="7030" xr:uid="{00000000-0005-0000-0000-0000D7220000}"/>
    <cellStyle name="20% - Accent6 64 5 2" xfId="18318" xr:uid="{00000000-0005-0000-0000-0000D8220000}"/>
    <cellStyle name="20% - Accent6 64 6" xfId="5036" xr:uid="{00000000-0005-0000-0000-0000D9220000}"/>
    <cellStyle name="20% - Accent6 64 6 2" xfId="16324" xr:uid="{00000000-0005-0000-0000-0000DA220000}"/>
    <cellStyle name="20% - Accent6 64 7" xfId="14330" xr:uid="{00000000-0005-0000-0000-0000DB220000}"/>
    <cellStyle name="20% - Accent6 64 8" xfId="13016" xr:uid="{00000000-0005-0000-0000-0000DC220000}"/>
    <cellStyle name="20% - Accent6 65" xfId="1081" xr:uid="{00000000-0005-0000-0000-0000DD220000}"/>
    <cellStyle name="20% - Accent6 65 2" xfId="4037" xr:uid="{00000000-0005-0000-0000-0000DE220000}"/>
    <cellStyle name="20% - Accent6 65 2 2" xfId="12016" xr:uid="{00000000-0005-0000-0000-0000DF220000}"/>
    <cellStyle name="20% - Accent6 65 2 2 2" xfId="23304" xr:uid="{00000000-0005-0000-0000-0000E0220000}"/>
    <cellStyle name="20% - Accent6 65 2 3" xfId="10022" xr:uid="{00000000-0005-0000-0000-0000E1220000}"/>
    <cellStyle name="20% - Accent6 65 2 3 2" xfId="21310" xr:uid="{00000000-0005-0000-0000-0000E2220000}"/>
    <cellStyle name="20% - Accent6 65 2 4" xfId="8028" xr:uid="{00000000-0005-0000-0000-0000E3220000}"/>
    <cellStyle name="20% - Accent6 65 2 4 2" xfId="19316" xr:uid="{00000000-0005-0000-0000-0000E4220000}"/>
    <cellStyle name="20% - Accent6 65 2 5" xfId="6034" xr:uid="{00000000-0005-0000-0000-0000E5220000}"/>
    <cellStyle name="20% - Accent6 65 2 5 2" xfId="17322" xr:uid="{00000000-0005-0000-0000-0000E6220000}"/>
    <cellStyle name="20% - Accent6 65 2 6" xfId="15328" xr:uid="{00000000-0005-0000-0000-0000E7220000}"/>
    <cellStyle name="20% - Accent6 65 3" xfId="11019" xr:uid="{00000000-0005-0000-0000-0000E8220000}"/>
    <cellStyle name="20% - Accent6 65 3 2" xfId="22307" xr:uid="{00000000-0005-0000-0000-0000E9220000}"/>
    <cellStyle name="20% - Accent6 65 4" xfId="9025" xr:uid="{00000000-0005-0000-0000-0000EA220000}"/>
    <cellStyle name="20% - Accent6 65 4 2" xfId="20313" xr:uid="{00000000-0005-0000-0000-0000EB220000}"/>
    <cellStyle name="20% - Accent6 65 5" xfId="7031" xr:uid="{00000000-0005-0000-0000-0000EC220000}"/>
    <cellStyle name="20% - Accent6 65 5 2" xfId="18319" xr:uid="{00000000-0005-0000-0000-0000ED220000}"/>
    <cellStyle name="20% - Accent6 65 6" xfId="5037" xr:uid="{00000000-0005-0000-0000-0000EE220000}"/>
    <cellStyle name="20% - Accent6 65 6 2" xfId="16325" xr:uid="{00000000-0005-0000-0000-0000EF220000}"/>
    <cellStyle name="20% - Accent6 65 7" xfId="14331" xr:uid="{00000000-0005-0000-0000-0000F0220000}"/>
    <cellStyle name="20% - Accent6 65 8" xfId="13017" xr:uid="{00000000-0005-0000-0000-0000F1220000}"/>
    <cellStyle name="20% - Accent6 66" xfId="1082" xr:uid="{00000000-0005-0000-0000-0000F2220000}"/>
    <cellStyle name="20% - Accent6 66 2" xfId="4038" xr:uid="{00000000-0005-0000-0000-0000F3220000}"/>
    <cellStyle name="20% - Accent6 66 2 2" xfId="12017" xr:uid="{00000000-0005-0000-0000-0000F4220000}"/>
    <cellStyle name="20% - Accent6 66 2 2 2" xfId="23305" xr:uid="{00000000-0005-0000-0000-0000F5220000}"/>
    <cellStyle name="20% - Accent6 66 2 3" xfId="10023" xr:uid="{00000000-0005-0000-0000-0000F6220000}"/>
    <cellStyle name="20% - Accent6 66 2 3 2" xfId="21311" xr:uid="{00000000-0005-0000-0000-0000F7220000}"/>
    <cellStyle name="20% - Accent6 66 2 4" xfId="8029" xr:uid="{00000000-0005-0000-0000-0000F8220000}"/>
    <cellStyle name="20% - Accent6 66 2 4 2" xfId="19317" xr:uid="{00000000-0005-0000-0000-0000F9220000}"/>
    <cellStyle name="20% - Accent6 66 2 5" xfId="6035" xr:uid="{00000000-0005-0000-0000-0000FA220000}"/>
    <cellStyle name="20% - Accent6 66 2 5 2" xfId="17323" xr:uid="{00000000-0005-0000-0000-0000FB220000}"/>
    <cellStyle name="20% - Accent6 66 2 6" xfId="15329" xr:uid="{00000000-0005-0000-0000-0000FC220000}"/>
    <cellStyle name="20% - Accent6 66 3" xfId="11020" xr:uid="{00000000-0005-0000-0000-0000FD220000}"/>
    <cellStyle name="20% - Accent6 66 3 2" xfId="22308" xr:uid="{00000000-0005-0000-0000-0000FE220000}"/>
    <cellStyle name="20% - Accent6 66 4" xfId="9026" xr:uid="{00000000-0005-0000-0000-0000FF220000}"/>
    <cellStyle name="20% - Accent6 66 4 2" xfId="20314" xr:uid="{00000000-0005-0000-0000-000000230000}"/>
    <cellStyle name="20% - Accent6 66 5" xfId="7032" xr:uid="{00000000-0005-0000-0000-000001230000}"/>
    <cellStyle name="20% - Accent6 66 5 2" xfId="18320" xr:uid="{00000000-0005-0000-0000-000002230000}"/>
    <cellStyle name="20% - Accent6 66 6" xfId="5038" xr:uid="{00000000-0005-0000-0000-000003230000}"/>
    <cellStyle name="20% - Accent6 66 6 2" xfId="16326" xr:uid="{00000000-0005-0000-0000-000004230000}"/>
    <cellStyle name="20% - Accent6 66 7" xfId="14332" xr:uid="{00000000-0005-0000-0000-000005230000}"/>
    <cellStyle name="20% - Accent6 66 8" xfId="13018" xr:uid="{00000000-0005-0000-0000-000006230000}"/>
    <cellStyle name="20% - Accent6 67" xfId="1083" xr:uid="{00000000-0005-0000-0000-000007230000}"/>
    <cellStyle name="20% - Accent6 67 2" xfId="4039" xr:uid="{00000000-0005-0000-0000-000008230000}"/>
    <cellStyle name="20% - Accent6 67 2 2" xfId="12018" xr:uid="{00000000-0005-0000-0000-000009230000}"/>
    <cellStyle name="20% - Accent6 67 2 2 2" xfId="23306" xr:uid="{00000000-0005-0000-0000-00000A230000}"/>
    <cellStyle name="20% - Accent6 67 2 3" xfId="10024" xr:uid="{00000000-0005-0000-0000-00000B230000}"/>
    <cellStyle name="20% - Accent6 67 2 3 2" xfId="21312" xr:uid="{00000000-0005-0000-0000-00000C230000}"/>
    <cellStyle name="20% - Accent6 67 2 4" xfId="8030" xr:uid="{00000000-0005-0000-0000-00000D230000}"/>
    <cellStyle name="20% - Accent6 67 2 4 2" xfId="19318" xr:uid="{00000000-0005-0000-0000-00000E230000}"/>
    <cellStyle name="20% - Accent6 67 2 5" xfId="6036" xr:uid="{00000000-0005-0000-0000-00000F230000}"/>
    <cellStyle name="20% - Accent6 67 2 5 2" xfId="17324" xr:uid="{00000000-0005-0000-0000-000010230000}"/>
    <cellStyle name="20% - Accent6 67 2 6" xfId="15330" xr:uid="{00000000-0005-0000-0000-000011230000}"/>
    <cellStyle name="20% - Accent6 67 3" xfId="11021" xr:uid="{00000000-0005-0000-0000-000012230000}"/>
    <cellStyle name="20% - Accent6 67 3 2" xfId="22309" xr:uid="{00000000-0005-0000-0000-000013230000}"/>
    <cellStyle name="20% - Accent6 67 4" xfId="9027" xr:uid="{00000000-0005-0000-0000-000014230000}"/>
    <cellStyle name="20% - Accent6 67 4 2" xfId="20315" xr:uid="{00000000-0005-0000-0000-000015230000}"/>
    <cellStyle name="20% - Accent6 67 5" xfId="7033" xr:uid="{00000000-0005-0000-0000-000016230000}"/>
    <cellStyle name="20% - Accent6 67 5 2" xfId="18321" xr:uid="{00000000-0005-0000-0000-000017230000}"/>
    <cellStyle name="20% - Accent6 67 6" xfId="5039" xr:uid="{00000000-0005-0000-0000-000018230000}"/>
    <cellStyle name="20% - Accent6 67 6 2" xfId="16327" xr:uid="{00000000-0005-0000-0000-000019230000}"/>
    <cellStyle name="20% - Accent6 67 7" xfId="14333" xr:uid="{00000000-0005-0000-0000-00001A230000}"/>
    <cellStyle name="20% - Accent6 67 8" xfId="13019" xr:uid="{00000000-0005-0000-0000-00001B230000}"/>
    <cellStyle name="20% - Accent6 68" xfId="1084" xr:uid="{00000000-0005-0000-0000-00001C230000}"/>
    <cellStyle name="20% - Accent6 68 2" xfId="4040" xr:uid="{00000000-0005-0000-0000-00001D230000}"/>
    <cellStyle name="20% - Accent6 68 2 2" xfId="12019" xr:uid="{00000000-0005-0000-0000-00001E230000}"/>
    <cellStyle name="20% - Accent6 68 2 2 2" xfId="23307" xr:uid="{00000000-0005-0000-0000-00001F230000}"/>
    <cellStyle name="20% - Accent6 68 2 3" xfId="10025" xr:uid="{00000000-0005-0000-0000-000020230000}"/>
    <cellStyle name="20% - Accent6 68 2 3 2" xfId="21313" xr:uid="{00000000-0005-0000-0000-000021230000}"/>
    <cellStyle name="20% - Accent6 68 2 4" xfId="8031" xr:uid="{00000000-0005-0000-0000-000022230000}"/>
    <cellStyle name="20% - Accent6 68 2 4 2" xfId="19319" xr:uid="{00000000-0005-0000-0000-000023230000}"/>
    <cellStyle name="20% - Accent6 68 2 5" xfId="6037" xr:uid="{00000000-0005-0000-0000-000024230000}"/>
    <cellStyle name="20% - Accent6 68 2 5 2" xfId="17325" xr:uid="{00000000-0005-0000-0000-000025230000}"/>
    <cellStyle name="20% - Accent6 68 2 6" xfId="15331" xr:uid="{00000000-0005-0000-0000-000026230000}"/>
    <cellStyle name="20% - Accent6 68 3" xfId="11022" xr:uid="{00000000-0005-0000-0000-000027230000}"/>
    <cellStyle name="20% - Accent6 68 3 2" xfId="22310" xr:uid="{00000000-0005-0000-0000-000028230000}"/>
    <cellStyle name="20% - Accent6 68 4" xfId="9028" xr:uid="{00000000-0005-0000-0000-000029230000}"/>
    <cellStyle name="20% - Accent6 68 4 2" xfId="20316" xr:uid="{00000000-0005-0000-0000-00002A230000}"/>
    <cellStyle name="20% - Accent6 68 5" xfId="7034" xr:uid="{00000000-0005-0000-0000-00002B230000}"/>
    <cellStyle name="20% - Accent6 68 5 2" xfId="18322" xr:uid="{00000000-0005-0000-0000-00002C230000}"/>
    <cellStyle name="20% - Accent6 68 6" xfId="5040" xr:uid="{00000000-0005-0000-0000-00002D230000}"/>
    <cellStyle name="20% - Accent6 68 6 2" xfId="16328" xr:uid="{00000000-0005-0000-0000-00002E230000}"/>
    <cellStyle name="20% - Accent6 68 7" xfId="14334" xr:uid="{00000000-0005-0000-0000-00002F230000}"/>
    <cellStyle name="20% - Accent6 68 8" xfId="13020" xr:uid="{00000000-0005-0000-0000-000030230000}"/>
    <cellStyle name="20% - Accent6 69" xfId="1085" xr:uid="{00000000-0005-0000-0000-000031230000}"/>
    <cellStyle name="20% - Accent6 69 2" xfId="4041" xr:uid="{00000000-0005-0000-0000-000032230000}"/>
    <cellStyle name="20% - Accent6 69 2 2" xfId="12020" xr:uid="{00000000-0005-0000-0000-000033230000}"/>
    <cellStyle name="20% - Accent6 69 2 2 2" xfId="23308" xr:uid="{00000000-0005-0000-0000-000034230000}"/>
    <cellStyle name="20% - Accent6 69 2 3" xfId="10026" xr:uid="{00000000-0005-0000-0000-000035230000}"/>
    <cellStyle name="20% - Accent6 69 2 3 2" xfId="21314" xr:uid="{00000000-0005-0000-0000-000036230000}"/>
    <cellStyle name="20% - Accent6 69 2 4" xfId="8032" xr:uid="{00000000-0005-0000-0000-000037230000}"/>
    <cellStyle name="20% - Accent6 69 2 4 2" xfId="19320" xr:uid="{00000000-0005-0000-0000-000038230000}"/>
    <cellStyle name="20% - Accent6 69 2 5" xfId="6038" xr:uid="{00000000-0005-0000-0000-000039230000}"/>
    <cellStyle name="20% - Accent6 69 2 5 2" xfId="17326" xr:uid="{00000000-0005-0000-0000-00003A230000}"/>
    <cellStyle name="20% - Accent6 69 2 6" xfId="15332" xr:uid="{00000000-0005-0000-0000-00003B230000}"/>
    <cellStyle name="20% - Accent6 69 3" xfId="11023" xr:uid="{00000000-0005-0000-0000-00003C230000}"/>
    <cellStyle name="20% - Accent6 69 3 2" xfId="22311" xr:uid="{00000000-0005-0000-0000-00003D230000}"/>
    <cellStyle name="20% - Accent6 69 4" xfId="9029" xr:uid="{00000000-0005-0000-0000-00003E230000}"/>
    <cellStyle name="20% - Accent6 69 4 2" xfId="20317" xr:uid="{00000000-0005-0000-0000-00003F230000}"/>
    <cellStyle name="20% - Accent6 69 5" xfId="7035" xr:uid="{00000000-0005-0000-0000-000040230000}"/>
    <cellStyle name="20% - Accent6 69 5 2" xfId="18323" xr:uid="{00000000-0005-0000-0000-000041230000}"/>
    <cellStyle name="20% - Accent6 69 6" xfId="5041" xr:uid="{00000000-0005-0000-0000-000042230000}"/>
    <cellStyle name="20% - Accent6 69 6 2" xfId="16329" xr:uid="{00000000-0005-0000-0000-000043230000}"/>
    <cellStyle name="20% - Accent6 69 7" xfId="14335" xr:uid="{00000000-0005-0000-0000-000044230000}"/>
    <cellStyle name="20% - Accent6 69 8" xfId="13021" xr:uid="{00000000-0005-0000-0000-000045230000}"/>
    <cellStyle name="20% - Accent6 7" xfId="1086" xr:uid="{00000000-0005-0000-0000-000046230000}"/>
    <cellStyle name="20% - Accent6 7 10" xfId="24594" xr:uid="{00000000-0005-0000-0000-000047230000}"/>
    <cellStyle name="20% - Accent6 7 11" xfId="24984" xr:uid="{00000000-0005-0000-0000-000048230000}"/>
    <cellStyle name="20% - Accent6 7 2" xfId="4042" xr:uid="{00000000-0005-0000-0000-000049230000}"/>
    <cellStyle name="20% - Accent6 7 2 2" xfId="12021" xr:uid="{00000000-0005-0000-0000-00004A230000}"/>
    <cellStyle name="20% - Accent6 7 2 2 2" xfId="23309" xr:uid="{00000000-0005-0000-0000-00004B230000}"/>
    <cellStyle name="20% - Accent6 7 2 3" xfId="10027" xr:uid="{00000000-0005-0000-0000-00004C230000}"/>
    <cellStyle name="20% - Accent6 7 2 3 2" xfId="21315" xr:uid="{00000000-0005-0000-0000-00004D230000}"/>
    <cellStyle name="20% - Accent6 7 2 4" xfId="8033" xr:uid="{00000000-0005-0000-0000-00004E230000}"/>
    <cellStyle name="20% - Accent6 7 2 4 2" xfId="19321" xr:uid="{00000000-0005-0000-0000-00004F230000}"/>
    <cellStyle name="20% - Accent6 7 2 5" xfId="6039" xr:uid="{00000000-0005-0000-0000-000050230000}"/>
    <cellStyle name="20% - Accent6 7 2 5 2" xfId="17327" xr:uid="{00000000-0005-0000-0000-000051230000}"/>
    <cellStyle name="20% - Accent6 7 2 6" xfId="15333" xr:uid="{00000000-0005-0000-0000-000052230000}"/>
    <cellStyle name="20% - Accent6 7 2 7" xfId="24355" xr:uid="{00000000-0005-0000-0000-000053230000}"/>
    <cellStyle name="20% - Accent6 7 2 8" xfId="24819" xr:uid="{00000000-0005-0000-0000-000054230000}"/>
    <cellStyle name="20% - Accent6 7 2 9" xfId="25186" xr:uid="{00000000-0005-0000-0000-000055230000}"/>
    <cellStyle name="20% - Accent6 7 3" xfId="11024" xr:uid="{00000000-0005-0000-0000-000056230000}"/>
    <cellStyle name="20% - Accent6 7 3 2" xfId="22312" xr:uid="{00000000-0005-0000-0000-000057230000}"/>
    <cellStyle name="20% - Accent6 7 4" xfId="9030" xr:uid="{00000000-0005-0000-0000-000058230000}"/>
    <cellStyle name="20% - Accent6 7 4 2" xfId="20318" xr:uid="{00000000-0005-0000-0000-000059230000}"/>
    <cellStyle name="20% - Accent6 7 5" xfId="7036" xr:uid="{00000000-0005-0000-0000-00005A230000}"/>
    <cellStyle name="20% - Accent6 7 5 2" xfId="18324" xr:uid="{00000000-0005-0000-0000-00005B230000}"/>
    <cellStyle name="20% - Accent6 7 6" xfId="5042" xr:uid="{00000000-0005-0000-0000-00005C230000}"/>
    <cellStyle name="20% - Accent6 7 6 2" xfId="16330" xr:uid="{00000000-0005-0000-0000-00005D230000}"/>
    <cellStyle name="20% - Accent6 7 7" xfId="14336" xr:uid="{00000000-0005-0000-0000-00005E230000}"/>
    <cellStyle name="20% - Accent6 7 8" xfId="13022" xr:uid="{00000000-0005-0000-0000-00005F230000}"/>
    <cellStyle name="20% - Accent6 7 9" xfId="23967" xr:uid="{00000000-0005-0000-0000-000060230000}"/>
    <cellStyle name="20% - Accent6 70" xfId="1087" xr:uid="{00000000-0005-0000-0000-000061230000}"/>
    <cellStyle name="20% - Accent6 70 2" xfId="4043" xr:uid="{00000000-0005-0000-0000-000062230000}"/>
    <cellStyle name="20% - Accent6 70 2 2" xfId="12022" xr:uid="{00000000-0005-0000-0000-000063230000}"/>
    <cellStyle name="20% - Accent6 70 2 2 2" xfId="23310" xr:uid="{00000000-0005-0000-0000-000064230000}"/>
    <cellStyle name="20% - Accent6 70 2 3" xfId="10028" xr:uid="{00000000-0005-0000-0000-000065230000}"/>
    <cellStyle name="20% - Accent6 70 2 3 2" xfId="21316" xr:uid="{00000000-0005-0000-0000-000066230000}"/>
    <cellStyle name="20% - Accent6 70 2 4" xfId="8034" xr:uid="{00000000-0005-0000-0000-000067230000}"/>
    <cellStyle name="20% - Accent6 70 2 4 2" xfId="19322" xr:uid="{00000000-0005-0000-0000-000068230000}"/>
    <cellStyle name="20% - Accent6 70 2 5" xfId="6040" xr:uid="{00000000-0005-0000-0000-000069230000}"/>
    <cellStyle name="20% - Accent6 70 2 5 2" xfId="17328" xr:uid="{00000000-0005-0000-0000-00006A230000}"/>
    <cellStyle name="20% - Accent6 70 2 6" xfId="15334" xr:uid="{00000000-0005-0000-0000-00006B230000}"/>
    <cellStyle name="20% - Accent6 70 3" xfId="11025" xr:uid="{00000000-0005-0000-0000-00006C230000}"/>
    <cellStyle name="20% - Accent6 70 3 2" xfId="22313" xr:uid="{00000000-0005-0000-0000-00006D230000}"/>
    <cellStyle name="20% - Accent6 70 4" xfId="9031" xr:uid="{00000000-0005-0000-0000-00006E230000}"/>
    <cellStyle name="20% - Accent6 70 4 2" xfId="20319" xr:uid="{00000000-0005-0000-0000-00006F230000}"/>
    <cellStyle name="20% - Accent6 70 5" xfId="7037" xr:uid="{00000000-0005-0000-0000-000070230000}"/>
    <cellStyle name="20% - Accent6 70 5 2" xfId="18325" xr:uid="{00000000-0005-0000-0000-000071230000}"/>
    <cellStyle name="20% - Accent6 70 6" xfId="5043" xr:uid="{00000000-0005-0000-0000-000072230000}"/>
    <cellStyle name="20% - Accent6 70 6 2" xfId="16331" xr:uid="{00000000-0005-0000-0000-000073230000}"/>
    <cellStyle name="20% - Accent6 70 7" xfId="14337" xr:uid="{00000000-0005-0000-0000-000074230000}"/>
    <cellStyle name="20% - Accent6 70 8" xfId="13023" xr:uid="{00000000-0005-0000-0000-000075230000}"/>
    <cellStyle name="20% - Accent6 71" xfId="1088" xr:uid="{00000000-0005-0000-0000-000076230000}"/>
    <cellStyle name="20% - Accent6 71 2" xfId="4044" xr:uid="{00000000-0005-0000-0000-000077230000}"/>
    <cellStyle name="20% - Accent6 71 2 2" xfId="12023" xr:uid="{00000000-0005-0000-0000-000078230000}"/>
    <cellStyle name="20% - Accent6 71 2 2 2" xfId="23311" xr:uid="{00000000-0005-0000-0000-000079230000}"/>
    <cellStyle name="20% - Accent6 71 2 3" xfId="10029" xr:uid="{00000000-0005-0000-0000-00007A230000}"/>
    <cellStyle name="20% - Accent6 71 2 3 2" xfId="21317" xr:uid="{00000000-0005-0000-0000-00007B230000}"/>
    <cellStyle name="20% - Accent6 71 2 4" xfId="8035" xr:uid="{00000000-0005-0000-0000-00007C230000}"/>
    <cellStyle name="20% - Accent6 71 2 4 2" xfId="19323" xr:uid="{00000000-0005-0000-0000-00007D230000}"/>
    <cellStyle name="20% - Accent6 71 2 5" xfId="6041" xr:uid="{00000000-0005-0000-0000-00007E230000}"/>
    <cellStyle name="20% - Accent6 71 2 5 2" xfId="17329" xr:uid="{00000000-0005-0000-0000-00007F230000}"/>
    <cellStyle name="20% - Accent6 71 2 6" xfId="15335" xr:uid="{00000000-0005-0000-0000-000080230000}"/>
    <cellStyle name="20% - Accent6 71 3" xfId="11026" xr:uid="{00000000-0005-0000-0000-000081230000}"/>
    <cellStyle name="20% - Accent6 71 3 2" xfId="22314" xr:uid="{00000000-0005-0000-0000-000082230000}"/>
    <cellStyle name="20% - Accent6 71 4" xfId="9032" xr:uid="{00000000-0005-0000-0000-000083230000}"/>
    <cellStyle name="20% - Accent6 71 4 2" xfId="20320" xr:uid="{00000000-0005-0000-0000-000084230000}"/>
    <cellStyle name="20% - Accent6 71 5" xfId="7038" xr:uid="{00000000-0005-0000-0000-000085230000}"/>
    <cellStyle name="20% - Accent6 71 5 2" xfId="18326" xr:uid="{00000000-0005-0000-0000-000086230000}"/>
    <cellStyle name="20% - Accent6 71 6" xfId="5044" xr:uid="{00000000-0005-0000-0000-000087230000}"/>
    <cellStyle name="20% - Accent6 71 6 2" xfId="16332" xr:uid="{00000000-0005-0000-0000-000088230000}"/>
    <cellStyle name="20% - Accent6 71 7" xfId="14338" xr:uid="{00000000-0005-0000-0000-000089230000}"/>
    <cellStyle name="20% - Accent6 71 8" xfId="13024" xr:uid="{00000000-0005-0000-0000-00008A230000}"/>
    <cellStyle name="20% - Accent6 72" xfId="1089" xr:uid="{00000000-0005-0000-0000-00008B230000}"/>
    <cellStyle name="20% - Accent6 72 2" xfId="4045" xr:uid="{00000000-0005-0000-0000-00008C230000}"/>
    <cellStyle name="20% - Accent6 72 2 2" xfId="12024" xr:uid="{00000000-0005-0000-0000-00008D230000}"/>
    <cellStyle name="20% - Accent6 72 2 2 2" xfId="23312" xr:uid="{00000000-0005-0000-0000-00008E230000}"/>
    <cellStyle name="20% - Accent6 72 2 3" xfId="10030" xr:uid="{00000000-0005-0000-0000-00008F230000}"/>
    <cellStyle name="20% - Accent6 72 2 3 2" xfId="21318" xr:uid="{00000000-0005-0000-0000-000090230000}"/>
    <cellStyle name="20% - Accent6 72 2 4" xfId="8036" xr:uid="{00000000-0005-0000-0000-000091230000}"/>
    <cellStyle name="20% - Accent6 72 2 4 2" xfId="19324" xr:uid="{00000000-0005-0000-0000-000092230000}"/>
    <cellStyle name="20% - Accent6 72 2 5" xfId="6042" xr:uid="{00000000-0005-0000-0000-000093230000}"/>
    <cellStyle name="20% - Accent6 72 2 5 2" xfId="17330" xr:uid="{00000000-0005-0000-0000-000094230000}"/>
    <cellStyle name="20% - Accent6 72 2 6" xfId="15336" xr:uid="{00000000-0005-0000-0000-000095230000}"/>
    <cellStyle name="20% - Accent6 72 3" xfId="11027" xr:uid="{00000000-0005-0000-0000-000096230000}"/>
    <cellStyle name="20% - Accent6 72 3 2" xfId="22315" xr:uid="{00000000-0005-0000-0000-000097230000}"/>
    <cellStyle name="20% - Accent6 72 4" xfId="9033" xr:uid="{00000000-0005-0000-0000-000098230000}"/>
    <cellStyle name="20% - Accent6 72 4 2" xfId="20321" xr:uid="{00000000-0005-0000-0000-000099230000}"/>
    <cellStyle name="20% - Accent6 72 5" xfId="7039" xr:uid="{00000000-0005-0000-0000-00009A230000}"/>
    <cellStyle name="20% - Accent6 72 5 2" xfId="18327" xr:uid="{00000000-0005-0000-0000-00009B230000}"/>
    <cellStyle name="20% - Accent6 72 6" xfId="5045" xr:uid="{00000000-0005-0000-0000-00009C230000}"/>
    <cellStyle name="20% - Accent6 72 6 2" xfId="16333" xr:uid="{00000000-0005-0000-0000-00009D230000}"/>
    <cellStyle name="20% - Accent6 72 7" xfId="14339" xr:uid="{00000000-0005-0000-0000-00009E230000}"/>
    <cellStyle name="20% - Accent6 72 8" xfId="13025" xr:uid="{00000000-0005-0000-0000-00009F230000}"/>
    <cellStyle name="20% - Accent6 8" xfId="1090" xr:uid="{00000000-0005-0000-0000-0000A0230000}"/>
    <cellStyle name="20% - Accent6 8 2" xfId="4046" xr:uid="{00000000-0005-0000-0000-0000A1230000}"/>
    <cellStyle name="20% - Accent6 8 2 2" xfId="12025" xr:uid="{00000000-0005-0000-0000-0000A2230000}"/>
    <cellStyle name="20% - Accent6 8 2 2 2" xfId="23313" xr:uid="{00000000-0005-0000-0000-0000A3230000}"/>
    <cellStyle name="20% - Accent6 8 2 3" xfId="10031" xr:uid="{00000000-0005-0000-0000-0000A4230000}"/>
    <cellStyle name="20% - Accent6 8 2 3 2" xfId="21319" xr:uid="{00000000-0005-0000-0000-0000A5230000}"/>
    <cellStyle name="20% - Accent6 8 2 4" xfId="8037" xr:uid="{00000000-0005-0000-0000-0000A6230000}"/>
    <cellStyle name="20% - Accent6 8 2 4 2" xfId="19325" xr:uid="{00000000-0005-0000-0000-0000A7230000}"/>
    <cellStyle name="20% - Accent6 8 2 5" xfId="6043" xr:uid="{00000000-0005-0000-0000-0000A8230000}"/>
    <cellStyle name="20% - Accent6 8 2 5 2" xfId="17331" xr:uid="{00000000-0005-0000-0000-0000A9230000}"/>
    <cellStyle name="20% - Accent6 8 2 6" xfId="15337" xr:uid="{00000000-0005-0000-0000-0000AA230000}"/>
    <cellStyle name="20% - Accent6 8 3" xfId="11028" xr:uid="{00000000-0005-0000-0000-0000AB230000}"/>
    <cellStyle name="20% - Accent6 8 3 2" xfId="22316" xr:uid="{00000000-0005-0000-0000-0000AC230000}"/>
    <cellStyle name="20% - Accent6 8 4" xfId="9034" xr:uid="{00000000-0005-0000-0000-0000AD230000}"/>
    <cellStyle name="20% - Accent6 8 4 2" xfId="20322" xr:uid="{00000000-0005-0000-0000-0000AE230000}"/>
    <cellStyle name="20% - Accent6 8 5" xfId="7040" xr:uid="{00000000-0005-0000-0000-0000AF230000}"/>
    <cellStyle name="20% - Accent6 8 5 2" xfId="18328" xr:uid="{00000000-0005-0000-0000-0000B0230000}"/>
    <cellStyle name="20% - Accent6 8 6" xfId="5046" xr:uid="{00000000-0005-0000-0000-0000B1230000}"/>
    <cellStyle name="20% - Accent6 8 6 2" xfId="16334" xr:uid="{00000000-0005-0000-0000-0000B2230000}"/>
    <cellStyle name="20% - Accent6 8 7" xfId="14340" xr:uid="{00000000-0005-0000-0000-0000B3230000}"/>
    <cellStyle name="20% - Accent6 8 8" xfId="13026" xr:uid="{00000000-0005-0000-0000-0000B4230000}"/>
    <cellStyle name="20% - Accent6 9" xfId="1091" xr:uid="{00000000-0005-0000-0000-0000B5230000}"/>
    <cellStyle name="20% - Accent6 9 2" xfId="4047" xr:uid="{00000000-0005-0000-0000-0000B6230000}"/>
    <cellStyle name="20% - Accent6 9 2 2" xfId="12026" xr:uid="{00000000-0005-0000-0000-0000B7230000}"/>
    <cellStyle name="20% - Accent6 9 2 2 2" xfId="23314" xr:uid="{00000000-0005-0000-0000-0000B8230000}"/>
    <cellStyle name="20% - Accent6 9 2 3" xfId="10032" xr:uid="{00000000-0005-0000-0000-0000B9230000}"/>
    <cellStyle name="20% - Accent6 9 2 3 2" xfId="21320" xr:uid="{00000000-0005-0000-0000-0000BA230000}"/>
    <cellStyle name="20% - Accent6 9 2 4" xfId="8038" xr:uid="{00000000-0005-0000-0000-0000BB230000}"/>
    <cellStyle name="20% - Accent6 9 2 4 2" xfId="19326" xr:uid="{00000000-0005-0000-0000-0000BC230000}"/>
    <cellStyle name="20% - Accent6 9 2 5" xfId="6044" xr:uid="{00000000-0005-0000-0000-0000BD230000}"/>
    <cellStyle name="20% - Accent6 9 2 5 2" xfId="17332" xr:uid="{00000000-0005-0000-0000-0000BE230000}"/>
    <cellStyle name="20% - Accent6 9 2 6" xfId="15338" xr:uid="{00000000-0005-0000-0000-0000BF230000}"/>
    <cellStyle name="20% - Accent6 9 3" xfId="11029" xr:uid="{00000000-0005-0000-0000-0000C0230000}"/>
    <cellStyle name="20% - Accent6 9 3 2" xfId="22317" xr:uid="{00000000-0005-0000-0000-0000C1230000}"/>
    <cellStyle name="20% - Accent6 9 4" xfId="9035" xr:uid="{00000000-0005-0000-0000-0000C2230000}"/>
    <cellStyle name="20% - Accent6 9 4 2" xfId="20323" xr:uid="{00000000-0005-0000-0000-0000C3230000}"/>
    <cellStyle name="20% - Accent6 9 5" xfId="7041" xr:uid="{00000000-0005-0000-0000-0000C4230000}"/>
    <cellStyle name="20% - Accent6 9 5 2" xfId="18329" xr:uid="{00000000-0005-0000-0000-0000C5230000}"/>
    <cellStyle name="20% - Accent6 9 6" xfId="5047" xr:uid="{00000000-0005-0000-0000-0000C6230000}"/>
    <cellStyle name="20% - Accent6 9 6 2" xfId="16335" xr:uid="{00000000-0005-0000-0000-0000C7230000}"/>
    <cellStyle name="20% - Accent6 9 7" xfId="14341" xr:uid="{00000000-0005-0000-0000-0000C8230000}"/>
    <cellStyle name="20% - Accent6 9 8" xfId="13027" xr:uid="{00000000-0005-0000-0000-0000C9230000}"/>
    <cellStyle name="40% - Accent1 10" xfId="1092" xr:uid="{00000000-0005-0000-0000-0000CA230000}"/>
    <cellStyle name="40% - Accent1 10 2" xfId="4048" xr:uid="{00000000-0005-0000-0000-0000CB230000}"/>
    <cellStyle name="40% - Accent1 10 2 2" xfId="12027" xr:uid="{00000000-0005-0000-0000-0000CC230000}"/>
    <cellStyle name="40% - Accent1 10 2 2 2" xfId="23315" xr:uid="{00000000-0005-0000-0000-0000CD230000}"/>
    <cellStyle name="40% - Accent1 10 2 3" xfId="10033" xr:uid="{00000000-0005-0000-0000-0000CE230000}"/>
    <cellStyle name="40% - Accent1 10 2 3 2" xfId="21321" xr:uid="{00000000-0005-0000-0000-0000CF230000}"/>
    <cellStyle name="40% - Accent1 10 2 4" xfId="8039" xr:uid="{00000000-0005-0000-0000-0000D0230000}"/>
    <cellStyle name="40% - Accent1 10 2 4 2" xfId="19327" xr:uid="{00000000-0005-0000-0000-0000D1230000}"/>
    <cellStyle name="40% - Accent1 10 2 5" xfId="6045" xr:uid="{00000000-0005-0000-0000-0000D2230000}"/>
    <cellStyle name="40% - Accent1 10 2 5 2" xfId="17333" xr:uid="{00000000-0005-0000-0000-0000D3230000}"/>
    <cellStyle name="40% - Accent1 10 2 6" xfId="15339" xr:uid="{00000000-0005-0000-0000-0000D4230000}"/>
    <cellStyle name="40% - Accent1 10 3" xfId="11030" xr:uid="{00000000-0005-0000-0000-0000D5230000}"/>
    <cellStyle name="40% - Accent1 10 3 2" xfId="22318" xr:uid="{00000000-0005-0000-0000-0000D6230000}"/>
    <cellStyle name="40% - Accent1 10 4" xfId="9036" xr:uid="{00000000-0005-0000-0000-0000D7230000}"/>
    <cellStyle name="40% - Accent1 10 4 2" xfId="20324" xr:uid="{00000000-0005-0000-0000-0000D8230000}"/>
    <cellStyle name="40% - Accent1 10 5" xfId="7042" xr:uid="{00000000-0005-0000-0000-0000D9230000}"/>
    <cellStyle name="40% - Accent1 10 5 2" xfId="18330" xr:uid="{00000000-0005-0000-0000-0000DA230000}"/>
    <cellStyle name="40% - Accent1 10 6" xfId="5048" xr:uid="{00000000-0005-0000-0000-0000DB230000}"/>
    <cellStyle name="40% - Accent1 10 6 2" xfId="16336" xr:uid="{00000000-0005-0000-0000-0000DC230000}"/>
    <cellStyle name="40% - Accent1 10 7" xfId="14342" xr:uid="{00000000-0005-0000-0000-0000DD230000}"/>
    <cellStyle name="40% - Accent1 10 8" xfId="13028" xr:uid="{00000000-0005-0000-0000-0000DE230000}"/>
    <cellStyle name="40% - Accent1 11" xfId="1093" xr:uid="{00000000-0005-0000-0000-0000DF230000}"/>
    <cellStyle name="40% - Accent1 11 2" xfId="4049" xr:uid="{00000000-0005-0000-0000-0000E0230000}"/>
    <cellStyle name="40% - Accent1 11 2 2" xfId="12028" xr:uid="{00000000-0005-0000-0000-0000E1230000}"/>
    <cellStyle name="40% - Accent1 11 2 2 2" xfId="23316" xr:uid="{00000000-0005-0000-0000-0000E2230000}"/>
    <cellStyle name="40% - Accent1 11 2 3" xfId="10034" xr:uid="{00000000-0005-0000-0000-0000E3230000}"/>
    <cellStyle name="40% - Accent1 11 2 3 2" xfId="21322" xr:uid="{00000000-0005-0000-0000-0000E4230000}"/>
    <cellStyle name="40% - Accent1 11 2 4" xfId="8040" xr:uid="{00000000-0005-0000-0000-0000E5230000}"/>
    <cellStyle name="40% - Accent1 11 2 4 2" xfId="19328" xr:uid="{00000000-0005-0000-0000-0000E6230000}"/>
    <cellStyle name="40% - Accent1 11 2 5" xfId="6046" xr:uid="{00000000-0005-0000-0000-0000E7230000}"/>
    <cellStyle name="40% - Accent1 11 2 5 2" xfId="17334" xr:uid="{00000000-0005-0000-0000-0000E8230000}"/>
    <cellStyle name="40% - Accent1 11 2 6" xfId="15340" xr:uid="{00000000-0005-0000-0000-0000E9230000}"/>
    <cellStyle name="40% - Accent1 11 3" xfId="11031" xr:uid="{00000000-0005-0000-0000-0000EA230000}"/>
    <cellStyle name="40% - Accent1 11 3 2" xfId="22319" xr:uid="{00000000-0005-0000-0000-0000EB230000}"/>
    <cellStyle name="40% - Accent1 11 4" xfId="9037" xr:uid="{00000000-0005-0000-0000-0000EC230000}"/>
    <cellStyle name="40% - Accent1 11 4 2" xfId="20325" xr:uid="{00000000-0005-0000-0000-0000ED230000}"/>
    <cellStyle name="40% - Accent1 11 5" xfId="7043" xr:uid="{00000000-0005-0000-0000-0000EE230000}"/>
    <cellStyle name="40% - Accent1 11 5 2" xfId="18331" xr:uid="{00000000-0005-0000-0000-0000EF230000}"/>
    <cellStyle name="40% - Accent1 11 6" xfId="5049" xr:uid="{00000000-0005-0000-0000-0000F0230000}"/>
    <cellStyle name="40% - Accent1 11 6 2" xfId="16337" xr:uid="{00000000-0005-0000-0000-0000F1230000}"/>
    <cellStyle name="40% - Accent1 11 7" xfId="14343" xr:uid="{00000000-0005-0000-0000-0000F2230000}"/>
    <cellStyle name="40% - Accent1 11 8" xfId="13029" xr:uid="{00000000-0005-0000-0000-0000F3230000}"/>
    <cellStyle name="40% - Accent1 12" xfId="1094" xr:uid="{00000000-0005-0000-0000-0000F4230000}"/>
    <cellStyle name="40% - Accent1 12 2" xfId="4050" xr:uid="{00000000-0005-0000-0000-0000F5230000}"/>
    <cellStyle name="40% - Accent1 12 2 2" xfId="12029" xr:uid="{00000000-0005-0000-0000-0000F6230000}"/>
    <cellStyle name="40% - Accent1 12 2 2 2" xfId="23317" xr:uid="{00000000-0005-0000-0000-0000F7230000}"/>
    <cellStyle name="40% - Accent1 12 2 3" xfId="10035" xr:uid="{00000000-0005-0000-0000-0000F8230000}"/>
    <cellStyle name="40% - Accent1 12 2 3 2" xfId="21323" xr:uid="{00000000-0005-0000-0000-0000F9230000}"/>
    <cellStyle name="40% - Accent1 12 2 4" xfId="8041" xr:uid="{00000000-0005-0000-0000-0000FA230000}"/>
    <cellStyle name="40% - Accent1 12 2 4 2" xfId="19329" xr:uid="{00000000-0005-0000-0000-0000FB230000}"/>
    <cellStyle name="40% - Accent1 12 2 5" xfId="6047" xr:uid="{00000000-0005-0000-0000-0000FC230000}"/>
    <cellStyle name="40% - Accent1 12 2 5 2" xfId="17335" xr:uid="{00000000-0005-0000-0000-0000FD230000}"/>
    <cellStyle name="40% - Accent1 12 2 6" xfId="15341" xr:uid="{00000000-0005-0000-0000-0000FE230000}"/>
    <cellStyle name="40% - Accent1 12 3" xfId="11032" xr:uid="{00000000-0005-0000-0000-0000FF230000}"/>
    <cellStyle name="40% - Accent1 12 3 2" xfId="22320" xr:uid="{00000000-0005-0000-0000-000000240000}"/>
    <cellStyle name="40% - Accent1 12 4" xfId="9038" xr:uid="{00000000-0005-0000-0000-000001240000}"/>
    <cellStyle name="40% - Accent1 12 4 2" xfId="20326" xr:uid="{00000000-0005-0000-0000-000002240000}"/>
    <cellStyle name="40% - Accent1 12 5" xfId="7044" xr:uid="{00000000-0005-0000-0000-000003240000}"/>
    <cellStyle name="40% - Accent1 12 5 2" xfId="18332" xr:uid="{00000000-0005-0000-0000-000004240000}"/>
    <cellStyle name="40% - Accent1 12 6" xfId="5050" xr:uid="{00000000-0005-0000-0000-000005240000}"/>
    <cellStyle name="40% - Accent1 12 6 2" xfId="16338" xr:uid="{00000000-0005-0000-0000-000006240000}"/>
    <cellStyle name="40% - Accent1 12 7" xfId="14344" xr:uid="{00000000-0005-0000-0000-000007240000}"/>
    <cellStyle name="40% - Accent1 12 8" xfId="13030" xr:uid="{00000000-0005-0000-0000-000008240000}"/>
    <cellStyle name="40% - Accent1 13" xfId="1095" xr:uid="{00000000-0005-0000-0000-000009240000}"/>
    <cellStyle name="40% - Accent1 13 2" xfId="4051" xr:uid="{00000000-0005-0000-0000-00000A240000}"/>
    <cellStyle name="40% - Accent1 13 2 2" xfId="12030" xr:uid="{00000000-0005-0000-0000-00000B240000}"/>
    <cellStyle name="40% - Accent1 13 2 2 2" xfId="23318" xr:uid="{00000000-0005-0000-0000-00000C240000}"/>
    <cellStyle name="40% - Accent1 13 2 3" xfId="10036" xr:uid="{00000000-0005-0000-0000-00000D240000}"/>
    <cellStyle name="40% - Accent1 13 2 3 2" xfId="21324" xr:uid="{00000000-0005-0000-0000-00000E240000}"/>
    <cellStyle name="40% - Accent1 13 2 4" xfId="8042" xr:uid="{00000000-0005-0000-0000-00000F240000}"/>
    <cellStyle name="40% - Accent1 13 2 4 2" xfId="19330" xr:uid="{00000000-0005-0000-0000-000010240000}"/>
    <cellStyle name="40% - Accent1 13 2 5" xfId="6048" xr:uid="{00000000-0005-0000-0000-000011240000}"/>
    <cellStyle name="40% - Accent1 13 2 5 2" xfId="17336" xr:uid="{00000000-0005-0000-0000-000012240000}"/>
    <cellStyle name="40% - Accent1 13 2 6" xfId="15342" xr:uid="{00000000-0005-0000-0000-000013240000}"/>
    <cellStyle name="40% - Accent1 13 3" xfId="11033" xr:uid="{00000000-0005-0000-0000-000014240000}"/>
    <cellStyle name="40% - Accent1 13 3 2" xfId="22321" xr:uid="{00000000-0005-0000-0000-000015240000}"/>
    <cellStyle name="40% - Accent1 13 4" xfId="9039" xr:uid="{00000000-0005-0000-0000-000016240000}"/>
    <cellStyle name="40% - Accent1 13 4 2" xfId="20327" xr:uid="{00000000-0005-0000-0000-000017240000}"/>
    <cellStyle name="40% - Accent1 13 5" xfId="7045" xr:uid="{00000000-0005-0000-0000-000018240000}"/>
    <cellStyle name="40% - Accent1 13 5 2" xfId="18333" xr:uid="{00000000-0005-0000-0000-000019240000}"/>
    <cellStyle name="40% - Accent1 13 6" xfId="5051" xr:uid="{00000000-0005-0000-0000-00001A240000}"/>
    <cellStyle name="40% - Accent1 13 6 2" xfId="16339" xr:uid="{00000000-0005-0000-0000-00001B240000}"/>
    <cellStyle name="40% - Accent1 13 7" xfId="14345" xr:uid="{00000000-0005-0000-0000-00001C240000}"/>
    <cellStyle name="40% - Accent1 13 8" xfId="13031" xr:uid="{00000000-0005-0000-0000-00001D240000}"/>
    <cellStyle name="40% - Accent1 14" xfId="1096" xr:uid="{00000000-0005-0000-0000-00001E240000}"/>
    <cellStyle name="40% - Accent1 14 2" xfId="4052" xr:uid="{00000000-0005-0000-0000-00001F240000}"/>
    <cellStyle name="40% - Accent1 14 2 2" xfId="12031" xr:uid="{00000000-0005-0000-0000-000020240000}"/>
    <cellStyle name="40% - Accent1 14 2 2 2" xfId="23319" xr:uid="{00000000-0005-0000-0000-000021240000}"/>
    <cellStyle name="40% - Accent1 14 2 3" xfId="10037" xr:uid="{00000000-0005-0000-0000-000022240000}"/>
    <cellStyle name="40% - Accent1 14 2 3 2" xfId="21325" xr:uid="{00000000-0005-0000-0000-000023240000}"/>
    <cellStyle name="40% - Accent1 14 2 4" xfId="8043" xr:uid="{00000000-0005-0000-0000-000024240000}"/>
    <cellStyle name="40% - Accent1 14 2 4 2" xfId="19331" xr:uid="{00000000-0005-0000-0000-000025240000}"/>
    <cellStyle name="40% - Accent1 14 2 5" xfId="6049" xr:uid="{00000000-0005-0000-0000-000026240000}"/>
    <cellStyle name="40% - Accent1 14 2 5 2" xfId="17337" xr:uid="{00000000-0005-0000-0000-000027240000}"/>
    <cellStyle name="40% - Accent1 14 2 6" xfId="15343" xr:uid="{00000000-0005-0000-0000-000028240000}"/>
    <cellStyle name="40% - Accent1 14 3" xfId="11034" xr:uid="{00000000-0005-0000-0000-000029240000}"/>
    <cellStyle name="40% - Accent1 14 3 2" xfId="22322" xr:uid="{00000000-0005-0000-0000-00002A240000}"/>
    <cellStyle name="40% - Accent1 14 4" xfId="9040" xr:uid="{00000000-0005-0000-0000-00002B240000}"/>
    <cellStyle name="40% - Accent1 14 4 2" xfId="20328" xr:uid="{00000000-0005-0000-0000-00002C240000}"/>
    <cellStyle name="40% - Accent1 14 5" xfId="7046" xr:uid="{00000000-0005-0000-0000-00002D240000}"/>
    <cellStyle name="40% - Accent1 14 5 2" xfId="18334" xr:uid="{00000000-0005-0000-0000-00002E240000}"/>
    <cellStyle name="40% - Accent1 14 6" xfId="5052" xr:uid="{00000000-0005-0000-0000-00002F240000}"/>
    <cellStyle name="40% - Accent1 14 6 2" xfId="16340" xr:uid="{00000000-0005-0000-0000-000030240000}"/>
    <cellStyle name="40% - Accent1 14 7" xfId="14346" xr:uid="{00000000-0005-0000-0000-000031240000}"/>
    <cellStyle name="40% - Accent1 14 8" xfId="13032" xr:uid="{00000000-0005-0000-0000-000032240000}"/>
    <cellStyle name="40% - Accent1 15" xfId="1097" xr:uid="{00000000-0005-0000-0000-000033240000}"/>
    <cellStyle name="40% - Accent1 15 2" xfId="4053" xr:uid="{00000000-0005-0000-0000-000034240000}"/>
    <cellStyle name="40% - Accent1 15 2 2" xfId="12032" xr:uid="{00000000-0005-0000-0000-000035240000}"/>
    <cellStyle name="40% - Accent1 15 2 2 2" xfId="23320" xr:uid="{00000000-0005-0000-0000-000036240000}"/>
    <cellStyle name="40% - Accent1 15 2 3" xfId="10038" xr:uid="{00000000-0005-0000-0000-000037240000}"/>
    <cellStyle name="40% - Accent1 15 2 3 2" xfId="21326" xr:uid="{00000000-0005-0000-0000-000038240000}"/>
    <cellStyle name="40% - Accent1 15 2 4" xfId="8044" xr:uid="{00000000-0005-0000-0000-000039240000}"/>
    <cellStyle name="40% - Accent1 15 2 4 2" xfId="19332" xr:uid="{00000000-0005-0000-0000-00003A240000}"/>
    <cellStyle name="40% - Accent1 15 2 5" xfId="6050" xr:uid="{00000000-0005-0000-0000-00003B240000}"/>
    <cellStyle name="40% - Accent1 15 2 5 2" xfId="17338" xr:uid="{00000000-0005-0000-0000-00003C240000}"/>
    <cellStyle name="40% - Accent1 15 2 6" xfId="15344" xr:uid="{00000000-0005-0000-0000-00003D240000}"/>
    <cellStyle name="40% - Accent1 15 3" xfId="11035" xr:uid="{00000000-0005-0000-0000-00003E240000}"/>
    <cellStyle name="40% - Accent1 15 3 2" xfId="22323" xr:uid="{00000000-0005-0000-0000-00003F240000}"/>
    <cellStyle name="40% - Accent1 15 4" xfId="9041" xr:uid="{00000000-0005-0000-0000-000040240000}"/>
    <cellStyle name="40% - Accent1 15 4 2" xfId="20329" xr:uid="{00000000-0005-0000-0000-000041240000}"/>
    <cellStyle name="40% - Accent1 15 5" xfId="7047" xr:uid="{00000000-0005-0000-0000-000042240000}"/>
    <cellStyle name="40% - Accent1 15 5 2" xfId="18335" xr:uid="{00000000-0005-0000-0000-000043240000}"/>
    <cellStyle name="40% - Accent1 15 6" xfId="5053" xr:uid="{00000000-0005-0000-0000-000044240000}"/>
    <cellStyle name="40% - Accent1 15 6 2" xfId="16341" xr:uid="{00000000-0005-0000-0000-000045240000}"/>
    <cellStyle name="40% - Accent1 15 7" xfId="14347" xr:uid="{00000000-0005-0000-0000-000046240000}"/>
    <cellStyle name="40% - Accent1 15 8" xfId="13033" xr:uid="{00000000-0005-0000-0000-000047240000}"/>
    <cellStyle name="40% - Accent1 16" xfId="1098" xr:uid="{00000000-0005-0000-0000-000048240000}"/>
    <cellStyle name="40% - Accent1 16 2" xfId="4054" xr:uid="{00000000-0005-0000-0000-000049240000}"/>
    <cellStyle name="40% - Accent1 16 2 2" xfId="12033" xr:uid="{00000000-0005-0000-0000-00004A240000}"/>
    <cellStyle name="40% - Accent1 16 2 2 2" xfId="23321" xr:uid="{00000000-0005-0000-0000-00004B240000}"/>
    <cellStyle name="40% - Accent1 16 2 3" xfId="10039" xr:uid="{00000000-0005-0000-0000-00004C240000}"/>
    <cellStyle name="40% - Accent1 16 2 3 2" xfId="21327" xr:uid="{00000000-0005-0000-0000-00004D240000}"/>
    <cellStyle name="40% - Accent1 16 2 4" xfId="8045" xr:uid="{00000000-0005-0000-0000-00004E240000}"/>
    <cellStyle name="40% - Accent1 16 2 4 2" xfId="19333" xr:uid="{00000000-0005-0000-0000-00004F240000}"/>
    <cellStyle name="40% - Accent1 16 2 5" xfId="6051" xr:uid="{00000000-0005-0000-0000-000050240000}"/>
    <cellStyle name="40% - Accent1 16 2 5 2" xfId="17339" xr:uid="{00000000-0005-0000-0000-000051240000}"/>
    <cellStyle name="40% - Accent1 16 2 6" xfId="15345" xr:uid="{00000000-0005-0000-0000-000052240000}"/>
    <cellStyle name="40% - Accent1 16 3" xfId="11036" xr:uid="{00000000-0005-0000-0000-000053240000}"/>
    <cellStyle name="40% - Accent1 16 3 2" xfId="22324" xr:uid="{00000000-0005-0000-0000-000054240000}"/>
    <cellStyle name="40% - Accent1 16 4" xfId="9042" xr:uid="{00000000-0005-0000-0000-000055240000}"/>
    <cellStyle name="40% - Accent1 16 4 2" xfId="20330" xr:uid="{00000000-0005-0000-0000-000056240000}"/>
    <cellStyle name="40% - Accent1 16 5" xfId="7048" xr:uid="{00000000-0005-0000-0000-000057240000}"/>
    <cellStyle name="40% - Accent1 16 5 2" xfId="18336" xr:uid="{00000000-0005-0000-0000-000058240000}"/>
    <cellStyle name="40% - Accent1 16 6" xfId="5054" xr:uid="{00000000-0005-0000-0000-000059240000}"/>
    <cellStyle name="40% - Accent1 16 6 2" xfId="16342" xr:uid="{00000000-0005-0000-0000-00005A240000}"/>
    <cellStyle name="40% - Accent1 16 7" xfId="14348" xr:uid="{00000000-0005-0000-0000-00005B240000}"/>
    <cellStyle name="40% - Accent1 16 8" xfId="13034" xr:uid="{00000000-0005-0000-0000-00005C240000}"/>
    <cellStyle name="40% - Accent1 17" xfId="1099" xr:uid="{00000000-0005-0000-0000-00005D240000}"/>
    <cellStyle name="40% - Accent1 17 2" xfId="4055" xr:uid="{00000000-0005-0000-0000-00005E240000}"/>
    <cellStyle name="40% - Accent1 17 2 2" xfId="12034" xr:uid="{00000000-0005-0000-0000-00005F240000}"/>
    <cellStyle name="40% - Accent1 17 2 2 2" xfId="23322" xr:uid="{00000000-0005-0000-0000-000060240000}"/>
    <cellStyle name="40% - Accent1 17 2 3" xfId="10040" xr:uid="{00000000-0005-0000-0000-000061240000}"/>
    <cellStyle name="40% - Accent1 17 2 3 2" xfId="21328" xr:uid="{00000000-0005-0000-0000-000062240000}"/>
    <cellStyle name="40% - Accent1 17 2 4" xfId="8046" xr:uid="{00000000-0005-0000-0000-000063240000}"/>
    <cellStyle name="40% - Accent1 17 2 4 2" xfId="19334" xr:uid="{00000000-0005-0000-0000-000064240000}"/>
    <cellStyle name="40% - Accent1 17 2 5" xfId="6052" xr:uid="{00000000-0005-0000-0000-000065240000}"/>
    <cellStyle name="40% - Accent1 17 2 5 2" xfId="17340" xr:uid="{00000000-0005-0000-0000-000066240000}"/>
    <cellStyle name="40% - Accent1 17 2 6" xfId="15346" xr:uid="{00000000-0005-0000-0000-000067240000}"/>
    <cellStyle name="40% - Accent1 17 3" xfId="11037" xr:uid="{00000000-0005-0000-0000-000068240000}"/>
    <cellStyle name="40% - Accent1 17 3 2" xfId="22325" xr:uid="{00000000-0005-0000-0000-000069240000}"/>
    <cellStyle name="40% - Accent1 17 4" xfId="9043" xr:uid="{00000000-0005-0000-0000-00006A240000}"/>
    <cellStyle name="40% - Accent1 17 4 2" xfId="20331" xr:uid="{00000000-0005-0000-0000-00006B240000}"/>
    <cellStyle name="40% - Accent1 17 5" xfId="7049" xr:uid="{00000000-0005-0000-0000-00006C240000}"/>
    <cellStyle name="40% - Accent1 17 5 2" xfId="18337" xr:uid="{00000000-0005-0000-0000-00006D240000}"/>
    <cellStyle name="40% - Accent1 17 6" xfId="5055" xr:uid="{00000000-0005-0000-0000-00006E240000}"/>
    <cellStyle name="40% - Accent1 17 6 2" xfId="16343" xr:uid="{00000000-0005-0000-0000-00006F240000}"/>
    <cellStyle name="40% - Accent1 17 7" xfId="14349" xr:uid="{00000000-0005-0000-0000-000070240000}"/>
    <cellStyle name="40% - Accent1 17 8" xfId="13035" xr:uid="{00000000-0005-0000-0000-000071240000}"/>
    <cellStyle name="40% - Accent1 18" xfId="1100" xr:uid="{00000000-0005-0000-0000-000072240000}"/>
    <cellStyle name="40% - Accent1 18 2" xfId="4056" xr:uid="{00000000-0005-0000-0000-000073240000}"/>
    <cellStyle name="40% - Accent1 18 2 2" xfId="12035" xr:uid="{00000000-0005-0000-0000-000074240000}"/>
    <cellStyle name="40% - Accent1 18 2 2 2" xfId="23323" xr:uid="{00000000-0005-0000-0000-000075240000}"/>
    <cellStyle name="40% - Accent1 18 2 3" xfId="10041" xr:uid="{00000000-0005-0000-0000-000076240000}"/>
    <cellStyle name="40% - Accent1 18 2 3 2" xfId="21329" xr:uid="{00000000-0005-0000-0000-000077240000}"/>
    <cellStyle name="40% - Accent1 18 2 4" xfId="8047" xr:uid="{00000000-0005-0000-0000-000078240000}"/>
    <cellStyle name="40% - Accent1 18 2 4 2" xfId="19335" xr:uid="{00000000-0005-0000-0000-000079240000}"/>
    <cellStyle name="40% - Accent1 18 2 5" xfId="6053" xr:uid="{00000000-0005-0000-0000-00007A240000}"/>
    <cellStyle name="40% - Accent1 18 2 5 2" xfId="17341" xr:uid="{00000000-0005-0000-0000-00007B240000}"/>
    <cellStyle name="40% - Accent1 18 2 6" xfId="15347" xr:uid="{00000000-0005-0000-0000-00007C240000}"/>
    <cellStyle name="40% - Accent1 18 3" xfId="11038" xr:uid="{00000000-0005-0000-0000-00007D240000}"/>
    <cellStyle name="40% - Accent1 18 3 2" xfId="22326" xr:uid="{00000000-0005-0000-0000-00007E240000}"/>
    <cellStyle name="40% - Accent1 18 4" xfId="9044" xr:uid="{00000000-0005-0000-0000-00007F240000}"/>
    <cellStyle name="40% - Accent1 18 4 2" xfId="20332" xr:uid="{00000000-0005-0000-0000-000080240000}"/>
    <cellStyle name="40% - Accent1 18 5" xfId="7050" xr:uid="{00000000-0005-0000-0000-000081240000}"/>
    <cellStyle name="40% - Accent1 18 5 2" xfId="18338" xr:uid="{00000000-0005-0000-0000-000082240000}"/>
    <cellStyle name="40% - Accent1 18 6" xfId="5056" xr:uid="{00000000-0005-0000-0000-000083240000}"/>
    <cellStyle name="40% - Accent1 18 6 2" xfId="16344" xr:uid="{00000000-0005-0000-0000-000084240000}"/>
    <cellStyle name="40% - Accent1 18 7" xfId="14350" xr:uid="{00000000-0005-0000-0000-000085240000}"/>
    <cellStyle name="40% - Accent1 18 8" xfId="13036" xr:uid="{00000000-0005-0000-0000-000086240000}"/>
    <cellStyle name="40% - Accent1 19" xfId="1101" xr:uid="{00000000-0005-0000-0000-000087240000}"/>
    <cellStyle name="40% - Accent1 19 2" xfId="4057" xr:uid="{00000000-0005-0000-0000-000088240000}"/>
    <cellStyle name="40% - Accent1 19 2 2" xfId="12036" xr:uid="{00000000-0005-0000-0000-000089240000}"/>
    <cellStyle name="40% - Accent1 19 2 2 2" xfId="23324" xr:uid="{00000000-0005-0000-0000-00008A240000}"/>
    <cellStyle name="40% - Accent1 19 2 3" xfId="10042" xr:uid="{00000000-0005-0000-0000-00008B240000}"/>
    <cellStyle name="40% - Accent1 19 2 3 2" xfId="21330" xr:uid="{00000000-0005-0000-0000-00008C240000}"/>
    <cellStyle name="40% - Accent1 19 2 4" xfId="8048" xr:uid="{00000000-0005-0000-0000-00008D240000}"/>
    <cellStyle name="40% - Accent1 19 2 4 2" xfId="19336" xr:uid="{00000000-0005-0000-0000-00008E240000}"/>
    <cellStyle name="40% - Accent1 19 2 5" xfId="6054" xr:uid="{00000000-0005-0000-0000-00008F240000}"/>
    <cellStyle name="40% - Accent1 19 2 5 2" xfId="17342" xr:uid="{00000000-0005-0000-0000-000090240000}"/>
    <cellStyle name="40% - Accent1 19 2 6" xfId="15348" xr:uid="{00000000-0005-0000-0000-000091240000}"/>
    <cellStyle name="40% - Accent1 19 3" xfId="11039" xr:uid="{00000000-0005-0000-0000-000092240000}"/>
    <cellStyle name="40% - Accent1 19 3 2" xfId="22327" xr:uid="{00000000-0005-0000-0000-000093240000}"/>
    <cellStyle name="40% - Accent1 19 4" xfId="9045" xr:uid="{00000000-0005-0000-0000-000094240000}"/>
    <cellStyle name="40% - Accent1 19 4 2" xfId="20333" xr:uid="{00000000-0005-0000-0000-000095240000}"/>
    <cellStyle name="40% - Accent1 19 5" xfId="7051" xr:uid="{00000000-0005-0000-0000-000096240000}"/>
    <cellStyle name="40% - Accent1 19 5 2" xfId="18339" xr:uid="{00000000-0005-0000-0000-000097240000}"/>
    <cellStyle name="40% - Accent1 19 6" xfId="5057" xr:uid="{00000000-0005-0000-0000-000098240000}"/>
    <cellStyle name="40% - Accent1 19 6 2" xfId="16345" xr:uid="{00000000-0005-0000-0000-000099240000}"/>
    <cellStyle name="40% - Accent1 19 7" xfId="14351" xr:uid="{00000000-0005-0000-0000-00009A240000}"/>
    <cellStyle name="40% - Accent1 19 8" xfId="13037" xr:uid="{00000000-0005-0000-0000-00009B240000}"/>
    <cellStyle name="40% - Accent1 2" xfId="1102" xr:uid="{00000000-0005-0000-0000-00009C240000}"/>
    <cellStyle name="40% - Accent1 2 10" xfId="24595" xr:uid="{00000000-0005-0000-0000-00009D240000}"/>
    <cellStyle name="40% - Accent1 2 11" xfId="24985" xr:uid="{00000000-0005-0000-0000-00009E240000}"/>
    <cellStyle name="40% - Accent1 2 2" xfId="4058" xr:uid="{00000000-0005-0000-0000-00009F240000}"/>
    <cellStyle name="40% - Accent1 2 2 2" xfId="12037" xr:uid="{00000000-0005-0000-0000-0000A0240000}"/>
    <cellStyle name="40% - Accent1 2 2 2 2" xfId="23325" xr:uid="{00000000-0005-0000-0000-0000A1240000}"/>
    <cellStyle name="40% - Accent1 2 2 3" xfId="10043" xr:uid="{00000000-0005-0000-0000-0000A2240000}"/>
    <cellStyle name="40% - Accent1 2 2 3 2" xfId="21331" xr:uid="{00000000-0005-0000-0000-0000A3240000}"/>
    <cellStyle name="40% - Accent1 2 2 4" xfId="8049" xr:uid="{00000000-0005-0000-0000-0000A4240000}"/>
    <cellStyle name="40% - Accent1 2 2 4 2" xfId="19337" xr:uid="{00000000-0005-0000-0000-0000A5240000}"/>
    <cellStyle name="40% - Accent1 2 2 5" xfId="6055" xr:uid="{00000000-0005-0000-0000-0000A6240000}"/>
    <cellStyle name="40% - Accent1 2 2 5 2" xfId="17343" xr:uid="{00000000-0005-0000-0000-0000A7240000}"/>
    <cellStyle name="40% - Accent1 2 2 6" xfId="15349" xr:uid="{00000000-0005-0000-0000-0000A8240000}"/>
    <cellStyle name="40% - Accent1 2 2 7" xfId="24356" xr:uid="{00000000-0005-0000-0000-0000A9240000}"/>
    <cellStyle name="40% - Accent1 2 2 8" xfId="24820" xr:uid="{00000000-0005-0000-0000-0000AA240000}"/>
    <cellStyle name="40% - Accent1 2 2 9" xfId="25187" xr:uid="{00000000-0005-0000-0000-0000AB240000}"/>
    <cellStyle name="40% - Accent1 2 3" xfId="11040" xr:uid="{00000000-0005-0000-0000-0000AC240000}"/>
    <cellStyle name="40% - Accent1 2 3 2" xfId="22328" xr:uid="{00000000-0005-0000-0000-0000AD240000}"/>
    <cellStyle name="40% - Accent1 2 4" xfId="9046" xr:uid="{00000000-0005-0000-0000-0000AE240000}"/>
    <cellStyle name="40% - Accent1 2 4 2" xfId="20334" xr:uid="{00000000-0005-0000-0000-0000AF240000}"/>
    <cellStyle name="40% - Accent1 2 5" xfId="7052" xr:uid="{00000000-0005-0000-0000-0000B0240000}"/>
    <cellStyle name="40% - Accent1 2 5 2" xfId="18340" xr:uid="{00000000-0005-0000-0000-0000B1240000}"/>
    <cellStyle name="40% - Accent1 2 6" xfId="5058" xr:uid="{00000000-0005-0000-0000-0000B2240000}"/>
    <cellStyle name="40% - Accent1 2 6 2" xfId="16346" xr:uid="{00000000-0005-0000-0000-0000B3240000}"/>
    <cellStyle name="40% - Accent1 2 7" xfId="14352" xr:uid="{00000000-0005-0000-0000-0000B4240000}"/>
    <cellStyle name="40% - Accent1 2 8" xfId="13038" xr:uid="{00000000-0005-0000-0000-0000B5240000}"/>
    <cellStyle name="40% - Accent1 2 9" xfId="23968" xr:uid="{00000000-0005-0000-0000-0000B6240000}"/>
    <cellStyle name="40% - Accent1 20" xfId="1103" xr:uid="{00000000-0005-0000-0000-0000B7240000}"/>
    <cellStyle name="40% - Accent1 20 2" xfId="4059" xr:uid="{00000000-0005-0000-0000-0000B8240000}"/>
    <cellStyle name="40% - Accent1 20 2 2" xfId="12038" xr:uid="{00000000-0005-0000-0000-0000B9240000}"/>
    <cellStyle name="40% - Accent1 20 2 2 2" xfId="23326" xr:uid="{00000000-0005-0000-0000-0000BA240000}"/>
    <cellStyle name="40% - Accent1 20 2 3" xfId="10044" xr:uid="{00000000-0005-0000-0000-0000BB240000}"/>
    <cellStyle name="40% - Accent1 20 2 3 2" xfId="21332" xr:uid="{00000000-0005-0000-0000-0000BC240000}"/>
    <cellStyle name="40% - Accent1 20 2 4" xfId="8050" xr:uid="{00000000-0005-0000-0000-0000BD240000}"/>
    <cellStyle name="40% - Accent1 20 2 4 2" xfId="19338" xr:uid="{00000000-0005-0000-0000-0000BE240000}"/>
    <cellStyle name="40% - Accent1 20 2 5" xfId="6056" xr:uid="{00000000-0005-0000-0000-0000BF240000}"/>
    <cellStyle name="40% - Accent1 20 2 5 2" xfId="17344" xr:uid="{00000000-0005-0000-0000-0000C0240000}"/>
    <cellStyle name="40% - Accent1 20 2 6" xfId="15350" xr:uid="{00000000-0005-0000-0000-0000C1240000}"/>
    <cellStyle name="40% - Accent1 20 3" xfId="11041" xr:uid="{00000000-0005-0000-0000-0000C2240000}"/>
    <cellStyle name="40% - Accent1 20 3 2" xfId="22329" xr:uid="{00000000-0005-0000-0000-0000C3240000}"/>
    <cellStyle name="40% - Accent1 20 4" xfId="9047" xr:uid="{00000000-0005-0000-0000-0000C4240000}"/>
    <cellStyle name="40% - Accent1 20 4 2" xfId="20335" xr:uid="{00000000-0005-0000-0000-0000C5240000}"/>
    <cellStyle name="40% - Accent1 20 5" xfId="7053" xr:uid="{00000000-0005-0000-0000-0000C6240000}"/>
    <cellStyle name="40% - Accent1 20 5 2" xfId="18341" xr:uid="{00000000-0005-0000-0000-0000C7240000}"/>
    <cellStyle name="40% - Accent1 20 6" xfId="5059" xr:uid="{00000000-0005-0000-0000-0000C8240000}"/>
    <cellStyle name="40% - Accent1 20 6 2" xfId="16347" xr:uid="{00000000-0005-0000-0000-0000C9240000}"/>
    <cellStyle name="40% - Accent1 20 7" xfId="14353" xr:uid="{00000000-0005-0000-0000-0000CA240000}"/>
    <cellStyle name="40% - Accent1 20 8" xfId="13039" xr:uid="{00000000-0005-0000-0000-0000CB240000}"/>
    <cellStyle name="40% - Accent1 21" xfId="1104" xr:uid="{00000000-0005-0000-0000-0000CC240000}"/>
    <cellStyle name="40% - Accent1 21 2" xfId="4060" xr:uid="{00000000-0005-0000-0000-0000CD240000}"/>
    <cellStyle name="40% - Accent1 21 2 2" xfId="12039" xr:uid="{00000000-0005-0000-0000-0000CE240000}"/>
    <cellStyle name="40% - Accent1 21 2 2 2" xfId="23327" xr:uid="{00000000-0005-0000-0000-0000CF240000}"/>
    <cellStyle name="40% - Accent1 21 2 3" xfId="10045" xr:uid="{00000000-0005-0000-0000-0000D0240000}"/>
    <cellStyle name="40% - Accent1 21 2 3 2" xfId="21333" xr:uid="{00000000-0005-0000-0000-0000D1240000}"/>
    <cellStyle name="40% - Accent1 21 2 4" xfId="8051" xr:uid="{00000000-0005-0000-0000-0000D2240000}"/>
    <cellStyle name="40% - Accent1 21 2 4 2" xfId="19339" xr:uid="{00000000-0005-0000-0000-0000D3240000}"/>
    <cellStyle name="40% - Accent1 21 2 5" xfId="6057" xr:uid="{00000000-0005-0000-0000-0000D4240000}"/>
    <cellStyle name="40% - Accent1 21 2 5 2" xfId="17345" xr:uid="{00000000-0005-0000-0000-0000D5240000}"/>
    <cellStyle name="40% - Accent1 21 2 6" xfId="15351" xr:uid="{00000000-0005-0000-0000-0000D6240000}"/>
    <cellStyle name="40% - Accent1 21 3" xfId="11042" xr:uid="{00000000-0005-0000-0000-0000D7240000}"/>
    <cellStyle name="40% - Accent1 21 3 2" xfId="22330" xr:uid="{00000000-0005-0000-0000-0000D8240000}"/>
    <cellStyle name="40% - Accent1 21 4" xfId="9048" xr:uid="{00000000-0005-0000-0000-0000D9240000}"/>
    <cellStyle name="40% - Accent1 21 4 2" xfId="20336" xr:uid="{00000000-0005-0000-0000-0000DA240000}"/>
    <cellStyle name="40% - Accent1 21 5" xfId="7054" xr:uid="{00000000-0005-0000-0000-0000DB240000}"/>
    <cellStyle name="40% - Accent1 21 5 2" xfId="18342" xr:uid="{00000000-0005-0000-0000-0000DC240000}"/>
    <cellStyle name="40% - Accent1 21 6" xfId="5060" xr:uid="{00000000-0005-0000-0000-0000DD240000}"/>
    <cellStyle name="40% - Accent1 21 6 2" xfId="16348" xr:uid="{00000000-0005-0000-0000-0000DE240000}"/>
    <cellStyle name="40% - Accent1 21 7" xfId="14354" xr:uid="{00000000-0005-0000-0000-0000DF240000}"/>
    <cellStyle name="40% - Accent1 21 8" xfId="13040" xr:uid="{00000000-0005-0000-0000-0000E0240000}"/>
    <cellStyle name="40% - Accent1 22" xfId="1105" xr:uid="{00000000-0005-0000-0000-0000E1240000}"/>
    <cellStyle name="40% - Accent1 22 2" xfId="4061" xr:uid="{00000000-0005-0000-0000-0000E2240000}"/>
    <cellStyle name="40% - Accent1 22 2 2" xfId="12040" xr:uid="{00000000-0005-0000-0000-0000E3240000}"/>
    <cellStyle name="40% - Accent1 22 2 2 2" xfId="23328" xr:uid="{00000000-0005-0000-0000-0000E4240000}"/>
    <cellStyle name="40% - Accent1 22 2 3" xfId="10046" xr:uid="{00000000-0005-0000-0000-0000E5240000}"/>
    <cellStyle name="40% - Accent1 22 2 3 2" xfId="21334" xr:uid="{00000000-0005-0000-0000-0000E6240000}"/>
    <cellStyle name="40% - Accent1 22 2 4" xfId="8052" xr:uid="{00000000-0005-0000-0000-0000E7240000}"/>
    <cellStyle name="40% - Accent1 22 2 4 2" xfId="19340" xr:uid="{00000000-0005-0000-0000-0000E8240000}"/>
    <cellStyle name="40% - Accent1 22 2 5" xfId="6058" xr:uid="{00000000-0005-0000-0000-0000E9240000}"/>
    <cellStyle name="40% - Accent1 22 2 5 2" xfId="17346" xr:uid="{00000000-0005-0000-0000-0000EA240000}"/>
    <cellStyle name="40% - Accent1 22 2 6" xfId="15352" xr:uid="{00000000-0005-0000-0000-0000EB240000}"/>
    <cellStyle name="40% - Accent1 22 3" xfId="11043" xr:uid="{00000000-0005-0000-0000-0000EC240000}"/>
    <cellStyle name="40% - Accent1 22 3 2" xfId="22331" xr:uid="{00000000-0005-0000-0000-0000ED240000}"/>
    <cellStyle name="40% - Accent1 22 4" xfId="9049" xr:uid="{00000000-0005-0000-0000-0000EE240000}"/>
    <cellStyle name="40% - Accent1 22 4 2" xfId="20337" xr:uid="{00000000-0005-0000-0000-0000EF240000}"/>
    <cellStyle name="40% - Accent1 22 5" xfId="7055" xr:uid="{00000000-0005-0000-0000-0000F0240000}"/>
    <cellStyle name="40% - Accent1 22 5 2" xfId="18343" xr:uid="{00000000-0005-0000-0000-0000F1240000}"/>
    <cellStyle name="40% - Accent1 22 6" xfId="5061" xr:uid="{00000000-0005-0000-0000-0000F2240000}"/>
    <cellStyle name="40% - Accent1 22 6 2" xfId="16349" xr:uid="{00000000-0005-0000-0000-0000F3240000}"/>
    <cellStyle name="40% - Accent1 22 7" xfId="14355" xr:uid="{00000000-0005-0000-0000-0000F4240000}"/>
    <cellStyle name="40% - Accent1 22 8" xfId="13041" xr:uid="{00000000-0005-0000-0000-0000F5240000}"/>
    <cellStyle name="40% - Accent1 23" xfId="1106" xr:uid="{00000000-0005-0000-0000-0000F6240000}"/>
    <cellStyle name="40% - Accent1 23 2" xfId="4062" xr:uid="{00000000-0005-0000-0000-0000F7240000}"/>
    <cellStyle name="40% - Accent1 23 2 2" xfId="12041" xr:uid="{00000000-0005-0000-0000-0000F8240000}"/>
    <cellStyle name="40% - Accent1 23 2 2 2" xfId="23329" xr:uid="{00000000-0005-0000-0000-0000F9240000}"/>
    <cellStyle name="40% - Accent1 23 2 3" xfId="10047" xr:uid="{00000000-0005-0000-0000-0000FA240000}"/>
    <cellStyle name="40% - Accent1 23 2 3 2" xfId="21335" xr:uid="{00000000-0005-0000-0000-0000FB240000}"/>
    <cellStyle name="40% - Accent1 23 2 4" xfId="8053" xr:uid="{00000000-0005-0000-0000-0000FC240000}"/>
    <cellStyle name="40% - Accent1 23 2 4 2" xfId="19341" xr:uid="{00000000-0005-0000-0000-0000FD240000}"/>
    <cellStyle name="40% - Accent1 23 2 5" xfId="6059" xr:uid="{00000000-0005-0000-0000-0000FE240000}"/>
    <cellStyle name="40% - Accent1 23 2 5 2" xfId="17347" xr:uid="{00000000-0005-0000-0000-0000FF240000}"/>
    <cellStyle name="40% - Accent1 23 2 6" xfId="15353" xr:uid="{00000000-0005-0000-0000-000000250000}"/>
    <cellStyle name="40% - Accent1 23 3" xfId="11044" xr:uid="{00000000-0005-0000-0000-000001250000}"/>
    <cellStyle name="40% - Accent1 23 3 2" xfId="22332" xr:uid="{00000000-0005-0000-0000-000002250000}"/>
    <cellStyle name="40% - Accent1 23 4" xfId="9050" xr:uid="{00000000-0005-0000-0000-000003250000}"/>
    <cellStyle name="40% - Accent1 23 4 2" xfId="20338" xr:uid="{00000000-0005-0000-0000-000004250000}"/>
    <cellStyle name="40% - Accent1 23 5" xfId="7056" xr:uid="{00000000-0005-0000-0000-000005250000}"/>
    <cellStyle name="40% - Accent1 23 5 2" xfId="18344" xr:uid="{00000000-0005-0000-0000-000006250000}"/>
    <cellStyle name="40% - Accent1 23 6" xfId="5062" xr:uid="{00000000-0005-0000-0000-000007250000}"/>
    <cellStyle name="40% - Accent1 23 6 2" xfId="16350" xr:uid="{00000000-0005-0000-0000-000008250000}"/>
    <cellStyle name="40% - Accent1 23 7" xfId="14356" xr:uid="{00000000-0005-0000-0000-000009250000}"/>
    <cellStyle name="40% - Accent1 23 8" xfId="13042" xr:uid="{00000000-0005-0000-0000-00000A250000}"/>
    <cellStyle name="40% - Accent1 24" xfId="1107" xr:uid="{00000000-0005-0000-0000-00000B250000}"/>
    <cellStyle name="40% - Accent1 24 2" xfId="4063" xr:uid="{00000000-0005-0000-0000-00000C250000}"/>
    <cellStyle name="40% - Accent1 24 2 2" xfId="12042" xr:uid="{00000000-0005-0000-0000-00000D250000}"/>
    <cellStyle name="40% - Accent1 24 2 2 2" xfId="23330" xr:uid="{00000000-0005-0000-0000-00000E250000}"/>
    <cellStyle name="40% - Accent1 24 2 3" xfId="10048" xr:uid="{00000000-0005-0000-0000-00000F250000}"/>
    <cellStyle name="40% - Accent1 24 2 3 2" xfId="21336" xr:uid="{00000000-0005-0000-0000-000010250000}"/>
    <cellStyle name="40% - Accent1 24 2 4" xfId="8054" xr:uid="{00000000-0005-0000-0000-000011250000}"/>
    <cellStyle name="40% - Accent1 24 2 4 2" xfId="19342" xr:uid="{00000000-0005-0000-0000-000012250000}"/>
    <cellStyle name="40% - Accent1 24 2 5" xfId="6060" xr:uid="{00000000-0005-0000-0000-000013250000}"/>
    <cellStyle name="40% - Accent1 24 2 5 2" xfId="17348" xr:uid="{00000000-0005-0000-0000-000014250000}"/>
    <cellStyle name="40% - Accent1 24 2 6" xfId="15354" xr:uid="{00000000-0005-0000-0000-000015250000}"/>
    <cellStyle name="40% - Accent1 24 3" xfId="11045" xr:uid="{00000000-0005-0000-0000-000016250000}"/>
    <cellStyle name="40% - Accent1 24 3 2" xfId="22333" xr:uid="{00000000-0005-0000-0000-000017250000}"/>
    <cellStyle name="40% - Accent1 24 4" xfId="9051" xr:uid="{00000000-0005-0000-0000-000018250000}"/>
    <cellStyle name="40% - Accent1 24 4 2" xfId="20339" xr:uid="{00000000-0005-0000-0000-000019250000}"/>
    <cellStyle name="40% - Accent1 24 5" xfId="7057" xr:uid="{00000000-0005-0000-0000-00001A250000}"/>
    <cellStyle name="40% - Accent1 24 5 2" xfId="18345" xr:uid="{00000000-0005-0000-0000-00001B250000}"/>
    <cellStyle name="40% - Accent1 24 6" xfId="5063" xr:uid="{00000000-0005-0000-0000-00001C250000}"/>
    <cellStyle name="40% - Accent1 24 6 2" xfId="16351" xr:uid="{00000000-0005-0000-0000-00001D250000}"/>
    <cellStyle name="40% - Accent1 24 7" xfId="14357" xr:uid="{00000000-0005-0000-0000-00001E250000}"/>
    <cellStyle name="40% - Accent1 24 8" xfId="13043" xr:uid="{00000000-0005-0000-0000-00001F250000}"/>
    <cellStyle name="40% - Accent1 25" xfId="1108" xr:uid="{00000000-0005-0000-0000-000020250000}"/>
    <cellStyle name="40% - Accent1 25 2" xfId="4064" xr:uid="{00000000-0005-0000-0000-000021250000}"/>
    <cellStyle name="40% - Accent1 25 2 2" xfId="12043" xr:uid="{00000000-0005-0000-0000-000022250000}"/>
    <cellStyle name="40% - Accent1 25 2 2 2" xfId="23331" xr:uid="{00000000-0005-0000-0000-000023250000}"/>
    <cellStyle name="40% - Accent1 25 2 3" xfId="10049" xr:uid="{00000000-0005-0000-0000-000024250000}"/>
    <cellStyle name="40% - Accent1 25 2 3 2" xfId="21337" xr:uid="{00000000-0005-0000-0000-000025250000}"/>
    <cellStyle name="40% - Accent1 25 2 4" xfId="8055" xr:uid="{00000000-0005-0000-0000-000026250000}"/>
    <cellStyle name="40% - Accent1 25 2 4 2" xfId="19343" xr:uid="{00000000-0005-0000-0000-000027250000}"/>
    <cellStyle name="40% - Accent1 25 2 5" xfId="6061" xr:uid="{00000000-0005-0000-0000-000028250000}"/>
    <cellStyle name="40% - Accent1 25 2 5 2" xfId="17349" xr:uid="{00000000-0005-0000-0000-000029250000}"/>
    <cellStyle name="40% - Accent1 25 2 6" xfId="15355" xr:uid="{00000000-0005-0000-0000-00002A250000}"/>
    <cellStyle name="40% - Accent1 25 3" xfId="11046" xr:uid="{00000000-0005-0000-0000-00002B250000}"/>
    <cellStyle name="40% - Accent1 25 3 2" xfId="22334" xr:uid="{00000000-0005-0000-0000-00002C250000}"/>
    <cellStyle name="40% - Accent1 25 4" xfId="9052" xr:uid="{00000000-0005-0000-0000-00002D250000}"/>
    <cellStyle name="40% - Accent1 25 4 2" xfId="20340" xr:uid="{00000000-0005-0000-0000-00002E250000}"/>
    <cellStyle name="40% - Accent1 25 5" xfId="7058" xr:uid="{00000000-0005-0000-0000-00002F250000}"/>
    <cellStyle name="40% - Accent1 25 5 2" xfId="18346" xr:uid="{00000000-0005-0000-0000-000030250000}"/>
    <cellStyle name="40% - Accent1 25 6" xfId="5064" xr:uid="{00000000-0005-0000-0000-000031250000}"/>
    <cellStyle name="40% - Accent1 25 6 2" xfId="16352" xr:uid="{00000000-0005-0000-0000-000032250000}"/>
    <cellStyle name="40% - Accent1 25 7" xfId="14358" xr:uid="{00000000-0005-0000-0000-000033250000}"/>
    <cellStyle name="40% - Accent1 25 8" xfId="13044" xr:uid="{00000000-0005-0000-0000-000034250000}"/>
    <cellStyle name="40% - Accent1 26" xfId="1109" xr:uid="{00000000-0005-0000-0000-000035250000}"/>
    <cellStyle name="40% - Accent1 26 2" xfId="4065" xr:uid="{00000000-0005-0000-0000-000036250000}"/>
    <cellStyle name="40% - Accent1 26 2 2" xfId="12044" xr:uid="{00000000-0005-0000-0000-000037250000}"/>
    <cellStyle name="40% - Accent1 26 2 2 2" xfId="23332" xr:uid="{00000000-0005-0000-0000-000038250000}"/>
    <cellStyle name="40% - Accent1 26 2 3" xfId="10050" xr:uid="{00000000-0005-0000-0000-000039250000}"/>
    <cellStyle name="40% - Accent1 26 2 3 2" xfId="21338" xr:uid="{00000000-0005-0000-0000-00003A250000}"/>
    <cellStyle name="40% - Accent1 26 2 4" xfId="8056" xr:uid="{00000000-0005-0000-0000-00003B250000}"/>
    <cellStyle name="40% - Accent1 26 2 4 2" xfId="19344" xr:uid="{00000000-0005-0000-0000-00003C250000}"/>
    <cellStyle name="40% - Accent1 26 2 5" xfId="6062" xr:uid="{00000000-0005-0000-0000-00003D250000}"/>
    <cellStyle name="40% - Accent1 26 2 5 2" xfId="17350" xr:uid="{00000000-0005-0000-0000-00003E250000}"/>
    <cellStyle name="40% - Accent1 26 2 6" xfId="15356" xr:uid="{00000000-0005-0000-0000-00003F250000}"/>
    <cellStyle name="40% - Accent1 26 3" xfId="11047" xr:uid="{00000000-0005-0000-0000-000040250000}"/>
    <cellStyle name="40% - Accent1 26 3 2" xfId="22335" xr:uid="{00000000-0005-0000-0000-000041250000}"/>
    <cellStyle name="40% - Accent1 26 4" xfId="9053" xr:uid="{00000000-0005-0000-0000-000042250000}"/>
    <cellStyle name="40% - Accent1 26 4 2" xfId="20341" xr:uid="{00000000-0005-0000-0000-000043250000}"/>
    <cellStyle name="40% - Accent1 26 5" xfId="7059" xr:uid="{00000000-0005-0000-0000-000044250000}"/>
    <cellStyle name="40% - Accent1 26 5 2" xfId="18347" xr:uid="{00000000-0005-0000-0000-000045250000}"/>
    <cellStyle name="40% - Accent1 26 6" xfId="5065" xr:uid="{00000000-0005-0000-0000-000046250000}"/>
    <cellStyle name="40% - Accent1 26 6 2" xfId="16353" xr:uid="{00000000-0005-0000-0000-000047250000}"/>
    <cellStyle name="40% - Accent1 26 7" xfId="14359" xr:uid="{00000000-0005-0000-0000-000048250000}"/>
    <cellStyle name="40% - Accent1 26 8" xfId="13045" xr:uid="{00000000-0005-0000-0000-000049250000}"/>
    <cellStyle name="40% - Accent1 27" xfId="1110" xr:uid="{00000000-0005-0000-0000-00004A250000}"/>
    <cellStyle name="40% - Accent1 27 2" xfId="4066" xr:uid="{00000000-0005-0000-0000-00004B250000}"/>
    <cellStyle name="40% - Accent1 27 2 2" xfId="12045" xr:uid="{00000000-0005-0000-0000-00004C250000}"/>
    <cellStyle name="40% - Accent1 27 2 2 2" xfId="23333" xr:uid="{00000000-0005-0000-0000-00004D250000}"/>
    <cellStyle name="40% - Accent1 27 2 3" xfId="10051" xr:uid="{00000000-0005-0000-0000-00004E250000}"/>
    <cellStyle name="40% - Accent1 27 2 3 2" xfId="21339" xr:uid="{00000000-0005-0000-0000-00004F250000}"/>
    <cellStyle name="40% - Accent1 27 2 4" xfId="8057" xr:uid="{00000000-0005-0000-0000-000050250000}"/>
    <cellStyle name="40% - Accent1 27 2 4 2" xfId="19345" xr:uid="{00000000-0005-0000-0000-000051250000}"/>
    <cellStyle name="40% - Accent1 27 2 5" xfId="6063" xr:uid="{00000000-0005-0000-0000-000052250000}"/>
    <cellStyle name="40% - Accent1 27 2 5 2" xfId="17351" xr:uid="{00000000-0005-0000-0000-000053250000}"/>
    <cellStyle name="40% - Accent1 27 2 6" xfId="15357" xr:uid="{00000000-0005-0000-0000-000054250000}"/>
    <cellStyle name="40% - Accent1 27 3" xfId="11048" xr:uid="{00000000-0005-0000-0000-000055250000}"/>
    <cellStyle name="40% - Accent1 27 3 2" xfId="22336" xr:uid="{00000000-0005-0000-0000-000056250000}"/>
    <cellStyle name="40% - Accent1 27 4" xfId="9054" xr:uid="{00000000-0005-0000-0000-000057250000}"/>
    <cellStyle name="40% - Accent1 27 4 2" xfId="20342" xr:uid="{00000000-0005-0000-0000-000058250000}"/>
    <cellStyle name="40% - Accent1 27 5" xfId="7060" xr:uid="{00000000-0005-0000-0000-000059250000}"/>
    <cellStyle name="40% - Accent1 27 5 2" xfId="18348" xr:uid="{00000000-0005-0000-0000-00005A250000}"/>
    <cellStyle name="40% - Accent1 27 6" xfId="5066" xr:uid="{00000000-0005-0000-0000-00005B250000}"/>
    <cellStyle name="40% - Accent1 27 6 2" xfId="16354" xr:uid="{00000000-0005-0000-0000-00005C250000}"/>
    <cellStyle name="40% - Accent1 27 7" xfId="14360" xr:uid="{00000000-0005-0000-0000-00005D250000}"/>
    <cellStyle name="40% - Accent1 27 8" xfId="13046" xr:uid="{00000000-0005-0000-0000-00005E250000}"/>
    <cellStyle name="40% - Accent1 28" xfId="1111" xr:uid="{00000000-0005-0000-0000-00005F250000}"/>
    <cellStyle name="40% - Accent1 28 2" xfId="4067" xr:uid="{00000000-0005-0000-0000-000060250000}"/>
    <cellStyle name="40% - Accent1 28 2 2" xfId="12046" xr:uid="{00000000-0005-0000-0000-000061250000}"/>
    <cellStyle name="40% - Accent1 28 2 2 2" xfId="23334" xr:uid="{00000000-0005-0000-0000-000062250000}"/>
    <cellStyle name="40% - Accent1 28 2 3" xfId="10052" xr:uid="{00000000-0005-0000-0000-000063250000}"/>
    <cellStyle name="40% - Accent1 28 2 3 2" xfId="21340" xr:uid="{00000000-0005-0000-0000-000064250000}"/>
    <cellStyle name="40% - Accent1 28 2 4" xfId="8058" xr:uid="{00000000-0005-0000-0000-000065250000}"/>
    <cellStyle name="40% - Accent1 28 2 4 2" xfId="19346" xr:uid="{00000000-0005-0000-0000-000066250000}"/>
    <cellStyle name="40% - Accent1 28 2 5" xfId="6064" xr:uid="{00000000-0005-0000-0000-000067250000}"/>
    <cellStyle name="40% - Accent1 28 2 5 2" xfId="17352" xr:uid="{00000000-0005-0000-0000-000068250000}"/>
    <cellStyle name="40% - Accent1 28 2 6" xfId="15358" xr:uid="{00000000-0005-0000-0000-000069250000}"/>
    <cellStyle name="40% - Accent1 28 3" xfId="11049" xr:uid="{00000000-0005-0000-0000-00006A250000}"/>
    <cellStyle name="40% - Accent1 28 3 2" xfId="22337" xr:uid="{00000000-0005-0000-0000-00006B250000}"/>
    <cellStyle name="40% - Accent1 28 4" xfId="9055" xr:uid="{00000000-0005-0000-0000-00006C250000}"/>
    <cellStyle name="40% - Accent1 28 4 2" xfId="20343" xr:uid="{00000000-0005-0000-0000-00006D250000}"/>
    <cellStyle name="40% - Accent1 28 5" xfId="7061" xr:uid="{00000000-0005-0000-0000-00006E250000}"/>
    <cellStyle name="40% - Accent1 28 5 2" xfId="18349" xr:uid="{00000000-0005-0000-0000-00006F250000}"/>
    <cellStyle name="40% - Accent1 28 6" xfId="5067" xr:uid="{00000000-0005-0000-0000-000070250000}"/>
    <cellStyle name="40% - Accent1 28 6 2" xfId="16355" xr:uid="{00000000-0005-0000-0000-000071250000}"/>
    <cellStyle name="40% - Accent1 28 7" xfId="14361" xr:uid="{00000000-0005-0000-0000-000072250000}"/>
    <cellStyle name="40% - Accent1 28 8" xfId="13047" xr:uid="{00000000-0005-0000-0000-000073250000}"/>
    <cellStyle name="40% - Accent1 29" xfId="1112" xr:uid="{00000000-0005-0000-0000-000074250000}"/>
    <cellStyle name="40% - Accent1 29 2" xfId="4068" xr:uid="{00000000-0005-0000-0000-000075250000}"/>
    <cellStyle name="40% - Accent1 29 2 2" xfId="12047" xr:uid="{00000000-0005-0000-0000-000076250000}"/>
    <cellStyle name="40% - Accent1 29 2 2 2" xfId="23335" xr:uid="{00000000-0005-0000-0000-000077250000}"/>
    <cellStyle name="40% - Accent1 29 2 3" xfId="10053" xr:uid="{00000000-0005-0000-0000-000078250000}"/>
    <cellStyle name="40% - Accent1 29 2 3 2" xfId="21341" xr:uid="{00000000-0005-0000-0000-000079250000}"/>
    <cellStyle name="40% - Accent1 29 2 4" xfId="8059" xr:uid="{00000000-0005-0000-0000-00007A250000}"/>
    <cellStyle name="40% - Accent1 29 2 4 2" xfId="19347" xr:uid="{00000000-0005-0000-0000-00007B250000}"/>
    <cellStyle name="40% - Accent1 29 2 5" xfId="6065" xr:uid="{00000000-0005-0000-0000-00007C250000}"/>
    <cellStyle name="40% - Accent1 29 2 5 2" xfId="17353" xr:uid="{00000000-0005-0000-0000-00007D250000}"/>
    <cellStyle name="40% - Accent1 29 2 6" xfId="15359" xr:uid="{00000000-0005-0000-0000-00007E250000}"/>
    <cellStyle name="40% - Accent1 29 3" xfId="11050" xr:uid="{00000000-0005-0000-0000-00007F250000}"/>
    <cellStyle name="40% - Accent1 29 3 2" xfId="22338" xr:uid="{00000000-0005-0000-0000-000080250000}"/>
    <cellStyle name="40% - Accent1 29 4" xfId="9056" xr:uid="{00000000-0005-0000-0000-000081250000}"/>
    <cellStyle name="40% - Accent1 29 4 2" xfId="20344" xr:uid="{00000000-0005-0000-0000-000082250000}"/>
    <cellStyle name="40% - Accent1 29 5" xfId="7062" xr:uid="{00000000-0005-0000-0000-000083250000}"/>
    <cellStyle name="40% - Accent1 29 5 2" xfId="18350" xr:uid="{00000000-0005-0000-0000-000084250000}"/>
    <cellStyle name="40% - Accent1 29 6" xfId="5068" xr:uid="{00000000-0005-0000-0000-000085250000}"/>
    <cellStyle name="40% - Accent1 29 6 2" xfId="16356" xr:uid="{00000000-0005-0000-0000-000086250000}"/>
    <cellStyle name="40% - Accent1 29 7" xfId="14362" xr:uid="{00000000-0005-0000-0000-000087250000}"/>
    <cellStyle name="40% - Accent1 29 8" xfId="13048" xr:uid="{00000000-0005-0000-0000-000088250000}"/>
    <cellStyle name="40% - Accent1 3" xfId="1113" xr:uid="{00000000-0005-0000-0000-000089250000}"/>
    <cellStyle name="40% - Accent1 3 10" xfId="24596" xr:uid="{00000000-0005-0000-0000-00008A250000}"/>
    <cellStyle name="40% - Accent1 3 11" xfId="24986" xr:uid="{00000000-0005-0000-0000-00008B250000}"/>
    <cellStyle name="40% - Accent1 3 2" xfId="4069" xr:uid="{00000000-0005-0000-0000-00008C250000}"/>
    <cellStyle name="40% - Accent1 3 2 2" xfId="12048" xr:uid="{00000000-0005-0000-0000-00008D250000}"/>
    <cellStyle name="40% - Accent1 3 2 2 2" xfId="23336" xr:uid="{00000000-0005-0000-0000-00008E250000}"/>
    <cellStyle name="40% - Accent1 3 2 3" xfId="10054" xr:uid="{00000000-0005-0000-0000-00008F250000}"/>
    <cellStyle name="40% - Accent1 3 2 3 2" xfId="21342" xr:uid="{00000000-0005-0000-0000-000090250000}"/>
    <cellStyle name="40% - Accent1 3 2 4" xfId="8060" xr:uid="{00000000-0005-0000-0000-000091250000}"/>
    <cellStyle name="40% - Accent1 3 2 4 2" xfId="19348" xr:uid="{00000000-0005-0000-0000-000092250000}"/>
    <cellStyle name="40% - Accent1 3 2 5" xfId="6066" xr:uid="{00000000-0005-0000-0000-000093250000}"/>
    <cellStyle name="40% - Accent1 3 2 5 2" xfId="17354" xr:uid="{00000000-0005-0000-0000-000094250000}"/>
    <cellStyle name="40% - Accent1 3 2 6" xfId="15360" xr:uid="{00000000-0005-0000-0000-000095250000}"/>
    <cellStyle name="40% - Accent1 3 2 7" xfId="24357" xr:uid="{00000000-0005-0000-0000-000096250000}"/>
    <cellStyle name="40% - Accent1 3 2 8" xfId="24821" xr:uid="{00000000-0005-0000-0000-000097250000}"/>
    <cellStyle name="40% - Accent1 3 2 9" xfId="25188" xr:uid="{00000000-0005-0000-0000-000098250000}"/>
    <cellStyle name="40% - Accent1 3 3" xfId="11051" xr:uid="{00000000-0005-0000-0000-000099250000}"/>
    <cellStyle name="40% - Accent1 3 3 2" xfId="22339" xr:uid="{00000000-0005-0000-0000-00009A250000}"/>
    <cellStyle name="40% - Accent1 3 4" xfId="9057" xr:uid="{00000000-0005-0000-0000-00009B250000}"/>
    <cellStyle name="40% - Accent1 3 4 2" xfId="20345" xr:uid="{00000000-0005-0000-0000-00009C250000}"/>
    <cellStyle name="40% - Accent1 3 5" xfId="7063" xr:uid="{00000000-0005-0000-0000-00009D250000}"/>
    <cellStyle name="40% - Accent1 3 5 2" xfId="18351" xr:uid="{00000000-0005-0000-0000-00009E250000}"/>
    <cellStyle name="40% - Accent1 3 6" xfId="5069" xr:uid="{00000000-0005-0000-0000-00009F250000}"/>
    <cellStyle name="40% - Accent1 3 6 2" xfId="16357" xr:uid="{00000000-0005-0000-0000-0000A0250000}"/>
    <cellStyle name="40% - Accent1 3 7" xfId="14363" xr:uid="{00000000-0005-0000-0000-0000A1250000}"/>
    <cellStyle name="40% - Accent1 3 8" xfId="13049" xr:uid="{00000000-0005-0000-0000-0000A2250000}"/>
    <cellStyle name="40% - Accent1 3 9" xfId="23969" xr:uid="{00000000-0005-0000-0000-0000A3250000}"/>
    <cellStyle name="40% - Accent1 30" xfId="1114" xr:uid="{00000000-0005-0000-0000-0000A4250000}"/>
    <cellStyle name="40% - Accent1 30 2" xfId="4070" xr:uid="{00000000-0005-0000-0000-0000A5250000}"/>
    <cellStyle name="40% - Accent1 30 2 2" xfId="12049" xr:uid="{00000000-0005-0000-0000-0000A6250000}"/>
    <cellStyle name="40% - Accent1 30 2 2 2" xfId="23337" xr:uid="{00000000-0005-0000-0000-0000A7250000}"/>
    <cellStyle name="40% - Accent1 30 2 3" xfId="10055" xr:uid="{00000000-0005-0000-0000-0000A8250000}"/>
    <cellStyle name="40% - Accent1 30 2 3 2" xfId="21343" xr:uid="{00000000-0005-0000-0000-0000A9250000}"/>
    <cellStyle name="40% - Accent1 30 2 4" xfId="8061" xr:uid="{00000000-0005-0000-0000-0000AA250000}"/>
    <cellStyle name="40% - Accent1 30 2 4 2" xfId="19349" xr:uid="{00000000-0005-0000-0000-0000AB250000}"/>
    <cellStyle name="40% - Accent1 30 2 5" xfId="6067" xr:uid="{00000000-0005-0000-0000-0000AC250000}"/>
    <cellStyle name="40% - Accent1 30 2 5 2" xfId="17355" xr:uid="{00000000-0005-0000-0000-0000AD250000}"/>
    <cellStyle name="40% - Accent1 30 2 6" xfId="15361" xr:uid="{00000000-0005-0000-0000-0000AE250000}"/>
    <cellStyle name="40% - Accent1 30 3" xfId="11052" xr:uid="{00000000-0005-0000-0000-0000AF250000}"/>
    <cellStyle name="40% - Accent1 30 3 2" xfId="22340" xr:uid="{00000000-0005-0000-0000-0000B0250000}"/>
    <cellStyle name="40% - Accent1 30 4" xfId="9058" xr:uid="{00000000-0005-0000-0000-0000B1250000}"/>
    <cellStyle name="40% - Accent1 30 4 2" xfId="20346" xr:uid="{00000000-0005-0000-0000-0000B2250000}"/>
    <cellStyle name="40% - Accent1 30 5" xfId="7064" xr:uid="{00000000-0005-0000-0000-0000B3250000}"/>
    <cellStyle name="40% - Accent1 30 5 2" xfId="18352" xr:uid="{00000000-0005-0000-0000-0000B4250000}"/>
    <cellStyle name="40% - Accent1 30 6" xfId="5070" xr:uid="{00000000-0005-0000-0000-0000B5250000}"/>
    <cellStyle name="40% - Accent1 30 6 2" xfId="16358" xr:uid="{00000000-0005-0000-0000-0000B6250000}"/>
    <cellStyle name="40% - Accent1 30 7" xfId="14364" xr:uid="{00000000-0005-0000-0000-0000B7250000}"/>
    <cellStyle name="40% - Accent1 30 8" xfId="13050" xr:uid="{00000000-0005-0000-0000-0000B8250000}"/>
    <cellStyle name="40% - Accent1 31" xfId="1115" xr:uid="{00000000-0005-0000-0000-0000B9250000}"/>
    <cellStyle name="40% - Accent1 31 2" xfId="4071" xr:uid="{00000000-0005-0000-0000-0000BA250000}"/>
    <cellStyle name="40% - Accent1 31 2 2" xfId="12050" xr:uid="{00000000-0005-0000-0000-0000BB250000}"/>
    <cellStyle name="40% - Accent1 31 2 2 2" xfId="23338" xr:uid="{00000000-0005-0000-0000-0000BC250000}"/>
    <cellStyle name="40% - Accent1 31 2 3" xfId="10056" xr:uid="{00000000-0005-0000-0000-0000BD250000}"/>
    <cellStyle name="40% - Accent1 31 2 3 2" xfId="21344" xr:uid="{00000000-0005-0000-0000-0000BE250000}"/>
    <cellStyle name="40% - Accent1 31 2 4" xfId="8062" xr:uid="{00000000-0005-0000-0000-0000BF250000}"/>
    <cellStyle name="40% - Accent1 31 2 4 2" xfId="19350" xr:uid="{00000000-0005-0000-0000-0000C0250000}"/>
    <cellStyle name="40% - Accent1 31 2 5" xfId="6068" xr:uid="{00000000-0005-0000-0000-0000C1250000}"/>
    <cellStyle name="40% - Accent1 31 2 5 2" xfId="17356" xr:uid="{00000000-0005-0000-0000-0000C2250000}"/>
    <cellStyle name="40% - Accent1 31 2 6" xfId="15362" xr:uid="{00000000-0005-0000-0000-0000C3250000}"/>
    <cellStyle name="40% - Accent1 31 3" xfId="11053" xr:uid="{00000000-0005-0000-0000-0000C4250000}"/>
    <cellStyle name="40% - Accent1 31 3 2" xfId="22341" xr:uid="{00000000-0005-0000-0000-0000C5250000}"/>
    <cellStyle name="40% - Accent1 31 4" xfId="9059" xr:uid="{00000000-0005-0000-0000-0000C6250000}"/>
    <cellStyle name="40% - Accent1 31 4 2" xfId="20347" xr:uid="{00000000-0005-0000-0000-0000C7250000}"/>
    <cellStyle name="40% - Accent1 31 5" xfId="7065" xr:uid="{00000000-0005-0000-0000-0000C8250000}"/>
    <cellStyle name="40% - Accent1 31 5 2" xfId="18353" xr:uid="{00000000-0005-0000-0000-0000C9250000}"/>
    <cellStyle name="40% - Accent1 31 6" xfId="5071" xr:uid="{00000000-0005-0000-0000-0000CA250000}"/>
    <cellStyle name="40% - Accent1 31 6 2" xfId="16359" xr:uid="{00000000-0005-0000-0000-0000CB250000}"/>
    <cellStyle name="40% - Accent1 31 7" xfId="14365" xr:uid="{00000000-0005-0000-0000-0000CC250000}"/>
    <cellStyle name="40% - Accent1 31 8" xfId="13051" xr:uid="{00000000-0005-0000-0000-0000CD250000}"/>
    <cellStyle name="40% - Accent1 32" xfId="1116" xr:uid="{00000000-0005-0000-0000-0000CE250000}"/>
    <cellStyle name="40% - Accent1 32 2" xfId="4072" xr:uid="{00000000-0005-0000-0000-0000CF250000}"/>
    <cellStyle name="40% - Accent1 32 2 2" xfId="12051" xr:uid="{00000000-0005-0000-0000-0000D0250000}"/>
    <cellStyle name="40% - Accent1 32 2 2 2" xfId="23339" xr:uid="{00000000-0005-0000-0000-0000D1250000}"/>
    <cellStyle name="40% - Accent1 32 2 3" xfId="10057" xr:uid="{00000000-0005-0000-0000-0000D2250000}"/>
    <cellStyle name="40% - Accent1 32 2 3 2" xfId="21345" xr:uid="{00000000-0005-0000-0000-0000D3250000}"/>
    <cellStyle name="40% - Accent1 32 2 4" xfId="8063" xr:uid="{00000000-0005-0000-0000-0000D4250000}"/>
    <cellStyle name="40% - Accent1 32 2 4 2" xfId="19351" xr:uid="{00000000-0005-0000-0000-0000D5250000}"/>
    <cellStyle name="40% - Accent1 32 2 5" xfId="6069" xr:uid="{00000000-0005-0000-0000-0000D6250000}"/>
    <cellStyle name="40% - Accent1 32 2 5 2" xfId="17357" xr:uid="{00000000-0005-0000-0000-0000D7250000}"/>
    <cellStyle name="40% - Accent1 32 2 6" xfId="15363" xr:uid="{00000000-0005-0000-0000-0000D8250000}"/>
    <cellStyle name="40% - Accent1 32 3" xfId="11054" xr:uid="{00000000-0005-0000-0000-0000D9250000}"/>
    <cellStyle name="40% - Accent1 32 3 2" xfId="22342" xr:uid="{00000000-0005-0000-0000-0000DA250000}"/>
    <cellStyle name="40% - Accent1 32 4" xfId="9060" xr:uid="{00000000-0005-0000-0000-0000DB250000}"/>
    <cellStyle name="40% - Accent1 32 4 2" xfId="20348" xr:uid="{00000000-0005-0000-0000-0000DC250000}"/>
    <cellStyle name="40% - Accent1 32 5" xfId="7066" xr:uid="{00000000-0005-0000-0000-0000DD250000}"/>
    <cellStyle name="40% - Accent1 32 5 2" xfId="18354" xr:uid="{00000000-0005-0000-0000-0000DE250000}"/>
    <cellStyle name="40% - Accent1 32 6" xfId="5072" xr:uid="{00000000-0005-0000-0000-0000DF250000}"/>
    <cellStyle name="40% - Accent1 32 6 2" xfId="16360" xr:uid="{00000000-0005-0000-0000-0000E0250000}"/>
    <cellStyle name="40% - Accent1 32 7" xfId="14366" xr:uid="{00000000-0005-0000-0000-0000E1250000}"/>
    <cellStyle name="40% - Accent1 32 8" xfId="13052" xr:uid="{00000000-0005-0000-0000-0000E2250000}"/>
    <cellStyle name="40% - Accent1 33" xfId="1117" xr:uid="{00000000-0005-0000-0000-0000E3250000}"/>
    <cellStyle name="40% - Accent1 33 2" xfId="4073" xr:uid="{00000000-0005-0000-0000-0000E4250000}"/>
    <cellStyle name="40% - Accent1 33 2 2" xfId="12052" xr:uid="{00000000-0005-0000-0000-0000E5250000}"/>
    <cellStyle name="40% - Accent1 33 2 2 2" xfId="23340" xr:uid="{00000000-0005-0000-0000-0000E6250000}"/>
    <cellStyle name="40% - Accent1 33 2 3" xfId="10058" xr:uid="{00000000-0005-0000-0000-0000E7250000}"/>
    <cellStyle name="40% - Accent1 33 2 3 2" xfId="21346" xr:uid="{00000000-0005-0000-0000-0000E8250000}"/>
    <cellStyle name="40% - Accent1 33 2 4" xfId="8064" xr:uid="{00000000-0005-0000-0000-0000E9250000}"/>
    <cellStyle name="40% - Accent1 33 2 4 2" xfId="19352" xr:uid="{00000000-0005-0000-0000-0000EA250000}"/>
    <cellStyle name="40% - Accent1 33 2 5" xfId="6070" xr:uid="{00000000-0005-0000-0000-0000EB250000}"/>
    <cellStyle name="40% - Accent1 33 2 5 2" xfId="17358" xr:uid="{00000000-0005-0000-0000-0000EC250000}"/>
    <cellStyle name="40% - Accent1 33 2 6" xfId="15364" xr:uid="{00000000-0005-0000-0000-0000ED250000}"/>
    <cellStyle name="40% - Accent1 33 3" xfId="11055" xr:uid="{00000000-0005-0000-0000-0000EE250000}"/>
    <cellStyle name="40% - Accent1 33 3 2" xfId="22343" xr:uid="{00000000-0005-0000-0000-0000EF250000}"/>
    <cellStyle name="40% - Accent1 33 4" xfId="9061" xr:uid="{00000000-0005-0000-0000-0000F0250000}"/>
    <cellStyle name="40% - Accent1 33 4 2" xfId="20349" xr:uid="{00000000-0005-0000-0000-0000F1250000}"/>
    <cellStyle name="40% - Accent1 33 5" xfId="7067" xr:uid="{00000000-0005-0000-0000-0000F2250000}"/>
    <cellStyle name="40% - Accent1 33 5 2" xfId="18355" xr:uid="{00000000-0005-0000-0000-0000F3250000}"/>
    <cellStyle name="40% - Accent1 33 6" xfId="5073" xr:uid="{00000000-0005-0000-0000-0000F4250000}"/>
    <cellStyle name="40% - Accent1 33 6 2" xfId="16361" xr:uid="{00000000-0005-0000-0000-0000F5250000}"/>
    <cellStyle name="40% - Accent1 33 7" xfId="14367" xr:uid="{00000000-0005-0000-0000-0000F6250000}"/>
    <cellStyle name="40% - Accent1 33 8" xfId="13053" xr:uid="{00000000-0005-0000-0000-0000F7250000}"/>
    <cellStyle name="40% - Accent1 34" xfId="1118" xr:uid="{00000000-0005-0000-0000-0000F8250000}"/>
    <cellStyle name="40% - Accent1 34 2" xfId="4074" xr:uid="{00000000-0005-0000-0000-0000F9250000}"/>
    <cellStyle name="40% - Accent1 34 2 2" xfId="12053" xr:uid="{00000000-0005-0000-0000-0000FA250000}"/>
    <cellStyle name="40% - Accent1 34 2 2 2" xfId="23341" xr:uid="{00000000-0005-0000-0000-0000FB250000}"/>
    <cellStyle name="40% - Accent1 34 2 3" xfId="10059" xr:uid="{00000000-0005-0000-0000-0000FC250000}"/>
    <cellStyle name="40% - Accent1 34 2 3 2" xfId="21347" xr:uid="{00000000-0005-0000-0000-0000FD250000}"/>
    <cellStyle name="40% - Accent1 34 2 4" xfId="8065" xr:uid="{00000000-0005-0000-0000-0000FE250000}"/>
    <cellStyle name="40% - Accent1 34 2 4 2" xfId="19353" xr:uid="{00000000-0005-0000-0000-0000FF250000}"/>
    <cellStyle name="40% - Accent1 34 2 5" xfId="6071" xr:uid="{00000000-0005-0000-0000-000000260000}"/>
    <cellStyle name="40% - Accent1 34 2 5 2" xfId="17359" xr:uid="{00000000-0005-0000-0000-000001260000}"/>
    <cellStyle name="40% - Accent1 34 2 6" xfId="15365" xr:uid="{00000000-0005-0000-0000-000002260000}"/>
    <cellStyle name="40% - Accent1 34 3" xfId="11056" xr:uid="{00000000-0005-0000-0000-000003260000}"/>
    <cellStyle name="40% - Accent1 34 3 2" xfId="22344" xr:uid="{00000000-0005-0000-0000-000004260000}"/>
    <cellStyle name="40% - Accent1 34 4" xfId="9062" xr:uid="{00000000-0005-0000-0000-000005260000}"/>
    <cellStyle name="40% - Accent1 34 4 2" xfId="20350" xr:uid="{00000000-0005-0000-0000-000006260000}"/>
    <cellStyle name="40% - Accent1 34 5" xfId="7068" xr:uid="{00000000-0005-0000-0000-000007260000}"/>
    <cellStyle name="40% - Accent1 34 5 2" xfId="18356" xr:uid="{00000000-0005-0000-0000-000008260000}"/>
    <cellStyle name="40% - Accent1 34 6" xfId="5074" xr:uid="{00000000-0005-0000-0000-000009260000}"/>
    <cellStyle name="40% - Accent1 34 6 2" xfId="16362" xr:uid="{00000000-0005-0000-0000-00000A260000}"/>
    <cellStyle name="40% - Accent1 34 7" xfId="14368" xr:uid="{00000000-0005-0000-0000-00000B260000}"/>
    <cellStyle name="40% - Accent1 34 8" xfId="13054" xr:uid="{00000000-0005-0000-0000-00000C260000}"/>
    <cellStyle name="40% - Accent1 35" xfId="1119" xr:uid="{00000000-0005-0000-0000-00000D260000}"/>
    <cellStyle name="40% - Accent1 35 2" xfId="4075" xr:uid="{00000000-0005-0000-0000-00000E260000}"/>
    <cellStyle name="40% - Accent1 35 2 2" xfId="12054" xr:uid="{00000000-0005-0000-0000-00000F260000}"/>
    <cellStyle name="40% - Accent1 35 2 2 2" xfId="23342" xr:uid="{00000000-0005-0000-0000-000010260000}"/>
    <cellStyle name="40% - Accent1 35 2 3" xfId="10060" xr:uid="{00000000-0005-0000-0000-000011260000}"/>
    <cellStyle name="40% - Accent1 35 2 3 2" xfId="21348" xr:uid="{00000000-0005-0000-0000-000012260000}"/>
    <cellStyle name="40% - Accent1 35 2 4" xfId="8066" xr:uid="{00000000-0005-0000-0000-000013260000}"/>
    <cellStyle name="40% - Accent1 35 2 4 2" xfId="19354" xr:uid="{00000000-0005-0000-0000-000014260000}"/>
    <cellStyle name="40% - Accent1 35 2 5" xfId="6072" xr:uid="{00000000-0005-0000-0000-000015260000}"/>
    <cellStyle name="40% - Accent1 35 2 5 2" xfId="17360" xr:uid="{00000000-0005-0000-0000-000016260000}"/>
    <cellStyle name="40% - Accent1 35 2 6" xfId="15366" xr:uid="{00000000-0005-0000-0000-000017260000}"/>
    <cellStyle name="40% - Accent1 35 3" xfId="11057" xr:uid="{00000000-0005-0000-0000-000018260000}"/>
    <cellStyle name="40% - Accent1 35 3 2" xfId="22345" xr:uid="{00000000-0005-0000-0000-000019260000}"/>
    <cellStyle name="40% - Accent1 35 4" xfId="9063" xr:uid="{00000000-0005-0000-0000-00001A260000}"/>
    <cellStyle name="40% - Accent1 35 4 2" xfId="20351" xr:uid="{00000000-0005-0000-0000-00001B260000}"/>
    <cellStyle name="40% - Accent1 35 5" xfId="7069" xr:uid="{00000000-0005-0000-0000-00001C260000}"/>
    <cellStyle name="40% - Accent1 35 5 2" xfId="18357" xr:uid="{00000000-0005-0000-0000-00001D260000}"/>
    <cellStyle name="40% - Accent1 35 6" xfId="5075" xr:uid="{00000000-0005-0000-0000-00001E260000}"/>
    <cellStyle name="40% - Accent1 35 6 2" xfId="16363" xr:uid="{00000000-0005-0000-0000-00001F260000}"/>
    <cellStyle name="40% - Accent1 35 7" xfId="14369" xr:uid="{00000000-0005-0000-0000-000020260000}"/>
    <cellStyle name="40% - Accent1 35 8" xfId="13055" xr:uid="{00000000-0005-0000-0000-000021260000}"/>
    <cellStyle name="40% - Accent1 36" xfId="1120" xr:uid="{00000000-0005-0000-0000-000022260000}"/>
    <cellStyle name="40% - Accent1 36 2" xfId="4076" xr:uid="{00000000-0005-0000-0000-000023260000}"/>
    <cellStyle name="40% - Accent1 36 2 2" xfId="12055" xr:uid="{00000000-0005-0000-0000-000024260000}"/>
    <cellStyle name="40% - Accent1 36 2 2 2" xfId="23343" xr:uid="{00000000-0005-0000-0000-000025260000}"/>
    <cellStyle name="40% - Accent1 36 2 3" xfId="10061" xr:uid="{00000000-0005-0000-0000-000026260000}"/>
    <cellStyle name="40% - Accent1 36 2 3 2" xfId="21349" xr:uid="{00000000-0005-0000-0000-000027260000}"/>
    <cellStyle name="40% - Accent1 36 2 4" xfId="8067" xr:uid="{00000000-0005-0000-0000-000028260000}"/>
    <cellStyle name="40% - Accent1 36 2 4 2" xfId="19355" xr:uid="{00000000-0005-0000-0000-000029260000}"/>
    <cellStyle name="40% - Accent1 36 2 5" xfId="6073" xr:uid="{00000000-0005-0000-0000-00002A260000}"/>
    <cellStyle name="40% - Accent1 36 2 5 2" xfId="17361" xr:uid="{00000000-0005-0000-0000-00002B260000}"/>
    <cellStyle name="40% - Accent1 36 2 6" xfId="15367" xr:uid="{00000000-0005-0000-0000-00002C260000}"/>
    <cellStyle name="40% - Accent1 36 3" xfId="11058" xr:uid="{00000000-0005-0000-0000-00002D260000}"/>
    <cellStyle name="40% - Accent1 36 3 2" xfId="22346" xr:uid="{00000000-0005-0000-0000-00002E260000}"/>
    <cellStyle name="40% - Accent1 36 4" xfId="9064" xr:uid="{00000000-0005-0000-0000-00002F260000}"/>
    <cellStyle name="40% - Accent1 36 4 2" xfId="20352" xr:uid="{00000000-0005-0000-0000-000030260000}"/>
    <cellStyle name="40% - Accent1 36 5" xfId="7070" xr:uid="{00000000-0005-0000-0000-000031260000}"/>
    <cellStyle name="40% - Accent1 36 5 2" xfId="18358" xr:uid="{00000000-0005-0000-0000-000032260000}"/>
    <cellStyle name="40% - Accent1 36 6" xfId="5076" xr:uid="{00000000-0005-0000-0000-000033260000}"/>
    <cellStyle name="40% - Accent1 36 6 2" xfId="16364" xr:uid="{00000000-0005-0000-0000-000034260000}"/>
    <cellStyle name="40% - Accent1 36 7" xfId="14370" xr:uid="{00000000-0005-0000-0000-000035260000}"/>
    <cellStyle name="40% - Accent1 36 8" xfId="13056" xr:uid="{00000000-0005-0000-0000-000036260000}"/>
    <cellStyle name="40% - Accent1 37" xfId="1121" xr:uid="{00000000-0005-0000-0000-000037260000}"/>
    <cellStyle name="40% - Accent1 37 2" xfId="4077" xr:uid="{00000000-0005-0000-0000-000038260000}"/>
    <cellStyle name="40% - Accent1 37 2 2" xfId="12056" xr:uid="{00000000-0005-0000-0000-000039260000}"/>
    <cellStyle name="40% - Accent1 37 2 2 2" xfId="23344" xr:uid="{00000000-0005-0000-0000-00003A260000}"/>
    <cellStyle name="40% - Accent1 37 2 3" xfId="10062" xr:uid="{00000000-0005-0000-0000-00003B260000}"/>
    <cellStyle name="40% - Accent1 37 2 3 2" xfId="21350" xr:uid="{00000000-0005-0000-0000-00003C260000}"/>
    <cellStyle name="40% - Accent1 37 2 4" xfId="8068" xr:uid="{00000000-0005-0000-0000-00003D260000}"/>
    <cellStyle name="40% - Accent1 37 2 4 2" xfId="19356" xr:uid="{00000000-0005-0000-0000-00003E260000}"/>
    <cellStyle name="40% - Accent1 37 2 5" xfId="6074" xr:uid="{00000000-0005-0000-0000-00003F260000}"/>
    <cellStyle name="40% - Accent1 37 2 5 2" xfId="17362" xr:uid="{00000000-0005-0000-0000-000040260000}"/>
    <cellStyle name="40% - Accent1 37 2 6" xfId="15368" xr:uid="{00000000-0005-0000-0000-000041260000}"/>
    <cellStyle name="40% - Accent1 37 3" xfId="11059" xr:uid="{00000000-0005-0000-0000-000042260000}"/>
    <cellStyle name="40% - Accent1 37 3 2" xfId="22347" xr:uid="{00000000-0005-0000-0000-000043260000}"/>
    <cellStyle name="40% - Accent1 37 4" xfId="9065" xr:uid="{00000000-0005-0000-0000-000044260000}"/>
    <cellStyle name="40% - Accent1 37 4 2" xfId="20353" xr:uid="{00000000-0005-0000-0000-000045260000}"/>
    <cellStyle name="40% - Accent1 37 5" xfId="7071" xr:uid="{00000000-0005-0000-0000-000046260000}"/>
    <cellStyle name="40% - Accent1 37 5 2" xfId="18359" xr:uid="{00000000-0005-0000-0000-000047260000}"/>
    <cellStyle name="40% - Accent1 37 6" xfId="5077" xr:uid="{00000000-0005-0000-0000-000048260000}"/>
    <cellStyle name="40% - Accent1 37 6 2" xfId="16365" xr:uid="{00000000-0005-0000-0000-000049260000}"/>
    <cellStyle name="40% - Accent1 37 7" xfId="14371" xr:uid="{00000000-0005-0000-0000-00004A260000}"/>
    <cellStyle name="40% - Accent1 37 8" xfId="13057" xr:uid="{00000000-0005-0000-0000-00004B260000}"/>
    <cellStyle name="40% - Accent1 38" xfId="1122" xr:uid="{00000000-0005-0000-0000-00004C260000}"/>
    <cellStyle name="40% - Accent1 38 2" xfId="4078" xr:uid="{00000000-0005-0000-0000-00004D260000}"/>
    <cellStyle name="40% - Accent1 38 2 2" xfId="12057" xr:uid="{00000000-0005-0000-0000-00004E260000}"/>
    <cellStyle name="40% - Accent1 38 2 2 2" xfId="23345" xr:uid="{00000000-0005-0000-0000-00004F260000}"/>
    <cellStyle name="40% - Accent1 38 2 3" xfId="10063" xr:uid="{00000000-0005-0000-0000-000050260000}"/>
    <cellStyle name="40% - Accent1 38 2 3 2" xfId="21351" xr:uid="{00000000-0005-0000-0000-000051260000}"/>
    <cellStyle name="40% - Accent1 38 2 4" xfId="8069" xr:uid="{00000000-0005-0000-0000-000052260000}"/>
    <cellStyle name="40% - Accent1 38 2 4 2" xfId="19357" xr:uid="{00000000-0005-0000-0000-000053260000}"/>
    <cellStyle name="40% - Accent1 38 2 5" xfId="6075" xr:uid="{00000000-0005-0000-0000-000054260000}"/>
    <cellStyle name="40% - Accent1 38 2 5 2" xfId="17363" xr:uid="{00000000-0005-0000-0000-000055260000}"/>
    <cellStyle name="40% - Accent1 38 2 6" xfId="15369" xr:uid="{00000000-0005-0000-0000-000056260000}"/>
    <cellStyle name="40% - Accent1 38 3" xfId="11060" xr:uid="{00000000-0005-0000-0000-000057260000}"/>
    <cellStyle name="40% - Accent1 38 3 2" xfId="22348" xr:uid="{00000000-0005-0000-0000-000058260000}"/>
    <cellStyle name="40% - Accent1 38 4" xfId="9066" xr:uid="{00000000-0005-0000-0000-000059260000}"/>
    <cellStyle name="40% - Accent1 38 4 2" xfId="20354" xr:uid="{00000000-0005-0000-0000-00005A260000}"/>
    <cellStyle name="40% - Accent1 38 5" xfId="7072" xr:uid="{00000000-0005-0000-0000-00005B260000}"/>
    <cellStyle name="40% - Accent1 38 5 2" xfId="18360" xr:uid="{00000000-0005-0000-0000-00005C260000}"/>
    <cellStyle name="40% - Accent1 38 6" xfId="5078" xr:uid="{00000000-0005-0000-0000-00005D260000}"/>
    <cellStyle name="40% - Accent1 38 6 2" xfId="16366" xr:uid="{00000000-0005-0000-0000-00005E260000}"/>
    <cellStyle name="40% - Accent1 38 7" xfId="14372" xr:uid="{00000000-0005-0000-0000-00005F260000}"/>
    <cellStyle name="40% - Accent1 38 8" xfId="13058" xr:uid="{00000000-0005-0000-0000-000060260000}"/>
    <cellStyle name="40% - Accent1 39" xfId="1123" xr:uid="{00000000-0005-0000-0000-000061260000}"/>
    <cellStyle name="40% - Accent1 39 2" xfId="4079" xr:uid="{00000000-0005-0000-0000-000062260000}"/>
    <cellStyle name="40% - Accent1 39 2 2" xfId="12058" xr:uid="{00000000-0005-0000-0000-000063260000}"/>
    <cellStyle name="40% - Accent1 39 2 2 2" xfId="23346" xr:uid="{00000000-0005-0000-0000-000064260000}"/>
    <cellStyle name="40% - Accent1 39 2 3" xfId="10064" xr:uid="{00000000-0005-0000-0000-000065260000}"/>
    <cellStyle name="40% - Accent1 39 2 3 2" xfId="21352" xr:uid="{00000000-0005-0000-0000-000066260000}"/>
    <cellStyle name="40% - Accent1 39 2 4" xfId="8070" xr:uid="{00000000-0005-0000-0000-000067260000}"/>
    <cellStyle name="40% - Accent1 39 2 4 2" xfId="19358" xr:uid="{00000000-0005-0000-0000-000068260000}"/>
    <cellStyle name="40% - Accent1 39 2 5" xfId="6076" xr:uid="{00000000-0005-0000-0000-000069260000}"/>
    <cellStyle name="40% - Accent1 39 2 5 2" xfId="17364" xr:uid="{00000000-0005-0000-0000-00006A260000}"/>
    <cellStyle name="40% - Accent1 39 2 6" xfId="15370" xr:uid="{00000000-0005-0000-0000-00006B260000}"/>
    <cellStyle name="40% - Accent1 39 3" xfId="11061" xr:uid="{00000000-0005-0000-0000-00006C260000}"/>
    <cellStyle name="40% - Accent1 39 3 2" xfId="22349" xr:uid="{00000000-0005-0000-0000-00006D260000}"/>
    <cellStyle name="40% - Accent1 39 4" xfId="9067" xr:uid="{00000000-0005-0000-0000-00006E260000}"/>
    <cellStyle name="40% - Accent1 39 4 2" xfId="20355" xr:uid="{00000000-0005-0000-0000-00006F260000}"/>
    <cellStyle name="40% - Accent1 39 5" xfId="7073" xr:uid="{00000000-0005-0000-0000-000070260000}"/>
    <cellStyle name="40% - Accent1 39 5 2" xfId="18361" xr:uid="{00000000-0005-0000-0000-000071260000}"/>
    <cellStyle name="40% - Accent1 39 6" xfId="5079" xr:uid="{00000000-0005-0000-0000-000072260000}"/>
    <cellStyle name="40% - Accent1 39 6 2" xfId="16367" xr:uid="{00000000-0005-0000-0000-000073260000}"/>
    <cellStyle name="40% - Accent1 39 7" xfId="14373" xr:uid="{00000000-0005-0000-0000-000074260000}"/>
    <cellStyle name="40% - Accent1 39 8" xfId="13059" xr:uid="{00000000-0005-0000-0000-000075260000}"/>
    <cellStyle name="40% - Accent1 4" xfId="1124" xr:uid="{00000000-0005-0000-0000-000076260000}"/>
    <cellStyle name="40% - Accent1 4 10" xfId="24597" xr:uid="{00000000-0005-0000-0000-000077260000}"/>
    <cellStyle name="40% - Accent1 4 11" xfId="24987" xr:uid="{00000000-0005-0000-0000-000078260000}"/>
    <cellStyle name="40% - Accent1 4 2" xfId="4080" xr:uid="{00000000-0005-0000-0000-000079260000}"/>
    <cellStyle name="40% - Accent1 4 2 2" xfId="12059" xr:uid="{00000000-0005-0000-0000-00007A260000}"/>
    <cellStyle name="40% - Accent1 4 2 2 2" xfId="23347" xr:uid="{00000000-0005-0000-0000-00007B260000}"/>
    <cellStyle name="40% - Accent1 4 2 3" xfId="10065" xr:uid="{00000000-0005-0000-0000-00007C260000}"/>
    <cellStyle name="40% - Accent1 4 2 3 2" xfId="21353" xr:uid="{00000000-0005-0000-0000-00007D260000}"/>
    <cellStyle name="40% - Accent1 4 2 4" xfId="8071" xr:uid="{00000000-0005-0000-0000-00007E260000}"/>
    <cellStyle name="40% - Accent1 4 2 4 2" xfId="19359" xr:uid="{00000000-0005-0000-0000-00007F260000}"/>
    <cellStyle name="40% - Accent1 4 2 5" xfId="6077" xr:uid="{00000000-0005-0000-0000-000080260000}"/>
    <cellStyle name="40% - Accent1 4 2 5 2" xfId="17365" xr:uid="{00000000-0005-0000-0000-000081260000}"/>
    <cellStyle name="40% - Accent1 4 2 6" xfId="15371" xr:uid="{00000000-0005-0000-0000-000082260000}"/>
    <cellStyle name="40% - Accent1 4 2 7" xfId="24358" xr:uid="{00000000-0005-0000-0000-000083260000}"/>
    <cellStyle name="40% - Accent1 4 2 8" xfId="24822" xr:uid="{00000000-0005-0000-0000-000084260000}"/>
    <cellStyle name="40% - Accent1 4 2 9" xfId="25189" xr:uid="{00000000-0005-0000-0000-000085260000}"/>
    <cellStyle name="40% - Accent1 4 3" xfId="11062" xr:uid="{00000000-0005-0000-0000-000086260000}"/>
    <cellStyle name="40% - Accent1 4 3 2" xfId="22350" xr:uid="{00000000-0005-0000-0000-000087260000}"/>
    <cellStyle name="40% - Accent1 4 4" xfId="9068" xr:uid="{00000000-0005-0000-0000-000088260000}"/>
    <cellStyle name="40% - Accent1 4 4 2" xfId="20356" xr:uid="{00000000-0005-0000-0000-000089260000}"/>
    <cellStyle name="40% - Accent1 4 5" xfId="7074" xr:uid="{00000000-0005-0000-0000-00008A260000}"/>
    <cellStyle name="40% - Accent1 4 5 2" xfId="18362" xr:uid="{00000000-0005-0000-0000-00008B260000}"/>
    <cellStyle name="40% - Accent1 4 6" xfId="5080" xr:uid="{00000000-0005-0000-0000-00008C260000}"/>
    <cellStyle name="40% - Accent1 4 6 2" xfId="16368" xr:uid="{00000000-0005-0000-0000-00008D260000}"/>
    <cellStyle name="40% - Accent1 4 7" xfId="14374" xr:uid="{00000000-0005-0000-0000-00008E260000}"/>
    <cellStyle name="40% - Accent1 4 8" xfId="13060" xr:uid="{00000000-0005-0000-0000-00008F260000}"/>
    <cellStyle name="40% - Accent1 4 9" xfId="23970" xr:uid="{00000000-0005-0000-0000-000090260000}"/>
    <cellStyle name="40% - Accent1 40" xfId="1125" xr:uid="{00000000-0005-0000-0000-000091260000}"/>
    <cellStyle name="40% - Accent1 40 2" xfId="4081" xr:uid="{00000000-0005-0000-0000-000092260000}"/>
    <cellStyle name="40% - Accent1 40 2 2" xfId="12060" xr:uid="{00000000-0005-0000-0000-000093260000}"/>
    <cellStyle name="40% - Accent1 40 2 2 2" xfId="23348" xr:uid="{00000000-0005-0000-0000-000094260000}"/>
    <cellStyle name="40% - Accent1 40 2 3" xfId="10066" xr:uid="{00000000-0005-0000-0000-000095260000}"/>
    <cellStyle name="40% - Accent1 40 2 3 2" xfId="21354" xr:uid="{00000000-0005-0000-0000-000096260000}"/>
    <cellStyle name="40% - Accent1 40 2 4" xfId="8072" xr:uid="{00000000-0005-0000-0000-000097260000}"/>
    <cellStyle name="40% - Accent1 40 2 4 2" xfId="19360" xr:uid="{00000000-0005-0000-0000-000098260000}"/>
    <cellStyle name="40% - Accent1 40 2 5" xfId="6078" xr:uid="{00000000-0005-0000-0000-000099260000}"/>
    <cellStyle name="40% - Accent1 40 2 5 2" xfId="17366" xr:uid="{00000000-0005-0000-0000-00009A260000}"/>
    <cellStyle name="40% - Accent1 40 2 6" xfId="15372" xr:uid="{00000000-0005-0000-0000-00009B260000}"/>
    <cellStyle name="40% - Accent1 40 3" xfId="11063" xr:uid="{00000000-0005-0000-0000-00009C260000}"/>
    <cellStyle name="40% - Accent1 40 3 2" xfId="22351" xr:uid="{00000000-0005-0000-0000-00009D260000}"/>
    <cellStyle name="40% - Accent1 40 4" xfId="9069" xr:uid="{00000000-0005-0000-0000-00009E260000}"/>
    <cellStyle name="40% - Accent1 40 4 2" xfId="20357" xr:uid="{00000000-0005-0000-0000-00009F260000}"/>
    <cellStyle name="40% - Accent1 40 5" xfId="7075" xr:uid="{00000000-0005-0000-0000-0000A0260000}"/>
    <cellStyle name="40% - Accent1 40 5 2" xfId="18363" xr:uid="{00000000-0005-0000-0000-0000A1260000}"/>
    <cellStyle name="40% - Accent1 40 6" xfId="5081" xr:uid="{00000000-0005-0000-0000-0000A2260000}"/>
    <cellStyle name="40% - Accent1 40 6 2" xfId="16369" xr:uid="{00000000-0005-0000-0000-0000A3260000}"/>
    <cellStyle name="40% - Accent1 40 7" xfId="14375" xr:uid="{00000000-0005-0000-0000-0000A4260000}"/>
    <cellStyle name="40% - Accent1 40 8" xfId="13061" xr:uid="{00000000-0005-0000-0000-0000A5260000}"/>
    <cellStyle name="40% - Accent1 41" xfId="1126" xr:uid="{00000000-0005-0000-0000-0000A6260000}"/>
    <cellStyle name="40% - Accent1 41 2" xfId="4082" xr:uid="{00000000-0005-0000-0000-0000A7260000}"/>
    <cellStyle name="40% - Accent1 41 2 2" xfId="12061" xr:uid="{00000000-0005-0000-0000-0000A8260000}"/>
    <cellStyle name="40% - Accent1 41 2 2 2" xfId="23349" xr:uid="{00000000-0005-0000-0000-0000A9260000}"/>
    <cellStyle name="40% - Accent1 41 2 3" xfId="10067" xr:uid="{00000000-0005-0000-0000-0000AA260000}"/>
    <cellStyle name="40% - Accent1 41 2 3 2" xfId="21355" xr:uid="{00000000-0005-0000-0000-0000AB260000}"/>
    <cellStyle name="40% - Accent1 41 2 4" xfId="8073" xr:uid="{00000000-0005-0000-0000-0000AC260000}"/>
    <cellStyle name="40% - Accent1 41 2 4 2" xfId="19361" xr:uid="{00000000-0005-0000-0000-0000AD260000}"/>
    <cellStyle name="40% - Accent1 41 2 5" xfId="6079" xr:uid="{00000000-0005-0000-0000-0000AE260000}"/>
    <cellStyle name="40% - Accent1 41 2 5 2" xfId="17367" xr:uid="{00000000-0005-0000-0000-0000AF260000}"/>
    <cellStyle name="40% - Accent1 41 2 6" xfId="15373" xr:uid="{00000000-0005-0000-0000-0000B0260000}"/>
    <cellStyle name="40% - Accent1 41 3" xfId="11064" xr:uid="{00000000-0005-0000-0000-0000B1260000}"/>
    <cellStyle name="40% - Accent1 41 3 2" xfId="22352" xr:uid="{00000000-0005-0000-0000-0000B2260000}"/>
    <cellStyle name="40% - Accent1 41 4" xfId="9070" xr:uid="{00000000-0005-0000-0000-0000B3260000}"/>
    <cellStyle name="40% - Accent1 41 4 2" xfId="20358" xr:uid="{00000000-0005-0000-0000-0000B4260000}"/>
    <cellStyle name="40% - Accent1 41 5" xfId="7076" xr:uid="{00000000-0005-0000-0000-0000B5260000}"/>
    <cellStyle name="40% - Accent1 41 5 2" xfId="18364" xr:uid="{00000000-0005-0000-0000-0000B6260000}"/>
    <cellStyle name="40% - Accent1 41 6" xfId="5082" xr:uid="{00000000-0005-0000-0000-0000B7260000}"/>
    <cellStyle name="40% - Accent1 41 6 2" xfId="16370" xr:uid="{00000000-0005-0000-0000-0000B8260000}"/>
    <cellStyle name="40% - Accent1 41 7" xfId="14376" xr:uid="{00000000-0005-0000-0000-0000B9260000}"/>
    <cellStyle name="40% - Accent1 41 8" xfId="13062" xr:uid="{00000000-0005-0000-0000-0000BA260000}"/>
    <cellStyle name="40% - Accent1 42" xfId="1127" xr:uid="{00000000-0005-0000-0000-0000BB260000}"/>
    <cellStyle name="40% - Accent1 42 2" xfId="4083" xr:uid="{00000000-0005-0000-0000-0000BC260000}"/>
    <cellStyle name="40% - Accent1 42 2 2" xfId="12062" xr:uid="{00000000-0005-0000-0000-0000BD260000}"/>
    <cellStyle name="40% - Accent1 42 2 2 2" xfId="23350" xr:uid="{00000000-0005-0000-0000-0000BE260000}"/>
    <cellStyle name="40% - Accent1 42 2 3" xfId="10068" xr:uid="{00000000-0005-0000-0000-0000BF260000}"/>
    <cellStyle name="40% - Accent1 42 2 3 2" xfId="21356" xr:uid="{00000000-0005-0000-0000-0000C0260000}"/>
    <cellStyle name="40% - Accent1 42 2 4" xfId="8074" xr:uid="{00000000-0005-0000-0000-0000C1260000}"/>
    <cellStyle name="40% - Accent1 42 2 4 2" xfId="19362" xr:uid="{00000000-0005-0000-0000-0000C2260000}"/>
    <cellStyle name="40% - Accent1 42 2 5" xfId="6080" xr:uid="{00000000-0005-0000-0000-0000C3260000}"/>
    <cellStyle name="40% - Accent1 42 2 5 2" xfId="17368" xr:uid="{00000000-0005-0000-0000-0000C4260000}"/>
    <cellStyle name="40% - Accent1 42 2 6" xfId="15374" xr:uid="{00000000-0005-0000-0000-0000C5260000}"/>
    <cellStyle name="40% - Accent1 42 3" xfId="11065" xr:uid="{00000000-0005-0000-0000-0000C6260000}"/>
    <cellStyle name="40% - Accent1 42 3 2" xfId="22353" xr:uid="{00000000-0005-0000-0000-0000C7260000}"/>
    <cellStyle name="40% - Accent1 42 4" xfId="9071" xr:uid="{00000000-0005-0000-0000-0000C8260000}"/>
    <cellStyle name="40% - Accent1 42 4 2" xfId="20359" xr:uid="{00000000-0005-0000-0000-0000C9260000}"/>
    <cellStyle name="40% - Accent1 42 5" xfId="7077" xr:uid="{00000000-0005-0000-0000-0000CA260000}"/>
    <cellStyle name="40% - Accent1 42 5 2" xfId="18365" xr:uid="{00000000-0005-0000-0000-0000CB260000}"/>
    <cellStyle name="40% - Accent1 42 6" xfId="5083" xr:uid="{00000000-0005-0000-0000-0000CC260000}"/>
    <cellStyle name="40% - Accent1 42 6 2" xfId="16371" xr:uid="{00000000-0005-0000-0000-0000CD260000}"/>
    <cellStyle name="40% - Accent1 42 7" xfId="14377" xr:uid="{00000000-0005-0000-0000-0000CE260000}"/>
    <cellStyle name="40% - Accent1 42 8" xfId="13063" xr:uid="{00000000-0005-0000-0000-0000CF260000}"/>
    <cellStyle name="40% - Accent1 43" xfId="1128" xr:uid="{00000000-0005-0000-0000-0000D0260000}"/>
    <cellStyle name="40% - Accent1 43 2" xfId="4084" xr:uid="{00000000-0005-0000-0000-0000D1260000}"/>
    <cellStyle name="40% - Accent1 43 2 2" xfId="12063" xr:uid="{00000000-0005-0000-0000-0000D2260000}"/>
    <cellStyle name="40% - Accent1 43 2 2 2" xfId="23351" xr:uid="{00000000-0005-0000-0000-0000D3260000}"/>
    <cellStyle name="40% - Accent1 43 2 3" xfId="10069" xr:uid="{00000000-0005-0000-0000-0000D4260000}"/>
    <cellStyle name="40% - Accent1 43 2 3 2" xfId="21357" xr:uid="{00000000-0005-0000-0000-0000D5260000}"/>
    <cellStyle name="40% - Accent1 43 2 4" xfId="8075" xr:uid="{00000000-0005-0000-0000-0000D6260000}"/>
    <cellStyle name="40% - Accent1 43 2 4 2" xfId="19363" xr:uid="{00000000-0005-0000-0000-0000D7260000}"/>
    <cellStyle name="40% - Accent1 43 2 5" xfId="6081" xr:uid="{00000000-0005-0000-0000-0000D8260000}"/>
    <cellStyle name="40% - Accent1 43 2 5 2" xfId="17369" xr:uid="{00000000-0005-0000-0000-0000D9260000}"/>
    <cellStyle name="40% - Accent1 43 2 6" xfId="15375" xr:uid="{00000000-0005-0000-0000-0000DA260000}"/>
    <cellStyle name="40% - Accent1 43 3" xfId="11066" xr:uid="{00000000-0005-0000-0000-0000DB260000}"/>
    <cellStyle name="40% - Accent1 43 3 2" xfId="22354" xr:uid="{00000000-0005-0000-0000-0000DC260000}"/>
    <cellStyle name="40% - Accent1 43 4" xfId="9072" xr:uid="{00000000-0005-0000-0000-0000DD260000}"/>
    <cellStyle name="40% - Accent1 43 4 2" xfId="20360" xr:uid="{00000000-0005-0000-0000-0000DE260000}"/>
    <cellStyle name="40% - Accent1 43 5" xfId="7078" xr:uid="{00000000-0005-0000-0000-0000DF260000}"/>
    <cellStyle name="40% - Accent1 43 5 2" xfId="18366" xr:uid="{00000000-0005-0000-0000-0000E0260000}"/>
    <cellStyle name="40% - Accent1 43 6" xfId="5084" xr:uid="{00000000-0005-0000-0000-0000E1260000}"/>
    <cellStyle name="40% - Accent1 43 6 2" xfId="16372" xr:uid="{00000000-0005-0000-0000-0000E2260000}"/>
    <cellStyle name="40% - Accent1 43 7" xfId="14378" xr:uid="{00000000-0005-0000-0000-0000E3260000}"/>
    <cellStyle name="40% - Accent1 43 8" xfId="13064" xr:uid="{00000000-0005-0000-0000-0000E4260000}"/>
    <cellStyle name="40% - Accent1 44" xfId="1129" xr:uid="{00000000-0005-0000-0000-0000E5260000}"/>
    <cellStyle name="40% - Accent1 44 2" xfId="4085" xr:uid="{00000000-0005-0000-0000-0000E6260000}"/>
    <cellStyle name="40% - Accent1 44 2 2" xfId="12064" xr:uid="{00000000-0005-0000-0000-0000E7260000}"/>
    <cellStyle name="40% - Accent1 44 2 2 2" xfId="23352" xr:uid="{00000000-0005-0000-0000-0000E8260000}"/>
    <cellStyle name="40% - Accent1 44 2 3" xfId="10070" xr:uid="{00000000-0005-0000-0000-0000E9260000}"/>
    <cellStyle name="40% - Accent1 44 2 3 2" xfId="21358" xr:uid="{00000000-0005-0000-0000-0000EA260000}"/>
    <cellStyle name="40% - Accent1 44 2 4" xfId="8076" xr:uid="{00000000-0005-0000-0000-0000EB260000}"/>
    <cellStyle name="40% - Accent1 44 2 4 2" xfId="19364" xr:uid="{00000000-0005-0000-0000-0000EC260000}"/>
    <cellStyle name="40% - Accent1 44 2 5" xfId="6082" xr:uid="{00000000-0005-0000-0000-0000ED260000}"/>
    <cellStyle name="40% - Accent1 44 2 5 2" xfId="17370" xr:uid="{00000000-0005-0000-0000-0000EE260000}"/>
    <cellStyle name="40% - Accent1 44 2 6" xfId="15376" xr:uid="{00000000-0005-0000-0000-0000EF260000}"/>
    <cellStyle name="40% - Accent1 44 3" xfId="11067" xr:uid="{00000000-0005-0000-0000-0000F0260000}"/>
    <cellStyle name="40% - Accent1 44 3 2" xfId="22355" xr:uid="{00000000-0005-0000-0000-0000F1260000}"/>
    <cellStyle name="40% - Accent1 44 4" xfId="9073" xr:uid="{00000000-0005-0000-0000-0000F2260000}"/>
    <cellStyle name="40% - Accent1 44 4 2" xfId="20361" xr:uid="{00000000-0005-0000-0000-0000F3260000}"/>
    <cellStyle name="40% - Accent1 44 5" xfId="7079" xr:uid="{00000000-0005-0000-0000-0000F4260000}"/>
    <cellStyle name="40% - Accent1 44 5 2" xfId="18367" xr:uid="{00000000-0005-0000-0000-0000F5260000}"/>
    <cellStyle name="40% - Accent1 44 6" xfId="5085" xr:uid="{00000000-0005-0000-0000-0000F6260000}"/>
    <cellStyle name="40% - Accent1 44 6 2" xfId="16373" xr:uid="{00000000-0005-0000-0000-0000F7260000}"/>
    <cellStyle name="40% - Accent1 44 7" xfId="14379" xr:uid="{00000000-0005-0000-0000-0000F8260000}"/>
    <cellStyle name="40% - Accent1 44 8" xfId="13065" xr:uid="{00000000-0005-0000-0000-0000F9260000}"/>
    <cellStyle name="40% - Accent1 45" xfId="1130" xr:uid="{00000000-0005-0000-0000-0000FA260000}"/>
    <cellStyle name="40% - Accent1 45 2" xfId="4086" xr:uid="{00000000-0005-0000-0000-0000FB260000}"/>
    <cellStyle name="40% - Accent1 45 2 2" xfId="12065" xr:uid="{00000000-0005-0000-0000-0000FC260000}"/>
    <cellStyle name="40% - Accent1 45 2 2 2" xfId="23353" xr:uid="{00000000-0005-0000-0000-0000FD260000}"/>
    <cellStyle name="40% - Accent1 45 2 3" xfId="10071" xr:uid="{00000000-0005-0000-0000-0000FE260000}"/>
    <cellStyle name="40% - Accent1 45 2 3 2" xfId="21359" xr:uid="{00000000-0005-0000-0000-0000FF260000}"/>
    <cellStyle name="40% - Accent1 45 2 4" xfId="8077" xr:uid="{00000000-0005-0000-0000-000000270000}"/>
    <cellStyle name="40% - Accent1 45 2 4 2" xfId="19365" xr:uid="{00000000-0005-0000-0000-000001270000}"/>
    <cellStyle name="40% - Accent1 45 2 5" xfId="6083" xr:uid="{00000000-0005-0000-0000-000002270000}"/>
    <cellStyle name="40% - Accent1 45 2 5 2" xfId="17371" xr:uid="{00000000-0005-0000-0000-000003270000}"/>
    <cellStyle name="40% - Accent1 45 2 6" xfId="15377" xr:uid="{00000000-0005-0000-0000-000004270000}"/>
    <cellStyle name="40% - Accent1 45 3" xfId="11068" xr:uid="{00000000-0005-0000-0000-000005270000}"/>
    <cellStyle name="40% - Accent1 45 3 2" xfId="22356" xr:uid="{00000000-0005-0000-0000-000006270000}"/>
    <cellStyle name="40% - Accent1 45 4" xfId="9074" xr:uid="{00000000-0005-0000-0000-000007270000}"/>
    <cellStyle name="40% - Accent1 45 4 2" xfId="20362" xr:uid="{00000000-0005-0000-0000-000008270000}"/>
    <cellStyle name="40% - Accent1 45 5" xfId="7080" xr:uid="{00000000-0005-0000-0000-000009270000}"/>
    <cellStyle name="40% - Accent1 45 5 2" xfId="18368" xr:uid="{00000000-0005-0000-0000-00000A270000}"/>
    <cellStyle name="40% - Accent1 45 6" xfId="5086" xr:uid="{00000000-0005-0000-0000-00000B270000}"/>
    <cellStyle name="40% - Accent1 45 6 2" xfId="16374" xr:uid="{00000000-0005-0000-0000-00000C270000}"/>
    <cellStyle name="40% - Accent1 45 7" xfId="14380" xr:uid="{00000000-0005-0000-0000-00000D270000}"/>
    <cellStyle name="40% - Accent1 45 8" xfId="13066" xr:uid="{00000000-0005-0000-0000-00000E270000}"/>
    <cellStyle name="40% - Accent1 46" xfId="1131" xr:uid="{00000000-0005-0000-0000-00000F270000}"/>
    <cellStyle name="40% - Accent1 46 2" xfId="4087" xr:uid="{00000000-0005-0000-0000-000010270000}"/>
    <cellStyle name="40% - Accent1 46 2 2" xfId="12066" xr:uid="{00000000-0005-0000-0000-000011270000}"/>
    <cellStyle name="40% - Accent1 46 2 2 2" xfId="23354" xr:uid="{00000000-0005-0000-0000-000012270000}"/>
    <cellStyle name="40% - Accent1 46 2 3" xfId="10072" xr:uid="{00000000-0005-0000-0000-000013270000}"/>
    <cellStyle name="40% - Accent1 46 2 3 2" xfId="21360" xr:uid="{00000000-0005-0000-0000-000014270000}"/>
    <cellStyle name="40% - Accent1 46 2 4" xfId="8078" xr:uid="{00000000-0005-0000-0000-000015270000}"/>
    <cellStyle name="40% - Accent1 46 2 4 2" xfId="19366" xr:uid="{00000000-0005-0000-0000-000016270000}"/>
    <cellStyle name="40% - Accent1 46 2 5" xfId="6084" xr:uid="{00000000-0005-0000-0000-000017270000}"/>
    <cellStyle name="40% - Accent1 46 2 5 2" xfId="17372" xr:uid="{00000000-0005-0000-0000-000018270000}"/>
    <cellStyle name="40% - Accent1 46 2 6" xfId="15378" xr:uid="{00000000-0005-0000-0000-000019270000}"/>
    <cellStyle name="40% - Accent1 46 3" xfId="11069" xr:uid="{00000000-0005-0000-0000-00001A270000}"/>
    <cellStyle name="40% - Accent1 46 3 2" xfId="22357" xr:uid="{00000000-0005-0000-0000-00001B270000}"/>
    <cellStyle name="40% - Accent1 46 4" xfId="9075" xr:uid="{00000000-0005-0000-0000-00001C270000}"/>
    <cellStyle name="40% - Accent1 46 4 2" xfId="20363" xr:uid="{00000000-0005-0000-0000-00001D270000}"/>
    <cellStyle name="40% - Accent1 46 5" xfId="7081" xr:uid="{00000000-0005-0000-0000-00001E270000}"/>
    <cellStyle name="40% - Accent1 46 5 2" xfId="18369" xr:uid="{00000000-0005-0000-0000-00001F270000}"/>
    <cellStyle name="40% - Accent1 46 6" xfId="5087" xr:uid="{00000000-0005-0000-0000-000020270000}"/>
    <cellStyle name="40% - Accent1 46 6 2" xfId="16375" xr:uid="{00000000-0005-0000-0000-000021270000}"/>
    <cellStyle name="40% - Accent1 46 7" xfId="14381" xr:uid="{00000000-0005-0000-0000-000022270000}"/>
    <cellStyle name="40% - Accent1 46 8" xfId="13067" xr:uid="{00000000-0005-0000-0000-000023270000}"/>
    <cellStyle name="40% - Accent1 47" xfId="1132" xr:uid="{00000000-0005-0000-0000-000024270000}"/>
    <cellStyle name="40% - Accent1 47 2" xfId="4088" xr:uid="{00000000-0005-0000-0000-000025270000}"/>
    <cellStyle name="40% - Accent1 47 2 2" xfId="12067" xr:uid="{00000000-0005-0000-0000-000026270000}"/>
    <cellStyle name="40% - Accent1 47 2 2 2" xfId="23355" xr:uid="{00000000-0005-0000-0000-000027270000}"/>
    <cellStyle name="40% - Accent1 47 2 3" xfId="10073" xr:uid="{00000000-0005-0000-0000-000028270000}"/>
    <cellStyle name="40% - Accent1 47 2 3 2" xfId="21361" xr:uid="{00000000-0005-0000-0000-000029270000}"/>
    <cellStyle name="40% - Accent1 47 2 4" xfId="8079" xr:uid="{00000000-0005-0000-0000-00002A270000}"/>
    <cellStyle name="40% - Accent1 47 2 4 2" xfId="19367" xr:uid="{00000000-0005-0000-0000-00002B270000}"/>
    <cellStyle name="40% - Accent1 47 2 5" xfId="6085" xr:uid="{00000000-0005-0000-0000-00002C270000}"/>
    <cellStyle name="40% - Accent1 47 2 5 2" xfId="17373" xr:uid="{00000000-0005-0000-0000-00002D270000}"/>
    <cellStyle name="40% - Accent1 47 2 6" xfId="15379" xr:uid="{00000000-0005-0000-0000-00002E270000}"/>
    <cellStyle name="40% - Accent1 47 3" xfId="11070" xr:uid="{00000000-0005-0000-0000-00002F270000}"/>
    <cellStyle name="40% - Accent1 47 3 2" xfId="22358" xr:uid="{00000000-0005-0000-0000-000030270000}"/>
    <cellStyle name="40% - Accent1 47 4" xfId="9076" xr:uid="{00000000-0005-0000-0000-000031270000}"/>
    <cellStyle name="40% - Accent1 47 4 2" xfId="20364" xr:uid="{00000000-0005-0000-0000-000032270000}"/>
    <cellStyle name="40% - Accent1 47 5" xfId="7082" xr:uid="{00000000-0005-0000-0000-000033270000}"/>
    <cellStyle name="40% - Accent1 47 5 2" xfId="18370" xr:uid="{00000000-0005-0000-0000-000034270000}"/>
    <cellStyle name="40% - Accent1 47 6" xfId="5088" xr:uid="{00000000-0005-0000-0000-000035270000}"/>
    <cellStyle name="40% - Accent1 47 6 2" xfId="16376" xr:uid="{00000000-0005-0000-0000-000036270000}"/>
    <cellStyle name="40% - Accent1 47 7" xfId="14382" xr:uid="{00000000-0005-0000-0000-000037270000}"/>
    <cellStyle name="40% - Accent1 47 8" xfId="13068" xr:uid="{00000000-0005-0000-0000-000038270000}"/>
    <cellStyle name="40% - Accent1 48" xfId="1133" xr:uid="{00000000-0005-0000-0000-000039270000}"/>
    <cellStyle name="40% - Accent1 48 2" xfId="4089" xr:uid="{00000000-0005-0000-0000-00003A270000}"/>
    <cellStyle name="40% - Accent1 48 2 2" xfId="12068" xr:uid="{00000000-0005-0000-0000-00003B270000}"/>
    <cellStyle name="40% - Accent1 48 2 2 2" xfId="23356" xr:uid="{00000000-0005-0000-0000-00003C270000}"/>
    <cellStyle name="40% - Accent1 48 2 3" xfId="10074" xr:uid="{00000000-0005-0000-0000-00003D270000}"/>
    <cellStyle name="40% - Accent1 48 2 3 2" xfId="21362" xr:uid="{00000000-0005-0000-0000-00003E270000}"/>
    <cellStyle name="40% - Accent1 48 2 4" xfId="8080" xr:uid="{00000000-0005-0000-0000-00003F270000}"/>
    <cellStyle name="40% - Accent1 48 2 4 2" xfId="19368" xr:uid="{00000000-0005-0000-0000-000040270000}"/>
    <cellStyle name="40% - Accent1 48 2 5" xfId="6086" xr:uid="{00000000-0005-0000-0000-000041270000}"/>
    <cellStyle name="40% - Accent1 48 2 5 2" xfId="17374" xr:uid="{00000000-0005-0000-0000-000042270000}"/>
    <cellStyle name="40% - Accent1 48 2 6" xfId="15380" xr:uid="{00000000-0005-0000-0000-000043270000}"/>
    <cellStyle name="40% - Accent1 48 3" xfId="11071" xr:uid="{00000000-0005-0000-0000-000044270000}"/>
    <cellStyle name="40% - Accent1 48 3 2" xfId="22359" xr:uid="{00000000-0005-0000-0000-000045270000}"/>
    <cellStyle name="40% - Accent1 48 4" xfId="9077" xr:uid="{00000000-0005-0000-0000-000046270000}"/>
    <cellStyle name="40% - Accent1 48 4 2" xfId="20365" xr:uid="{00000000-0005-0000-0000-000047270000}"/>
    <cellStyle name="40% - Accent1 48 5" xfId="7083" xr:uid="{00000000-0005-0000-0000-000048270000}"/>
    <cellStyle name="40% - Accent1 48 5 2" xfId="18371" xr:uid="{00000000-0005-0000-0000-000049270000}"/>
    <cellStyle name="40% - Accent1 48 6" xfId="5089" xr:uid="{00000000-0005-0000-0000-00004A270000}"/>
    <cellStyle name="40% - Accent1 48 6 2" xfId="16377" xr:uid="{00000000-0005-0000-0000-00004B270000}"/>
    <cellStyle name="40% - Accent1 48 7" xfId="14383" xr:uid="{00000000-0005-0000-0000-00004C270000}"/>
    <cellStyle name="40% - Accent1 48 8" xfId="13069" xr:uid="{00000000-0005-0000-0000-00004D270000}"/>
    <cellStyle name="40% - Accent1 49" xfId="1134" xr:uid="{00000000-0005-0000-0000-00004E270000}"/>
    <cellStyle name="40% - Accent1 49 2" xfId="4090" xr:uid="{00000000-0005-0000-0000-00004F270000}"/>
    <cellStyle name="40% - Accent1 49 2 2" xfId="12069" xr:uid="{00000000-0005-0000-0000-000050270000}"/>
    <cellStyle name="40% - Accent1 49 2 2 2" xfId="23357" xr:uid="{00000000-0005-0000-0000-000051270000}"/>
    <cellStyle name="40% - Accent1 49 2 3" xfId="10075" xr:uid="{00000000-0005-0000-0000-000052270000}"/>
    <cellStyle name="40% - Accent1 49 2 3 2" xfId="21363" xr:uid="{00000000-0005-0000-0000-000053270000}"/>
    <cellStyle name="40% - Accent1 49 2 4" xfId="8081" xr:uid="{00000000-0005-0000-0000-000054270000}"/>
    <cellStyle name="40% - Accent1 49 2 4 2" xfId="19369" xr:uid="{00000000-0005-0000-0000-000055270000}"/>
    <cellStyle name="40% - Accent1 49 2 5" xfId="6087" xr:uid="{00000000-0005-0000-0000-000056270000}"/>
    <cellStyle name="40% - Accent1 49 2 5 2" xfId="17375" xr:uid="{00000000-0005-0000-0000-000057270000}"/>
    <cellStyle name="40% - Accent1 49 2 6" xfId="15381" xr:uid="{00000000-0005-0000-0000-000058270000}"/>
    <cellStyle name="40% - Accent1 49 3" xfId="11072" xr:uid="{00000000-0005-0000-0000-000059270000}"/>
    <cellStyle name="40% - Accent1 49 3 2" xfId="22360" xr:uid="{00000000-0005-0000-0000-00005A270000}"/>
    <cellStyle name="40% - Accent1 49 4" xfId="9078" xr:uid="{00000000-0005-0000-0000-00005B270000}"/>
    <cellStyle name="40% - Accent1 49 4 2" xfId="20366" xr:uid="{00000000-0005-0000-0000-00005C270000}"/>
    <cellStyle name="40% - Accent1 49 5" xfId="7084" xr:uid="{00000000-0005-0000-0000-00005D270000}"/>
    <cellStyle name="40% - Accent1 49 5 2" xfId="18372" xr:uid="{00000000-0005-0000-0000-00005E270000}"/>
    <cellStyle name="40% - Accent1 49 6" xfId="5090" xr:uid="{00000000-0005-0000-0000-00005F270000}"/>
    <cellStyle name="40% - Accent1 49 6 2" xfId="16378" xr:uid="{00000000-0005-0000-0000-000060270000}"/>
    <cellStyle name="40% - Accent1 49 7" xfId="14384" xr:uid="{00000000-0005-0000-0000-000061270000}"/>
    <cellStyle name="40% - Accent1 49 8" xfId="13070" xr:uid="{00000000-0005-0000-0000-000062270000}"/>
    <cellStyle name="40% - Accent1 5" xfId="1135" xr:uid="{00000000-0005-0000-0000-000063270000}"/>
    <cellStyle name="40% - Accent1 5 10" xfId="24598" xr:uid="{00000000-0005-0000-0000-000064270000}"/>
    <cellStyle name="40% - Accent1 5 11" xfId="24988" xr:uid="{00000000-0005-0000-0000-000065270000}"/>
    <cellStyle name="40% - Accent1 5 2" xfId="4091" xr:uid="{00000000-0005-0000-0000-000066270000}"/>
    <cellStyle name="40% - Accent1 5 2 2" xfId="12070" xr:uid="{00000000-0005-0000-0000-000067270000}"/>
    <cellStyle name="40% - Accent1 5 2 2 2" xfId="23358" xr:uid="{00000000-0005-0000-0000-000068270000}"/>
    <cellStyle name="40% - Accent1 5 2 3" xfId="10076" xr:uid="{00000000-0005-0000-0000-000069270000}"/>
    <cellStyle name="40% - Accent1 5 2 3 2" xfId="21364" xr:uid="{00000000-0005-0000-0000-00006A270000}"/>
    <cellStyle name="40% - Accent1 5 2 4" xfId="8082" xr:uid="{00000000-0005-0000-0000-00006B270000}"/>
    <cellStyle name="40% - Accent1 5 2 4 2" xfId="19370" xr:uid="{00000000-0005-0000-0000-00006C270000}"/>
    <cellStyle name="40% - Accent1 5 2 5" xfId="6088" xr:uid="{00000000-0005-0000-0000-00006D270000}"/>
    <cellStyle name="40% - Accent1 5 2 5 2" xfId="17376" xr:uid="{00000000-0005-0000-0000-00006E270000}"/>
    <cellStyle name="40% - Accent1 5 2 6" xfId="15382" xr:uid="{00000000-0005-0000-0000-00006F270000}"/>
    <cellStyle name="40% - Accent1 5 2 7" xfId="24359" xr:uid="{00000000-0005-0000-0000-000070270000}"/>
    <cellStyle name="40% - Accent1 5 2 8" xfId="24823" xr:uid="{00000000-0005-0000-0000-000071270000}"/>
    <cellStyle name="40% - Accent1 5 2 9" xfId="25190" xr:uid="{00000000-0005-0000-0000-000072270000}"/>
    <cellStyle name="40% - Accent1 5 3" xfId="11073" xr:uid="{00000000-0005-0000-0000-000073270000}"/>
    <cellStyle name="40% - Accent1 5 3 2" xfId="22361" xr:uid="{00000000-0005-0000-0000-000074270000}"/>
    <cellStyle name="40% - Accent1 5 4" xfId="9079" xr:uid="{00000000-0005-0000-0000-000075270000}"/>
    <cellStyle name="40% - Accent1 5 4 2" xfId="20367" xr:uid="{00000000-0005-0000-0000-000076270000}"/>
    <cellStyle name="40% - Accent1 5 5" xfId="7085" xr:uid="{00000000-0005-0000-0000-000077270000}"/>
    <cellStyle name="40% - Accent1 5 5 2" xfId="18373" xr:uid="{00000000-0005-0000-0000-000078270000}"/>
    <cellStyle name="40% - Accent1 5 6" xfId="5091" xr:uid="{00000000-0005-0000-0000-000079270000}"/>
    <cellStyle name="40% - Accent1 5 6 2" xfId="16379" xr:uid="{00000000-0005-0000-0000-00007A270000}"/>
    <cellStyle name="40% - Accent1 5 7" xfId="14385" xr:uid="{00000000-0005-0000-0000-00007B270000}"/>
    <cellStyle name="40% - Accent1 5 8" xfId="13071" xr:uid="{00000000-0005-0000-0000-00007C270000}"/>
    <cellStyle name="40% - Accent1 5 9" xfId="23971" xr:uid="{00000000-0005-0000-0000-00007D270000}"/>
    <cellStyle name="40% - Accent1 50" xfId="1136" xr:uid="{00000000-0005-0000-0000-00007E270000}"/>
    <cellStyle name="40% - Accent1 50 2" xfId="4092" xr:uid="{00000000-0005-0000-0000-00007F270000}"/>
    <cellStyle name="40% - Accent1 50 2 2" xfId="12071" xr:uid="{00000000-0005-0000-0000-000080270000}"/>
    <cellStyle name="40% - Accent1 50 2 2 2" xfId="23359" xr:uid="{00000000-0005-0000-0000-000081270000}"/>
    <cellStyle name="40% - Accent1 50 2 3" xfId="10077" xr:uid="{00000000-0005-0000-0000-000082270000}"/>
    <cellStyle name="40% - Accent1 50 2 3 2" xfId="21365" xr:uid="{00000000-0005-0000-0000-000083270000}"/>
    <cellStyle name="40% - Accent1 50 2 4" xfId="8083" xr:uid="{00000000-0005-0000-0000-000084270000}"/>
    <cellStyle name="40% - Accent1 50 2 4 2" xfId="19371" xr:uid="{00000000-0005-0000-0000-000085270000}"/>
    <cellStyle name="40% - Accent1 50 2 5" xfId="6089" xr:uid="{00000000-0005-0000-0000-000086270000}"/>
    <cellStyle name="40% - Accent1 50 2 5 2" xfId="17377" xr:uid="{00000000-0005-0000-0000-000087270000}"/>
    <cellStyle name="40% - Accent1 50 2 6" xfId="15383" xr:uid="{00000000-0005-0000-0000-000088270000}"/>
    <cellStyle name="40% - Accent1 50 3" xfId="11074" xr:uid="{00000000-0005-0000-0000-000089270000}"/>
    <cellStyle name="40% - Accent1 50 3 2" xfId="22362" xr:uid="{00000000-0005-0000-0000-00008A270000}"/>
    <cellStyle name="40% - Accent1 50 4" xfId="9080" xr:uid="{00000000-0005-0000-0000-00008B270000}"/>
    <cellStyle name="40% - Accent1 50 4 2" xfId="20368" xr:uid="{00000000-0005-0000-0000-00008C270000}"/>
    <cellStyle name="40% - Accent1 50 5" xfId="7086" xr:uid="{00000000-0005-0000-0000-00008D270000}"/>
    <cellStyle name="40% - Accent1 50 5 2" xfId="18374" xr:uid="{00000000-0005-0000-0000-00008E270000}"/>
    <cellStyle name="40% - Accent1 50 6" xfId="5092" xr:uid="{00000000-0005-0000-0000-00008F270000}"/>
    <cellStyle name="40% - Accent1 50 6 2" xfId="16380" xr:uid="{00000000-0005-0000-0000-000090270000}"/>
    <cellStyle name="40% - Accent1 50 7" xfId="14386" xr:uid="{00000000-0005-0000-0000-000091270000}"/>
    <cellStyle name="40% - Accent1 50 8" xfId="13072" xr:uid="{00000000-0005-0000-0000-000092270000}"/>
    <cellStyle name="40% - Accent1 51" xfId="1137" xr:uid="{00000000-0005-0000-0000-000093270000}"/>
    <cellStyle name="40% - Accent1 51 2" xfId="4093" xr:uid="{00000000-0005-0000-0000-000094270000}"/>
    <cellStyle name="40% - Accent1 51 2 2" xfId="12072" xr:uid="{00000000-0005-0000-0000-000095270000}"/>
    <cellStyle name="40% - Accent1 51 2 2 2" xfId="23360" xr:uid="{00000000-0005-0000-0000-000096270000}"/>
    <cellStyle name="40% - Accent1 51 2 3" xfId="10078" xr:uid="{00000000-0005-0000-0000-000097270000}"/>
    <cellStyle name="40% - Accent1 51 2 3 2" xfId="21366" xr:uid="{00000000-0005-0000-0000-000098270000}"/>
    <cellStyle name="40% - Accent1 51 2 4" xfId="8084" xr:uid="{00000000-0005-0000-0000-000099270000}"/>
    <cellStyle name="40% - Accent1 51 2 4 2" xfId="19372" xr:uid="{00000000-0005-0000-0000-00009A270000}"/>
    <cellStyle name="40% - Accent1 51 2 5" xfId="6090" xr:uid="{00000000-0005-0000-0000-00009B270000}"/>
    <cellStyle name="40% - Accent1 51 2 5 2" xfId="17378" xr:uid="{00000000-0005-0000-0000-00009C270000}"/>
    <cellStyle name="40% - Accent1 51 2 6" xfId="15384" xr:uid="{00000000-0005-0000-0000-00009D270000}"/>
    <cellStyle name="40% - Accent1 51 3" xfId="11075" xr:uid="{00000000-0005-0000-0000-00009E270000}"/>
    <cellStyle name="40% - Accent1 51 3 2" xfId="22363" xr:uid="{00000000-0005-0000-0000-00009F270000}"/>
    <cellStyle name="40% - Accent1 51 4" xfId="9081" xr:uid="{00000000-0005-0000-0000-0000A0270000}"/>
    <cellStyle name="40% - Accent1 51 4 2" xfId="20369" xr:uid="{00000000-0005-0000-0000-0000A1270000}"/>
    <cellStyle name="40% - Accent1 51 5" xfId="7087" xr:uid="{00000000-0005-0000-0000-0000A2270000}"/>
    <cellStyle name="40% - Accent1 51 5 2" xfId="18375" xr:uid="{00000000-0005-0000-0000-0000A3270000}"/>
    <cellStyle name="40% - Accent1 51 6" xfId="5093" xr:uid="{00000000-0005-0000-0000-0000A4270000}"/>
    <cellStyle name="40% - Accent1 51 6 2" xfId="16381" xr:uid="{00000000-0005-0000-0000-0000A5270000}"/>
    <cellStyle name="40% - Accent1 51 7" xfId="14387" xr:uid="{00000000-0005-0000-0000-0000A6270000}"/>
    <cellStyle name="40% - Accent1 51 8" xfId="13073" xr:uid="{00000000-0005-0000-0000-0000A7270000}"/>
    <cellStyle name="40% - Accent1 52" xfId="1138" xr:uid="{00000000-0005-0000-0000-0000A8270000}"/>
    <cellStyle name="40% - Accent1 52 2" xfId="4094" xr:uid="{00000000-0005-0000-0000-0000A9270000}"/>
    <cellStyle name="40% - Accent1 52 2 2" xfId="12073" xr:uid="{00000000-0005-0000-0000-0000AA270000}"/>
    <cellStyle name="40% - Accent1 52 2 2 2" xfId="23361" xr:uid="{00000000-0005-0000-0000-0000AB270000}"/>
    <cellStyle name="40% - Accent1 52 2 3" xfId="10079" xr:uid="{00000000-0005-0000-0000-0000AC270000}"/>
    <cellStyle name="40% - Accent1 52 2 3 2" xfId="21367" xr:uid="{00000000-0005-0000-0000-0000AD270000}"/>
    <cellStyle name="40% - Accent1 52 2 4" xfId="8085" xr:uid="{00000000-0005-0000-0000-0000AE270000}"/>
    <cellStyle name="40% - Accent1 52 2 4 2" xfId="19373" xr:uid="{00000000-0005-0000-0000-0000AF270000}"/>
    <cellStyle name="40% - Accent1 52 2 5" xfId="6091" xr:uid="{00000000-0005-0000-0000-0000B0270000}"/>
    <cellStyle name="40% - Accent1 52 2 5 2" xfId="17379" xr:uid="{00000000-0005-0000-0000-0000B1270000}"/>
    <cellStyle name="40% - Accent1 52 2 6" xfId="15385" xr:uid="{00000000-0005-0000-0000-0000B2270000}"/>
    <cellStyle name="40% - Accent1 52 3" xfId="11076" xr:uid="{00000000-0005-0000-0000-0000B3270000}"/>
    <cellStyle name="40% - Accent1 52 3 2" xfId="22364" xr:uid="{00000000-0005-0000-0000-0000B4270000}"/>
    <cellStyle name="40% - Accent1 52 4" xfId="9082" xr:uid="{00000000-0005-0000-0000-0000B5270000}"/>
    <cellStyle name="40% - Accent1 52 4 2" xfId="20370" xr:uid="{00000000-0005-0000-0000-0000B6270000}"/>
    <cellStyle name="40% - Accent1 52 5" xfId="7088" xr:uid="{00000000-0005-0000-0000-0000B7270000}"/>
    <cellStyle name="40% - Accent1 52 5 2" xfId="18376" xr:uid="{00000000-0005-0000-0000-0000B8270000}"/>
    <cellStyle name="40% - Accent1 52 6" xfId="5094" xr:uid="{00000000-0005-0000-0000-0000B9270000}"/>
    <cellStyle name="40% - Accent1 52 6 2" xfId="16382" xr:uid="{00000000-0005-0000-0000-0000BA270000}"/>
    <cellStyle name="40% - Accent1 52 7" xfId="14388" xr:uid="{00000000-0005-0000-0000-0000BB270000}"/>
    <cellStyle name="40% - Accent1 52 8" xfId="13074" xr:uid="{00000000-0005-0000-0000-0000BC270000}"/>
    <cellStyle name="40% - Accent1 53" xfId="1139" xr:uid="{00000000-0005-0000-0000-0000BD270000}"/>
    <cellStyle name="40% - Accent1 53 2" xfId="4095" xr:uid="{00000000-0005-0000-0000-0000BE270000}"/>
    <cellStyle name="40% - Accent1 53 2 2" xfId="12074" xr:uid="{00000000-0005-0000-0000-0000BF270000}"/>
    <cellStyle name="40% - Accent1 53 2 2 2" xfId="23362" xr:uid="{00000000-0005-0000-0000-0000C0270000}"/>
    <cellStyle name="40% - Accent1 53 2 3" xfId="10080" xr:uid="{00000000-0005-0000-0000-0000C1270000}"/>
    <cellStyle name="40% - Accent1 53 2 3 2" xfId="21368" xr:uid="{00000000-0005-0000-0000-0000C2270000}"/>
    <cellStyle name="40% - Accent1 53 2 4" xfId="8086" xr:uid="{00000000-0005-0000-0000-0000C3270000}"/>
    <cellStyle name="40% - Accent1 53 2 4 2" xfId="19374" xr:uid="{00000000-0005-0000-0000-0000C4270000}"/>
    <cellStyle name="40% - Accent1 53 2 5" xfId="6092" xr:uid="{00000000-0005-0000-0000-0000C5270000}"/>
    <cellStyle name="40% - Accent1 53 2 5 2" xfId="17380" xr:uid="{00000000-0005-0000-0000-0000C6270000}"/>
    <cellStyle name="40% - Accent1 53 2 6" xfId="15386" xr:uid="{00000000-0005-0000-0000-0000C7270000}"/>
    <cellStyle name="40% - Accent1 53 3" xfId="11077" xr:uid="{00000000-0005-0000-0000-0000C8270000}"/>
    <cellStyle name="40% - Accent1 53 3 2" xfId="22365" xr:uid="{00000000-0005-0000-0000-0000C9270000}"/>
    <cellStyle name="40% - Accent1 53 4" xfId="9083" xr:uid="{00000000-0005-0000-0000-0000CA270000}"/>
    <cellStyle name="40% - Accent1 53 4 2" xfId="20371" xr:uid="{00000000-0005-0000-0000-0000CB270000}"/>
    <cellStyle name="40% - Accent1 53 5" xfId="7089" xr:uid="{00000000-0005-0000-0000-0000CC270000}"/>
    <cellStyle name="40% - Accent1 53 5 2" xfId="18377" xr:uid="{00000000-0005-0000-0000-0000CD270000}"/>
    <cellStyle name="40% - Accent1 53 6" xfId="5095" xr:uid="{00000000-0005-0000-0000-0000CE270000}"/>
    <cellStyle name="40% - Accent1 53 6 2" xfId="16383" xr:uid="{00000000-0005-0000-0000-0000CF270000}"/>
    <cellStyle name="40% - Accent1 53 7" xfId="14389" xr:uid="{00000000-0005-0000-0000-0000D0270000}"/>
    <cellStyle name="40% - Accent1 53 8" xfId="13075" xr:uid="{00000000-0005-0000-0000-0000D1270000}"/>
    <cellStyle name="40% - Accent1 54" xfId="1140" xr:uid="{00000000-0005-0000-0000-0000D2270000}"/>
    <cellStyle name="40% - Accent1 54 2" xfId="4096" xr:uid="{00000000-0005-0000-0000-0000D3270000}"/>
    <cellStyle name="40% - Accent1 54 2 2" xfId="12075" xr:uid="{00000000-0005-0000-0000-0000D4270000}"/>
    <cellStyle name="40% - Accent1 54 2 2 2" xfId="23363" xr:uid="{00000000-0005-0000-0000-0000D5270000}"/>
    <cellStyle name="40% - Accent1 54 2 3" xfId="10081" xr:uid="{00000000-0005-0000-0000-0000D6270000}"/>
    <cellStyle name="40% - Accent1 54 2 3 2" xfId="21369" xr:uid="{00000000-0005-0000-0000-0000D7270000}"/>
    <cellStyle name="40% - Accent1 54 2 4" xfId="8087" xr:uid="{00000000-0005-0000-0000-0000D8270000}"/>
    <cellStyle name="40% - Accent1 54 2 4 2" xfId="19375" xr:uid="{00000000-0005-0000-0000-0000D9270000}"/>
    <cellStyle name="40% - Accent1 54 2 5" xfId="6093" xr:uid="{00000000-0005-0000-0000-0000DA270000}"/>
    <cellStyle name="40% - Accent1 54 2 5 2" xfId="17381" xr:uid="{00000000-0005-0000-0000-0000DB270000}"/>
    <cellStyle name="40% - Accent1 54 2 6" xfId="15387" xr:uid="{00000000-0005-0000-0000-0000DC270000}"/>
    <cellStyle name="40% - Accent1 54 3" xfId="11078" xr:uid="{00000000-0005-0000-0000-0000DD270000}"/>
    <cellStyle name="40% - Accent1 54 3 2" xfId="22366" xr:uid="{00000000-0005-0000-0000-0000DE270000}"/>
    <cellStyle name="40% - Accent1 54 4" xfId="9084" xr:uid="{00000000-0005-0000-0000-0000DF270000}"/>
    <cellStyle name="40% - Accent1 54 4 2" xfId="20372" xr:uid="{00000000-0005-0000-0000-0000E0270000}"/>
    <cellStyle name="40% - Accent1 54 5" xfId="7090" xr:uid="{00000000-0005-0000-0000-0000E1270000}"/>
    <cellStyle name="40% - Accent1 54 5 2" xfId="18378" xr:uid="{00000000-0005-0000-0000-0000E2270000}"/>
    <cellStyle name="40% - Accent1 54 6" xfId="5096" xr:uid="{00000000-0005-0000-0000-0000E3270000}"/>
    <cellStyle name="40% - Accent1 54 6 2" xfId="16384" xr:uid="{00000000-0005-0000-0000-0000E4270000}"/>
    <cellStyle name="40% - Accent1 54 7" xfId="14390" xr:uid="{00000000-0005-0000-0000-0000E5270000}"/>
    <cellStyle name="40% - Accent1 54 8" xfId="13076" xr:uid="{00000000-0005-0000-0000-0000E6270000}"/>
    <cellStyle name="40% - Accent1 55" xfId="1141" xr:uid="{00000000-0005-0000-0000-0000E7270000}"/>
    <cellStyle name="40% - Accent1 55 2" xfId="4097" xr:uid="{00000000-0005-0000-0000-0000E8270000}"/>
    <cellStyle name="40% - Accent1 55 2 2" xfId="12076" xr:uid="{00000000-0005-0000-0000-0000E9270000}"/>
    <cellStyle name="40% - Accent1 55 2 2 2" xfId="23364" xr:uid="{00000000-0005-0000-0000-0000EA270000}"/>
    <cellStyle name="40% - Accent1 55 2 3" xfId="10082" xr:uid="{00000000-0005-0000-0000-0000EB270000}"/>
    <cellStyle name="40% - Accent1 55 2 3 2" xfId="21370" xr:uid="{00000000-0005-0000-0000-0000EC270000}"/>
    <cellStyle name="40% - Accent1 55 2 4" xfId="8088" xr:uid="{00000000-0005-0000-0000-0000ED270000}"/>
    <cellStyle name="40% - Accent1 55 2 4 2" xfId="19376" xr:uid="{00000000-0005-0000-0000-0000EE270000}"/>
    <cellStyle name="40% - Accent1 55 2 5" xfId="6094" xr:uid="{00000000-0005-0000-0000-0000EF270000}"/>
    <cellStyle name="40% - Accent1 55 2 5 2" xfId="17382" xr:uid="{00000000-0005-0000-0000-0000F0270000}"/>
    <cellStyle name="40% - Accent1 55 2 6" xfId="15388" xr:uid="{00000000-0005-0000-0000-0000F1270000}"/>
    <cellStyle name="40% - Accent1 55 3" xfId="11079" xr:uid="{00000000-0005-0000-0000-0000F2270000}"/>
    <cellStyle name="40% - Accent1 55 3 2" xfId="22367" xr:uid="{00000000-0005-0000-0000-0000F3270000}"/>
    <cellStyle name="40% - Accent1 55 4" xfId="9085" xr:uid="{00000000-0005-0000-0000-0000F4270000}"/>
    <cellStyle name="40% - Accent1 55 4 2" xfId="20373" xr:uid="{00000000-0005-0000-0000-0000F5270000}"/>
    <cellStyle name="40% - Accent1 55 5" xfId="7091" xr:uid="{00000000-0005-0000-0000-0000F6270000}"/>
    <cellStyle name="40% - Accent1 55 5 2" xfId="18379" xr:uid="{00000000-0005-0000-0000-0000F7270000}"/>
    <cellStyle name="40% - Accent1 55 6" xfId="5097" xr:uid="{00000000-0005-0000-0000-0000F8270000}"/>
    <cellStyle name="40% - Accent1 55 6 2" xfId="16385" xr:uid="{00000000-0005-0000-0000-0000F9270000}"/>
    <cellStyle name="40% - Accent1 55 7" xfId="14391" xr:uid="{00000000-0005-0000-0000-0000FA270000}"/>
    <cellStyle name="40% - Accent1 55 8" xfId="13077" xr:uid="{00000000-0005-0000-0000-0000FB270000}"/>
    <cellStyle name="40% - Accent1 56" xfId="1142" xr:uid="{00000000-0005-0000-0000-0000FC270000}"/>
    <cellStyle name="40% - Accent1 56 2" xfId="4098" xr:uid="{00000000-0005-0000-0000-0000FD270000}"/>
    <cellStyle name="40% - Accent1 56 2 2" xfId="12077" xr:uid="{00000000-0005-0000-0000-0000FE270000}"/>
    <cellStyle name="40% - Accent1 56 2 2 2" xfId="23365" xr:uid="{00000000-0005-0000-0000-0000FF270000}"/>
    <cellStyle name="40% - Accent1 56 2 3" xfId="10083" xr:uid="{00000000-0005-0000-0000-000000280000}"/>
    <cellStyle name="40% - Accent1 56 2 3 2" xfId="21371" xr:uid="{00000000-0005-0000-0000-000001280000}"/>
    <cellStyle name="40% - Accent1 56 2 4" xfId="8089" xr:uid="{00000000-0005-0000-0000-000002280000}"/>
    <cellStyle name="40% - Accent1 56 2 4 2" xfId="19377" xr:uid="{00000000-0005-0000-0000-000003280000}"/>
    <cellStyle name="40% - Accent1 56 2 5" xfId="6095" xr:uid="{00000000-0005-0000-0000-000004280000}"/>
    <cellStyle name="40% - Accent1 56 2 5 2" xfId="17383" xr:uid="{00000000-0005-0000-0000-000005280000}"/>
    <cellStyle name="40% - Accent1 56 2 6" xfId="15389" xr:uid="{00000000-0005-0000-0000-000006280000}"/>
    <cellStyle name="40% - Accent1 56 3" xfId="11080" xr:uid="{00000000-0005-0000-0000-000007280000}"/>
    <cellStyle name="40% - Accent1 56 3 2" xfId="22368" xr:uid="{00000000-0005-0000-0000-000008280000}"/>
    <cellStyle name="40% - Accent1 56 4" xfId="9086" xr:uid="{00000000-0005-0000-0000-000009280000}"/>
    <cellStyle name="40% - Accent1 56 4 2" xfId="20374" xr:uid="{00000000-0005-0000-0000-00000A280000}"/>
    <cellStyle name="40% - Accent1 56 5" xfId="7092" xr:uid="{00000000-0005-0000-0000-00000B280000}"/>
    <cellStyle name="40% - Accent1 56 5 2" xfId="18380" xr:uid="{00000000-0005-0000-0000-00000C280000}"/>
    <cellStyle name="40% - Accent1 56 6" xfId="5098" xr:uid="{00000000-0005-0000-0000-00000D280000}"/>
    <cellStyle name="40% - Accent1 56 6 2" xfId="16386" xr:uid="{00000000-0005-0000-0000-00000E280000}"/>
    <cellStyle name="40% - Accent1 56 7" xfId="14392" xr:uid="{00000000-0005-0000-0000-00000F280000}"/>
    <cellStyle name="40% - Accent1 56 8" xfId="13078" xr:uid="{00000000-0005-0000-0000-000010280000}"/>
    <cellStyle name="40% - Accent1 57" xfId="1143" xr:uid="{00000000-0005-0000-0000-000011280000}"/>
    <cellStyle name="40% - Accent1 57 2" xfId="4099" xr:uid="{00000000-0005-0000-0000-000012280000}"/>
    <cellStyle name="40% - Accent1 57 2 2" xfId="12078" xr:uid="{00000000-0005-0000-0000-000013280000}"/>
    <cellStyle name="40% - Accent1 57 2 2 2" xfId="23366" xr:uid="{00000000-0005-0000-0000-000014280000}"/>
    <cellStyle name="40% - Accent1 57 2 3" xfId="10084" xr:uid="{00000000-0005-0000-0000-000015280000}"/>
    <cellStyle name="40% - Accent1 57 2 3 2" xfId="21372" xr:uid="{00000000-0005-0000-0000-000016280000}"/>
    <cellStyle name="40% - Accent1 57 2 4" xfId="8090" xr:uid="{00000000-0005-0000-0000-000017280000}"/>
    <cellStyle name="40% - Accent1 57 2 4 2" xfId="19378" xr:uid="{00000000-0005-0000-0000-000018280000}"/>
    <cellStyle name="40% - Accent1 57 2 5" xfId="6096" xr:uid="{00000000-0005-0000-0000-000019280000}"/>
    <cellStyle name="40% - Accent1 57 2 5 2" xfId="17384" xr:uid="{00000000-0005-0000-0000-00001A280000}"/>
    <cellStyle name="40% - Accent1 57 2 6" xfId="15390" xr:uid="{00000000-0005-0000-0000-00001B280000}"/>
    <cellStyle name="40% - Accent1 57 3" xfId="11081" xr:uid="{00000000-0005-0000-0000-00001C280000}"/>
    <cellStyle name="40% - Accent1 57 3 2" xfId="22369" xr:uid="{00000000-0005-0000-0000-00001D280000}"/>
    <cellStyle name="40% - Accent1 57 4" xfId="9087" xr:uid="{00000000-0005-0000-0000-00001E280000}"/>
    <cellStyle name="40% - Accent1 57 4 2" xfId="20375" xr:uid="{00000000-0005-0000-0000-00001F280000}"/>
    <cellStyle name="40% - Accent1 57 5" xfId="7093" xr:uid="{00000000-0005-0000-0000-000020280000}"/>
    <cellStyle name="40% - Accent1 57 5 2" xfId="18381" xr:uid="{00000000-0005-0000-0000-000021280000}"/>
    <cellStyle name="40% - Accent1 57 6" xfId="5099" xr:uid="{00000000-0005-0000-0000-000022280000}"/>
    <cellStyle name="40% - Accent1 57 6 2" xfId="16387" xr:uid="{00000000-0005-0000-0000-000023280000}"/>
    <cellStyle name="40% - Accent1 57 7" xfId="14393" xr:uid="{00000000-0005-0000-0000-000024280000}"/>
    <cellStyle name="40% - Accent1 57 8" xfId="13079" xr:uid="{00000000-0005-0000-0000-000025280000}"/>
    <cellStyle name="40% - Accent1 58" xfId="1144" xr:uid="{00000000-0005-0000-0000-000026280000}"/>
    <cellStyle name="40% - Accent1 58 2" xfId="4100" xr:uid="{00000000-0005-0000-0000-000027280000}"/>
    <cellStyle name="40% - Accent1 58 2 2" xfId="12079" xr:uid="{00000000-0005-0000-0000-000028280000}"/>
    <cellStyle name="40% - Accent1 58 2 2 2" xfId="23367" xr:uid="{00000000-0005-0000-0000-000029280000}"/>
    <cellStyle name="40% - Accent1 58 2 3" xfId="10085" xr:uid="{00000000-0005-0000-0000-00002A280000}"/>
    <cellStyle name="40% - Accent1 58 2 3 2" xfId="21373" xr:uid="{00000000-0005-0000-0000-00002B280000}"/>
    <cellStyle name="40% - Accent1 58 2 4" xfId="8091" xr:uid="{00000000-0005-0000-0000-00002C280000}"/>
    <cellStyle name="40% - Accent1 58 2 4 2" xfId="19379" xr:uid="{00000000-0005-0000-0000-00002D280000}"/>
    <cellStyle name="40% - Accent1 58 2 5" xfId="6097" xr:uid="{00000000-0005-0000-0000-00002E280000}"/>
    <cellStyle name="40% - Accent1 58 2 5 2" xfId="17385" xr:uid="{00000000-0005-0000-0000-00002F280000}"/>
    <cellStyle name="40% - Accent1 58 2 6" xfId="15391" xr:uid="{00000000-0005-0000-0000-000030280000}"/>
    <cellStyle name="40% - Accent1 58 3" xfId="11082" xr:uid="{00000000-0005-0000-0000-000031280000}"/>
    <cellStyle name="40% - Accent1 58 3 2" xfId="22370" xr:uid="{00000000-0005-0000-0000-000032280000}"/>
    <cellStyle name="40% - Accent1 58 4" xfId="9088" xr:uid="{00000000-0005-0000-0000-000033280000}"/>
    <cellStyle name="40% - Accent1 58 4 2" xfId="20376" xr:uid="{00000000-0005-0000-0000-000034280000}"/>
    <cellStyle name="40% - Accent1 58 5" xfId="7094" xr:uid="{00000000-0005-0000-0000-000035280000}"/>
    <cellStyle name="40% - Accent1 58 5 2" xfId="18382" xr:uid="{00000000-0005-0000-0000-000036280000}"/>
    <cellStyle name="40% - Accent1 58 6" xfId="5100" xr:uid="{00000000-0005-0000-0000-000037280000}"/>
    <cellStyle name="40% - Accent1 58 6 2" xfId="16388" xr:uid="{00000000-0005-0000-0000-000038280000}"/>
    <cellStyle name="40% - Accent1 58 7" xfId="14394" xr:uid="{00000000-0005-0000-0000-000039280000}"/>
    <cellStyle name="40% - Accent1 58 8" xfId="13080" xr:uid="{00000000-0005-0000-0000-00003A280000}"/>
    <cellStyle name="40% - Accent1 59" xfId="1145" xr:uid="{00000000-0005-0000-0000-00003B280000}"/>
    <cellStyle name="40% - Accent1 59 2" xfId="4101" xr:uid="{00000000-0005-0000-0000-00003C280000}"/>
    <cellStyle name="40% - Accent1 59 2 2" xfId="12080" xr:uid="{00000000-0005-0000-0000-00003D280000}"/>
    <cellStyle name="40% - Accent1 59 2 2 2" xfId="23368" xr:uid="{00000000-0005-0000-0000-00003E280000}"/>
    <cellStyle name="40% - Accent1 59 2 3" xfId="10086" xr:uid="{00000000-0005-0000-0000-00003F280000}"/>
    <cellStyle name="40% - Accent1 59 2 3 2" xfId="21374" xr:uid="{00000000-0005-0000-0000-000040280000}"/>
    <cellStyle name="40% - Accent1 59 2 4" xfId="8092" xr:uid="{00000000-0005-0000-0000-000041280000}"/>
    <cellStyle name="40% - Accent1 59 2 4 2" xfId="19380" xr:uid="{00000000-0005-0000-0000-000042280000}"/>
    <cellStyle name="40% - Accent1 59 2 5" xfId="6098" xr:uid="{00000000-0005-0000-0000-000043280000}"/>
    <cellStyle name="40% - Accent1 59 2 5 2" xfId="17386" xr:uid="{00000000-0005-0000-0000-000044280000}"/>
    <cellStyle name="40% - Accent1 59 2 6" xfId="15392" xr:uid="{00000000-0005-0000-0000-000045280000}"/>
    <cellStyle name="40% - Accent1 59 3" xfId="11083" xr:uid="{00000000-0005-0000-0000-000046280000}"/>
    <cellStyle name="40% - Accent1 59 3 2" xfId="22371" xr:uid="{00000000-0005-0000-0000-000047280000}"/>
    <cellStyle name="40% - Accent1 59 4" xfId="9089" xr:uid="{00000000-0005-0000-0000-000048280000}"/>
    <cellStyle name="40% - Accent1 59 4 2" xfId="20377" xr:uid="{00000000-0005-0000-0000-000049280000}"/>
    <cellStyle name="40% - Accent1 59 5" xfId="7095" xr:uid="{00000000-0005-0000-0000-00004A280000}"/>
    <cellStyle name="40% - Accent1 59 5 2" xfId="18383" xr:uid="{00000000-0005-0000-0000-00004B280000}"/>
    <cellStyle name="40% - Accent1 59 6" xfId="5101" xr:uid="{00000000-0005-0000-0000-00004C280000}"/>
    <cellStyle name="40% - Accent1 59 6 2" xfId="16389" xr:uid="{00000000-0005-0000-0000-00004D280000}"/>
    <cellStyle name="40% - Accent1 59 7" xfId="14395" xr:uid="{00000000-0005-0000-0000-00004E280000}"/>
    <cellStyle name="40% - Accent1 59 8" xfId="13081" xr:uid="{00000000-0005-0000-0000-00004F280000}"/>
    <cellStyle name="40% - Accent1 6" xfId="1146" xr:uid="{00000000-0005-0000-0000-000050280000}"/>
    <cellStyle name="40% - Accent1 6 10" xfId="24599" xr:uid="{00000000-0005-0000-0000-000051280000}"/>
    <cellStyle name="40% - Accent1 6 11" xfId="24989" xr:uid="{00000000-0005-0000-0000-000052280000}"/>
    <cellStyle name="40% - Accent1 6 2" xfId="4102" xr:uid="{00000000-0005-0000-0000-000053280000}"/>
    <cellStyle name="40% - Accent1 6 2 2" xfId="12081" xr:uid="{00000000-0005-0000-0000-000054280000}"/>
    <cellStyle name="40% - Accent1 6 2 2 2" xfId="23369" xr:uid="{00000000-0005-0000-0000-000055280000}"/>
    <cellStyle name="40% - Accent1 6 2 3" xfId="10087" xr:uid="{00000000-0005-0000-0000-000056280000}"/>
    <cellStyle name="40% - Accent1 6 2 3 2" xfId="21375" xr:uid="{00000000-0005-0000-0000-000057280000}"/>
    <cellStyle name="40% - Accent1 6 2 4" xfId="8093" xr:uid="{00000000-0005-0000-0000-000058280000}"/>
    <cellStyle name="40% - Accent1 6 2 4 2" xfId="19381" xr:uid="{00000000-0005-0000-0000-000059280000}"/>
    <cellStyle name="40% - Accent1 6 2 5" xfId="6099" xr:uid="{00000000-0005-0000-0000-00005A280000}"/>
    <cellStyle name="40% - Accent1 6 2 5 2" xfId="17387" xr:uid="{00000000-0005-0000-0000-00005B280000}"/>
    <cellStyle name="40% - Accent1 6 2 6" xfId="15393" xr:uid="{00000000-0005-0000-0000-00005C280000}"/>
    <cellStyle name="40% - Accent1 6 2 7" xfId="24360" xr:uid="{00000000-0005-0000-0000-00005D280000}"/>
    <cellStyle name="40% - Accent1 6 2 8" xfId="24824" xr:uid="{00000000-0005-0000-0000-00005E280000}"/>
    <cellStyle name="40% - Accent1 6 2 9" xfId="25191" xr:uid="{00000000-0005-0000-0000-00005F280000}"/>
    <cellStyle name="40% - Accent1 6 3" xfId="11084" xr:uid="{00000000-0005-0000-0000-000060280000}"/>
    <cellStyle name="40% - Accent1 6 3 2" xfId="22372" xr:uid="{00000000-0005-0000-0000-000061280000}"/>
    <cellStyle name="40% - Accent1 6 4" xfId="9090" xr:uid="{00000000-0005-0000-0000-000062280000}"/>
    <cellStyle name="40% - Accent1 6 4 2" xfId="20378" xr:uid="{00000000-0005-0000-0000-000063280000}"/>
    <cellStyle name="40% - Accent1 6 5" xfId="7096" xr:uid="{00000000-0005-0000-0000-000064280000}"/>
    <cellStyle name="40% - Accent1 6 5 2" xfId="18384" xr:uid="{00000000-0005-0000-0000-000065280000}"/>
    <cellStyle name="40% - Accent1 6 6" xfId="5102" xr:uid="{00000000-0005-0000-0000-000066280000}"/>
    <cellStyle name="40% - Accent1 6 6 2" xfId="16390" xr:uid="{00000000-0005-0000-0000-000067280000}"/>
    <cellStyle name="40% - Accent1 6 7" xfId="14396" xr:uid="{00000000-0005-0000-0000-000068280000}"/>
    <cellStyle name="40% - Accent1 6 8" xfId="13082" xr:uid="{00000000-0005-0000-0000-000069280000}"/>
    <cellStyle name="40% - Accent1 6 9" xfId="23972" xr:uid="{00000000-0005-0000-0000-00006A280000}"/>
    <cellStyle name="40% - Accent1 60" xfId="1147" xr:uid="{00000000-0005-0000-0000-00006B280000}"/>
    <cellStyle name="40% - Accent1 60 2" xfId="4103" xr:uid="{00000000-0005-0000-0000-00006C280000}"/>
    <cellStyle name="40% - Accent1 60 2 2" xfId="12082" xr:uid="{00000000-0005-0000-0000-00006D280000}"/>
    <cellStyle name="40% - Accent1 60 2 2 2" xfId="23370" xr:uid="{00000000-0005-0000-0000-00006E280000}"/>
    <cellStyle name="40% - Accent1 60 2 3" xfId="10088" xr:uid="{00000000-0005-0000-0000-00006F280000}"/>
    <cellStyle name="40% - Accent1 60 2 3 2" xfId="21376" xr:uid="{00000000-0005-0000-0000-000070280000}"/>
    <cellStyle name="40% - Accent1 60 2 4" xfId="8094" xr:uid="{00000000-0005-0000-0000-000071280000}"/>
    <cellStyle name="40% - Accent1 60 2 4 2" xfId="19382" xr:uid="{00000000-0005-0000-0000-000072280000}"/>
    <cellStyle name="40% - Accent1 60 2 5" xfId="6100" xr:uid="{00000000-0005-0000-0000-000073280000}"/>
    <cellStyle name="40% - Accent1 60 2 5 2" xfId="17388" xr:uid="{00000000-0005-0000-0000-000074280000}"/>
    <cellStyle name="40% - Accent1 60 2 6" xfId="15394" xr:uid="{00000000-0005-0000-0000-000075280000}"/>
    <cellStyle name="40% - Accent1 60 3" xfId="11085" xr:uid="{00000000-0005-0000-0000-000076280000}"/>
    <cellStyle name="40% - Accent1 60 3 2" xfId="22373" xr:uid="{00000000-0005-0000-0000-000077280000}"/>
    <cellStyle name="40% - Accent1 60 4" xfId="9091" xr:uid="{00000000-0005-0000-0000-000078280000}"/>
    <cellStyle name="40% - Accent1 60 4 2" xfId="20379" xr:uid="{00000000-0005-0000-0000-000079280000}"/>
    <cellStyle name="40% - Accent1 60 5" xfId="7097" xr:uid="{00000000-0005-0000-0000-00007A280000}"/>
    <cellStyle name="40% - Accent1 60 5 2" xfId="18385" xr:uid="{00000000-0005-0000-0000-00007B280000}"/>
    <cellStyle name="40% - Accent1 60 6" xfId="5103" xr:uid="{00000000-0005-0000-0000-00007C280000}"/>
    <cellStyle name="40% - Accent1 60 6 2" xfId="16391" xr:uid="{00000000-0005-0000-0000-00007D280000}"/>
    <cellStyle name="40% - Accent1 60 7" xfId="14397" xr:uid="{00000000-0005-0000-0000-00007E280000}"/>
    <cellStyle name="40% - Accent1 60 8" xfId="13083" xr:uid="{00000000-0005-0000-0000-00007F280000}"/>
    <cellStyle name="40% - Accent1 61" xfId="1148" xr:uid="{00000000-0005-0000-0000-000080280000}"/>
    <cellStyle name="40% - Accent1 61 2" xfId="4104" xr:uid="{00000000-0005-0000-0000-000081280000}"/>
    <cellStyle name="40% - Accent1 61 2 2" xfId="12083" xr:uid="{00000000-0005-0000-0000-000082280000}"/>
    <cellStyle name="40% - Accent1 61 2 2 2" xfId="23371" xr:uid="{00000000-0005-0000-0000-000083280000}"/>
    <cellStyle name="40% - Accent1 61 2 3" xfId="10089" xr:uid="{00000000-0005-0000-0000-000084280000}"/>
    <cellStyle name="40% - Accent1 61 2 3 2" xfId="21377" xr:uid="{00000000-0005-0000-0000-000085280000}"/>
    <cellStyle name="40% - Accent1 61 2 4" xfId="8095" xr:uid="{00000000-0005-0000-0000-000086280000}"/>
    <cellStyle name="40% - Accent1 61 2 4 2" xfId="19383" xr:uid="{00000000-0005-0000-0000-000087280000}"/>
    <cellStyle name="40% - Accent1 61 2 5" xfId="6101" xr:uid="{00000000-0005-0000-0000-000088280000}"/>
    <cellStyle name="40% - Accent1 61 2 5 2" xfId="17389" xr:uid="{00000000-0005-0000-0000-000089280000}"/>
    <cellStyle name="40% - Accent1 61 2 6" xfId="15395" xr:uid="{00000000-0005-0000-0000-00008A280000}"/>
    <cellStyle name="40% - Accent1 61 3" xfId="11086" xr:uid="{00000000-0005-0000-0000-00008B280000}"/>
    <cellStyle name="40% - Accent1 61 3 2" xfId="22374" xr:uid="{00000000-0005-0000-0000-00008C280000}"/>
    <cellStyle name="40% - Accent1 61 4" xfId="9092" xr:uid="{00000000-0005-0000-0000-00008D280000}"/>
    <cellStyle name="40% - Accent1 61 4 2" xfId="20380" xr:uid="{00000000-0005-0000-0000-00008E280000}"/>
    <cellStyle name="40% - Accent1 61 5" xfId="7098" xr:uid="{00000000-0005-0000-0000-00008F280000}"/>
    <cellStyle name="40% - Accent1 61 5 2" xfId="18386" xr:uid="{00000000-0005-0000-0000-000090280000}"/>
    <cellStyle name="40% - Accent1 61 6" xfId="5104" xr:uid="{00000000-0005-0000-0000-000091280000}"/>
    <cellStyle name="40% - Accent1 61 6 2" xfId="16392" xr:uid="{00000000-0005-0000-0000-000092280000}"/>
    <cellStyle name="40% - Accent1 61 7" xfId="14398" xr:uid="{00000000-0005-0000-0000-000093280000}"/>
    <cellStyle name="40% - Accent1 61 8" xfId="13084" xr:uid="{00000000-0005-0000-0000-000094280000}"/>
    <cellStyle name="40% - Accent1 62" xfId="1149" xr:uid="{00000000-0005-0000-0000-000095280000}"/>
    <cellStyle name="40% - Accent1 62 2" xfId="4105" xr:uid="{00000000-0005-0000-0000-000096280000}"/>
    <cellStyle name="40% - Accent1 62 2 2" xfId="12084" xr:uid="{00000000-0005-0000-0000-000097280000}"/>
    <cellStyle name="40% - Accent1 62 2 2 2" xfId="23372" xr:uid="{00000000-0005-0000-0000-000098280000}"/>
    <cellStyle name="40% - Accent1 62 2 3" xfId="10090" xr:uid="{00000000-0005-0000-0000-000099280000}"/>
    <cellStyle name="40% - Accent1 62 2 3 2" xfId="21378" xr:uid="{00000000-0005-0000-0000-00009A280000}"/>
    <cellStyle name="40% - Accent1 62 2 4" xfId="8096" xr:uid="{00000000-0005-0000-0000-00009B280000}"/>
    <cellStyle name="40% - Accent1 62 2 4 2" xfId="19384" xr:uid="{00000000-0005-0000-0000-00009C280000}"/>
    <cellStyle name="40% - Accent1 62 2 5" xfId="6102" xr:uid="{00000000-0005-0000-0000-00009D280000}"/>
    <cellStyle name="40% - Accent1 62 2 5 2" xfId="17390" xr:uid="{00000000-0005-0000-0000-00009E280000}"/>
    <cellStyle name="40% - Accent1 62 2 6" xfId="15396" xr:uid="{00000000-0005-0000-0000-00009F280000}"/>
    <cellStyle name="40% - Accent1 62 3" xfId="11087" xr:uid="{00000000-0005-0000-0000-0000A0280000}"/>
    <cellStyle name="40% - Accent1 62 3 2" xfId="22375" xr:uid="{00000000-0005-0000-0000-0000A1280000}"/>
    <cellStyle name="40% - Accent1 62 4" xfId="9093" xr:uid="{00000000-0005-0000-0000-0000A2280000}"/>
    <cellStyle name="40% - Accent1 62 4 2" xfId="20381" xr:uid="{00000000-0005-0000-0000-0000A3280000}"/>
    <cellStyle name="40% - Accent1 62 5" xfId="7099" xr:uid="{00000000-0005-0000-0000-0000A4280000}"/>
    <cellStyle name="40% - Accent1 62 5 2" xfId="18387" xr:uid="{00000000-0005-0000-0000-0000A5280000}"/>
    <cellStyle name="40% - Accent1 62 6" xfId="5105" xr:uid="{00000000-0005-0000-0000-0000A6280000}"/>
    <cellStyle name="40% - Accent1 62 6 2" xfId="16393" xr:uid="{00000000-0005-0000-0000-0000A7280000}"/>
    <cellStyle name="40% - Accent1 62 7" xfId="14399" xr:uid="{00000000-0005-0000-0000-0000A8280000}"/>
    <cellStyle name="40% - Accent1 62 8" xfId="13085" xr:uid="{00000000-0005-0000-0000-0000A9280000}"/>
    <cellStyle name="40% - Accent1 63" xfId="1150" xr:uid="{00000000-0005-0000-0000-0000AA280000}"/>
    <cellStyle name="40% - Accent1 63 2" xfId="4106" xr:uid="{00000000-0005-0000-0000-0000AB280000}"/>
    <cellStyle name="40% - Accent1 63 2 2" xfId="12085" xr:uid="{00000000-0005-0000-0000-0000AC280000}"/>
    <cellStyle name="40% - Accent1 63 2 2 2" xfId="23373" xr:uid="{00000000-0005-0000-0000-0000AD280000}"/>
    <cellStyle name="40% - Accent1 63 2 3" xfId="10091" xr:uid="{00000000-0005-0000-0000-0000AE280000}"/>
    <cellStyle name="40% - Accent1 63 2 3 2" xfId="21379" xr:uid="{00000000-0005-0000-0000-0000AF280000}"/>
    <cellStyle name="40% - Accent1 63 2 4" xfId="8097" xr:uid="{00000000-0005-0000-0000-0000B0280000}"/>
    <cellStyle name="40% - Accent1 63 2 4 2" xfId="19385" xr:uid="{00000000-0005-0000-0000-0000B1280000}"/>
    <cellStyle name="40% - Accent1 63 2 5" xfId="6103" xr:uid="{00000000-0005-0000-0000-0000B2280000}"/>
    <cellStyle name="40% - Accent1 63 2 5 2" xfId="17391" xr:uid="{00000000-0005-0000-0000-0000B3280000}"/>
    <cellStyle name="40% - Accent1 63 2 6" xfId="15397" xr:uid="{00000000-0005-0000-0000-0000B4280000}"/>
    <cellStyle name="40% - Accent1 63 3" xfId="11088" xr:uid="{00000000-0005-0000-0000-0000B5280000}"/>
    <cellStyle name="40% - Accent1 63 3 2" xfId="22376" xr:uid="{00000000-0005-0000-0000-0000B6280000}"/>
    <cellStyle name="40% - Accent1 63 4" xfId="9094" xr:uid="{00000000-0005-0000-0000-0000B7280000}"/>
    <cellStyle name="40% - Accent1 63 4 2" xfId="20382" xr:uid="{00000000-0005-0000-0000-0000B8280000}"/>
    <cellStyle name="40% - Accent1 63 5" xfId="7100" xr:uid="{00000000-0005-0000-0000-0000B9280000}"/>
    <cellStyle name="40% - Accent1 63 5 2" xfId="18388" xr:uid="{00000000-0005-0000-0000-0000BA280000}"/>
    <cellStyle name="40% - Accent1 63 6" xfId="5106" xr:uid="{00000000-0005-0000-0000-0000BB280000}"/>
    <cellStyle name="40% - Accent1 63 6 2" xfId="16394" xr:uid="{00000000-0005-0000-0000-0000BC280000}"/>
    <cellStyle name="40% - Accent1 63 7" xfId="14400" xr:uid="{00000000-0005-0000-0000-0000BD280000}"/>
    <cellStyle name="40% - Accent1 63 8" xfId="13086" xr:uid="{00000000-0005-0000-0000-0000BE280000}"/>
    <cellStyle name="40% - Accent1 64" xfId="1151" xr:uid="{00000000-0005-0000-0000-0000BF280000}"/>
    <cellStyle name="40% - Accent1 64 2" xfId="4107" xr:uid="{00000000-0005-0000-0000-0000C0280000}"/>
    <cellStyle name="40% - Accent1 64 2 2" xfId="12086" xr:uid="{00000000-0005-0000-0000-0000C1280000}"/>
    <cellStyle name="40% - Accent1 64 2 2 2" xfId="23374" xr:uid="{00000000-0005-0000-0000-0000C2280000}"/>
    <cellStyle name="40% - Accent1 64 2 3" xfId="10092" xr:uid="{00000000-0005-0000-0000-0000C3280000}"/>
    <cellStyle name="40% - Accent1 64 2 3 2" xfId="21380" xr:uid="{00000000-0005-0000-0000-0000C4280000}"/>
    <cellStyle name="40% - Accent1 64 2 4" xfId="8098" xr:uid="{00000000-0005-0000-0000-0000C5280000}"/>
    <cellStyle name="40% - Accent1 64 2 4 2" xfId="19386" xr:uid="{00000000-0005-0000-0000-0000C6280000}"/>
    <cellStyle name="40% - Accent1 64 2 5" xfId="6104" xr:uid="{00000000-0005-0000-0000-0000C7280000}"/>
    <cellStyle name="40% - Accent1 64 2 5 2" xfId="17392" xr:uid="{00000000-0005-0000-0000-0000C8280000}"/>
    <cellStyle name="40% - Accent1 64 2 6" xfId="15398" xr:uid="{00000000-0005-0000-0000-0000C9280000}"/>
    <cellStyle name="40% - Accent1 64 3" xfId="11089" xr:uid="{00000000-0005-0000-0000-0000CA280000}"/>
    <cellStyle name="40% - Accent1 64 3 2" xfId="22377" xr:uid="{00000000-0005-0000-0000-0000CB280000}"/>
    <cellStyle name="40% - Accent1 64 4" xfId="9095" xr:uid="{00000000-0005-0000-0000-0000CC280000}"/>
    <cellStyle name="40% - Accent1 64 4 2" xfId="20383" xr:uid="{00000000-0005-0000-0000-0000CD280000}"/>
    <cellStyle name="40% - Accent1 64 5" xfId="7101" xr:uid="{00000000-0005-0000-0000-0000CE280000}"/>
    <cellStyle name="40% - Accent1 64 5 2" xfId="18389" xr:uid="{00000000-0005-0000-0000-0000CF280000}"/>
    <cellStyle name="40% - Accent1 64 6" xfId="5107" xr:uid="{00000000-0005-0000-0000-0000D0280000}"/>
    <cellStyle name="40% - Accent1 64 6 2" xfId="16395" xr:uid="{00000000-0005-0000-0000-0000D1280000}"/>
    <cellStyle name="40% - Accent1 64 7" xfId="14401" xr:uid="{00000000-0005-0000-0000-0000D2280000}"/>
    <cellStyle name="40% - Accent1 64 8" xfId="13087" xr:uid="{00000000-0005-0000-0000-0000D3280000}"/>
    <cellStyle name="40% - Accent1 65" xfId="1152" xr:uid="{00000000-0005-0000-0000-0000D4280000}"/>
    <cellStyle name="40% - Accent1 65 2" xfId="4108" xr:uid="{00000000-0005-0000-0000-0000D5280000}"/>
    <cellStyle name="40% - Accent1 65 2 2" xfId="12087" xr:uid="{00000000-0005-0000-0000-0000D6280000}"/>
    <cellStyle name="40% - Accent1 65 2 2 2" xfId="23375" xr:uid="{00000000-0005-0000-0000-0000D7280000}"/>
    <cellStyle name="40% - Accent1 65 2 3" xfId="10093" xr:uid="{00000000-0005-0000-0000-0000D8280000}"/>
    <cellStyle name="40% - Accent1 65 2 3 2" xfId="21381" xr:uid="{00000000-0005-0000-0000-0000D9280000}"/>
    <cellStyle name="40% - Accent1 65 2 4" xfId="8099" xr:uid="{00000000-0005-0000-0000-0000DA280000}"/>
    <cellStyle name="40% - Accent1 65 2 4 2" xfId="19387" xr:uid="{00000000-0005-0000-0000-0000DB280000}"/>
    <cellStyle name="40% - Accent1 65 2 5" xfId="6105" xr:uid="{00000000-0005-0000-0000-0000DC280000}"/>
    <cellStyle name="40% - Accent1 65 2 5 2" xfId="17393" xr:uid="{00000000-0005-0000-0000-0000DD280000}"/>
    <cellStyle name="40% - Accent1 65 2 6" xfId="15399" xr:uid="{00000000-0005-0000-0000-0000DE280000}"/>
    <cellStyle name="40% - Accent1 65 3" xfId="11090" xr:uid="{00000000-0005-0000-0000-0000DF280000}"/>
    <cellStyle name="40% - Accent1 65 3 2" xfId="22378" xr:uid="{00000000-0005-0000-0000-0000E0280000}"/>
    <cellStyle name="40% - Accent1 65 4" xfId="9096" xr:uid="{00000000-0005-0000-0000-0000E1280000}"/>
    <cellStyle name="40% - Accent1 65 4 2" xfId="20384" xr:uid="{00000000-0005-0000-0000-0000E2280000}"/>
    <cellStyle name="40% - Accent1 65 5" xfId="7102" xr:uid="{00000000-0005-0000-0000-0000E3280000}"/>
    <cellStyle name="40% - Accent1 65 5 2" xfId="18390" xr:uid="{00000000-0005-0000-0000-0000E4280000}"/>
    <cellStyle name="40% - Accent1 65 6" xfId="5108" xr:uid="{00000000-0005-0000-0000-0000E5280000}"/>
    <cellStyle name="40% - Accent1 65 6 2" xfId="16396" xr:uid="{00000000-0005-0000-0000-0000E6280000}"/>
    <cellStyle name="40% - Accent1 65 7" xfId="14402" xr:uid="{00000000-0005-0000-0000-0000E7280000}"/>
    <cellStyle name="40% - Accent1 65 8" xfId="13088" xr:uid="{00000000-0005-0000-0000-0000E8280000}"/>
    <cellStyle name="40% - Accent1 66" xfId="1153" xr:uid="{00000000-0005-0000-0000-0000E9280000}"/>
    <cellStyle name="40% - Accent1 66 2" xfId="4109" xr:uid="{00000000-0005-0000-0000-0000EA280000}"/>
    <cellStyle name="40% - Accent1 66 2 2" xfId="12088" xr:uid="{00000000-0005-0000-0000-0000EB280000}"/>
    <cellStyle name="40% - Accent1 66 2 2 2" xfId="23376" xr:uid="{00000000-0005-0000-0000-0000EC280000}"/>
    <cellStyle name="40% - Accent1 66 2 3" xfId="10094" xr:uid="{00000000-0005-0000-0000-0000ED280000}"/>
    <cellStyle name="40% - Accent1 66 2 3 2" xfId="21382" xr:uid="{00000000-0005-0000-0000-0000EE280000}"/>
    <cellStyle name="40% - Accent1 66 2 4" xfId="8100" xr:uid="{00000000-0005-0000-0000-0000EF280000}"/>
    <cellStyle name="40% - Accent1 66 2 4 2" xfId="19388" xr:uid="{00000000-0005-0000-0000-0000F0280000}"/>
    <cellStyle name="40% - Accent1 66 2 5" xfId="6106" xr:uid="{00000000-0005-0000-0000-0000F1280000}"/>
    <cellStyle name="40% - Accent1 66 2 5 2" xfId="17394" xr:uid="{00000000-0005-0000-0000-0000F2280000}"/>
    <cellStyle name="40% - Accent1 66 2 6" xfId="15400" xr:uid="{00000000-0005-0000-0000-0000F3280000}"/>
    <cellStyle name="40% - Accent1 66 3" xfId="11091" xr:uid="{00000000-0005-0000-0000-0000F4280000}"/>
    <cellStyle name="40% - Accent1 66 3 2" xfId="22379" xr:uid="{00000000-0005-0000-0000-0000F5280000}"/>
    <cellStyle name="40% - Accent1 66 4" xfId="9097" xr:uid="{00000000-0005-0000-0000-0000F6280000}"/>
    <cellStyle name="40% - Accent1 66 4 2" xfId="20385" xr:uid="{00000000-0005-0000-0000-0000F7280000}"/>
    <cellStyle name="40% - Accent1 66 5" xfId="7103" xr:uid="{00000000-0005-0000-0000-0000F8280000}"/>
    <cellStyle name="40% - Accent1 66 5 2" xfId="18391" xr:uid="{00000000-0005-0000-0000-0000F9280000}"/>
    <cellStyle name="40% - Accent1 66 6" xfId="5109" xr:uid="{00000000-0005-0000-0000-0000FA280000}"/>
    <cellStyle name="40% - Accent1 66 6 2" xfId="16397" xr:uid="{00000000-0005-0000-0000-0000FB280000}"/>
    <cellStyle name="40% - Accent1 66 7" xfId="14403" xr:uid="{00000000-0005-0000-0000-0000FC280000}"/>
    <cellStyle name="40% - Accent1 66 8" xfId="13089" xr:uid="{00000000-0005-0000-0000-0000FD280000}"/>
    <cellStyle name="40% - Accent1 67" xfId="1154" xr:uid="{00000000-0005-0000-0000-0000FE280000}"/>
    <cellStyle name="40% - Accent1 67 2" xfId="4110" xr:uid="{00000000-0005-0000-0000-0000FF280000}"/>
    <cellStyle name="40% - Accent1 67 2 2" xfId="12089" xr:uid="{00000000-0005-0000-0000-000000290000}"/>
    <cellStyle name="40% - Accent1 67 2 2 2" xfId="23377" xr:uid="{00000000-0005-0000-0000-000001290000}"/>
    <cellStyle name="40% - Accent1 67 2 3" xfId="10095" xr:uid="{00000000-0005-0000-0000-000002290000}"/>
    <cellStyle name="40% - Accent1 67 2 3 2" xfId="21383" xr:uid="{00000000-0005-0000-0000-000003290000}"/>
    <cellStyle name="40% - Accent1 67 2 4" xfId="8101" xr:uid="{00000000-0005-0000-0000-000004290000}"/>
    <cellStyle name="40% - Accent1 67 2 4 2" xfId="19389" xr:uid="{00000000-0005-0000-0000-000005290000}"/>
    <cellStyle name="40% - Accent1 67 2 5" xfId="6107" xr:uid="{00000000-0005-0000-0000-000006290000}"/>
    <cellStyle name="40% - Accent1 67 2 5 2" xfId="17395" xr:uid="{00000000-0005-0000-0000-000007290000}"/>
    <cellStyle name="40% - Accent1 67 2 6" xfId="15401" xr:uid="{00000000-0005-0000-0000-000008290000}"/>
    <cellStyle name="40% - Accent1 67 3" xfId="11092" xr:uid="{00000000-0005-0000-0000-000009290000}"/>
    <cellStyle name="40% - Accent1 67 3 2" xfId="22380" xr:uid="{00000000-0005-0000-0000-00000A290000}"/>
    <cellStyle name="40% - Accent1 67 4" xfId="9098" xr:uid="{00000000-0005-0000-0000-00000B290000}"/>
    <cellStyle name="40% - Accent1 67 4 2" xfId="20386" xr:uid="{00000000-0005-0000-0000-00000C290000}"/>
    <cellStyle name="40% - Accent1 67 5" xfId="7104" xr:uid="{00000000-0005-0000-0000-00000D290000}"/>
    <cellStyle name="40% - Accent1 67 5 2" xfId="18392" xr:uid="{00000000-0005-0000-0000-00000E290000}"/>
    <cellStyle name="40% - Accent1 67 6" xfId="5110" xr:uid="{00000000-0005-0000-0000-00000F290000}"/>
    <cellStyle name="40% - Accent1 67 6 2" xfId="16398" xr:uid="{00000000-0005-0000-0000-000010290000}"/>
    <cellStyle name="40% - Accent1 67 7" xfId="14404" xr:uid="{00000000-0005-0000-0000-000011290000}"/>
    <cellStyle name="40% - Accent1 67 8" xfId="13090" xr:uid="{00000000-0005-0000-0000-000012290000}"/>
    <cellStyle name="40% - Accent1 68" xfId="1155" xr:uid="{00000000-0005-0000-0000-000013290000}"/>
    <cellStyle name="40% - Accent1 68 2" xfId="4111" xr:uid="{00000000-0005-0000-0000-000014290000}"/>
    <cellStyle name="40% - Accent1 68 2 2" xfId="12090" xr:uid="{00000000-0005-0000-0000-000015290000}"/>
    <cellStyle name="40% - Accent1 68 2 2 2" xfId="23378" xr:uid="{00000000-0005-0000-0000-000016290000}"/>
    <cellStyle name="40% - Accent1 68 2 3" xfId="10096" xr:uid="{00000000-0005-0000-0000-000017290000}"/>
    <cellStyle name="40% - Accent1 68 2 3 2" xfId="21384" xr:uid="{00000000-0005-0000-0000-000018290000}"/>
    <cellStyle name="40% - Accent1 68 2 4" xfId="8102" xr:uid="{00000000-0005-0000-0000-000019290000}"/>
    <cellStyle name="40% - Accent1 68 2 4 2" xfId="19390" xr:uid="{00000000-0005-0000-0000-00001A290000}"/>
    <cellStyle name="40% - Accent1 68 2 5" xfId="6108" xr:uid="{00000000-0005-0000-0000-00001B290000}"/>
    <cellStyle name="40% - Accent1 68 2 5 2" xfId="17396" xr:uid="{00000000-0005-0000-0000-00001C290000}"/>
    <cellStyle name="40% - Accent1 68 2 6" xfId="15402" xr:uid="{00000000-0005-0000-0000-00001D290000}"/>
    <cellStyle name="40% - Accent1 68 3" xfId="11093" xr:uid="{00000000-0005-0000-0000-00001E290000}"/>
    <cellStyle name="40% - Accent1 68 3 2" xfId="22381" xr:uid="{00000000-0005-0000-0000-00001F290000}"/>
    <cellStyle name="40% - Accent1 68 4" xfId="9099" xr:uid="{00000000-0005-0000-0000-000020290000}"/>
    <cellStyle name="40% - Accent1 68 4 2" xfId="20387" xr:uid="{00000000-0005-0000-0000-000021290000}"/>
    <cellStyle name="40% - Accent1 68 5" xfId="7105" xr:uid="{00000000-0005-0000-0000-000022290000}"/>
    <cellStyle name="40% - Accent1 68 5 2" xfId="18393" xr:uid="{00000000-0005-0000-0000-000023290000}"/>
    <cellStyle name="40% - Accent1 68 6" xfId="5111" xr:uid="{00000000-0005-0000-0000-000024290000}"/>
    <cellStyle name="40% - Accent1 68 6 2" xfId="16399" xr:uid="{00000000-0005-0000-0000-000025290000}"/>
    <cellStyle name="40% - Accent1 68 7" xfId="14405" xr:uid="{00000000-0005-0000-0000-000026290000}"/>
    <cellStyle name="40% - Accent1 68 8" xfId="13091" xr:uid="{00000000-0005-0000-0000-000027290000}"/>
    <cellStyle name="40% - Accent1 69" xfId="1156" xr:uid="{00000000-0005-0000-0000-000028290000}"/>
    <cellStyle name="40% - Accent1 69 2" xfId="4112" xr:uid="{00000000-0005-0000-0000-000029290000}"/>
    <cellStyle name="40% - Accent1 69 2 2" xfId="12091" xr:uid="{00000000-0005-0000-0000-00002A290000}"/>
    <cellStyle name="40% - Accent1 69 2 2 2" xfId="23379" xr:uid="{00000000-0005-0000-0000-00002B290000}"/>
    <cellStyle name="40% - Accent1 69 2 3" xfId="10097" xr:uid="{00000000-0005-0000-0000-00002C290000}"/>
    <cellStyle name="40% - Accent1 69 2 3 2" xfId="21385" xr:uid="{00000000-0005-0000-0000-00002D290000}"/>
    <cellStyle name="40% - Accent1 69 2 4" xfId="8103" xr:uid="{00000000-0005-0000-0000-00002E290000}"/>
    <cellStyle name="40% - Accent1 69 2 4 2" xfId="19391" xr:uid="{00000000-0005-0000-0000-00002F290000}"/>
    <cellStyle name="40% - Accent1 69 2 5" xfId="6109" xr:uid="{00000000-0005-0000-0000-000030290000}"/>
    <cellStyle name="40% - Accent1 69 2 5 2" xfId="17397" xr:uid="{00000000-0005-0000-0000-000031290000}"/>
    <cellStyle name="40% - Accent1 69 2 6" xfId="15403" xr:uid="{00000000-0005-0000-0000-000032290000}"/>
    <cellStyle name="40% - Accent1 69 3" xfId="11094" xr:uid="{00000000-0005-0000-0000-000033290000}"/>
    <cellStyle name="40% - Accent1 69 3 2" xfId="22382" xr:uid="{00000000-0005-0000-0000-000034290000}"/>
    <cellStyle name="40% - Accent1 69 4" xfId="9100" xr:uid="{00000000-0005-0000-0000-000035290000}"/>
    <cellStyle name="40% - Accent1 69 4 2" xfId="20388" xr:uid="{00000000-0005-0000-0000-000036290000}"/>
    <cellStyle name="40% - Accent1 69 5" xfId="7106" xr:uid="{00000000-0005-0000-0000-000037290000}"/>
    <cellStyle name="40% - Accent1 69 5 2" xfId="18394" xr:uid="{00000000-0005-0000-0000-000038290000}"/>
    <cellStyle name="40% - Accent1 69 6" xfId="5112" xr:uid="{00000000-0005-0000-0000-000039290000}"/>
    <cellStyle name="40% - Accent1 69 6 2" xfId="16400" xr:uid="{00000000-0005-0000-0000-00003A290000}"/>
    <cellStyle name="40% - Accent1 69 7" xfId="14406" xr:uid="{00000000-0005-0000-0000-00003B290000}"/>
    <cellStyle name="40% - Accent1 69 8" xfId="13092" xr:uid="{00000000-0005-0000-0000-00003C290000}"/>
    <cellStyle name="40% - Accent1 7" xfId="1157" xr:uid="{00000000-0005-0000-0000-00003D290000}"/>
    <cellStyle name="40% - Accent1 7 10" xfId="24600" xr:uid="{00000000-0005-0000-0000-00003E290000}"/>
    <cellStyle name="40% - Accent1 7 11" xfId="24990" xr:uid="{00000000-0005-0000-0000-00003F290000}"/>
    <cellStyle name="40% - Accent1 7 2" xfId="4113" xr:uid="{00000000-0005-0000-0000-000040290000}"/>
    <cellStyle name="40% - Accent1 7 2 2" xfId="12092" xr:uid="{00000000-0005-0000-0000-000041290000}"/>
    <cellStyle name="40% - Accent1 7 2 2 2" xfId="23380" xr:uid="{00000000-0005-0000-0000-000042290000}"/>
    <cellStyle name="40% - Accent1 7 2 3" xfId="10098" xr:uid="{00000000-0005-0000-0000-000043290000}"/>
    <cellStyle name="40% - Accent1 7 2 3 2" xfId="21386" xr:uid="{00000000-0005-0000-0000-000044290000}"/>
    <cellStyle name="40% - Accent1 7 2 4" xfId="8104" xr:uid="{00000000-0005-0000-0000-000045290000}"/>
    <cellStyle name="40% - Accent1 7 2 4 2" xfId="19392" xr:uid="{00000000-0005-0000-0000-000046290000}"/>
    <cellStyle name="40% - Accent1 7 2 5" xfId="6110" xr:uid="{00000000-0005-0000-0000-000047290000}"/>
    <cellStyle name="40% - Accent1 7 2 5 2" xfId="17398" xr:uid="{00000000-0005-0000-0000-000048290000}"/>
    <cellStyle name="40% - Accent1 7 2 6" xfId="15404" xr:uid="{00000000-0005-0000-0000-000049290000}"/>
    <cellStyle name="40% - Accent1 7 2 7" xfId="24361" xr:uid="{00000000-0005-0000-0000-00004A290000}"/>
    <cellStyle name="40% - Accent1 7 2 8" xfId="24825" xr:uid="{00000000-0005-0000-0000-00004B290000}"/>
    <cellStyle name="40% - Accent1 7 2 9" xfId="25192" xr:uid="{00000000-0005-0000-0000-00004C290000}"/>
    <cellStyle name="40% - Accent1 7 3" xfId="11095" xr:uid="{00000000-0005-0000-0000-00004D290000}"/>
    <cellStyle name="40% - Accent1 7 3 2" xfId="22383" xr:uid="{00000000-0005-0000-0000-00004E290000}"/>
    <cellStyle name="40% - Accent1 7 4" xfId="9101" xr:uid="{00000000-0005-0000-0000-00004F290000}"/>
    <cellStyle name="40% - Accent1 7 4 2" xfId="20389" xr:uid="{00000000-0005-0000-0000-000050290000}"/>
    <cellStyle name="40% - Accent1 7 5" xfId="7107" xr:uid="{00000000-0005-0000-0000-000051290000}"/>
    <cellStyle name="40% - Accent1 7 5 2" xfId="18395" xr:uid="{00000000-0005-0000-0000-000052290000}"/>
    <cellStyle name="40% - Accent1 7 6" xfId="5113" xr:uid="{00000000-0005-0000-0000-000053290000}"/>
    <cellStyle name="40% - Accent1 7 6 2" xfId="16401" xr:uid="{00000000-0005-0000-0000-000054290000}"/>
    <cellStyle name="40% - Accent1 7 7" xfId="14407" xr:uid="{00000000-0005-0000-0000-000055290000}"/>
    <cellStyle name="40% - Accent1 7 8" xfId="13093" xr:uid="{00000000-0005-0000-0000-000056290000}"/>
    <cellStyle name="40% - Accent1 7 9" xfId="23973" xr:uid="{00000000-0005-0000-0000-000057290000}"/>
    <cellStyle name="40% - Accent1 70" xfId="1158" xr:uid="{00000000-0005-0000-0000-000058290000}"/>
    <cellStyle name="40% - Accent1 70 2" xfId="4114" xr:uid="{00000000-0005-0000-0000-000059290000}"/>
    <cellStyle name="40% - Accent1 70 2 2" xfId="12093" xr:uid="{00000000-0005-0000-0000-00005A290000}"/>
    <cellStyle name="40% - Accent1 70 2 2 2" xfId="23381" xr:uid="{00000000-0005-0000-0000-00005B290000}"/>
    <cellStyle name="40% - Accent1 70 2 3" xfId="10099" xr:uid="{00000000-0005-0000-0000-00005C290000}"/>
    <cellStyle name="40% - Accent1 70 2 3 2" xfId="21387" xr:uid="{00000000-0005-0000-0000-00005D290000}"/>
    <cellStyle name="40% - Accent1 70 2 4" xfId="8105" xr:uid="{00000000-0005-0000-0000-00005E290000}"/>
    <cellStyle name="40% - Accent1 70 2 4 2" xfId="19393" xr:uid="{00000000-0005-0000-0000-00005F290000}"/>
    <cellStyle name="40% - Accent1 70 2 5" xfId="6111" xr:uid="{00000000-0005-0000-0000-000060290000}"/>
    <cellStyle name="40% - Accent1 70 2 5 2" xfId="17399" xr:uid="{00000000-0005-0000-0000-000061290000}"/>
    <cellStyle name="40% - Accent1 70 2 6" xfId="15405" xr:uid="{00000000-0005-0000-0000-000062290000}"/>
    <cellStyle name="40% - Accent1 70 3" xfId="11096" xr:uid="{00000000-0005-0000-0000-000063290000}"/>
    <cellStyle name="40% - Accent1 70 3 2" xfId="22384" xr:uid="{00000000-0005-0000-0000-000064290000}"/>
    <cellStyle name="40% - Accent1 70 4" xfId="9102" xr:uid="{00000000-0005-0000-0000-000065290000}"/>
    <cellStyle name="40% - Accent1 70 4 2" xfId="20390" xr:uid="{00000000-0005-0000-0000-000066290000}"/>
    <cellStyle name="40% - Accent1 70 5" xfId="7108" xr:uid="{00000000-0005-0000-0000-000067290000}"/>
    <cellStyle name="40% - Accent1 70 5 2" xfId="18396" xr:uid="{00000000-0005-0000-0000-000068290000}"/>
    <cellStyle name="40% - Accent1 70 6" xfId="5114" xr:uid="{00000000-0005-0000-0000-000069290000}"/>
    <cellStyle name="40% - Accent1 70 6 2" xfId="16402" xr:uid="{00000000-0005-0000-0000-00006A290000}"/>
    <cellStyle name="40% - Accent1 70 7" xfId="14408" xr:uid="{00000000-0005-0000-0000-00006B290000}"/>
    <cellStyle name="40% - Accent1 70 8" xfId="13094" xr:uid="{00000000-0005-0000-0000-00006C290000}"/>
    <cellStyle name="40% - Accent1 71" xfId="1159" xr:uid="{00000000-0005-0000-0000-00006D290000}"/>
    <cellStyle name="40% - Accent1 71 2" xfId="4115" xr:uid="{00000000-0005-0000-0000-00006E290000}"/>
    <cellStyle name="40% - Accent1 71 2 2" xfId="12094" xr:uid="{00000000-0005-0000-0000-00006F290000}"/>
    <cellStyle name="40% - Accent1 71 2 2 2" xfId="23382" xr:uid="{00000000-0005-0000-0000-000070290000}"/>
    <cellStyle name="40% - Accent1 71 2 3" xfId="10100" xr:uid="{00000000-0005-0000-0000-000071290000}"/>
    <cellStyle name="40% - Accent1 71 2 3 2" xfId="21388" xr:uid="{00000000-0005-0000-0000-000072290000}"/>
    <cellStyle name="40% - Accent1 71 2 4" xfId="8106" xr:uid="{00000000-0005-0000-0000-000073290000}"/>
    <cellStyle name="40% - Accent1 71 2 4 2" xfId="19394" xr:uid="{00000000-0005-0000-0000-000074290000}"/>
    <cellStyle name="40% - Accent1 71 2 5" xfId="6112" xr:uid="{00000000-0005-0000-0000-000075290000}"/>
    <cellStyle name="40% - Accent1 71 2 5 2" xfId="17400" xr:uid="{00000000-0005-0000-0000-000076290000}"/>
    <cellStyle name="40% - Accent1 71 2 6" xfId="15406" xr:uid="{00000000-0005-0000-0000-000077290000}"/>
    <cellStyle name="40% - Accent1 71 3" xfId="11097" xr:uid="{00000000-0005-0000-0000-000078290000}"/>
    <cellStyle name="40% - Accent1 71 3 2" xfId="22385" xr:uid="{00000000-0005-0000-0000-000079290000}"/>
    <cellStyle name="40% - Accent1 71 4" xfId="9103" xr:uid="{00000000-0005-0000-0000-00007A290000}"/>
    <cellStyle name="40% - Accent1 71 4 2" xfId="20391" xr:uid="{00000000-0005-0000-0000-00007B290000}"/>
    <cellStyle name="40% - Accent1 71 5" xfId="7109" xr:uid="{00000000-0005-0000-0000-00007C290000}"/>
    <cellStyle name="40% - Accent1 71 5 2" xfId="18397" xr:uid="{00000000-0005-0000-0000-00007D290000}"/>
    <cellStyle name="40% - Accent1 71 6" xfId="5115" xr:uid="{00000000-0005-0000-0000-00007E290000}"/>
    <cellStyle name="40% - Accent1 71 6 2" xfId="16403" xr:uid="{00000000-0005-0000-0000-00007F290000}"/>
    <cellStyle name="40% - Accent1 71 7" xfId="14409" xr:uid="{00000000-0005-0000-0000-000080290000}"/>
    <cellStyle name="40% - Accent1 71 8" xfId="13095" xr:uid="{00000000-0005-0000-0000-000081290000}"/>
    <cellStyle name="40% - Accent1 72" xfId="1160" xr:uid="{00000000-0005-0000-0000-000082290000}"/>
    <cellStyle name="40% - Accent1 72 2" xfId="4116" xr:uid="{00000000-0005-0000-0000-000083290000}"/>
    <cellStyle name="40% - Accent1 72 2 2" xfId="12095" xr:uid="{00000000-0005-0000-0000-000084290000}"/>
    <cellStyle name="40% - Accent1 72 2 2 2" xfId="23383" xr:uid="{00000000-0005-0000-0000-000085290000}"/>
    <cellStyle name="40% - Accent1 72 2 3" xfId="10101" xr:uid="{00000000-0005-0000-0000-000086290000}"/>
    <cellStyle name="40% - Accent1 72 2 3 2" xfId="21389" xr:uid="{00000000-0005-0000-0000-000087290000}"/>
    <cellStyle name="40% - Accent1 72 2 4" xfId="8107" xr:uid="{00000000-0005-0000-0000-000088290000}"/>
    <cellStyle name="40% - Accent1 72 2 4 2" xfId="19395" xr:uid="{00000000-0005-0000-0000-000089290000}"/>
    <cellStyle name="40% - Accent1 72 2 5" xfId="6113" xr:uid="{00000000-0005-0000-0000-00008A290000}"/>
    <cellStyle name="40% - Accent1 72 2 5 2" xfId="17401" xr:uid="{00000000-0005-0000-0000-00008B290000}"/>
    <cellStyle name="40% - Accent1 72 2 6" xfId="15407" xr:uid="{00000000-0005-0000-0000-00008C290000}"/>
    <cellStyle name="40% - Accent1 72 3" xfId="11098" xr:uid="{00000000-0005-0000-0000-00008D290000}"/>
    <cellStyle name="40% - Accent1 72 3 2" xfId="22386" xr:uid="{00000000-0005-0000-0000-00008E290000}"/>
    <cellStyle name="40% - Accent1 72 4" xfId="9104" xr:uid="{00000000-0005-0000-0000-00008F290000}"/>
    <cellStyle name="40% - Accent1 72 4 2" xfId="20392" xr:uid="{00000000-0005-0000-0000-000090290000}"/>
    <cellStyle name="40% - Accent1 72 5" xfId="7110" xr:uid="{00000000-0005-0000-0000-000091290000}"/>
    <cellStyle name="40% - Accent1 72 5 2" xfId="18398" xr:uid="{00000000-0005-0000-0000-000092290000}"/>
    <cellStyle name="40% - Accent1 72 6" xfId="5116" xr:uid="{00000000-0005-0000-0000-000093290000}"/>
    <cellStyle name="40% - Accent1 72 6 2" xfId="16404" xr:uid="{00000000-0005-0000-0000-000094290000}"/>
    <cellStyle name="40% - Accent1 72 7" xfId="14410" xr:uid="{00000000-0005-0000-0000-000095290000}"/>
    <cellStyle name="40% - Accent1 72 8" xfId="13096" xr:uid="{00000000-0005-0000-0000-000096290000}"/>
    <cellStyle name="40% - Accent1 8" xfId="1161" xr:uid="{00000000-0005-0000-0000-000097290000}"/>
    <cellStyle name="40% - Accent1 8 2" xfId="4117" xr:uid="{00000000-0005-0000-0000-000098290000}"/>
    <cellStyle name="40% - Accent1 8 2 2" xfId="12096" xr:uid="{00000000-0005-0000-0000-000099290000}"/>
    <cellStyle name="40% - Accent1 8 2 2 2" xfId="23384" xr:uid="{00000000-0005-0000-0000-00009A290000}"/>
    <cellStyle name="40% - Accent1 8 2 3" xfId="10102" xr:uid="{00000000-0005-0000-0000-00009B290000}"/>
    <cellStyle name="40% - Accent1 8 2 3 2" xfId="21390" xr:uid="{00000000-0005-0000-0000-00009C290000}"/>
    <cellStyle name="40% - Accent1 8 2 4" xfId="8108" xr:uid="{00000000-0005-0000-0000-00009D290000}"/>
    <cellStyle name="40% - Accent1 8 2 4 2" xfId="19396" xr:uid="{00000000-0005-0000-0000-00009E290000}"/>
    <cellStyle name="40% - Accent1 8 2 5" xfId="6114" xr:uid="{00000000-0005-0000-0000-00009F290000}"/>
    <cellStyle name="40% - Accent1 8 2 5 2" xfId="17402" xr:uid="{00000000-0005-0000-0000-0000A0290000}"/>
    <cellStyle name="40% - Accent1 8 2 6" xfId="15408" xr:uid="{00000000-0005-0000-0000-0000A1290000}"/>
    <cellStyle name="40% - Accent1 8 3" xfId="11099" xr:uid="{00000000-0005-0000-0000-0000A2290000}"/>
    <cellStyle name="40% - Accent1 8 3 2" xfId="22387" xr:uid="{00000000-0005-0000-0000-0000A3290000}"/>
    <cellStyle name="40% - Accent1 8 4" xfId="9105" xr:uid="{00000000-0005-0000-0000-0000A4290000}"/>
    <cellStyle name="40% - Accent1 8 4 2" xfId="20393" xr:uid="{00000000-0005-0000-0000-0000A5290000}"/>
    <cellStyle name="40% - Accent1 8 5" xfId="7111" xr:uid="{00000000-0005-0000-0000-0000A6290000}"/>
    <cellStyle name="40% - Accent1 8 5 2" xfId="18399" xr:uid="{00000000-0005-0000-0000-0000A7290000}"/>
    <cellStyle name="40% - Accent1 8 6" xfId="5117" xr:uid="{00000000-0005-0000-0000-0000A8290000}"/>
    <cellStyle name="40% - Accent1 8 6 2" xfId="16405" xr:uid="{00000000-0005-0000-0000-0000A9290000}"/>
    <cellStyle name="40% - Accent1 8 7" xfId="14411" xr:uid="{00000000-0005-0000-0000-0000AA290000}"/>
    <cellStyle name="40% - Accent1 8 8" xfId="13097" xr:uid="{00000000-0005-0000-0000-0000AB290000}"/>
    <cellStyle name="40% - Accent1 9" xfId="1162" xr:uid="{00000000-0005-0000-0000-0000AC290000}"/>
    <cellStyle name="40% - Accent1 9 2" xfId="4118" xr:uid="{00000000-0005-0000-0000-0000AD290000}"/>
    <cellStyle name="40% - Accent1 9 2 2" xfId="12097" xr:uid="{00000000-0005-0000-0000-0000AE290000}"/>
    <cellStyle name="40% - Accent1 9 2 2 2" xfId="23385" xr:uid="{00000000-0005-0000-0000-0000AF290000}"/>
    <cellStyle name="40% - Accent1 9 2 3" xfId="10103" xr:uid="{00000000-0005-0000-0000-0000B0290000}"/>
    <cellStyle name="40% - Accent1 9 2 3 2" xfId="21391" xr:uid="{00000000-0005-0000-0000-0000B1290000}"/>
    <cellStyle name="40% - Accent1 9 2 4" xfId="8109" xr:uid="{00000000-0005-0000-0000-0000B2290000}"/>
    <cellStyle name="40% - Accent1 9 2 4 2" xfId="19397" xr:uid="{00000000-0005-0000-0000-0000B3290000}"/>
    <cellStyle name="40% - Accent1 9 2 5" xfId="6115" xr:uid="{00000000-0005-0000-0000-0000B4290000}"/>
    <cellStyle name="40% - Accent1 9 2 5 2" xfId="17403" xr:uid="{00000000-0005-0000-0000-0000B5290000}"/>
    <cellStyle name="40% - Accent1 9 2 6" xfId="15409" xr:uid="{00000000-0005-0000-0000-0000B6290000}"/>
    <cellStyle name="40% - Accent1 9 3" xfId="11100" xr:uid="{00000000-0005-0000-0000-0000B7290000}"/>
    <cellStyle name="40% - Accent1 9 3 2" xfId="22388" xr:uid="{00000000-0005-0000-0000-0000B8290000}"/>
    <cellStyle name="40% - Accent1 9 4" xfId="9106" xr:uid="{00000000-0005-0000-0000-0000B9290000}"/>
    <cellStyle name="40% - Accent1 9 4 2" xfId="20394" xr:uid="{00000000-0005-0000-0000-0000BA290000}"/>
    <cellStyle name="40% - Accent1 9 5" xfId="7112" xr:uid="{00000000-0005-0000-0000-0000BB290000}"/>
    <cellStyle name="40% - Accent1 9 5 2" xfId="18400" xr:uid="{00000000-0005-0000-0000-0000BC290000}"/>
    <cellStyle name="40% - Accent1 9 6" xfId="5118" xr:uid="{00000000-0005-0000-0000-0000BD290000}"/>
    <cellStyle name="40% - Accent1 9 6 2" xfId="16406" xr:uid="{00000000-0005-0000-0000-0000BE290000}"/>
    <cellStyle name="40% - Accent1 9 7" xfId="14412" xr:uid="{00000000-0005-0000-0000-0000BF290000}"/>
    <cellStyle name="40% - Accent1 9 8" xfId="13098" xr:uid="{00000000-0005-0000-0000-0000C0290000}"/>
    <cellStyle name="40% - Accent2 10" xfId="1163" xr:uid="{00000000-0005-0000-0000-0000C1290000}"/>
    <cellStyle name="40% - Accent2 10 2" xfId="4119" xr:uid="{00000000-0005-0000-0000-0000C2290000}"/>
    <cellStyle name="40% - Accent2 10 2 2" xfId="12098" xr:uid="{00000000-0005-0000-0000-0000C3290000}"/>
    <cellStyle name="40% - Accent2 10 2 2 2" xfId="23386" xr:uid="{00000000-0005-0000-0000-0000C4290000}"/>
    <cellStyle name="40% - Accent2 10 2 3" xfId="10104" xr:uid="{00000000-0005-0000-0000-0000C5290000}"/>
    <cellStyle name="40% - Accent2 10 2 3 2" xfId="21392" xr:uid="{00000000-0005-0000-0000-0000C6290000}"/>
    <cellStyle name="40% - Accent2 10 2 4" xfId="8110" xr:uid="{00000000-0005-0000-0000-0000C7290000}"/>
    <cellStyle name="40% - Accent2 10 2 4 2" xfId="19398" xr:uid="{00000000-0005-0000-0000-0000C8290000}"/>
    <cellStyle name="40% - Accent2 10 2 5" xfId="6116" xr:uid="{00000000-0005-0000-0000-0000C9290000}"/>
    <cellStyle name="40% - Accent2 10 2 5 2" xfId="17404" xr:uid="{00000000-0005-0000-0000-0000CA290000}"/>
    <cellStyle name="40% - Accent2 10 2 6" xfId="15410" xr:uid="{00000000-0005-0000-0000-0000CB290000}"/>
    <cellStyle name="40% - Accent2 10 3" xfId="11101" xr:uid="{00000000-0005-0000-0000-0000CC290000}"/>
    <cellStyle name="40% - Accent2 10 3 2" xfId="22389" xr:uid="{00000000-0005-0000-0000-0000CD290000}"/>
    <cellStyle name="40% - Accent2 10 4" xfId="9107" xr:uid="{00000000-0005-0000-0000-0000CE290000}"/>
    <cellStyle name="40% - Accent2 10 4 2" xfId="20395" xr:uid="{00000000-0005-0000-0000-0000CF290000}"/>
    <cellStyle name="40% - Accent2 10 5" xfId="7113" xr:uid="{00000000-0005-0000-0000-0000D0290000}"/>
    <cellStyle name="40% - Accent2 10 5 2" xfId="18401" xr:uid="{00000000-0005-0000-0000-0000D1290000}"/>
    <cellStyle name="40% - Accent2 10 6" xfId="5119" xr:uid="{00000000-0005-0000-0000-0000D2290000}"/>
    <cellStyle name="40% - Accent2 10 6 2" xfId="16407" xr:uid="{00000000-0005-0000-0000-0000D3290000}"/>
    <cellStyle name="40% - Accent2 10 7" xfId="14413" xr:uid="{00000000-0005-0000-0000-0000D4290000}"/>
    <cellStyle name="40% - Accent2 10 8" xfId="13099" xr:uid="{00000000-0005-0000-0000-0000D5290000}"/>
    <cellStyle name="40% - Accent2 11" xfId="1164" xr:uid="{00000000-0005-0000-0000-0000D6290000}"/>
    <cellStyle name="40% - Accent2 11 2" xfId="4120" xr:uid="{00000000-0005-0000-0000-0000D7290000}"/>
    <cellStyle name="40% - Accent2 11 2 2" xfId="12099" xr:uid="{00000000-0005-0000-0000-0000D8290000}"/>
    <cellStyle name="40% - Accent2 11 2 2 2" xfId="23387" xr:uid="{00000000-0005-0000-0000-0000D9290000}"/>
    <cellStyle name="40% - Accent2 11 2 3" xfId="10105" xr:uid="{00000000-0005-0000-0000-0000DA290000}"/>
    <cellStyle name="40% - Accent2 11 2 3 2" xfId="21393" xr:uid="{00000000-0005-0000-0000-0000DB290000}"/>
    <cellStyle name="40% - Accent2 11 2 4" xfId="8111" xr:uid="{00000000-0005-0000-0000-0000DC290000}"/>
    <cellStyle name="40% - Accent2 11 2 4 2" xfId="19399" xr:uid="{00000000-0005-0000-0000-0000DD290000}"/>
    <cellStyle name="40% - Accent2 11 2 5" xfId="6117" xr:uid="{00000000-0005-0000-0000-0000DE290000}"/>
    <cellStyle name="40% - Accent2 11 2 5 2" xfId="17405" xr:uid="{00000000-0005-0000-0000-0000DF290000}"/>
    <cellStyle name="40% - Accent2 11 2 6" xfId="15411" xr:uid="{00000000-0005-0000-0000-0000E0290000}"/>
    <cellStyle name="40% - Accent2 11 3" xfId="11102" xr:uid="{00000000-0005-0000-0000-0000E1290000}"/>
    <cellStyle name="40% - Accent2 11 3 2" xfId="22390" xr:uid="{00000000-0005-0000-0000-0000E2290000}"/>
    <cellStyle name="40% - Accent2 11 4" xfId="9108" xr:uid="{00000000-0005-0000-0000-0000E3290000}"/>
    <cellStyle name="40% - Accent2 11 4 2" xfId="20396" xr:uid="{00000000-0005-0000-0000-0000E4290000}"/>
    <cellStyle name="40% - Accent2 11 5" xfId="7114" xr:uid="{00000000-0005-0000-0000-0000E5290000}"/>
    <cellStyle name="40% - Accent2 11 5 2" xfId="18402" xr:uid="{00000000-0005-0000-0000-0000E6290000}"/>
    <cellStyle name="40% - Accent2 11 6" xfId="5120" xr:uid="{00000000-0005-0000-0000-0000E7290000}"/>
    <cellStyle name="40% - Accent2 11 6 2" xfId="16408" xr:uid="{00000000-0005-0000-0000-0000E8290000}"/>
    <cellStyle name="40% - Accent2 11 7" xfId="14414" xr:uid="{00000000-0005-0000-0000-0000E9290000}"/>
    <cellStyle name="40% - Accent2 11 8" xfId="13100" xr:uid="{00000000-0005-0000-0000-0000EA290000}"/>
    <cellStyle name="40% - Accent2 12" xfId="1165" xr:uid="{00000000-0005-0000-0000-0000EB290000}"/>
    <cellStyle name="40% - Accent2 12 2" xfId="4121" xr:uid="{00000000-0005-0000-0000-0000EC290000}"/>
    <cellStyle name="40% - Accent2 12 2 2" xfId="12100" xr:uid="{00000000-0005-0000-0000-0000ED290000}"/>
    <cellStyle name="40% - Accent2 12 2 2 2" xfId="23388" xr:uid="{00000000-0005-0000-0000-0000EE290000}"/>
    <cellStyle name="40% - Accent2 12 2 3" xfId="10106" xr:uid="{00000000-0005-0000-0000-0000EF290000}"/>
    <cellStyle name="40% - Accent2 12 2 3 2" xfId="21394" xr:uid="{00000000-0005-0000-0000-0000F0290000}"/>
    <cellStyle name="40% - Accent2 12 2 4" xfId="8112" xr:uid="{00000000-0005-0000-0000-0000F1290000}"/>
    <cellStyle name="40% - Accent2 12 2 4 2" xfId="19400" xr:uid="{00000000-0005-0000-0000-0000F2290000}"/>
    <cellStyle name="40% - Accent2 12 2 5" xfId="6118" xr:uid="{00000000-0005-0000-0000-0000F3290000}"/>
    <cellStyle name="40% - Accent2 12 2 5 2" xfId="17406" xr:uid="{00000000-0005-0000-0000-0000F4290000}"/>
    <cellStyle name="40% - Accent2 12 2 6" xfId="15412" xr:uid="{00000000-0005-0000-0000-0000F5290000}"/>
    <cellStyle name="40% - Accent2 12 3" xfId="11103" xr:uid="{00000000-0005-0000-0000-0000F6290000}"/>
    <cellStyle name="40% - Accent2 12 3 2" xfId="22391" xr:uid="{00000000-0005-0000-0000-0000F7290000}"/>
    <cellStyle name="40% - Accent2 12 4" xfId="9109" xr:uid="{00000000-0005-0000-0000-0000F8290000}"/>
    <cellStyle name="40% - Accent2 12 4 2" xfId="20397" xr:uid="{00000000-0005-0000-0000-0000F9290000}"/>
    <cellStyle name="40% - Accent2 12 5" xfId="7115" xr:uid="{00000000-0005-0000-0000-0000FA290000}"/>
    <cellStyle name="40% - Accent2 12 5 2" xfId="18403" xr:uid="{00000000-0005-0000-0000-0000FB290000}"/>
    <cellStyle name="40% - Accent2 12 6" xfId="5121" xr:uid="{00000000-0005-0000-0000-0000FC290000}"/>
    <cellStyle name="40% - Accent2 12 6 2" xfId="16409" xr:uid="{00000000-0005-0000-0000-0000FD290000}"/>
    <cellStyle name="40% - Accent2 12 7" xfId="14415" xr:uid="{00000000-0005-0000-0000-0000FE290000}"/>
    <cellStyle name="40% - Accent2 12 8" xfId="13101" xr:uid="{00000000-0005-0000-0000-0000FF290000}"/>
    <cellStyle name="40% - Accent2 13" xfId="1166" xr:uid="{00000000-0005-0000-0000-0000002A0000}"/>
    <cellStyle name="40% - Accent2 13 2" xfId="4122" xr:uid="{00000000-0005-0000-0000-0000012A0000}"/>
    <cellStyle name="40% - Accent2 13 2 2" xfId="12101" xr:uid="{00000000-0005-0000-0000-0000022A0000}"/>
    <cellStyle name="40% - Accent2 13 2 2 2" xfId="23389" xr:uid="{00000000-0005-0000-0000-0000032A0000}"/>
    <cellStyle name="40% - Accent2 13 2 3" xfId="10107" xr:uid="{00000000-0005-0000-0000-0000042A0000}"/>
    <cellStyle name="40% - Accent2 13 2 3 2" xfId="21395" xr:uid="{00000000-0005-0000-0000-0000052A0000}"/>
    <cellStyle name="40% - Accent2 13 2 4" xfId="8113" xr:uid="{00000000-0005-0000-0000-0000062A0000}"/>
    <cellStyle name="40% - Accent2 13 2 4 2" xfId="19401" xr:uid="{00000000-0005-0000-0000-0000072A0000}"/>
    <cellStyle name="40% - Accent2 13 2 5" xfId="6119" xr:uid="{00000000-0005-0000-0000-0000082A0000}"/>
    <cellStyle name="40% - Accent2 13 2 5 2" xfId="17407" xr:uid="{00000000-0005-0000-0000-0000092A0000}"/>
    <cellStyle name="40% - Accent2 13 2 6" xfId="15413" xr:uid="{00000000-0005-0000-0000-00000A2A0000}"/>
    <cellStyle name="40% - Accent2 13 3" xfId="11104" xr:uid="{00000000-0005-0000-0000-00000B2A0000}"/>
    <cellStyle name="40% - Accent2 13 3 2" xfId="22392" xr:uid="{00000000-0005-0000-0000-00000C2A0000}"/>
    <cellStyle name="40% - Accent2 13 4" xfId="9110" xr:uid="{00000000-0005-0000-0000-00000D2A0000}"/>
    <cellStyle name="40% - Accent2 13 4 2" xfId="20398" xr:uid="{00000000-0005-0000-0000-00000E2A0000}"/>
    <cellStyle name="40% - Accent2 13 5" xfId="7116" xr:uid="{00000000-0005-0000-0000-00000F2A0000}"/>
    <cellStyle name="40% - Accent2 13 5 2" xfId="18404" xr:uid="{00000000-0005-0000-0000-0000102A0000}"/>
    <cellStyle name="40% - Accent2 13 6" xfId="5122" xr:uid="{00000000-0005-0000-0000-0000112A0000}"/>
    <cellStyle name="40% - Accent2 13 6 2" xfId="16410" xr:uid="{00000000-0005-0000-0000-0000122A0000}"/>
    <cellStyle name="40% - Accent2 13 7" xfId="14416" xr:uid="{00000000-0005-0000-0000-0000132A0000}"/>
    <cellStyle name="40% - Accent2 13 8" xfId="13102" xr:uid="{00000000-0005-0000-0000-0000142A0000}"/>
    <cellStyle name="40% - Accent2 14" xfId="1167" xr:uid="{00000000-0005-0000-0000-0000152A0000}"/>
    <cellStyle name="40% - Accent2 14 2" xfId="4123" xr:uid="{00000000-0005-0000-0000-0000162A0000}"/>
    <cellStyle name="40% - Accent2 14 2 2" xfId="12102" xr:uid="{00000000-0005-0000-0000-0000172A0000}"/>
    <cellStyle name="40% - Accent2 14 2 2 2" xfId="23390" xr:uid="{00000000-0005-0000-0000-0000182A0000}"/>
    <cellStyle name="40% - Accent2 14 2 3" xfId="10108" xr:uid="{00000000-0005-0000-0000-0000192A0000}"/>
    <cellStyle name="40% - Accent2 14 2 3 2" xfId="21396" xr:uid="{00000000-0005-0000-0000-00001A2A0000}"/>
    <cellStyle name="40% - Accent2 14 2 4" xfId="8114" xr:uid="{00000000-0005-0000-0000-00001B2A0000}"/>
    <cellStyle name="40% - Accent2 14 2 4 2" xfId="19402" xr:uid="{00000000-0005-0000-0000-00001C2A0000}"/>
    <cellStyle name="40% - Accent2 14 2 5" xfId="6120" xr:uid="{00000000-0005-0000-0000-00001D2A0000}"/>
    <cellStyle name="40% - Accent2 14 2 5 2" xfId="17408" xr:uid="{00000000-0005-0000-0000-00001E2A0000}"/>
    <cellStyle name="40% - Accent2 14 2 6" xfId="15414" xr:uid="{00000000-0005-0000-0000-00001F2A0000}"/>
    <cellStyle name="40% - Accent2 14 3" xfId="11105" xr:uid="{00000000-0005-0000-0000-0000202A0000}"/>
    <cellStyle name="40% - Accent2 14 3 2" xfId="22393" xr:uid="{00000000-0005-0000-0000-0000212A0000}"/>
    <cellStyle name="40% - Accent2 14 4" xfId="9111" xr:uid="{00000000-0005-0000-0000-0000222A0000}"/>
    <cellStyle name="40% - Accent2 14 4 2" xfId="20399" xr:uid="{00000000-0005-0000-0000-0000232A0000}"/>
    <cellStyle name="40% - Accent2 14 5" xfId="7117" xr:uid="{00000000-0005-0000-0000-0000242A0000}"/>
    <cellStyle name="40% - Accent2 14 5 2" xfId="18405" xr:uid="{00000000-0005-0000-0000-0000252A0000}"/>
    <cellStyle name="40% - Accent2 14 6" xfId="5123" xr:uid="{00000000-0005-0000-0000-0000262A0000}"/>
    <cellStyle name="40% - Accent2 14 6 2" xfId="16411" xr:uid="{00000000-0005-0000-0000-0000272A0000}"/>
    <cellStyle name="40% - Accent2 14 7" xfId="14417" xr:uid="{00000000-0005-0000-0000-0000282A0000}"/>
    <cellStyle name="40% - Accent2 14 8" xfId="13103" xr:uid="{00000000-0005-0000-0000-0000292A0000}"/>
    <cellStyle name="40% - Accent2 15" xfId="1168" xr:uid="{00000000-0005-0000-0000-00002A2A0000}"/>
    <cellStyle name="40% - Accent2 15 2" xfId="4124" xr:uid="{00000000-0005-0000-0000-00002B2A0000}"/>
    <cellStyle name="40% - Accent2 15 2 2" xfId="12103" xr:uid="{00000000-0005-0000-0000-00002C2A0000}"/>
    <cellStyle name="40% - Accent2 15 2 2 2" xfId="23391" xr:uid="{00000000-0005-0000-0000-00002D2A0000}"/>
    <cellStyle name="40% - Accent2 15 2 3" xfId="10109" xr:uid="{00000000-0005-0000-0000-00002E2A0000}"/>
    <cellStyle name="40% - Accent2 15 2 3 2" xfId="21397" xr:uid="{00000000-0005-0000-0000-00002F2A0000}"/>
    <cellStyle name="40% - Accent2 15 2 4" xfId="8115" xr:uid="{00000000-0005-0000-0000-0000302A0000}"/>
    <cellStyle name="40% - Accent2 15 2 4 2" xfId="19403" xr:uid="{00000000-0005-0000-0000-0000312A0000}"/>
    <cellStyle name="40% - Accent2 15 2 5" xfId="6121" xr:uid="{00000000-0005-0000-0000-0000322A0000}"/>
    <cellStyle name="40% - Accent2 15 2 5 2" xfId="17409" xr:uid="{00000000-0005-0000-0000-0000332A0000}"/>
    <cellStyle name="40% - Accent2 15 2 6" xfId="15415" xr:uid="{00000000-0005-0000-0000-0000342A0000}"/>
    <cellStyle name="40% - Accent2 15 3" xfId="11106" xr:uid="{00000000-0005-0000-0000-0000352A0000}"/>
    <cellStyle name="40% - Accent2 15 3 2" xfId="22394" xr:uid="{00000000-0005-0000-0000-0000362A0000}"/>
    <cellStyle name="40% - Accent2 15 4" xfId="9112" xr:uid="{00000000-0005-0000-0000-0000372A0000}"/>
    <cellStyle name="40% - Accent2 15 4 2" xfId="20400" xr:uid="{00000000-0005-0000-0000-0000382A0000}"/>
    <cellStyle name="40% - Accent2 15 5" xfId="7118" xr:uid="{00000000-0005-0000-0000-0000392A0000}"/>
    <cellStyle name="40% - Accent2 15 5 2" xfId="18406" xr:uid="{00000000-0005-0000-0000-00003A2A0000}"/>
    <cellStyle name="40% - Accent2 15 6" xfId="5124" xr:uid="{00000000-0005-0000-0000-00003B2A0000}"/>
    <cellStyle name="40% - Accent2 15 6 2" xfId="16412" xr:uid="{00000000-0005-0000-0000-00003C2A0000}"/>
    <cellStyle name="40% - Accent2 15 7" xfId="14418" xr:uid="{00000000-0005-0000-0000-00003D2A0000}"/>
    <cellStyle name="40% - Accent2 15 8" xfId="13104" xr:uid="{00000000-0005-0000-0000-00003E2A0000}"/>
    <cellStyle name="40% - Accent2 16" xfId="1169" xr:uid="{00000000-0005-0000-0000-00003F2A0000}"/>
    <cellStyle name="40% - Accent2 16 2" xfId="4125" xr:uid="{00000000-0005-0000-0000-0000402A0000}"/>
    <cellStyle name="40% - Accent2 16 2 2" xfId="12104" xr:uid="{00000000-0005-0000-0000-0000412A0000}"/>
    <cellStyle name="40% - Accent2 16 2 2 2" xfId="23392" xr:uid="{00000000-0005-0000-0000-0000422A0000}"/>
    <cellStyle name="40% - Accent2 16 2 3" xfId="10110" xr:uid="{00000000-0005-0000-0000-0000432A0000}"/>
    <cellStyle name="40% - Accent2 16 2 3 2" xfId="21398" xr:uid="{00000000-0005-0000-0000-0000442A0000}"/>
    <cellStyle name="40% - Accent2 16 2 4" xfId="8116" xr:uid="{00000000-0005-0000-0000-0000452A0000}"/>
    <cellStyle name="40% - Accent2 16 2 4 2" xfId="19404" xr:uid="{00000000-0005-0000-0000-0000462A0000}"/>
    <cellStyle name="40% - Accent2 16 2 5" xfId="6122" xr:uid="{00000000-0005-0000-0000-0000472A0000}"/>
    <cellStyle name="40% - Accent2 16 2 5 2" xfId="17410" xr:uid="{00000000-0005-0000-0000-0000482A0000}"/>
    <cellStyle name="40% - Accent2 16 2 6" xfId="15416" xr:uid="{00000000-0005-0000-0000-0000492A0000}"/>
    <cellStyle name="40% - Accent2 16 3" xfId="11107" xr:uid="{00000000-0005-0000-0000-00004A2A0000}"/>
    <cellStyle name="40% - Accent2 16 3 2" xfId="22395" xr:uid="{00000000-0005-0000-0000-00004B2A0000}"/>
    <cellStyle name="40% - Accent2 16 4" xfId="9113" xr:uid="{00000000-0005-0000-0000-00004C2A0000}"/>
    <cellStyle name="40% - Accent2 16 4 2" xfId="20401" xr:uid="{00000000-0005-0000-0000-00004D2A0000}"/>
    <cellStyle name="40% - Accent2 16 5" xfId="7119" xr:uid="{00000000-0005-0000-0000-00004E2A0000}"/>
    <cellStyle name="40% - Accent2 16 5 2" xfId="18407" xr:uid="{00000000-0005-0000-0000-00004F2A0000}"/>
    <cellStyle name="40% - Accent2 16 6" xfId="5125" xr:uid="{00000000-0005-0000-0000-0000502A0000}"/>
    <cellStyle name="40% - Accent2 16 6 2" xfId="16413" xr:uid="{00000000-0005-0000-0000-0000512A0000}"/>
    <cellStyle name="40% - Accent2 16 7" xfId="14419" xr:uid="{00000000-0005-0000-0000-0000522A0000}"/>
    <cellStyle name="40% - Accent2 16 8" xfId="13105" xr:uid="{00000000-0005-0000-0000-0000532A0000}"/>
    <cellStyle name="40% - Accent2 17" xfId="1170" xr:uid="{00000000-0005-0000-0000-0000542A0000}"/>
    <cellStyle name="40% - Accent2 17 2" xfId="4126" xr:uid="{00000000-0005-0000-0000-0000552A0000}"/>
    <cellStyle name="40% - Accent2 17 2 2" xfId="12105" xr:uid="{00000000-0005-0000-0000-0000562A0000}"/>
    <cellStyle name="40% - Accent2 17 2 2 2" xfId="23393" xr:uid="{00000000-0005-0000-0000-0000572A0000}"/>
    <cellStyle name="40% - Accent2 17 2 3" xfId="10111" xr:uid="{00000000-0005-0000-0000-0000582A0000}"/>
    <cellStyle name="40% - Accent2 17 2 3 2" xfId="21399" xr:uid="{00000000-0005-0000-0000-0000592A0000}"/>
    <cellStyle name="40% - Accent2 17 2 4" xfId="8117" xr:uid="{00000000-0005-0000-0000-00005A2A0000}"/>
    <cellStyle name="40% - Accent2 17 2 4 2" xfId="19405" xr:uid="{00000000-0005-0000-0000-00005B2A0000}"/>
    <cellStyle name="40% - Accent2 17 2 5" xfId="6123" xr:uid="{00000000-0005-0000-0000-00005C2A0000}"/>
    <cellStyle name="40% - Accent2 17 2 5 2" xfId="17411" xr:uid="{00000000-0005-0000-0000-00005D2A0000}"/>
    <cellStyle name="40% - Accent2 17 2 6" xfId="15417" xr:uid="{00000000-0005-0000-0000-00005E2A0000}"/>
    <cellStyle name="40% - Accent2 17 3" xfId="11108" xr:uid="{00000000-0005-0000-0000-00005F2A0000}"/>
    <cellStyle name="40% - Accent2 17 3 2" xfId="22396" xr:uid="{00000000-0005-0000-0000-0000602A0000}"/>
    <cellStyle name="40% - Accent2 17 4" xfId="9114" xr:uid="{00000000-0005-0000-0000-0000612A0000}"/>
    <cellStyle name="40% - Accent2 17 4 2" xfId="20402" xr:uid="{00000000-0005-0000-0000-0000622A0000}"/>
    <cellStyle name="40% - Accent2 17 5" xfId="7120" xr:uid="{00000000-0005-0000-0000-0000632A0000}"/>
    <cellStyle name="40% - Accent2 17 5 2" xfId="18408" xr:uid="{00000000-0005-0000-0000-0000642A0000}"/>
    <cellStyle name="40% - Accent2 17 6" xfId="5126" xr:uid="{00000000-0005-0000-0000-0000652A0000}"/>
    <cellStyle name="40% - Accent2 17 6 2" xfId="16414" xr:uid="{00000000-0005-0000-0000-0000662A0000}"/>
    <cellStyle name="40% - Accent2 17 7" xfId="14420" xr:uid="{00000000-0005-0000-0000-0000672A0000}"/>
    <cellStyle name="40% - Accent2 17 8" xfId="13106" xr:uid="{00000000-0005-0000-0000-0000682A0000}"/>
    <cellStyle name="40% - Accent2 18" xfId="1171" xr:uid="{00000000-0005-0000-0000-0000692A0000}"/>
    <cellStyle name="40% - Accent2 18 2" xfId="4127" xr:uid="{00000000-0005-0000-0000-00006A2A0000}"/>
    <cellStyle name="40% - Accent2 18 2 2" xfId="12106" xr:uid="{00000000-0005-0000-0000-00006B2A0000}"/>
    <cellStyle name="40% - Accent2 18 2 2 2" xfId="23394" xr:uid="{00000000-0005-0000-0000-00006C2A0000}"/>
    <cellStyle name="40% - Accent2 18 2 3" xfId="10112" xr:uid="{00000000-0005-0000-0000-00006D2A0000}"/>
    <cellStyle name="40% - Accent2 18 2 3 2" xfId="21400" xr:uid="{00000000-0005-0000-0000-00006E2A0000}"/>
    <cellStyle name="40% - Accent2 18 2 4" xfId="8118" xr:uid="{00000000-0005-0000-0000-00006F2A0000}"/>
    <cellStyle name="40% - Accent2 18 2 4 2" xfId="19406" xr:uid="{00000000-0005-0000-0000-0000702A0000}"/>
    <cellStyle name="40% - Accent2 18 2 5" xfId="6124" xr:uid="{00000000-0005-0000-0000-0000712A0000}"/>
    <cellStyle name="40% - Accent2 18 2 5 2" xfId="17412" xr:uid="{00000000-0005-0000-0000-0000722A0000}"/>
    <cellStyle name="40% - Accent2 18 2 6" xfId="15418" xr:uid="{00000000-0005-0000-0000-0000732A0000}"/>
    <cellStyle name="40% - Accent2 18 3" xfId="11109" xr:uid="{00000000-0005-0000-0000-0000742A0000}"/>
    <cellStyle name="40% - Accent2 18 3 2" xfId="22397" xr:uid="{00000000-0005-0000-0000-0000752A0000}"/>
    <cellStyle name="40% - Accent2 18 4" xfId="9115" xr:uid="{00000000-0005-0000-0000-0000762A0000}"/>
    <cellStyle name="40% - Accent2 18 4 2" xfId="20403" xr:uid="{00000000-0005-0000-0000-0000772A0000}"/>
    <cellStyle name="40% - Accent2 18 5" xfId="7121" xr:uid="{00000000-0005-0000-0000-0000782A0000}"/>
    <cellStyle name="40% - Accent2 18 5 2" xfId="18409" xr:uid="{00000000-0005-0000-0000-0000792A0000}"/>
    <cellStyle name="40% - Accent2 18 6" xfId="5127" xr:uid="{00000000-0005-0000-0000-00007A2A0000}"/>
    <cellStyle name="40% - Accent2 18 6 2" xfId="16415" xr:uid="{00000000-0005-0000-0000-00007B2A0000}"/>
    <cellStyle name="40% - Accent2 18 7" xfId="14421" xr:uid="{00000000-0005-0000-0000-00007C2A0000}"/>
    <cellStyle name="40% - Accent2 18 8" xfId="13107" xr:uid="{00000000-0005-0000-0000-00007D2A0000}"/>
    <cellStyle name="40% - Accent2 19" xfId="1172" xr:uid="{00000000-0005-0000-0000-00007E2A0000}"/>
    <cellStyle name="40% - Accent2 19 2" xfId="4128" xr:uid="{00000000-0005-0000-0000-00007F2A0000}"/>
    <cellStyle name="40% - Accent2 19 2 2" xfId="12107" xr:uid="{00000000-0005-0000-0000-0000802A0000}"/>
    <cellStyle name="40% - Accent2 19 2 2 2" xfId="23395" xr:uid="{00000000-0005-0000-0000-0000812A0000}"/>
    <cellStyle name="40% - Accent2 19 2 3" xfId="10113" xr:uid="{00000000-0005-0000-0000-0000822A0000}"/>
    <cellStyle name="40% - Accent2 19 2 3 2" xfId="21401" xr:uid="{00000000-0005-0000-0000-0000832A0000}"/>
    <cellStyle name="40% - Accent2 19 2 4" xfId="8119" xr:uid="{00000000-0005-0000-0000-0000842A0000}"/>
    <cellStyle name="40% - Accent2 19 2 4 2" xfId="19407" xr:uid="{00000000-0005-0000-0000-0000852A0000}"/>
    <cellStyle name="40% - Accent2 19 2 5" xfId="6125" xr:uid="{00000000-0005-0000-0000-0000862A0000}"/>
    <cellStyle name="40% - Accent2 19 2 5 2" xfId="17413" xr:uid="{00000000-0005-0000-0000-0000872A0000}"/>
    <cellStyle name="40% - Accent2 19 2 6" xfId="15419" xr:uid="{00000000-0005-0000-0000-0000882A0000}"/>
    <cellStyle name="40% - Accent2 19 3" xfId="11110" xr:uid="{00000000-0005-0000-0000-0000892A0000}"/>
    <cellStyle name="40% - Accent2 19 3 2" xfId="22398" xr:uid="{00000000-0005-0000-0000-00008A2A0000}"/>
    <cellStyle name="40% - Accent2 19 4" xfId="9116" xr:uid="{00000000-0005-0000-0000-00008B2A0000}"/>
    <cellStyle name="40% - Accent2 19 4 2" xfId="20404" xr:uid="{00000000-0005-0000-0000-00008C2A0000}"/>
    <cellStyle name="40% - Accent2 19 5" xfId="7122" xr:uid="{00000000-0005-0000-0000-00008D2A0000}"/>
    <cellStyle name="40% - Accent2 19 5 2" xfId="18410" xr:uid="{00000000-0005-0000-0000-00008E2A0000}"/>
    <cellStyle name="40% - Accent2 19 6" xfId="5128" xr:uid="{00000000-0005-0000-0000-00008F2A0000}"/>
    <cellStyle name="40% - Accent2 19 6 2" xfId="16416" xr:uid="{00000000-0005-0000-0000-0000902A0000}"/>
    <cellStyle name="40% - Accent2 19 7" xfId="14422" xr:uid="{00000000-0005-0000-0000-0000912A0000}"/>
    <cellStyle name="40% - Accent2 19 8" xfId="13108" xr:uid="{00000000-0005-0000-0000-0000922A0000}"/>
    <cellStyle name="40% - Accent2 2" xfId="1173" xr:uid="{00000000-0005-0000-0000-0000932A0000}"/>
    <cellStyle name="40% - Accent2 2 10" xfId="24601" xr:uid="{00000000-0005-0000-0000-0000942A0000}"/>
    <cellStyle name="40% - Accent2 2 11" xfId="24991" xr:uid="{00000000-0005-0000-0000-0000952A0000}"/>
    <cellStyle name="40% - Accent2 2 2" xfId="4129" xr:uid="{00000000-0005-0000-0000-0000962A0000}"/>
    <cellStyle name="40% - Accent2 2 2 2" xfId="12108" xr:uid="{00000000-0005-0000-0000-0000972A0000}"/>
    <cellStyle name="40% - Accent2 2 2 2 2" xfId="23396" xr:uid="{00000000-0005-0000-0000-0000982A0000}"/>
    <cellStyle name="40% - Accent2 2 2 3" xfId="10114" xr:uid="{00000000-0005-0000-0000-0000992A0000}"/>
    <cellStyle name="40% - Accent2 2 2 3 2" xfId="21402" xr:uid="{00000000-0005-0000-0000-00009A2A0000}"/>
    <cellStyle name="40% - Accent2 2 2 4" xfId="8120" xr:uid="{00000000-0005-0000-0000-00009B2A0000}"/>
    <cellStyle name="40% - Accent2 2 2 4 2" xfId="19408" xr:uid="{00000000-0005-0000-0000-00009C2A0000}"/>
    <cellStyle name="40% - Accent2 2 2 5" xfId="6126" xr:uid="{00000000-0005-0000-0000-00009D2A0000}"/>
    <cellStyle name="40% - Accent2 2 2 5 2" xfId="17414" xr:uid="{00000000-0005-0000-0000-00009E2A0000}"/>
    <cellStyle name="40% - Accent2 2 2 6" xfId="15420" xr:uid="{00000000-0005-0000-0000-00009F2A0000}"/>
    <cellStyle name="40% - Accent2 2 2 7" xfId="24362" xr:uid="{00000000-0005-0000-0000-0000A02A0000}"/>
    <cellStyle name="40% - Accent2 2 2 8" xfId="24826" xr:uid="{00000000-0005-0000-0000-0000A12A0000}"/>
    <cellStyle name="40% - Accent2 2 2 9" xfId="25193" xr:uid="{00000000-0005-0000-0000-0000A22A0000}"/>
    <cellStyle name="40% - Accent2 2 3" xfId="11111" xr:uid="{00000000-0005-0000-0000-0000A32A0000}"/>
    <cellStyle name="40% - Accent2 2 3 2" xfId="22399" xr:uid="{00000000-0005-0000-0000-0000A42A0000}"/>
    <cellStyle name="40% - Accent2 2 4" xfId="9117" xr:uid="{00000000-0005-0000-0000-0000A52A0000}"/>
    <cellStyle name="40% - Accent2 2 4 2" xfId="20405" xr:uid="{00000000-0005-0000-0000-0000A62A0000}"/>
    <cellStyle name="40% - Accent2 2 5" xfId="7123" xr:uid="{00000000-0005-0000-0000-0000A72A0000}"/>
    <cellStyle name="40% - Accent2 2 5 2" xfId="18411" xr:uid="{00000000-0005-0000-0000-0000A82A0000}"/>
    <cellStyle name="40% - Accent2 2 6" xfId="5129" xr:uid="{00000000-0005-0000-0000-0000A92A0000}"/>
    <cellStyle name="40% - Accent2 2 6 2" xfId="16417" xr:uid="{00000000-0005-0000-0000-0000AA2A0000}"/>
    <cellStyle name="40% - Accent2 2 7" xfId="14423" xr:uid="{00000000-0005-0000-0000-0000AB2A0000}"/>
    <cellStyle name="40% - Accent2 2 8" xfId="13109" xr:uid="{00000000-0005-0000-0000-0000AC2A0000}"/>
    <cellStyle name="40% - Accent2 2 9" xfId="23974" xr:uid="{00000000-0005-0000-0000-0000AD2A0000}"/>
    <cellStyle name="40% - Accent2 20" xfId="1174" xr:uid="{00000000-0005-0000-0000-0000AE2A0000}"/>
    <cellStyle name="40% - Accent2 20 2" xfId="4130" xr:uid="{00000000-0005-0000-0000-0000AF2A0000}"/>
    <cellStyle name="40% - Accent2 20 2 2" xfId="12109" xr:uid="{00000000-0005-0000-0000-0000B02A0000}"/>
    <cellStyle name="40% - Accent2 20 2 2 2" xfId="23397" xr:uid="{00000000-0005-0000-0000-0000B12A0000}"/>
    <cellStyle name="40% - Accent2 20 2 3" xfId="10115" xr:uid="{00000000-0005-0000-0000-0000B22A0000}"/>
    <cellStyle name="40% - Accent2 20 2 3 2" xfId="21403" xr:uid="{00000000-0005-0000-0000-0000B32A0000}"/>
    <cellStyle name="40% - Accent2 20 2 4" xfId="8121" xr:uid="{00000000-0005-0000-0000-0000B42A0000}"/>
    <cellStyle name="40% - Accent2 20 2 4 2" xfId="19409" xr:uid="{00000000-0005-0000-0000-0000B52A0000}"/>
    <cellStyle name="40% - Accent2 20 2 5" xfId="6127" xr:uid="{00000000-0005-0000-0000-0000B62A0000}"/>
    <cellStyle name="40% - Accent2 20 2 5 2" xfId="17415" xr:uid="{00000000-0005-0000-0000-0000B72A0000}"/>
    <cellStyle name="40% - Accent2 20 2 6" xfId="15421" xr:uid="{00000000-0005-0000-0000-0000B82A0000}"/>
    <cellStyle name="40% - Accent2 20 3" xfId="11112" xr:uid="{00000000-0005-0000-0000-0000B92A0000}"/>
    <cellStyle name="40% - Accent2 20 3 2" xfId="22400" xr:uid="{00000000-0005-0000-0000-0000BA2A0000}"/>
    <cellStyle name="40% - Accent2 20 4" xfId="9118" xr:uid="{00000000-0005-0000-0000-0000BB2A0000}"/>
    <cellStyle name="40% - Accent2 20 4 2" xfId="20406" xr:uid="{00000000-0005-0000-0000-0000BC2A0000}"/>
    <cellStyle name="40% - Accent2 20 5" xfId="7124" xr:uid="{00000000-0005-0000-0000-0000BD2A0000}"/>
    <cellStyle name="40% - Accent2 20 5 2" xfId="18412" xr:uid="{00000000-0005-0000-0000-0000BE2A0000}"/>
    <cellStyle name="40% - Accent2 20 6" xfId="5130" xr:uid="{00000000-0005-0000-0000-0000BF2A0000}"/>
    <cellStyle name="40% - Accent2 20 6 2" xfId="16418" xr:uid="{00000000-0005-0000-0000-0000C02A0000}"/>
    <cellStyle name="40% - Accent2 20 7" xfId="14424" xr:uid="{00000000-0005-0000-0000-0000C12A0000}"/>
    <cellStyle name="40% - Accent2 20 8" xfId="13110" xr:uid="{00000000-0005-0000-0000-0000C22A0000}"/>
    <cellStyle name="40% - Accent2 21" xfId="1175" xr:uid="{00000000-0005-0000-0000-0000C32A0000}"/>
    <cellStyle name="40% - Accent2 21 2" xfId="4131" xr:uid="{00000000-0005-0000-0000-0000C42A0000}"/>
    <cellStyle name="40% - Accent2 21 2 2" xfId="12110" xr:uid="{00000000-0005-0000-0000-0000C52A0000}"/>
    <cellStyle name="40% - Accent2 21 2 2 2" xfId="23398" xr:uid="{00000000-0005-0000-0000-0000C62A0000}"/>
    <cellStyle name="40% - Accent2 21 2 3" xfId="10116" xr:uid="{00000000-0005-0000-0000-0000C72A0000}"/>
    <cellStyle name="40% - Accent2 21 2 3 2" xfId="21404" xr:uid="{00000000-0005-0000-0000-0000C82A0000}"/>
    <cellStyle name="40% - Accent2 21 2 4" xfId="8122" xr:uid="{00000000-0005-0000-0000-0000C92A0000}"/>
    <cellStyle name="40% - Accent2 21 2 4 2" xfId="19410" xr:uid="{00000000-0005-0000-0000-0000CA2A0000}"/>
    <cellStyle name="40% - Accent2 21 2 5" xfId="6128" xr:uid="{00000000-0005-0000-0000-0000CB2A0000}"/>
    <cellStyle name="40% - Accent2 21 2 5 2" xfId="17416" xr:uid="{00000000-0005-0000-0000-0000CC2A0000}"/>
    <cellStyle name="40% - Accent2 21 2 6" xfId="15422" xr:uid="{00000000-0005-0000-0000-0000CD2A0000}"/>
    <cellStyle name="40% - Accent2 21 3" xfId="11113" xr:uid="{00000000-0005-0000-0000-0000CE2A0000}"/>
    <cellStyle name="40% - Accent2 21 3 2" xfId="22401" xr:uid="{00000000-0005-0000-0000-0000CF2A0000}"/>
    <cellStyle name="40% - Accent2 21 4" xfId="9119" xr:uid="{00000000-0005-0000-0000-0000D02A0000}"/>
    <cellStyle name="40% - Accent2 21 4 2" xfId="20407" xr:uid="{00000000-0005-0000-0000-0000D12A0000}"/>
    <cellStyle name="40% - Accent2 21 5" xfId="7125" xr:uid="{00000000-0005-0000-0000-0000D22A0000}"/>
    <cellStyle name="40% - Accent2 21 5 2" xfId="18413" xr:uid="{00000000-0005-0000-0000-0000D32A0000}"/>
    <cellStyle name="40% - Accent2 21 6" xfId="5131" xr:uid="{00000000-0005-0000-0000-0000D42A0000}"/>
    <cellStyle name="40% - Accent2 21 6 2" xfId="16419" xr:uid="{00000000-0005-0000-0000-0000D52A0000}"/>
    <cellStyle name="40% - Accent2 21 7" xfId="14425" xr:uid="{00000000-0005-0000-0000-0000D62A0000}"/>
    <cellStyle name="40% - Accent2 21 8" xfId="13111" xr:uid="{00000000-0005-0000-0000-0000D72A0000}"/>
    <cellStyle name="40% - Accent2 22" xfId="1176" xr:uid="{00000000-0005-0000-0000-0000D82A0000}"/>
    <cellStyle name="40% - Accent2 22 2" xfId="4132" xr:uid="{00000000-0005-0000-0000-0000D92A0000}"/>
    <cellStyle name="40% - Accent2 22 2 2" xfId="12111" xr:uid="{00000000-0005-0000-0000-0000DA2A0000}"/>
    <cellStyle name="40% - Accent2 22 2 2 2" xfId="23399" xr:uid="{00000000-0005-0000-0000-0000DB2A0000}"/>
    <cellStyle name="40% - Accent2 22 2 3" xfId="10117" xr:uid="{00000000-0005-0000-0000-0000DC2A0000}"/>
    <cellStyle name="40% - Accent2 22 2 3 2" xfId="21405" xr:uid="{00000000-0005-0000-0000-0000DD2A0000}"/>
    <cellStyle name="40% - Accent2 22 2 4" xfId="8123" xr:uid="{00000000-0005-0000-0000-0000DE2A0000}"/>
    <cellStyle name="40% - Accent2 22 2 4 2" xfId="19411" xr:uid="{00000000-0005-0000-0000-0000DF2A0000}"/>
    <cellStyle name="40% - Accent2 22 2 5" xfId="6129" xr:uid="{00000000-0005-0000-0000-0000E02A0000}"/>
    <cellStyle name="40% - Accent2 22 2 5 2" xfId="17417" xr:uid="{00000000-0005-0000-0000-0000E12A0000}"/>
    <cellStyle name="40% - Accent2 22 2 6" xfId="15423" xr:uid="{00000000-0005-0000-0000-0000E22A0000}"/>
    <cellStyle name="40% - Accent2 22 3" xfId="11114" xr:uid="{00000000-0005-0000-0000-0000E32A0000}"/>
    <cellStyle name="40% - Accent2 22 3 2" xfId="22402" xr:uid="{00000000-0005-0000-0000-0000E42A0000}"/>
    <cellStyle name="40% - Accent2 22 4" xfId="9120" xr:uid="{00000000-0005-0000-0000-0000E52A0000}"/>
    <cellStyle name="40% - Accent2 22 4 2" xfId="20408" xr:uid="{00000000-0005-0000-0000-0000E62A0000}"/>
    <cellStyle name="40% - Accent2 22 5" xfId="7126" xr:uid="{00000000-0005-0000-0000-0000E72A0000}"/>
    <cellStyle name="40% - Accent2 22 5 2" xfId="18414" xr:uid="{00000000-0005-0000-0000-0000E82A0000}"/>
    <cellStyle name="40% - Accent2 22 6" xfId="5132" xr:uid="{00000000-0005-0000-0000-0000E92A0000}"/>
    <cellStyle name="40% - Accent2 22 6 2" xfId="16420" xr:uid="{00000000-0005-0000-0000-0000EA2A0000}"/>
    <cellStyle name="40% - Accent2 22 7" xfId="14426" xr:uid="{00000000-0005-0000-0000-0000EB2A0000}"/>
    <cellStyle name="40% - Accent2 22 8" xfId="13112" xr:uid="{00000000-0005-0000-0000-0000EC2A0000}"/>
    <cellStyle name="40% - Accent2 23" xfId="1177" xr:uid="{00000000-0005-0000-0000-0000ED2A0000}"/>
    <cellStyle name="40% - Accent2 23 2" xfId="4133" xr:uid="{00000000-0005-0000-0000-0000EE2A0000}"/>
    <cellStyle name="40% - Accent2 23 2 2" xfId="12112" xr:uid="{00000000-0005-0000-0000-0000EF2A0000}"/>
    <cellStyle name="40% - Accent2 23 2 2 2" xfId="23400" xr:uid="{00000000-0005-0000-0000-0000F02A0000}"/>
    <cellStyle name="40% - Accent2 23 2 3" xfId="10118" xr:uid="{00000000-0005-0000-0000-0000F12A0000}"/>
    <cellStyle name="40% - Accent2 23 2 3 2" xfId="21406" xr:uid="{00000000-0005-0000-0000-0000F22A0000}"/>
    <cellStyle name="40% - Accent2 23 2 4" xfId="8124" xr:uid="{00000000-0005-0000-0000-0000F32A0000}"/>
    <cellStyle name="40% - Accent2 23 2 4 2" xfId="19412" xr:uid="{00000000-0005-0000-0000-0000F42A0000}"/>
    <cellStyle name="40% - Accent2 23 2 5" xfId="6130" xr:uid="{00000000-0005-0000-0000-0000F52A0000}"/>
    <cellStyle name="40% - Accent2 23 2 5 2" xfId="17418" xr:uid="{00000000-0005-0000-0000-0000F62A0000}"/>
    <cellStyle name="40% - Accent2 23 2 6" xfId="15424" xr:uid="{00000000-0005-0000-0000-0000F72A0000}"/>
    <cellStyle name="40% - Accent2 23 3" xfId="11115" xr:uid="{00000000-0005-0000-0000-0000F82A0000}"/>
    <cellStyle name="40% - Accent2 23 3 2" xfId="22403" xr:uid="{00000000-0005-0000-0000-0000F92A0000}"/>
    <cellStyle name="40% - Accent2 23 4" xfId="9121" xr:uid="{00000000-0005-0000-0000-0000FA2A0000}"/>
    <cellStyle name="40% - Accent2 23 4 2" xfId="20409" xr:uid="{00000000-0005-0000-0000-0000FB2A0000}"/>
    <cellStyle name="40% - Accent2 23 5" xfId="7127" xr:uid="{00000000-0005-0000-0000-0000FC2A0000}"/>
    <cellStyle name="40% - Accent2 23 5 2" xfId="18415" xr:uid="{00000000-0005-0000-0000-0000FD2A0000}"/>
    <cellStyle name="40% - Accent2 23 6" xfId="5133" xr:uid="{00000000-0005-0000-0000-0000FE2A0000}"/>
    <cellStyle name="40% - Accent2 23 6 2" xfId="16421" xr:uid="{00000000-0005-0000-0000-0000FF2A0000}"/>
    <cellStyle name="40% - Accent2 23 7" xfId="14427" xr:uid="{00000000-0005-0000-0000-0000002B0000}"/>
    <cellStyle name="40% - Accent2 23 8" xfId="13113" xr:uid="{00000000-0005-0000-0000-0000012B0000}"/>
    <cellStyle name="40% - Accent2 24" xfId="1178" xr:uid="{00000000-0005-0000-0000-0000022B0000}"/>
    <cellStyle name="40% - Accent2 24 2" xfId="4134" xr:uid="{00000000-0005-0000-0000-0000032B0000}"/>
    <cellStyle name="40% - Accent2 24 2 2" xfId="12113" xr:uid="{00000000-0005-0000-0000-0000042B0000}"/>
    <cellStyle name="40% - Accent2 24 2 2 2" xfId="23401" xr:uid="{00000000-0005-0000-0000-0000052B0000}"/>
    <cellStyle name="40% - Accent2 24 2 3" xfId="10119" xr:uid="{00000000-0005-0000-0000-0000062B0000}"/>
    <cellStyle name="40% - Accent2 24 2 3 2" xfId="21407" xr:uid="{00000000-0005-0000-0000-0000072B0000}"/>
    <cellStyle name="40% - Accent2 24 2 4" xfId="8125" xr:uid="{00000000-0005-0000-0000-0000082B0000}"/>
    <cellStyle name="40% - Accent2 24 2 4 2" xfId="19413" xr:uid="{00000000-0005-0000-0000-0000092B0000}"/>
    <cellStyle name="40% - Accent2 24 2 5" xfId="6131" xr:uid="{00000000-0005-0000-0000-00000A2B0000}"/>
    <cellStyle name="40% - Accent2 24 2 5 2" xfId="17419" xr:uid="{00000000-0005-0000-0000-00000B2B0000}"/>
    <cellStyle name="40% - Accent2 24 2 6" xfId="15425" xr:uid="{00000000-0005-0000-0000-00000C2B0000}"/>
    <cellStyle name="40% - Accent2 24 3" xfId="11116" xr:uid="{00000000-0005-0000-0000-00000D2B0000}"/>
    <cellStyle name="40% - Accent2 24 3 2" xfId="22404" xr:uid="{00000000-0005-0000-0000-00000E2B0000}"/>
    <cellStyle name="40% - Accent2 24 4" xfId="9122" xr:uid="{00000000-0005-0000-0000-00000F2B0000}"/>
    <cellStyle name="40% - Accent2 24 4 2" xfId="20410" xr:uid="{00000000-0005-0000-0000-0000102B0000}"/>
    <cellStyle name="40% - Accent2 24 5" xfId="7128" xr:uid="{00000000-0005-0000-0000-0000112B0000}"/>
    <cellStyle name="40% - Accent2 24 5 2" xfId="18416" xr:uid="{00000000-0005-0000-0000-0000122B0000}"/>
    <cellStyle name="40% - Accent2 24 6" xfId="5134" xr:uid="{00000000-0005-0000-0000-0000132B0000}"/>
    <cellStyle name="40% - Accent2 24 6 2" xfId="16422" xr:uid="{00000000-0005-0000-0000-0000142B0000}"/>
    <cellStyle name="40% - Accent2 24 7" xfId="14428" xr:uid="{00000000-0005-0000-0000-0000152B0000}"/>
    <cellStyle name="40% - Accent2 24 8" xfId="13114" xr:uid="{00000000-0005-0000-0000-0000162B0000}"/>
    <cellStyle name="40% - Accent2 25" xfId="1179" xr:uid="{00000000-0005-0000-0000-0000172B0000}"/>
    <cellStyle name="40% - Accent2 25 2" xfId="4135" xr:uid="{00000000-0005-0000-0000-0000182B0000}"/>
    <cellStyle name="40% - Accent2 25 2 2" xfId="12114" xr:uid="{00000000-0005-0000-0000-0000192B0000}"/>
    <cellStyle name="40% - Accent2 25 2 2 2" xfId="23402" xr:uid="{00000000-0005-0000-0000-00001A2B0000}"/>
    <cellStyle name="40% - Accent2 25 2 3" xfId="10120" xr:uid="{00000000-0005-0000-0000-00001B2B0000}"/>
    <cellStyle name="40% - Accent2 25 2 3 2" xfId="21408" xr:uid="{00000000-0005-0000-0000-00001C2B0000}"/>
    <cellStyle name="40% - Accent2 25 2 4" xfId="8126" xr:uid="{00000000-0005-0000-0000-00001D2B0000}"/>
    <cellStyle name="40% - Accent2 25 2 4 2" xfId="19414" xr:uid="{00000000-0005-0000-0000-00001E2B0000}"/>
    <cellStyle name="40% - Accent2 25 2 5" xfId="6132" xr:uid="{00000000-0005-0000-0000-00001F2B0000}"/>
    <cellStyle name="40% - Accent2 25 2 5 2" xfId="17420" xr:uid="{00000000-0005-0000-0000-0000202B0000}"/>
    <cellStyle name="40% - Accent2 25 2 6" xfId="15426" xr:uid="{00000000-0005-0000-0000-0000212B0000}"/>
    <cellStyle name="40% - Accent2 25 3" xfId="11117" xr:uid="{00000000-0005-0000-0000-0000222B0000}"/>
    <cellStyle name="40% - Accent2 25 3 2" xfId="22405" xr:uid="{00000000-0005-0000-0000-0000232B0000}"/>
    <cellStyle name="40% - Accent2 25 4" xfId="9123" xr:uid="{00000000-0005-0000-0000-0000242B0000}"/>
    <cellStyle name="40% - Accent2 25 4 2" xfId="20411" xr:uid="{00000000-0005-0000-0000-0000252B0000}"/>
    <cellStyle name="40% - Accent2 25 5" xfId="7129" xr:uid="{00000000-0005-0000-0000-0000262B0000}"/>
    <cellStyle name="40% - Accent2 25 5 2" xfId="18417" xr:uid="{00000000-0005-0000-0000-0000272B0000}"/>
    <cellStyle name="40% - Accent2 25 6" xfId="5135" xr:uid="{00000000-0005-0000-0000-0000282B0000}"/>
    <cellStyle name="40% - Accent2 25 6 2" xfId="16423" xr:uid="{00000000-0005-0000-0000-0000292B0000}"/>
    <cellStyle name="40% - Accent2 25 7" xfId="14429" xr:uid="{00000000-0005-0000-0000-00002A2B0000}"/>
    <cellStyle name="40% - Accent2 25 8" xfId="13115" xr:uid="{00000000-0005-0000-0000-00002B2B0000}"/>
    <cellStyle name="40% - Accent2 26" xfId="1180" xr:uid="{00000000-0005-0000-0000-00002C2B0000}"/>
    <cellStyle name="40% - Accent2 26 2" xfId="4136" xr:uid="{00000000-0005-0000-0000-00002D2B0000}"/>
    <cellStyle name="40% - Accent2 26 2 2" xfId="12115" xr:uid="{00000000-0005-0000-0000-00002E2B0000}"/>
    <cellStyle name="40% - Accent2 26 2 2 2" xfId="23403" xr:uid="{00000000-0005-0000-0000-00002F2B0000}"/>
    <cellStyle name="40% - Accent2 26 2 3" xfId="10121" xr:uid="{00000000-0005-0000-0000-0000302B0000}"/>
    <cellStyle name="40% - Accent2 26 2 3 2" xfId="21409" xr:uid="{00000000-0005-0000-0000-0000312B0000}"/>
    <cellStyle name="40% - Accent2 26 2 4" xfId="8127" xr:uid="{00000000-0005-0000-0000-0000322B0000}"/>
    <cellStyle name="40% - Accent2 26 2 4 2" xfId="19415" xr:uid="{00000000-0005-0000-0000-0000332B0000}"/>
    <cellStyle name="40% - Accent2 26 2 5" xfId="6133" xr:uid="{00000000-0005-0000-0000-0000342B0000}"/>
    <cellStyle name="40% - Accent2 26 2 5 2" xfId="17421" xr:uid="{00000000-0005-0000-0000-0000352B0000}"/>
    <cellStyle name="40% - Accent2 26 2 6" xfId="15427" xr:uid="{00000000-0005-0000-0000-0000362B0000}"/>
    <cellStyle name="40% - Accent2 26 3" xfId="11118" xr:uid="{00000000-0005-0000-0000-0000372B0000}"/>
    <cellStyle name="40% - Accent2 26 3 2" xfId="22406" xr:uid="{00000000-0005-0000-0000-0000382B0000}"/>
    <cellStyle name="40% - Accent2 26 4" xfId="9124" xr:uid="{00000000-0005-0000-0000-0000392B0000}"/>
    <cellStyle name="40% - Accent2 26 4 2" xfId="20412" xr:uid="{00000000-0005-0000-0000-00003A2B0000}"/>
    <cellStyle name="40% - Accent2 26 5" xfId="7130" xr:uid="{00000000-0005-0000-0000-00003B2B0000}"/>
    <cellStyle name="40% - Accent2 26 5 2" xfId="18418" xr:uid="{00000000-0005-0000-0000-00003C2B0000}"/>
    <cellStyle name="40% - Accent2 26 6" xfId="5136" xr:uid="{00000000-0005-0000-0000-00003D2B0000}"/>
    <cellStyle name="40% - Accent2 26 6 2" xfId="16424" xr:uid="{00000000-0005-0000-0000-00003E2B0000}"/>
    <cellStyle name="40% - Accent2 26 7" xfId="14430" xr:uid="{00000000-0005-0000-0000-00003F2B0000}"/>
    <cellStyle name="40% - Accent2 26 8" xfId="13116" xr:uid="{00000000-0005-0000-0000-0000402B0000}"/>
    <cellStyle name="40% - Accent2 27" xfId="1181" xr:uid="{00000000-0005-0000-0000-0000412B0000}"/>
    <cellStyle name="40% - Accent2 27 2" xfId="4137" xr:uid="{00000000-0005-0000-0000-0000422B0000}"/>
    <cellStyle name="40% - Accent2 27 2 2" xfId="12116" xr:uid="{00000000-0005-0000-0000-0000432B0000}"/>
    <cellStyle name="40% - Accent2 27 2 2 2" xfId="23404" xr:uid="{00000000-0005-0000-0000-0000442B0000}"/>
    <cellStyle name="40% - Accent2 27 2 3" xfId="10122" xr:uid="{00000000-0005-0000-0000-0000452B0000}"/>
    <cellStyle name="40% - Accent2 27 2 3 2" xfId="21410" xr:uid="{00000000-0005-0000-0000-0000462B0000}"/>
    <cellStyle name="40% - Accent2 27 2 4" xfId="8128" xr:uid="{00000000-0005-0000-0000-0000472B0000}"/>
    <cellStyle name="40% - Accent2 27 2 4 2" xfId="19416" xr:uid="{00000000-0005-0000-0000-0000482B0000}"/>
    <cellStyle name="40% - Accent2 27 2 5" xfId="6134" xr:uid="{00000000-0005-0000-0000-0000492B0000}"/>
    <cellStyle name="40% - Accent2 27 2 5 2" xfId="17422" xr:uid="{00000000-0005-0000-0000-00004A2B0000}"/>
    <cellStyle name="40% - Accent2 27 2 6" xfId="15428" xr:uid="{00000000-0005-0000-0000-00004B2B0000}"/>
    <cellStyle name="40% - Accent2 27 3" xfId="11119" xr:uid="{00000000-0005-0000-0000-00004C2B0000}"/>
    <cellStyle name="40% - Accent2 27 3 2" xfId="22407" xr:uid="{00000000-0005-0000-0000-00004D2B0000}"/>
    <cellStyle name="40% - Accent2 27 4" xfId="9125" xr:uid="{00000000-0005-0000-0000-00004E2B0000}"/>
    <cellStyle name="40% - Accent2 27 4 2" xfId="20413" xr:uid="{00000000-0005-0000-0000-00004F2B0000}"/>
    <cellStyle name="40% - Accent2 27 5" xfId="7131" xr:uid="{00000000-0005-0000-0000-0000502B0000}"/>
    <cellStyle name="40% - Accent2 27 5 2" xfId="18419" xr:uid="{00000000-0005-0000-0000-0000512B0000}"/>
    <cellStyle name="40% - Accent2 27 6" xfId="5137" xr:uid="{00000000-0005-0000-0000-0000522B0000}"/>
    <cellStyle name="40% - Accent2 27 6 2" xfId="16425" xr:uid="{00000000-0005-0000-0000-0000532B0000}"/>
    <cellStyle name="40% - Accent2 27 7" xfId="14431" xr:uid="{00000000-0005-0000-0000-0000542B0000}"/>
    <cellStyle name="40% - Accent2 27 8" xfId="13117" xr:uid="{00000000-0005-0000-0000-0000552B0000}"/>
    <cellStyle name="40% - Accent2 28" xfId="1182" xr:uid="{00000000-0005-0000-0000-0000562B0000}"/>
    <cellStyle name="40% - Accent2 28 2" xfId="4138" xr:uid="{00000000-0005-0000-0000-0000572B0000}"/>
    <cellStyle name="40% - Accent2 28 2 2" xfId="12117" xr:uid="{00000000-0005-0000-0000-0000582B0000}"/>
    <cellStyle name="40% - Accent2 28 2 2 2" xfId="23405" xr:uid="{00000000-0005-0000-0000-0000592B0000}"/>
    <cellStyle name="40% - Accent2 28 2 3" xfId="10123" xr:uid="{00000000-0005-0000-0000-00005A2B0000}"/>
    <cellStyle name="40% - Accent2 28 2 3 2" xfId="21411" xr:uid="{00000000-0005-0000-0000-00005B2B0000}"/>
    <cellStyle name="40% - Accent2 28 2 4" xfId="8129" xr:uid="{00000000-0005-0000-0000-00005C2B0000}"/>
    <cellStyle name="40% - Accent2 28 2 4 2" xfId="19417" xr:uid="{00000000-0005-0000-0000-00005D2B0000}"/>
    <cellStyle name="40% - Accent2 28 2 5" xfId="6135" xr:uid="{00000000-0005-0000-0000-00005E2B0000}"/>
    <cellStyle name="40% - Accent2 28 2 5 2" xfId="17423" xr:uid="{00000000-0005-0000-0000-00005F2B0000}"/>
    <cellStyle name="40% - Accent2 28 2 6" xfId="15429" xr:uid="{00000000-0005-0000-0000-0000602B0000}"/>
    <cellStyle name="40% - Accent2 28 3" xfId="11120" xr:uid="{00000000-0005-0000-0000-0000612B0000}"/>
    <cellStyle name="40% - Accent2 28 3 2" xfId="22408" xr:uid="{00000000-0005-0000-0000-0000622B0000}"/>
    <cellStyle name="40% - Accent2 28 4" xfId="9126" xr:uid="{00000000-0005-0000-0000-0000632B0000}"/>
    <cellStyle name="40% - Accent2 28 4 2" xfId="20414" xr:uid="{00000000-0005-0000-0000-0000642B0000}"/>
    <cellStyle name="40% - Accent2 28 5" xfId="7132" xr:uid="{00000000-0005-0000-0000-0000652B0000}"/>
    <cellStyle name="40% - Accent2 28 5 2" xfId="18420" xr:uid="{00000000-0005-0000-0000-0000662B0000}"/>
    <cellStyle name="40% - Accent2 28 6" xfId="5138" xr:uid="{00000000-0005-0000-0000-0000672B0000}"/>
    <cellStyle name="40% - Accent2 28 6 2" xfId="16426" xr:uid="{00000000-0005-0000-0000-0000682B0000}"/>
    <cellStyle name="40% - Accent2 28 7" xfId="14432" xr:uid="{00000000-0005-0000-0000-0000692B0000}"/>
    <cellStyle name="40% - Accent2 28 8" xfId="13118" xr:uid="{00000000-0005-0000-0000-00006A2B0000}"/>
    <cellStyle name="40% - Accent2 29" xfId="1183" xr:uid="{00000000-0005-0000-0000-00006B2B0000}"/>
    <cellStyle name="40% - Accent2 29 2" xfId="4139" xr:uid="{00000000-0005-0000-0000-00006C2B0000}"/>
    <cellStyle name="40% - Accent2 29 2 2" xfId="12118" xr:uid="{00000000-0005-0000-0000-00006D2B0000}"/>
    <cellStyle name="40% - Accent2 29 2 2 2" xfId="23406" xr:uid="{00000000-0005-0000-0000-00006E2B0000}"/>
    <cellStyle name="40% - Accent2 29 2 3" xfId="10124" xr:uid="{00000000-0005-0000-0000-00006F2B0000}"/>
    <cellStyle name="40% - Accent2 29 2 3 2" xfId="21412" xr:uid="{00000000-0005-0000-0000-0000702B0000}"/>
    <cellStyle name="40% - Accent2 29 2 4" xfId="8130" xr:uid="{00000000-0005-0000-0000-0000712B0000}"/>
    <cellStyle name="40% - Accent2 29 2 4 2" xfId="19418" xr:uid="{00000000-0005-0000-0000-0000722B0000}"/>
    <cellStyle name="40% - Accent2 29 2 5" xfId="6136" xr:uid="{00000000-0005-0000-0000-0000732B0000}"/>
    <cellStyle name="40% - Accent2 29 2 5 2" xfId="17424" xr:uid="{00000000-0005-0000-0000-0000742B0000}"/>
    <cellStyle name="40% - Accent2 29 2 6" xfId="15430" xr:uid="{00000000-0005-0000-0000-0000752B0000}"/>
    <cellStyle name="40% - Accent2 29 3" xfId="11121" xr:uid="{00000000-0005-0000-0000-0000762B0000}"/>
    <cellStyle name="40% - Accent2 29 3 2" xfId="22409" xr:uid="{00000000-0005-0000-0000-0000772B0000}"/>
    <cellStyle name="40% - Accent2 29 4" xfId="9127" xr:uid="{00000000-0005-0000-0000-0000782B0000}"/>
    <cellStyle name="40% - Accent2 29 4 2" xfId="20415" xr:uid="{00000000-0005-0000-0000-0000792B0000}"/>
    <cellStyle name="40% - Accent2 29 5" xfId="7133" xr:uid="{00000000-0005-0000-0000-00007A2B0000}"/>
    <cellStyle name="40% - Accent2 29 5 2" xfId="18421" xr:uid="{00000000-0005-0000-0000-00007B2B0000}"/>
    <cellStyle name="40% - Accent2 29 6" xfId="5139" xr:uid="{00000000-0005-0000-0000-00007C2B0000}"/>
    <cellStyle name="40% - Accent2 29 6 2" xfId="16427" xr:uid="{00000000-0005-0000-0000-00007D2B0000}"/>
    <cellStyle name="40% - Accent2 29 7" xfId="14433" xr:uid="{00000000-0005-0000-0000-00007E2B0000}"/>
    <cellStyle name="40% - Accent2 29 8" xfId="13119" xr:uid="{00000000-0005-0000-0000-00007F2B0000}"/>
    <cellStyle name="40% - Accent2 3" xfId="1184" xr:uid="{00000000-0005-0000-0000-0000802B0000}"/>
    <cellStyle name="40% - Accent2 3 10" xfId="24602" xr:uid="{00000000-0005-0000-0000-0000812B0000}"/>
    <cellStyle name="40% - Accent2 3 11" xfId="24992" xr:uid="{00000000-0005-0000-0000-0000822B0000}"/>
    <cellStyle name="40% - Accent2 3 2" xfId="4140" xr:uid="{00000000-0005-0000-0000-0000832B0000}"/>
    <cellStyle name="40% - Accent2 3 2 2" xfId="12119" xr:uid="{00000000-0005-0000-0000-0000842B0000}"/>
    <cellStyle name="40% - Accent2 3 2 2 2" xfId="23407" xr:uid="{00000000-0005-0000-0000-0000852B0000}"/>
    <cellStyle name="40% - Accent2 3 2 3" xfId="10125" xr:uid="{00000000-0005-0000-0000-0000862B0000}"/>
    <cellStyle name="40% - Accent2 3 2 3 2" xfId="21413" xr:uid="{00000000-0005-0000-0000-0000872B0000}"/>
    <cellStyle name="40% - Accent2 3 2 4" xfId="8131" xr:uid="{00000000-0005-0000-0000-0000882B0000}"/>
    <cellStyle name="40% - Accent2 3 2 4 2" xfId="19419" xr:uid="{00000000-0005-0000-0000-0000892B0000}"/>
    <cellStyle name="40% - Accent2 3 2 5" xfId="6137" xr:uid="{00000000-0005-0000-0000-00008A2B0000}"/>
    <cellStyle name="40% - Accent2 3 2 5 2" xfId="17425" xr:uid="{00000000-0005-0000-0000-00008B2B0000}"/>
    <cellStyle name="40% - Accent2 3 2 6" xfId="15431" xr:uid="{00000000-0005-0000-0000-00008C2B0000}"/>
    <cellStyle name="40% - Accent2 3 2 7" xfId="24363" xr:uid="{00000000-0005-0000-0000-00008D2B0000}"/>
    <cellStyle name="40% - Accent2 3 2 8" xfId="24827" xr:uid="{00000000-0005-0000-0000-00008E2B0000}"/>
    <cellStyle name="40% - Accent2 3 2 9" xfId="25194" xr:uid="{00000000-0005-0000-0000-00008F2B0000}"/>
    <cellStyle name="40% - Accent2 3 3" xfId="11122" xr:uid="{00000000-0005-0000-0000-0000902B0000}"/>
    <cellStyle name="40% - Accent2 3 3 2" xfId="22410" xr:uid="{00000000-0005-0000-0000-0000912B0000}"/>
    <cellStyle name="40% - Accent2 3 4" xfId="9128" xr:uid="{00000000-0005-0000-0000-0000922B0000}"/>
    <cellStyle name="40% - Accent2 3 4 2" xfId="20416" xr:uid="{00000000-0005-0000-0000-0000932B0000}"/>
    <cellStyle name="40% - Accent2 3 5" xfId="7134" xr:uid="{00000000-0005-0000-0000-0000942B0000}"/>
    <cellStyle name="40% - Accent2 3 5 2" xfId="18422" xr:uid="{00000000-0005-0000-0000-0000952B0000}"/>
    <cellStyle name="40% - Accent2 3 6" xfId="5140" xr:uid="{00000000-0005-0000-0000-0000962B0000}"/>
    <cellStyle name="40% - Accent2 3 6 2" xfId="16428" xr:uid="{00000000-0005-0000-0000-0000972B0000}"/>
    <cellStyle name="40% - Accent2 3 7" xfId="14434" xr:uid="{00000000-0005-0000-0000-0000982B0000}"/>
    <cellStyle name="40% - Accent2 3 8" xfId="13120" xr:uid="{00000000-0005-0000-0000-0000992B0000}"/>
    <cellStyle name="40% - Accent2 3 9" xfId="23975" xr:uid="{00000000-0005-0000-0000-00009A2B0000}"/>
    <cellStyle name="40% - Accent2 30" xfId="1185" xr:uid="{00000000-0005-0000-0000-00009B2B0000}"/>
    <cellStyle name="40% - Accent2 30 2" xfId="4141" xr:uid="{00000000-0005-0000-0000-00009C2B0000}"/>
    <cellStyle name="40% - Accent2 30 2 2" xfId="12120" xr:uid="{00000000-0005-0000-0000-00009D2B0000}"/>
    <cellStyle name="40% - Accent2 30 2 2 2" xfId="23408" xr:uid="{00000000-0005-0000-0000-00009E2B0000}"/>
    <cellStyle name="40% - Accent2 30 2 3" xfId="10126" xr:uid="{00000000-0005-0000-0000-00009F2B0000}"/>
    <cellStyle name="40% - Accent2 30 2 3 2" xfId="21414" xr:uid="{00000000-0005-0000-0000-0000A02B0000}"/>
    <cellStyle name="40% - Accent2 30 2 4" xfId="8132" xr:uid="{00000000-0005-0000-0000-0000A12B0000}"/>
    <cellStyle name="40% - Accent2 30 2 4 2" xfId="19420" xr:uid="{00000000-0005-0000-0000-0000A22B0000}"/>
    <cellStyle name="40% - Accent2 30 2 5" xfId="6138" xr:uid="{00000000-0005-0000-0000-0000A32B0000}"/>
    <cellStyle name="40% - Accent2 30 2 5 2" xfId="17426" xr:uid="{00000000-0005-0000-0000-0000A42B0000}"/>
    <cellStyle name="40% - Accent2 30 2 6" xfId="15432" xr:uid="{00000000-0005-0000-0000-0000A52B0000}"/>
    <cellStyle name="40% - Accent2 30 3" xfId="11123" xr:uid="{00000000-0005-0000-0000-0000A62B0000}"/>
    <cellStyle name="40% - Accent2 30 3 2" xfId="22411" xr:uid="{00000000-0005-0000-0000-0000A72B0000}"/>
    <cellStyle name="40% - Accent2 30 4" xfId="9129" xr:uid="{00000000-0005-0000-0000-0000A82B0000}"/>
    <cellStyle name="40% - Accent2 30 4 2" xfId="20417" xr:uid="{00000000-0005-0000-0000-0000A92B0000}"/>
    <cellStyle name="40% - Accent2 30 5" xfId="7135" xr:uid="{00000000-0005-0000-0000-0000AA2B0000}"/>
    <cellStyle name="40% - Accent2 30 5 2" xfId="18423" xr:uid="{00000000-0005-0000-0000-0000AB2B0000}"/>
    <cellStyle name="40% - Accent2 30 6" xfId="5141" xr:uid="{00000000-0005-0000-0000-0000AC2B0000}"/>
    <cellStyle name="40% - Accent2 30 6 2" xfId="16429" xr:uid="{00000000-0005-0000-0000-0000AD2B0000}"/>
    <cellStyle name="40% - Accent2 30 7" xfId="14435" xr:uid="{00000000-0005-0000-0000-0000AE2B0000}"/>
    <cellStyle name="40% - Accent2 30 8" xfId="13121" xr:uid="{00000000-0005-0000-0000-0000AF2B0000}"/>
    <cellStyle name="40% - Accent2 31" xfId="1186" xr:uid="{00000000-0005-0000-0000-0000B02B0000}"/>
    <cellStyle name="40% - Accent2 31 2" xfId="4142" xr:uid="{00000000-0005-0000-0000-0000B12B0000}"/>
    <cellStyle name="40% - Accent2 31 2 2" xfId="12121" xr:uid="{00000000-0005-0000-0000-0000B22B0000}"/>
    <cellStyle name="40% - Accent2 31 2 2 2" xfId="23409" xr:uid="{00000000-0005-0000-0000-0000B32B0000}"/>
    <cellStyle name="40% - Accent2 31 2 3" xfId="10127" xr:uid="{00000000-0005-0000-0000-0000B42B0000}"/>
    <cellStyle name="40% - Accent2 31 2 3 2" xfId="21415" xr:uid="{00000000-0005-0000-0000-0000B52B0000}"/>
    <cellStyle name="40% - Accent2 31 2 4" xfId="8133" xr:uid="{00000000-0005-0000-0000-0000B62B0000}"/>
    <cellStyle name="40% - Accent2 31 2 4 2" xfId="19421" xr:uid="{00000000-0005-0000-0000-0000B72B0000}"/>
    <cellStyle name="40% - Accent2 31 2 5" xfId="6139" xr:uid="{00000000-0005-0000-0000-0000B82B0000}"/>
    <cellStyle name="40% - Accent2 31 2 5 2" xfId="17427" xr:uid="{00000000-0005-0000-0000-0000B92B0000}"/>
    <cellStyle name="40% - Accent2 31 2 6" xfId="15433" xr:uid="{00000000-0005-0000-0000-0000BA2B0000}"/>
    <cellStyle name="40% - Accent2 31 3" xfId="11124" xr:uid="{00000000-0005-0000-0000-0000BB2B0000}"/>
    <cellStyle name="40% - Accent2 31 3 2" xfId="22412" xr:uid="{00000000-0005-0000-0000-0000BC2B0000}"/>
    <cellStyle name="40% - Accent2 31 4" xfId="9130" xr:uid="{00000000-0005-0000-0000-0000BD2B0000}"/>
    <cellStyle name="40% - Accent2 31 4 2" xfId="20418" xr:uid="{00000000-0005-0000-0000-0000BE2B0000}"/>
    <cellStyle name="40% - Accent2 31 5" xfId="7136" xr:uid="{00000000-0005-0000-0000-0000BF2B0000}"/>
    <cellStyle name="40% - Accent2 31 5 2" xfId="18424" xr:uid="{00000000-0005-0000-0000-0000C02B0000}"/>
    <cellStyle name="40% - Accent2 31 6" xfId="5142" xr:uid="{00000000-0005-0000-0000-0000C12B0000}"/>
    <cellStyle name="40% - Accent2 31 6 2" xfId="16430" xr:uid="{00000000-0005-0000-0000-0000C22B0000}"/>
    <cellStyle name="40% - Accent2 31 7" xfId="14436" xr:uid="{00000000-0005-0000-0000-0000C32B0000}"/>
    <cellStyle name="40% - Accent2 31 8" xfId="13122" xr:uid="{00000000-0005-0000-0000-0000C42B0000}"/>
    <cellStyle name="40% - Accent2 32" xfId="1187" xr:uid="{00000000-0005-0000-0000-0000C52B0000}"/>
    <cellStyle name="40% - Accent2 32 2" xfId="4143" xr:uid="{00000000-0005-0000-0000-0000C62B0000}"/>
    <cellStyle name="40% - Accent2 32 2 2" xfId="12122" xr:uid="{00000000-0005-0000-0000-0000C72B0000}"/>
    <cellStyle name="40% - Accent2 32 2 2 2" xfId="23410" xr:uid="{00000000-0005-0000-0000-0000C82B0000}"/>
    <cellStyle name="40% - Accent2 32 2 3" xfId="10128" xr:uid="{00000000-0005-0000-0000-0000C92B0000}"/>
    <cellStyle name="40% - Accent2 32 2 3 2" xfId="21416" xr:uid="{00000000-0005-0000-0000-0000CA2B0000}"/>
    <cellStyle name="40% - Accent2 32 2 4" xfId="8134" xr:uid="{00000000-0005-0000-0000-0000CB2B0000}"/>
    <cellStyle name="40% - Accent2 32 2 4 2" xfId="19422" xr:uid="{00000000-0005-0000-0000-0000CC2B0000}"/>
    <cellStyle name="40% - Accent2 32 2 5" xfId="6140" xr:uid="{00000000-0005-0000-0000-0000CD2B0000}"/>
    <cellStyle name="40% - Accent2 32 2 5 2" xfId="17428" xr:uid="{00000000-0005-0000-0000-0000CE2B0000}"/>
    <cellStyle name="40% - Accent2 32 2 6" xfId="15434" xr:uid="{00000000-0005-0000-0000-0000CF2B0000}"/>
    <cellStyle name="40% - Accent2 32 3" xfId="11125" xr:uid="{00000000-0005-0000-0000-0000D02B0000}"/>
    <cellStyle name="40% - Accent2 32 3 2" xfId="22413" xr:uid="{00000000-0005-0000-0000-0000D12B0000}"/>
    <cellStyle name="40% - Accent2 32 4" xfId="9131" xr:uid="{00000000-0005-0000-0000-0000D22B0000}"/>
    <cellStyle name="40% - Accent2 32 4 2" xfId="20419" xr:uid="{00000000-0005-0000-0000-0000D32B0000}"/>
    <cellStyle name="40% - Accent2 32 5" xfId="7137" xr:uid="{00000000-0005-0000-0000-0000D42B0000}"/>
    <cellStyle name="40% - Accent2 32 5 2" xfId="18425" xr:uid="{00000000-0005-0000-0000-0000D52B0000}"/>
    <cellStyle name="40% - Accent2 32 6" xfId="5143" xr:uid="{00000000-0005-0000-0000-0000D62B0000}"/>
    <cellStyle name="40% - Accent2 32 6 2" xfId="16431" xr:uid="{00000000-0005-0000-0000-0000D72B0000}"/>
    <cellStyle name="40% - Accent2 32 7" xfId="14437" xr:uid="{00000000-0005-0000-0000-0000D82B0000}"/>
    <cellStyle name="40% - Accent2 32 8" xfId="13123" xr:uid="{00000000-0005-0000-0000-0000D92B0000}"/>
    <cellStyle name="40% - Accent2 33" xfId="1188" xr:uid="{00000000-0005-0000-0000-0000DA2B0000}"/>
    <cellStyle name="40% - Accent2 33 2" xfId="4144" xr:uid="{00000000-0005-0000-0000-0000DB2B0000}"/>
    <cellStyle name="40% - Accent2 33 2 2" xfId="12123" xr:uid="{00000000-0005-0000-0000-0000DC2B0000}"/>
    <cellStyle name="40% - Accent2 33 2 2 2" xfId="23411" xr:uid="{00000000-0005-0000-0000-0000DD2B0000}"/>
    <cellStyle name="40% - Accent2 33 2 3" xfId="10129" xr:uid="{00000000-0005-0000-0000-0000DE2B0000}"/>
    <cellStyle name="40% - Accent2 33 2 3 2" xfId="21417" xr:uid="{00000000-0005-0000-0000-0000DF2B0000}"/>
    <cellStyle name="40% - Accent2 33 2 4" xfId="8135" xr:uid="{00000000-0005-0000-0000-0000E02B0000}"/>
    <cellStyle name="40% - Accent2 33 2 4 2" xfId="19423" xr:uid="{00000000-0005-0000-0000-0000E12B0000}"/>
    <cellStyle name="40% - Accent2 33 2 5" xfId="6141" xr:uid="{00000000-0005-0000-0000-0000E22B0000}"/>
    <cellStyle name="40% - Accent2 33 2 5 2" xfId="17429" xr:uid="{00000000-0005-0000-0000-0000E32B0000}"/>
    <cellStyle name="40% - Accent2 33 2 6" xfId="15435" xr:uid="{00000000-0005-0000-0000-0000E42B0000}"/>
    <cellStyle name="40% - Accent2 33 3" xfId="11126" xr:uid="{00000000-0005-0000-0000-0000E52B0000}"/>
    <cellStyle name="40% - Accent2 33 3 2" xfId="22414" xr:uid="{00000000-0005-0000-0000-0000E62B0000}"/>
    <cellStyle name="40% - Accent2 33 4" xfId="9132" xr:uid="{00000000-0005-0000-0000-0000E72B0000}"/>
    <cellStyle name="40% - Accent2 33 4 2" xfId="20420" xr:uid="{00000000-0005-0000-0000-0000E82B0000}"/>
    <cellStyle name="40% - Accent2 33 5" xfId="7138" xr:uid="{00000000-0005-0000-0000-0000E92B0000}"/>
    <cellStyle name="40% - Accent2 33 5 2" xfId="18426" xr:uid="{00000000-0005-0000-0000-0000EA2B0000}"/>
    <cellStyle name="40% - Accent2 33 6" xfId="5144" xr:uid="{00000000-0005-0000-0000-0000EB2B0000}"/>
    <cellStyle name="40% - Accent2 33 6 2" xfId="16432" xr:uid="{00000000-0005-0000-0000-0000EC2B0000}"/>
    <cellStyle name="40% - Accent2 33 7" xfId="14438" xr:uid="{00000000-0005-0000-0000-0000ED2B0000}"/>
    <cellStyle name="40% - Accent2 33 8" xfId="13124" xr:uid="{00000000-0005-0000-0000-0000EE2B0000}"/>
    <cellStyle name="40% - Accent2 34" xfId="1189" xr:uid="{00000000-0005-0000-0000-0000EF2B0000}"/>
    <cellStyle name="40% - Accent2 34 2" xfId="4145" xr:uid="{00000000-0005-0000-0000-0000F02B0000}"/>
    <cellStyle name="40% - Accent2 34 2 2" xfId="12124" xr:uid="{00000000-0005-0000-0000-0000F12B0000}"/>
    <cellStyle name="40% - Accent2 34 2 2 2" xfId="23412" xr:uid="{00000000-0005-0000-0000-0000F22B0000}"/>
    <cellStyle name="40% - Accent2 34 2 3" xfId="10130" xr:uid="{00000000-0005-0000-0000-0000F32B0000}"/>
    <cellStyle name="40% - Accent2 34 2 3 2" xfId="21418" xr:uid="{00000000-0005-0000-0000-0000F42B0000}"/>
    <cellStyle name="40% - Accent2 34 2 4" xfId="8136" xr:uid="{00000000-0005-0000-0000-0000F52B0000}"/>
    <cellStyle name="40% - Accent2 34 2 4 2" xfId="19424" xr:uid="{00000000-0005-0000-0000-0000F62B0000}"/>
    <cellStyle name="40% - Accent2 34 2 5" xfId="6142" xr:uid="{00000000-0005-0000-0000-0000F72B0000}"/>
    <cellStyle name="40% - Accent2 34 2 5 2" xfId="17430" xr:uid="{00000000-0005-0000-0000-0000F82B0000}"/>
    <cellStyle name="40% - Accent2 34 2 6" xfId="15436" xr:uid="{00000000-0005-0000-0000-0000F92B0000}"/>
    <cellStyle name="40% - Accent2 34 3" xfId="11127" xr:uid="{00000000-0005-0000-0000-0000FA2B0000}"/>
    <cellStyle name="40% - Accent2 34 3 2" xfId="22415" xr:uid="{00000000-0005-0000-0000-0000FB2B0000}"/>
    <cellStyle name="40% - Accent2 34 4" xfId="9133" xr:uid="{00000000-0005-0000-0000-0000FC2B0000}"/>
    <cellStyle name="40% - Accent2 34 4 2" xfId="20421" xr:uid="{00000000-0005-0000-0000-0000FD2B0000}"/>
    <cellStyle name="40% - Accent2 34 5" xfId="7139" xr:uid="{00000000-0005-0000-0000-0000FE2B0000}"/>
    <cellStyle name="40% - Accent2 34 5 2" xfId="18427" xr:uid="{00000000-0005-0000-0000-0000FF2B0000}"/>
    <cellStyle name="40% - Accent2 34 6" xfId="5145" xr:uid="{00000000-0005-0000-0000-0000002C0000}"/>
    <cellStyle name="40% - Accent2 34 6 2" xfId="16433" xr:uid="{00000000-0005-0000-0000-0000012C0000}"/>
    <cellStyle name="40% - Accent2 34 7" xfId="14439" xr:uid="{00000000-0005-0000-0000-0000022C0000}"/>
    <cellStyle name="40% - Accent2 34 8" xfId="13125" xr:uid="{00000000-0005-0000-0000-0000032C0000}"/>
    <cellStyle name="40% - Accent2 35" xfId="1190" xr:uid="{00000000-0005-0000-0000-0000042C0000}"/>
    <cellStyle name="40% - Accent2 35 2" xfId="4146" xr:uid="{00000000-0005-0000-0000-0000052C0000}"/>
    <cellStyle name="40% - Accent2 35 2 2" xfId="12125" xr:uid="{00000000-0005-0000-0000-0000062C0000}"/>
    <cellStyle name="40% - Accent2 35 2 2 2" xfId="23413" xr:uid="{00000000-0005-0000-0000-0000072C0000}"/>
    <cellStyle name="40% - Accent2 35 2 3" xfId="10131" xr:uid="{00000000-0005-0000-0000-0000082C0000}"/>
    <cellStyle name="40% - Accent2 35 2 3 2" xfId="21419" xr:uid="{00000000-0005-0000-0000-0000092C0000}"/>
    <cellStyle name="40% - Accent2 35 2 4" xfId="8137" xr:uid="{00000000-0005-0000-0000-00000A2C0000}"/>
    <cellStyle name="40% - Accent2 35 2 4 2" xfId="19425" xr:uid="{00000000-0005-0000-0000-00000B2C0000}"/>
    <cellStyle name="40% - Accent2 35 2 5" xfId="6143" xr:uid="{00000000-0005-0000-0000-00000C2C0000}"/>
    <cellStyle name="40% - Accent2 35 2 5 2" xfId="17431" xr:uid="{00000000-0005-0000-0000-00000D2C0000}"/>
    <cellStyle name="40% - Accent2 35 2 6" xfId="15437" xr:uid="{00000000-0005-0000-0000-00000E2C0000}"/>
    <cellStyle name="40% - Accent2 35 3" xfId="11128" xr:uid="{00000000-0005-0000-0000-00000F2C0000}"/>
    <cellStyle name="40% - Accent2 35 3 2" xfId="22416" xr:uid="{00000000-0005-0000-0000-0000102C0000}"/>
    <cellStyle name="40% - Accent2 35 4" xfId="9134" xr:uid="{00000000-0005-0000-0000-0000112C0000}"/>
    <cellStyle name="40% - Accent2 35 4 2" xfId="20422" xr:uid="{00000000-0005-0000-0000-0000122C0000}"/>
    <cellStyle name="40% - Accent2 35 5" xfId="7140" xr:uid="{00000000-0005-0000-0000-0000132C0000}"/>
    <cellStyle name="40% - Accent2 35 5 2" xfId="18428" xr:uid="{00000000-0005-0000-0000-0000142C0000}"/>
    <cellStyle name="40% - Accent2 35 6" xfId="5146" xr:uid="{00000000-0005-0000-0000-0000152C0000}"/>
    <cellStyle name="40% - Accent2 35 6 2" xfId="16434" xr:uid="{00000000-0005-0000-0000-0000162C0000}"/>
    <cellStyle name="40% - Accent2 35 7" xfId="14440" xr:uid="{00000000-0005-0000-0000-0000172C0000}"/>
    <cellStyle name="40% - Accent2 35 8" xfId="13126" xr:uid="{00000000-0005-0000-0000-0000182C0000}"/>
    <cellStyle name="40% - Accent2 36" xfId="1191" xr:uid="{00000000-0005-0000-0000-0000192C0000}"/>
    <cellStyle name="40% - Accent2 36 2" xfId="4147" xr:uid="{00000000-0005-0000-0000-00001A2C0000}"/>
    <cellStyle name="40% - Accent2 36 2 2" xfId="12126" xr:uid="{00000000-0005-0000-0000-00001B2C0000}"/>
    <cellStyle name="40% - Accent2 36 2 2 2" xfId="23414" xr:uid="{00000000-0005-0000-0000-00001C2C0000}"/>
    <cellStyle name="40% - Accent2 36 2 3" xfId="10132" xr:uid="{00000000-0005-0000-0000-00001D2C0000}"/>
    <cellStyle name="40% - Accent2 36 2 3 2" xfId="21420" xr:uid="{00000000-0005-0000-0000-00001E2C0000}"/>
    <cellStyle name="40% - Accent2 36 2 4" xfId="8138" xr:uid="{00000000-0005-0000-0000-00001F2C0000}"/>
    <cellStyle name="40% - Accent2 36 2 4 2" xfId="19426" xr:uid="{00000000-0005-0000-0000-0000202C0000}"/>
    <cellStyle name="40% - Accent2 36 2 5" xfId="6144" xr:uid="{00000000-0005-0000-0000-0000212C0000}"/>
    <cellStyle name="40% - Accent2 36 2 5 2" xfId="17432" xr:uid="{00000000-0005-0000-0000-0000222C0000}"/>
    <cellStyle name="40% - Accent2 36 2 6" xfId="15438" xr:uid="{00000000-0005-0000-0000-0000232C0000}"/>
    <cellStyle name="40% - Accent2 36 3" xfId="11129" xr:uid="{00000000-0005-0000-0000-0000242C0000}"/>
    <cellStyle name="40% - Accent2 36 3 2" xfId="22417" xr:uid="{00000000-0005-0000-0000-0000252C0000}"/>
    <cellStyle name="40% - Accent2 36 4" xfId="9135" xr:uid="{00000000-0005-0000-0000-0000262C0000}"/>
    <cellStyle name="40% - Accent2 36 4 2" xfId="20423" xr:uid="{00000000-0005-0000-0000-0000272C0000}"/>
    <cellStyle name="40% - Accent2 36 5" xfId="7141" xr:uid="{00000000-0005-0000-0000-0000282C0000}"/>
    <cellStyle name="40% - Accent2 36 5 2" xfId="18429" xr:uid="{00000000-0005-0000-0000-0000292C0000}"/>
    <cellStyle name="40% - Accent2 36 6" xfId="5147" xr:uid="{00000000-0005-0000-0000-00002A2C0000}"/>
    <cellStyle name="40% - Accent2 36 6 2" xfId="16435" xr:uid="{00000000-0005-0000-0000-00002B2C0000}"/>
    <cellStyle name="40% - Accent2 36 7" xfId="14441" xr:uid="{00000000-0005-0000-0000-00002C2C0000}"/>
    <cellStyle name="40% - Accent2 36 8" xfId="13127" xr:uid="{00000000-0005-0000-0000-00002D2C0000}"/>
    <cellStyle name="40% - Accent2 37" xfId="1192" xr:uid="{00000000-0005-0000-0000-00002E2C0000}"/>
    <cellStyle name="40% - Accent2 37 2" xfId="4148" xr:uid="{00000000-0005-0000-0000-00002F2C0000}"/>
    <cellStyle name="40% - Accent2 37 2 2" xfId="12127" xr:uid="{00000000-0005-0000-0000-0000302C0000}"/>
    <cellStyle name="40% - Accent2 37 2 2 2" xfId="23415" xr:uid="{00000000-0005-0000-0000-0000312C0000}"/>
    <cellStyle name="40% - Accent2 37 2 3" xfId="10133" xr:uid="{00000000-0005-0000-0000-0000322C0000}"/>
    <cellStyle name="40% - Accent2 37 2 3 2" xfId="21421" xr:uid="{00000000-0005-0000-0000-0000332C0000}"/>
    <cellStyle name="40% - Accent2 37 2 4" xfId="8139" xr:uid="{00000000-0005-0000-0000-0000342C0000}"/>
    <cellStyle name="40% - Accent2 37 2 4 2" xfId="19427" xr:uid="{00000000-0005-0000-0000-0000352C0000}"/>
    <cellStyle name="40% - Accent2 37 2 5" xfId="6145" xr:uid="{00000000-0005-0000-0000-0000362C0000}"/>
    <cellStyle name="40% - Accent2 37 2 5 2" xfId="17433" xr:uid="{00000000-0005-0000-0000-0000372C0000}"/>
    <cellStyle name="40% - Accent2 37 2 6" xfId="15439" xr:uid="{00000000-0005-0000-0000-0000382C0000}"/>
    <cellStyle name="40% - Accent2 37 3" xfId="11130" xr:uid="{00000000-0005-0000-0000-0000392C0000}"/>
    <cellStyle name="40% - Accent2 37 3 2" xfId="22418" xr:uid="{00000000-0005-0000-0000-00003A2C0000}"/>
    <cellStyle name="40% - Accent2 37 4" xfId="9136" xr:uid="{00000000-0005-0000-0000-00003B2C0000}"/>
    <cellStyle name="40% - Accent2 37 4 2" xfId="20424" xr:uid="{00000000-0005-0000-0000-00003C2C0000}"/>
    <cellStyle name="40% - Accent2 37 5" xfId="7142" xr:uid="{00000000-0005-0000-0000-00003D2C0000}"/>
    <cellStyle name="40% - Accent2 37 5 2" xfId="18430" xr:uid="{00000000-0005-0000-0000-00003E2C0000}"/>
    <cellStyle name="40% - Accent2 37 6" xfId="5148" xr:uid="{00000000-0005-0000-0000-00003F2C0000}"/>
    <cellStyle name="40% - Accent2 37 6 2" xfId="16436" xr:uid="{00000000-0005-0000-0000-0000402C0000}"/>
    <cellStyle name="40% - Accent2 37 7" xfId="14442" xr:uid="{00000000-0005-0000-0000-0000412C0000}"/>
    <cellStyle name="40% - Accent2 37 8" xfId="13128" xr:uid="{00000000-0005-0000-0000-0000422C0000}"/>
    <cellStyle name="40% - Accent2 38" xfId="1193" xr:uid="{00000000-0005-0000-0000-0000432C0000}"/>
    <cellStyle name="40% - Accent2 38 2" xfId="4149" xr:uid="{00000000-0005-0000-0000-0000442C0000}"/>
    <cellStyle name="40% - Accent2 38 2 2" xfId="12128" xr:uid="{00000000-0005-0000-0000-0000452C0000}"/>
    <cellStyle name="40% - Accent2 38 2 2 2" xfId="23416" xr:uid="{00000000-0005-0000-0000-0000462C0000}"/>
    <cellStyle name="40% - Accent2 38 2 3" xfId="10134" xr:uid="{00000000-0005-0000-0000-0000472C0000}"/>
    <cellStyle name="40% - Accent2 38 2 3 2" xfId="21422" xr:uid="{00000000-0005-0000-0000-0000482C0000}"/>
    <cellStyle name="40% - Accent2 38 2 4" xfId="8140" xr:uid="{00000000-0005-0000-0000-0000492C0000}"/>
    <cellStyle name="40% - Accent2 38 2 4 2" xfId="19428" xr:uid="{00000000-0005-0000-0000-00004A2C0000}"/>
    <cellStyle name="40% - Accent2 38 2 5" xfId="6146" xr:uid="{00000000-0005-0000-0000-00004B2C0000}"/>
    <cellStyle name="40% - Accent2 38 2 5 2" xfId="17434" xr:uid="{00000000-0005-0000-0000-00004C2C0000}"/>
    <cellStyle name="40% - Accent2 38 2 6" xfId="15440" xr:uid="{00000000-0005-0000-0000-00004D2C0000}"/>
    <cellStyle name="40% - Accent2 38 3" xfId="11131" xr:uid="{00000000-0005-0000-0000-00004E2C0000}"/>
    <cellStyle name="40% - Accent2 38 3 2" xfId="22419" xr:uid="{00000000-0005-0000-0000-00004F2C0000}"/>
    <cellStyle name="40% - Accent2 38 4" xfId="9137" xr:uid="{00000000-0005-0000-0000-0000502C0000}"/>
    <cellStyle name="40% - Accent2 38 4 2" xfId="20425" xr:uid="{00000000-0005-0000-0000-0000512C0000}"/>
    <cellStyle name="40% - Accent2 38 5" xfId="7143" xr:uid="{00000000-0005-0000-0000-0000522C0000}"/>
    <cellStyle name="40% - Accent2 38 5 2" xfId="18431" xr:uid="{00000000-0005-0000-0000-0000532C0000}"/>
    <cellStyle name="40% - Accent2 38 6" xfId="5149" xr:uid="{00000000-0005-0000-0000-0000542C0000}"/>
    <cellStyle name="40% - Accent2 38 6 2" xfId="16437" xr:uid="{00000000-0005-0000-0000-0000552C0000}"/>
    <cellStyle name="40% - Accent2 38 7" xfId="14443" xr:uid="{00000000-0005-0000-0000-0000562C0000}"/>
    <cellStyle name="40% - Accent2 38 8" xfId="13129" xr:uid="{00000000-0005-0000-0000-0000572C0000}"/>
    <cellStyle name="40% - Accent2 39" xfId="1194" xr:uid="{00000000-0005-0000-0000-0000582C0000}"/>
    <cellStyle name="40% - Accent2 39 2" xfId="4150" xr:uid="{00000000-0005-0000-0000-0000592C0000}"/>
    <cellStyle name="40% - Accent2 39 2 2" xfId="12129" xr:uid="{00000000-0005-0000-0000-00005A2C0000}"/>
    <cellStyle name="40% - Accent2 39 2 2 2" xfId="23417" xr:uid="{00000000-0005-0000-0000-00005B2C0000}"/>
    <cellStyle name="40% - Accent2 39 2 3" xfId="10135" xr:uid="{00000000-0005-0000-0000-00005C2C0000}"/>
    <cellStyle name="40% - Accent2 39 2 3 2" xfId="21423" xr:uid="{00000000-0005-0000-0000-00005D2C0000}"/>
    <cellStyle name="40% - Accent2 39 2 4" xfId="8141" xr:uid="{00000000-0005-0000-0000-00005E2C0000}"/>
    <cellStyle name="40% - Accent2 39 2 4 2" xfId="19429" xr:uid="{00000000-0005-0000-0000-00005F2C0000}"/>
    <cellStyle name="40% - Accent2 39 2 5" xfId="6147" xr:uid="{00000000-0005-0000-0000-0000602C0000}"/>
    <cellStyle name="40% - Accent2 39 2 5 2" xfId="17435" xr:uid="{00000000-0005-0000-0000-0000612C0000}"/>
    <cellStyle name="40% - Accent2 39 2 6" xfId="15441" xr:uid="{00000000-0005-0000-0000-0000622C0000}"/>
    <cellStyle name="40% - Accent2 39 3" xfId="11132" xr:uid="{00000000-0005-0000-0000-0000632C0000}"/>
    <cellStyle name="40% - Accent2 39 3 2" xfId="22420" xr:uid="{00000000-0005-0000-0000-0000642C0000}"/>
    <cellStyle name="40% - Accent2 39 4" xfId="9138" xr:uid="{00000000-0005-0000-0000-0000652C0000}"/>
    <cellStyle name="40% - Accent2 39 4 2" xfId="20426" xr:uid="{00000000-0005-0000-0000-0000662C0000}"/>
    <cellStyle name="40% - Accent2 39 5" xfId="7144" xr:uid="{00000000-0005-0000-0000-0000672C0000}"/>
    <cellStyle name="40% - Accent2 39 5 2" xfId="18432" xr:uid="{00000000-0005-0000-0000-0000682C0000}"/>
    <cellStyle name="40% - Accent2 39 6" xfId="5150" xr:uid="{00000000-0005-0000-0000-0000692C0000}"/>
    <cellStyle name="40% - Accent2 39 6 2" xfId="16438" xr:uid="{00000000-0005-0000-0000-00006A2C0000}"/>
    <cellStyle name="40% - Accent2 39 7" xfId="14444" xr:uid="{00000000-0005-0000-0000-00006B2C0000}"/>
    <cellStyle name="40% - Accent2 39 8" xfId="13130" xr:uid="{00000000-0005-0000-0000-00006C2C0000}"/>
    <cellStyle name="40% - Accent2 4" xfId="1195" xr:uid="{00000000-0005-0000-0000-00006D2C0000}"/>
    <cellStyle name="40% - Accent2 4 10" xfId="24603" xr:uid="{00000000-0005-0000-0000-00006E2C0000}"/>
    <cellStyle name="40% - Accent2 4 11" xfId="24993" xr:uid="{00000000-0005-0000-0000-00006F2C0000}"/>
    <cellStyle name="40% - Accent2 4 2" xfId="4151" xr:uid="{00000000-0005-0000-0000-0000702C0000}"/>
    <cellStyle name="40% - Accent2 4 2 2" xfId="12130" xr:uid="{00000000-0005-0000-0000-0000712C0000}"/>
    <cellStyle name="40% - Accent2 4 2 2 2" xfId="23418" xr:uid="{00000000-0005-0000-0000-0000722C0000}"/>
    <cellStyle name="40% - Accent2 4 2 3" xfId="10136" xr:uid="{00000000-0005-0000-0000-0000732C0000}"/>
    <cellStyle name="40% - Accent2 4 2 3 2" xfId="21424" xr:uid="{00000000-0005-0000-0000-0000742C0000}"/>
    <cellStyle name="40% - Accent2 4 2 4" xfId="8142" xr:uid="{00000000-0005-0000-0000-0000752C0000}"/>
    <cellStyle name="40% - Accent2 4 2 4 2" xfId="19430" xr:uid="{00000000-0005-0000-0000-0000762C0000}"/>
    <cellStyle name="40% - Accent2 4 2 5" xfId="6148" xr:uid="{00000000-0005-0000-0000-0000772C0000}"/>
    <cellStyle name="40% - Accent2 4 2 5 2" xfId="17436" xr:uid="{00000000-0005-0000-0000-0000782C0000}"/>
    <cellStyle name="40% - Accent2 4 2 6" xfId="15442" xr:uid="{00000000-0005-0000-0000-0000792C0000}"/>
    <cellStyle name="40% - Accent2 4 2 7" xfId="24364" xr:uid="{00000000-0005-0000-0000-00007A2C0000}"/>
    <cellStyle name="40% - Accent2 4 2 8" xfId="24828" xr:uid="{00000000-0005-0000-0000-00007B2C0000}"/>
    <cellStyle name="40% - Accent2 4 2 9" xfId="25195" xr:uid="{00000000-0005-0000-0000-00007C2C0000}"/>
    <cellStyle name="40% - Accent2 4 3" xfId="11133" xr:uid="{00000000-0005-0000-0000-00007D2C0000}"/>
    <cellStyle name="40% - Accent2 4 3 2" xfId="22421" xr:uid="{00000000-0005-0000-0000-00007E2C0000}"/>
    <cellStyle name="40% - Accent2 4 4" xfId="9139" xr:uid="{00000000-0005-0000-0000-00007F2C0000}"/>
    <cellStyle name="40% - Accent2 4 4 2" xfId="20427" xr:uid="{00000000-0005-0000-0000-0000802C0000}"/>
    <cellStyle name="40% - Accent2 4 5" xfId="7145" xr:uid="{00000000-0005-0000-0000-0000812C0000}"/>
    <cellStyle name="40% - Accent2 4 5 2" xfId="18433" xr:uid="{00000000-0005-0000-0000-0000822C0000}"/>
    <cellStyle name="40% - Accent2 4 6" xfId="5151" xr:uid="{00000000-0005-0000-0000-0000832C0000}"/>
    <cellStyle name="40% - Accent2 4 6 2" xfId="16439" xr:uid="{00000000-0005-0000-0000-0000842C0000}"/>
    <cellStyle name="40% - Accent2 4 7" xfId="14445" xr:uid="{00000000-0005-0000-0000-0000852C0000}"/>
    <cellStyle name="40% - Accent2 4 8" xfId="13131" xr:uid="{00000000-0005-0000-0000-0000862C0000}"/>
    <cellStyle name="40% - Accent2 4 9" xfId="23976" xr:uid="{00000000-0005-0000-0000-0000872C0000}"/>
    <cellStyle name="40% - Accent2 40" xfId="1196" xr:uid="{00000000-0005-0000-0000-0000882C0000}"/>
    <cellStyle name="40% - Accent2 40 2" xfId="4152" xr:uid="{00000000-0005-0000-0000-0000892C0000}"/>
    <cellStyle name="40% - Accent2 40 2 2" xfId="12131" xr:uid="{00000000-0005-0000-0000-00008A2C0000}"/>
    <cellStyle name="40% - Accent2 40 2 2 2" xfId="23419" xr:uid="{00000000-0005-0000-0000-00008B2C0000}"/>
    <cellStyle name="40% - Accent2 40 2 3" xfId="10137" xr:uid="{00000000-0005-0000-0000-00008C2C0000}"/>
    <cellStyle name="40% - Accent2 40 2 3 2" xfId="21425" xr:uid="{00000000-0005-0000-0000-00008D2C0000}"/>
    <cellStyle name="40% - Accent2 40 2 4" xfId="8143" xr:uid="{00000000-0005-0000-0000-00008E2C0000}"/>
    <cellStyle name="40% - Accent2 40 2 4 2" xfId="19431" xr:uid="{00000000-0005-0000-0000-00008F2C0000}"/>
    <cellStyle name="40% - Accent2 40 2 5" xfId="6149" xr:uid="{00000000-0005-0000-0000-0000902C0000}"/>
    <cellStyle name="40% - Accent2 40 2 5 2" xfId="17437" xr:uid="{00000000-0005-0000-0000-0000912C0000}"/>
    <cellStyle name="40% - Accent2 40 2 6" xfId="15443" xr:uid="{00000000-0005-0000-0000-0000922C0000}"/>
    <cellStyle name="40% - Accent2 40 3" xfId="11134" xr:uid="{00000000-0005-0000-0000-0000932C0000}"/>
    <cellStyle name="40% - Accent2 40 3 2" xfId="22422" xr:uid="{00000000-0005-0000-0000-0000942C0000}"/>
    <cellStyle name="40% - Accent2 40 4" xfId="9140" xr:uid="{00000000-0005-0000-0000-0000952C0000}"/>
    <cellStyle name="40% - Accent2 40 4 2" xfId="20428" xr:uid="{00000000-0005-0000-0000-0000962C0000}"/>
    <cellStyle name="40% - Accent2 40 5" xfId="7146" xr:uid="{00000000-0005-0000-0000-0000972C0000}"/>
    <cellStyle name="40% - Accent2 40 5 2" xfId="18434" xr:uid="{00000000-0005-0000-0000-0000982C0000}"/>
    <cellStyle name="40% - Accent2 40 6" xfId="5152" xr:uid="{00000000-0005-0000-0000-0000992C0000}"/>
    <cellStyle name="40% - Accent2 40 6 2" xfId="16440" xr:uid="{00000000-0005-0000-0000-00009A2C0000}"/>
    <cellStyle name="40% - Accent2 40 7" xfId="14446" xr:uid="{00000000-0005-0000-0000-00009B2C0000}"/>
    <cellStyle name="40% - Accent2 40 8" xfId="13132" xr:uid="{00000000-0005-0000-0000-00009C2C0000}"/>
    <cellStyle name="40% - Accent2 41" xfId="1197" xr:uid="{00000000-0005-0000-0000-00009D2C0000}"/>
    <cellStyle name="40% - Accent2 41 2" xfId="4153" xr:uid="{00000000-0005-0000-0000-00009E2C0000}"/>
    <cellStyle name="40% - Accent2 41 2 2" xfId="12132" xr:uid="{00000000-0005-0000-0000-00009F2C0000}"/>
    <cellStyle name="40% - Accent2 41 2 2 2" xfId="23420" xr:uid="{00000000-0005-0000-0000-0000A02C0000}"/>
    <cellStyle name="40% - Accent2 41 2 3" xfId="10138" xr:uid="{00000000-0005-0000-0000-0000A12C0000}"/>
    <cellStyle name="40% - Accent2 41 2 3 2" xfId="21426" xr:uid="{00000000-0005-0000-0000-0000A22C0000}"/>
    <cellStyle name="40% - Accent2 41 2 4" xfId="8144" xr:uid="{00000000-0005-0000-0000-0000A32C0000}"/>
    <cellStyle name="40% - Accent2 41 2 4 2" xfId="19432" xr:uid="{00000000-0005-0000-0000-0000A42C0000}"/>
    <cellStyle name="40% - Accent2 41 2 5" xfId="6150" xr:uid="{00000000-0005-0000-0000-0000A52C0000}"/>
    <cellStyle name="40% - Accent2 41 2 5 2" xfId="17438" xr:uid="{00000000-0005-0000-0000-0000A62C0000}"/>
    <cellStyle name="40% - Accent2 41 2 6" xfId="15444" xr:uid="{00000000-0005-0000-0000-0000A72C0000}"/>
    <cellStyle name="40% - Accent2 41 3" xfId="11135" xr:uid="{00000000-0005-0000-0000-0000A82C0000}"/>
    <cellStyle name="40% - Accent2 41 3 2" xfId="22423" xr:uid="{00000000-0005-0000-0000-0000A92C0000}"/>
    <cellStyle name="40% - Accent2 41 4" xfId="9141" xr:uid="{00000000-0005-0000-0000-0000AA2C0000}"/>
    <cellStyle name="40% - Accent2 41 4 2" xfId="20429" xr:uid="{00000000-0005-0000-0000-0000AB2C0000}"/>
    <cellStyle name="40% - Accent2 41 5" xfId="7147" xr:uid="{00000000-0005-0000-0000-0000AC2C0000}"/>
    <cellStyle name="40% - Accent2 41 5 2" xfId="18435" xr:uid="{00000000-0005-0000-0000-0000AD2C0000}"/>
    <cellStyle name="40% - Accent2 41 6" xfId="5153" xr:uid="{00000000-0005-0000-0000-0000AE2C0000}"/>
    <cellStyle name="40% - Accent2 41 6 2" xfId="16441" xr:uid="{00000000-0005-0000-0000-0000AF2C0000}"/>
    <cellStyle name="40% - Accent2 41 7" xfId="14447" xr:uid="{00000000-0005-0000-0000-0000B02C0000}"/>
    <cellStyle name="40% - Accent2 41 8" xfId="13133" xr:uid="{00000000-0005-0000-0000-0000B12C0000}"/>
    <cellStyle name="40% - Accent2 42" xfId="1198" xr:uid="{00000000-0005-0000-0000-0000B22C0000}"/>
    <cellStyle name="40% - Accent2 42 2" xfId="4154" xr:uid="{00000000-0005-0000-0000-0000B32C0000}"/>
    <cellStyle name="40% - Accent2 42 2 2" xfId="12133" xr:uid="{00000000-0005-0000-0000-0000B42C0000}"/>
    <cellStyle name="40% - Accent2 42 2 2 2" xfId="23421" xr:uid="{00000000-0005-0000-0000-0000B52C0000}"/>
    <cellStyle name="40% - Accent2 42 2 3" xfId="10139" xr:uid="{00000000-0005-0000-0000-0000B62C0000}"/>
    <cellStyle name="40% - Accent2 42 2 3 2" xfId="21427" xr:uid="{00000000-0005-0000-0000-0000B72C0000}"/>
    <cellStyle name="40% - Accent2 42 2 4" xfId="8145" xr:uid="{00000000-0005-0000-0000-0000B82C0000}"/>
    <cellStyle name="40% - Accent2 42 2 4 2" xfId="19433" xr:uid="{00000000-0005-0000-0000-0000B92C0000}"/>
    <cellStyle name="40% - Accent2 42 2 5" xfId="6151" xr:uid="{00000000-0005-0000-0000-0000BA2C0000}"/>
    <cellStyle name="40% - Accent2 42 2 5 2" xfId="17439" xr:uid="{00000000-0005-0000-0000-0000BB2C0000}"/>
    <cellStyle name="40% - Accent2 42 2 6" xfId="15445" xr:uid="{00000000-0005-0000-0000-0000BC2C0000}"/>
    <cellStyle name="40% - Accent2 42 3" xfId="11136" xr:uid="{00000000-0005-0000-0000-0000BD2C0000}"/>
    <cellStyle name="40% - Accent2 42 3 2" xfId="22424" xr:uid="{00000000-0005-0000-0000-0000BE2C0000}"/>
    <cellStyle name="40% - Accent2 42 4" xfId="9142" xr:uid="{00000000-0005-0000-0000-0000BF2C0000}"/>
    <cellStyle name="40% - Accent2 42 4 2" xfId="20430" xr:uid="{00000000-0005-0000-0000-0000C02C0000}"/>
    <cellStyle name="40% - Accent2 42 5" xfId="7148" xr:uid="{00000000-0005-0000-0000-0000C12C0000}"/>
    <cellStyle name="40% - Accent2 42 5 2" xfId="18436" xr:uid="{00000000-0005-0000-0000-0000C22C0000}"/>
    <cellStyle name="40% - Accent2 42 6" xfId="5154" xr:uid="{00000000-0005-0000-0000-0000C32C0000}"/>
    <cellStyle name="40% - Accent2 42 6 2" xfId="16442" xr:uid="{00000000-0005-0000-0000-0000C42C0000}"/>
    <cellStyle name="40% - Accent2 42 7" xfId="14448" xr:uid="{00000000-0005-0000-0000-0000C52C0000}"/>
    <cellStyle name="40% - Accent2 42 8" xfId="13134" xr:uid="{00000000-0005-0000-0000-0000C62C0000}"/>
    <cellStyle name="40% - Accent2 43" xfId="1199" xr:uid="{00000000-0005-0000-0000-0000C72C0000}"/>
    <cellStyle name="40% - Accent2 43 2" xfId="4155" xr:uid="{00000000-0005-0000-0000-0000C82C0000}"/>
    <cellStyle name="40% - Accent2 43 2 2" xfId="12134" xr:uid="{00000000-0005-0000-0000-0000C92C0000}"/>
    <cellStyle name="40% - Accent2 43 2 2 2" xfId="23422" xr:uid="{00000000-0005-0000-0000-0000CA2C0000}"/>
    <cellStyle name="40% - Accent2 43 2 3" xfId="10140" xr:uid="{00000000-0005-0000-0000-0000CB2C0000}"/>
    <cellStyle name="40% - Accent2 43 2 3 2" xfId="21428" xr:uid="{00000000-0005-0000-0000-0000CC2C0000}"/>
    <cellStyle name="40% - Accent2 43 2 4" xfId="8146" xr:uid="{00000000-0005-0000-0000-0000CD2C0000}"/>
    <cellStyle name="40% - Accent2 43 2 4 2" xfId="19434" xr:uid="{00000000-0005-0000-0000-0000CE2C0000}"/>
    <cellStyle name="40% - Accent2 43 2 5" xfId="6152" xr:uid="{00000000-0005-0000-0000-0000CF2C0000}"/>
    <cellStyle name="40% - Accent2 43 2 5 2" xfId="17440" xr:uid="{00000000-0005-0000-0000-0000D02C0000}"/>
    <cellStyle name="40% - Accent2 43 2 6" xfId="15446" xr:uid="{00000000-0005-0000-0000-0000D12C0000}"/>
    <cellStyle name="40% - Accent2 43 3" xfId="11137" xr:uid="{00000000-0005-0000-0000-0000D22C0000}"/>
    <cellStyle name="40% - Accent2 43 3 2" xfId="22425" xr:uid="{00000000-0005-0000-0000-0000D32C0000}"/>
    <cellStyle name="40% - Accent2 43 4" xfId="9143" xr:uid="{00000000-0005-0000-0000-0000D42C0000}"/>
    <cellStyle name="40% - Accent2 43 4 2" xfId="20431" xr:uid="{00000000-0005-0000-0000-0000D52C0000}"/>
    <cellStyle name="40% - Accent2 43 5" xfId="7149" xr:uid="{00000000-0005-0000-0000-0000D62C0000}"/>
    <cellStyle name="40% - Accent2 43 5 2" xfId="18437" xr:uid="{00000000-0005-0000-0000-0000D72C0000}"/>
    <cellStyle name="40% - Accent2 43 6" xfId="5155" xr:uid="{00000000-0005-0000-0000-0000D82C0000}"/>
    <cellStyle name="40% - Accent2 43 6 2" xfId="16443" xr:uid="{00000000-0005-0000-0000-0000D92C0000}"/>
    <cellStyle name="40% - Accent2 43 7" xfId="14449" xr:uid="{00000000-0005-0000-0000-0000DA2C0000}"/>
    <cellStyle name="40% - Accent2 43 8" xfId="13135" xr:uid="{00000000-0005-0000-0000-0000DB2C0000}"/>
    <cellStyle name="40% - Accent2 44" xfId="1200" xr:uid="{00000000-0005-0000-0000-0000DC2C0000}"/>
    <cellStyle name="40% - Accent2 44 2" xfId="4156" xr:uid="{00000000-0005-0000-0000-0000DD2C0000}"/>
    <cellStyle name="40% - Accent2 44 2 2" xfId="12135" xr:uid="{00000000-0005-0000-0000-0000DE2C0000}"/>
    <cellStyle name="40% - Accent2 44 2 2 2" xfId="23423" xr:uid="{00000000-0005-0000-0000-0000DF2C0000}"/>
    <cellStyle name="40% - Accent2 44 2 3" xfId="10141" xr:uid="{00000000-0005-0000-0000-0000E02C0000}"/>
    <cellStyle name="40% - Accent2 44 2 3 2" xfId="21429" xr:uid="{00000000-0005-0000-0000-0000E12C0000}"/>
    <cellStyle name="40% - Accent2 44 2 4" xfId="8147" xr:uid="{00000000-0005-0000-0000-0000E22C0000}"/>
    <cellStyle name="40% - Accent2 44 2 4 2" xfId="19435" xr:uid="{00000000-0005-0000-0000-0000E32C0000}"/>
    <cellStyle name="40% - Accent2 44 2 5" xfId="6153" xr:uid="{00000000-0005-0000-0000-0000E42C0000}"/>
    <cellStyle name="40% - Accent2 44 2 5 2" xfId="17441" xr:uid="{00000000-0005-0000-0000-0000E52C0000}"/>
    <cellStyle name="40% - Accent2 44 2 6" xfId="15447" xr:uid="{00000000-0005-0000-0000-0000E62C0000}"/>
    <cellStyle name="40% - Accent2 44 3" xfId="11138" xr:uid="{00000000-0005-0000-0000-0000E72C0000}"/>
    <cellStyle name="40% - Accent2 44 3 2" xfId="22426" xr:uid="{00000000-0005-0000-0000-0000E82C0000}"/>
    <cellStyle name="40% - Accent2 44 4" xfId="9144" xr:uid="{00000000-0005-0000-0000-0000E92C0000}"/>
    <cellStyle name="40% - Accent2 44 4 2" xfId="20432" xr:uid="{00000000-0005-0000-0000-0000EA2C0000}"/>
    <cellStyle name="40% - Accent2 44 5" xfId="7150" xr:uid="{00000000-0005-0000-0000-0000EB2C0000}"/>
    <cellStyle name="40% - Accent2 44 5 2" xfId="18438" xr:uid="{00000000-0005-0000-0000-0000EC2C0000}"/>
    <cellStyle name="40% - Accent2 44 6" xfId="5156" xr:uid="{00000000-0005-0000-0000-0000ED2C0000}"/>
    <cellStyle name="40% - Accent2 44 6 2" xfId="16444" xr:uid="{00000000-0005-0000-0000-0000EE2C0000}"/>
    <cellStyle name="40% - Accent2 44 7" xfId="14450" xr:uid="{00000000-0005-0000-0000-0000EF2C0000}"/>
    <cellStyle name="40% - Accent2 44 8" xfId="13136" xr:uid="{00000000-0005-0000-0000-0000F02C0000}"/>
    <cellStyle name="40% - Accent2 45" xfId="1201" xr:uid="{00000000-0005-0000-0000-0000F12C0000}"/>
    <cellStyle name="40% - Accent2 45 2" xfId="4157" xr:uid="{00000000-0005-0000-0000-0000F22C0000}"/>
    <cellStyle name="40% - Accent2 45 2 2" xfId="12136" xr:uid="{00000000-0005-0000-0000-0000F32C0000}"/>
    <cellStyle name="40% - Accent2 45 2 2 2" xfId="23424" xr:uid="{00000000-0005-0000-0000-0000F42C0000}"/>
    <cellStyle name="40% - Accent2 45 2 3" xfId="10142" xr:uid="{00000000-0005-0000-0000-0000F52C0000}"/>
    <cellStyle name="40% - Accent2 45 2 3 2" xfId="21430" xr:uid="{00000000-0005-0000-0000-0000F62C0000}"/>
    <cellStyle name="40% - Accent2 45 2 4" xfId="8148" xr:uid="{00000000-0005-0000-0000-0000F72C0000}"/>
    <cellStyle name="40% - Accent2 45 2 4 2" xfId="19436" xr:uid="{00000000-0005-0000-0000-0000F82C0000}"/>
    <cellStyle name="40% - Accent2 45 2 5" xfId="6154" xr:uid="{00000000-0005-0000-0000-0000F92C0000}"/>
    <cellStyle name="40% - Accent2 45 2 5 2" xfId="17442" xr:uid="{00000000-0005-0000-0000-0000FA2C0000}"/>
    <cellStyle name="40% - Accent2 45 2 6" xfId="15448" xr:uid="{00000000-0005-0000-0000-0000FB2C0000}"/>
    <cellStyle name="40% - Accent2 45 3" xfId="11139" xr:uid="{00000000-0005-0000-0000-0000FC2C0000}"/>
    <cellStyle name="40% - Accent2 45 3 2" xfId="22427" xr:uid="{00000000-0005-0000-0000-0000FD2C0000}"/>
    <cellStyle name="40% - Accent2 45 4" xfId="9145" xr:uid="{00000000-0005-0000-0000-0000FE2C0000}"/>
    <cellStyle name="40% - Accent2 45 4 2" xfId="20433" xr:uid="{00000000-0005-0000-0000-0000FF2C0000}"/>
    <cellStyle name="40% - Accent2 45 5" xfId="7151" xr:uid="{00000000-0005-0000-0000-0000002D0000}"/>
    <cellStyle name="40% - Accent2 45 5 2" xfId="18439" xr:uid="{00000000-0005-0000-0000-0000012D0000}"/>
    <cellStyle name="40% - Accent2 45 6" xfId="5157" xr:uid="{00000000-0005-0000-0000-0000022D0000}"/>
    <cellStyle name="40% - Accent2 45 6 2" xfId="16445" xr:uid="{00000000-0005-0000-0000-0000032D0000}"/>
    <cellStyle name="40% - Accent2 45 7" xfId="14451" xr:uid="{00000000-0005-0000-0000-0000042D0000}"/>
    <cellStyle name="40% - Accent2 45 8" xfId="13137" xr:uid="{00000000-0005-0000-0000-0000052D0000}"/>
    <cellStyle name="40% - Accent2 46" xfId="1202" xr:uid="{00000000-0005-0000-0000-0000062D0000}"/>
    <cellStyle name="40% - Accent2 46 2" xfId="4158" xr:uid="{00000000-0005-0000-0000-0000072D0000}"/>
    <cellStyle name="40% - Accent2 46 2 2" xfId="12137" xr:uid="{00000000-0005-0000-0000-0000082D0000}"/>
    <cellStyle name="40% - Accent2 46 2 2 2" xfId="23425" xr:uid="{00000000-0005-0000-0000-0000092D0000}"/>
    <cellStyle name="40% - Accent2 46 2 3" xfId="10143" xr:uid="{00000000-0005-0000-0000-00000A2D0000}"/>
    <cellStyle name="40% - Accent2 46 2 3 2" xfId="21431" xr:uid="{00000000-0005-0000-0000-00000B2D0000}"/>
    <cellStyle name="40% - Accent2 46 2 4" xfId="8149" xr:uid="{00000000-0005-0000-0000-00000C2D0000}"/>
    <cellStyle name="40% - Accent2 46 2 4 2" xfId="19437" xr:uid="{00000000-0005-0000-0000-00000D2D0000}"/>
    <cellStyle name="40% - Accent2 46 2 5" xfId="6155" xr:uid="{00000000-0005-0000-0000-00000E2D0000}"/>
    <cellStyle name="40% - Accent2 46 2 5 2" xfId="17443" xr:uid="{00000000-0005-0000-0000-00000F2D0000}"/>
    <cellStyle name="40% - Accent2 46 2 6" xfId="15449" xr:uid="{00000000-0005-0000-0000-0000102D0000}"/>
    <cellStyle name="40% - Accent2 46 3" xfId="11140" xr:uid="{00000000-0005-0000-0000-0000112D0000}"/>
    <cellStyle name="40% - Accent2 46 3 2" xfId="22428" xr:uid="{00000000-0005-0000-0000-0000122D0000}"/>
    <cellStyle name="40% - Accent2 46 4" xfId="9146" xr:uid="{00000000-0005-0000-0000-0000132D0000}"/>
    <cellStyle name="40% - Accent2 46 4 2" xfId="20434" xr:uid="{00000000-0005-0000-0000-0000142D0000}"/>
    <cellStyle name="40% - Accent2 46 5" xfId="7152" xr:uid="{00000000-0005-0000-0000-0000152D0000}"/>
    <cellStyle name="40% - Accent2 46 5 2" xfId="18440" xr:uid="{00000000-0005-0000-0000-0000162D0000}"/>
    <cellStyle name="40% - Accent2 46 6" xfId="5158" xr:uid="{00000000-0005-0000-0000-0000172D0000}"/>
    <cellStyle name="40% - Accent2 46 6 2" xfId="16446" xr:uid="{00000000-0005-0000-0000-0000182D0000}"/>
    <cellStyle name="40% - Accent2 46 7" xfId="14452" xr:uid="{00000000-0005-0000-0000-0000192D0000}"/>
    <cellStyle name="40% - Accent2 46 8" xfId="13138" xr:uid="{00000000-0005-0000-0000-00001A2D0000}"/>
    <cellStyle name="40% - Accent2 47" xfId="1203" xr:uid="{00000000-0005-0000-0000-00001B2D0000}"/>
    <cellStyle name="40% - Accent2 47 2" xfId="4159" xr:uid="{00000000-0005-0000-0000-00001C2D0000}"/>
    <cellStyle name="40% - Accent2 47 2 2" xfId="12138" xr:uid="{00000000-0005-0000-0000-00001D2D0000}"/>
    <cellStyle name="40% - Accent2 47 2 2 2" xfId="23426" xr:uid="{00000000-0005-0000-0000-00001E2D0000}"/>
    <cellStyle name="40% - Accent2 47 2 3" xfId="10144" xr:uid="{00000000-0005-0000-0000-00001F2D0000}"/>
    <cellStyle name="40% - Accent2 47 2 3 2" xfId="21432" xr:uid="{00000000-0005-0000-0000-0000202D0000}"/>
    <cellStyle name="40% - Accent2 47 2 4" xfId="8150" xr:uid="{00000000-0005-0000-0000-0000212D0000}"/>
    <cellStyle name="40% - Accent2 47 2 4 2" xfId="19438" xr:uid="{00000000-0005-0000-0000-0000222D0000}"/>
    <cellStyle name="40% - Accent2 47 2 5" xfId="6156" xr:uid="{00000000-0005-0000-0000-0000232D0000}"/>
    <cellStyle name="40% - Accent2 47 2 5 2" xfId="17444" xr:uid="{00000000-0005-0000-0000-0000242D0000}"/>
    <cellStyle name="40% - Accent2 47 2 6" xfId="15450" xr:uid="{00000000-0005-0000-0000-0000252D0000}"/>
    <cellStyle name="40% - Accent2 47 3" xfId="11141" xr:uid="{00000000-0005-0000-0000-0000262D0000}"/>
    <cellStyle name="40% - Accent2 47 3 2" xfId="22429" xr:uid="{00000000-0005-0000-0000-0000272D0000}"/>
    <cellStyle name="40% - Accent2 47 4" xfId="9147" xr:uid="{00000000-0005-0000-0000-0000282D0000}"/>
    <cellStyle name="40% - Accent2 47 4 2" xfId="20435" xr:uid="{00000000-0005-0000-0000-0000292D0000}"/>
    <cellStyle name="40% - Accent2 47 5" xfId="7153" xr:uid="{00000000-0005-0000-0000-00002A2D0000}"/>
    <cellStyle name="40% - Accent2 47 5 2" xfId="18441" xr:uid="{00000000-0005-0000-0000-00002B2D0000}"/>
    <cellStyle name="40% - Accent2 47 6" xfId="5159" xr:uid="{00000000-0005-0000-0000-00002C2D0000}"/>
    <cellStyle name="40% - Accent2 47 6 2" xfId="16447" xr:uid="{00000000-0005-0000-0000-00002D2D0000}"/>
    <cellStyle name="40% - Accent2 47 7" xfId="14453" xr:uid="{00000000-0005-0000-0000-00002E2D0000}"/>
    <cellStyle name="40% - Accent2 47 8" xfId="13139" xr:uid="{00000000-0005-0000-0000-00002F2D0000}"/>
    <cellStyle name="40% - Accent2 48" xfId="1204" xr:uid="{00000000-0005-0000-0000-0000302D0000}"/>
    <cellStyle name="40% - Accent2 48 2" xfId="4160" xr:uid="{00000000-0005-0000-0000-0000312D0000}"/>
    <cellStyle name="40% - Accent2 48 2 2" xfId="12139" xr:uid="{00000000-0005-0000-0000-0000322D0000}"/>
    <cellStyle name="40% - Accent2 48 2 2 2" xfId="23427" xr:uid="{00000000-0005-0000-0000-0000332D0000}"/>
    <cellStyle name="40% - Accent2 48 2 3" xfId="10145" xr:uid="{00000000-0005-0000-0000-0000342D0000}"/>
    <cellStyle name="40% - Accent2 48 2 3 2" xfId="21433" xr:uid="{00000000-0005-0000-0000-0000352D0000}"/>
    <cellStyle name="40% - Accent2 48 2 4" xfId="8151" xr:uid="{00000000-0005-0000-0000-0000362D0000}"/>
    <cellStyle name="40% - Accent2 48 2 4 2" xfId="19439" xr:uid="{00000000-0005-0000-0000-0000372D0000}"/>
    <cellStyle name="40% - Accent2 48 2 5" xfId="6157" xr:uid="{00000000-0005-0000-0000-0000382D0000}"/>
    <cellStyle name="40% - Accent2 48 2 5 2" xfId="17445" xr:uid="{00000000-0005-0000-0000-0000392D0000}"/>
    <cellStyle name="40% - Accent2 48 2 6" xfId="15451" xr:uid="{00000000-0005-0000-0000-00003A2D0000}"/>
    <cellStyle name="40% - Accent2 48 3" xfId="11142" xr:uid="{00000000-0005-0000-0000-00003B2D0000}"/>
    <cellStyle name="40% - Accent2 48 3 2" xfId="22430" xr:uid="{00000000-0005-0000-0000-00003C2D0000}"/>
    <cellStyle name="40% - Accent2 48 4" xfId="9148" xr:uid="{00000000-0005-0000-0000-00003D2D0000}"/>
    <cellStyle name="40% - Accent2 48 4 2" xfId="20436" xr:uid="{00000000-0005-0000-0000-00003E2D0000}"/>
    <cellStyle name="40% - Accent2 48 5" xfId="7154" xr:uid="{00000000-0005-0000-0000-00003F2D0000}"/>
    <cellStyle name="40% - Accent2 48 5 2" xfId="18442" xr:uid="{00000000-0005-0000-0000-0000402D0000}"/>
    <cellStyle name="40% - Accent2 48 6" xfId="5160" xr:uid="{00000000-0005-0000-0000-0000412D0000}"/>
    <cellStyle name="40% - Accent2 48 6 2" xfId="16448" xr:uid="{00000000-0005-0000-0000-0000422D0000}"/>
    <cellStyle name="40% - Accent2 48 7" xfId="14454" xr:uid="{00000000-0005-0000-0000-0000432D0000}"/>
    <cellStyle name="40% - Accent2 48 8" xfId="13140" xr:uid="{00000000-0005-0000-0000-0000442D0000}"/>
    <cellStyle name="40% - Accent2 49" xfId="1205" xr:uid="{00000000-0005-0000-0000-0000452D0000}"/>
    <cellStyle name="40% - Accent2 49 2" xfId="4161" xr:uid="{00000000-0005-0000-0000-0000462D0000}"/>
    <cellStyle name="40% - Accent2 49 2 2" xfId="12140" xr:uid="{00000000-0005-0000-0000-0000472D0000}"/>
    <cellStyle name="40% - Accent2 49 2 2 2" xfId="23428" xr:uid="{00000000-0005-0000-0000-0000482D0000}"/>
    <cellStyle name="40% - Accent2 49 2 3" xfId="10146" xr:uid="{00000000-0005-0000-0000-0000492D0000}"/>
    <cellStyle name="40% - Accent2 49 2 3 2" xfId="21434" xr:uid="{00000000-0005-0000-0000-00004A2D0000}"/>
    <cellStyle name="40% - Accent2 49 2 4" xfId="8152" xr:uid="{00000000-0005-0000-0000-00004B2D0000}"/>
    <cellStyle name="40% - Accent2 49 2 4 2" xfId="19440" xr:uid="{00000000-0005-0000-0000-00004C2D0000}"/>
    <cellStyle name="40% - Accent2 49 2 5" xfId="6158" xr:uid="{00000000-0005-0000-0000-00004D2D0000}"/>
    <cellStyle name="40% - Accent2 49 2 5 2" xfId="17446" xr:uid="{00000000-0005-0000-0000-00004E2D0000}"/>
    <cellStyle name="40% - Accent2 49 2 6" xfId="15452" xr:uid="{00000000-0005-0000-0000-00004F2D0000}"/>
    <cellStyle name="40% - Accent2 49 3" xfId="11143" xr:uid="{00000000-0005-0000-0000-0000502D0000}"/>
    <cellStyle name="40% - Accent2 49 3 2" xfId="22431" xr:uid="{00000000-0005-0000-0000-0000512D0000}"/>
    <cellStyle name="40% - Accent2 49 4" xfId="9149" xr:uid="{00000000-0005-0000-0000-0000522D0000}"/>
    <cellStyle name="40% - Accent2 49 4 2" xfId="20437" xr:uid="{00000000-0005-0000-0000-0000532D0000}"/>
    <cellStyle name="40% - Accent2 49 5" xfId="7155" xr:uid="{00000000-0005-0000-0000-0000542D0000}"/>
    <cellStyle name="40% - Accent2 49 5 2" xfId="18443" xr:uid="{00000000-0005-0000-0000-0000552D0000}"/>
    <cellStyle name="40% - Accent2 49 6" xfId="5161" xr:uid="{00000000-0005-0000-0000-0000562D0000}"/>
    <cellStyle name="40% - Accent2 49 6 2" xfId="16449" xr:uid="{00000000-0005-0000-0000-0000572D0000}"/>
    <cellStyle name="40% - Accent2 49 7" xfId="14455" xr:uid="{00000000-0005-0000-0000-0000582D0000}"/>
    <cellStyle name="40% - Accent2 49 8" xfId="13141" xr:uid="{00000000-0005-0000-0000-0000592D0000}"/>
    <cellStyle name="40% - Accent2 5" xfId="1206" xr:uid="{00000000-0005-0000-0000-00005A2D0000}"/>
    <cellStyle name="40% - Accent2 5 10" xfId="24604" xr:uid="{00000000-0005-0000-0000-00005B2D0000}"/>
    <cellStyle name="40% - Accent2 5 11" xfId="24994" xr:uid="{00000000-0005-0000-0000-00005C2D0000}"/>
    <cellStyle name="40% - Accent2 5 2" xfId="4162" xr:uid="{00000000-0005-0000-0000-00005D2D0000}"/>
    <cellStyle name="40% - Accent2 5 2 2" xfId="12141" xr:uid="{00000000-0005-0000-0000-00005E2D0000}"/>
    <cellStyle name="40% - Accent2 5 2 2 2" xfId="23429" xr:uid="{00000000-0005-0000-0000-00005F2D0000}"/>
    <cellStyle name="40% - Accent2 5 2 3" xfId="10147" xr:uid="{00000000-0005-0000-0000-0000602D0000}"/>
    <cellStyle name="40% - Accent2 5 2 3 2" xfId="21435" xr:uid="{00000000-0005-0000-0000-0000612D0000}"/>
    <cellStyle name="40% - Accent2 5 2 4" xfId="8153" xr:uid="{00000000-0005-0000-0000-0000622D0000}"/>
    <cellStyle name="40% - Accent2 5 2 4 2" xfId="19441" xr:uid="{00000000-0005-0000-0000-0000632D0000}"/>
    <cellStyle name="40% - Accent2 5 2 5" xfId="6159" xr:uid="{00000000-0005-0000-0000-0000642D0000}"/>
    <cellStyle name="40% - Accent2 5 2 5 2" xfId="17447" xr:uid="{00000000-0005-0000-0000-0000652D0000}"/>
    <cellStyle name="40% - Accent2 5 2 6" xfId="15453" xr:uid="{00000000-0005-0000-0000-0000662D0000}"/>
    <cellStyle name="40% - Accent2 5 2 7" xfId="24365" xr:uid="{00000000-0005-0000-0000-0000672D0000}"/>
    <cellStyle name="40% - Accent2 5 2 8" xfId="24829" xr:uid="{00000000-0005-0000-0000-0000682D0000}"/>
    <cellStyle name="40% - Accent2 5 2 9" xfId="25196" xr:uid="{00000000-0005-0000-0000-0000692D0000}"/>
    <cellStyle name="40% - Accent2 5 3" xfId="11144" xr:uid="{00000000-0005-0000-0000-00006A2D0000}"/>
    <cellStyle name="40% - Accent2 5 3 2" xfId="22432" xr:uid="{00000000-0005-0000-0000-00006B2D0000}"/>
    <cellStyle name="40% - Accent2 5 4" xfId="9150" xr:uid="{00000000-0005-0000-0000-00006C2D0000}"/>
    <cellStyle name="40% - Accent2 5 4 2" xfId="20438" xr:uid="{00000000-0005-0000-0000-00006D2D0000}"/>
    <cellStyle name="40% - Accent2 5 5" xfId="7156" xr:uid="{00000000-0005-0000-0000-00006E2D0000}"/>
    <cellStyle name="40% - Accent2 5 5 2" xfId="18444" xr:uid="{00000000-0005-0000-0000-00006F2D0000}"/>
    <cellStyle name="40% - Accent2 5 6" xfId="5162" xr:uid="{00000000-0005-0000-0000-0000702D0000}"/>
    <cellStyle name="40% - Accent2 5 6 2" xfId="16450" xr:uid="{00000000-0005-0000-0000-0000712D0000}"/>
    <cellStyle name="40% - Accent2 5 7" xfId="14456" xr:uid="{00000000-0005-0000-0000-0000722D0000}"/>
    <cellStyle name="40% - Accent2 5 8" xfId="13142" xr:uid="{00000000-0005-0000-0000-0000732D0000}"/>
    <cellStyle name="40% - Accent2 5 9" xfId="23977" xr:uid="{00000000-0005-0000-0000-0000742D0000}"/>
    <cellStyle name="40% - Accent2 50" xfId="1207" xr:uid="{00000000-0005-0000-0000-0000752D0000}"/>
    <cellStyle name="40% - Accent2 50 2" xfId="4163" xr:uid="{00000000-0005-0000-0000-0000762D0000}"/>
    <cellStyle name="40% - Accent2 50 2 2" xfId="12142" xr:uid="{00000000-0005-0000-0000-0000772D0000}"/>
    <cellStyle name="40% - Accent2 50 2 2 2" xfId="23430" xr:uid="{00000000-0005-0000-0000-0000782D0000}"/>
    <cellStyle name="40% - Accent2 50 2 3" xfId="10148" xr:uid="{00000000-0005-0000-0000-0000792D0000}"/>
    <cellStyle name="40% - Accent2 50 2 3 2" xfId="21436" xr:uid="{00000000-0005-0000-0000-00007A2D0000}"/>
    <cellStyle name="40% - Accent2 50 2 4" xfId="8154" xr:uid="{00000000-0005-0000-0000-00007B2D0000}"/>
    <cellStyle name="40% - Accent2 50 2 4 2" xfId="19442" xr:uid="{00000000-0005-0000-0000-00007C2D0000}"/>
    <cellStyle name="40% - Accent2 50 2 5" xfId="6160" xr:uid="{00000000-0005-0000-0000-00007D2D0000}"/>
    <cellStyle name="40% - Accent2 50 2 5 2" xfId="17448" xr:uid="{00000000-0005-0000-0000-00007E2D0000}"/>
    <cellStyle name="40% - Accent2 50 2 6" xfId="15454" xr:uid="{00000000-0005-0000-0000-00007F2D0000}"/>
    <cellStyle name="40% - Accent2 50 3" xfId="11145" xr:uid="{00000000-0005-0000-0000-0000802D0000}"/>
    <cellStyle name="40% - Accent2 50 3 2" xfId="22433" xr:uid="{00000000-0005-0000-0000-0000812D0000}"/>
    <cellStyle name="40% - Accent2 50 4" xfId="9151" xr:uid="{00000000-0005-0000-0000-0000822D0000}"/>
    <cellStyle name="40% - Accent2 50 4 2" xfId="20439" xr:uid="{00000000-0005-0000-0000-0000832D0000}"/>
    <cellStyle name="40% - Accent2 50 5" xfId="7157" xr:uid="{00000000-0005-0000-0000-0000842D0000}"/>
    <cellStyle name="40% - Accent2 50 5 2" xfId="18445" xr:uid="{00000000-0005-0000-0000-0000852D0000}"/>
    <cellStyle name="40% - Accent2 50 6" xfId="5163" xr:uid="{00000000-0005-0000-0000-0000862D0000}"/>
    <cellStyle name="40% - Accent2 50 6 2" xfId="16451" xr:uid="{00000000-0005-0000-0000-0000872D0000}"/>
    <cellStyle name="40% - Accent2 50 7" xfId="14457" xr:uid="{00000000-0005-0000-0000-0000882D0000}"/>
    <cellStyle name="40% - Accent2 50 8" xfId="13143" xr:uid="{00000000-0005-0000-0000-0000892D0000}"/>
    <cellStyle name="40% - Accent2 51" xfId="1208" xr:uid="{00000000-0005-0000-0000-00008A2D0000}"/>
    <cellStyle name="40% - Accent2 51 2" xfId="4164" xr:uid="{00000000-0005-0000-0000-00008B2D0000}"/>
    <cellStyle name="40% - Accent2 51 2 2" xfId="12143" xr:uid="{00000000-0005-0000-0000-00008C2D0000}"/>
    <cellStyle name="40% - Accent2 51 2 2 2" xfId="23431" xr:uid="{00000000-0005-0000-0000-00008D2D0000}"/>
    <cellStyle name="40% - Accent2 51 2 3" xfId="10149" xr:uid="{00000000-0005-0000-0000-00008E2D0000}"/>
    <cellStyle name="40% - Accent2 51 2 3 2" xfId="21437" xr:uid="{00000000-0005-0000-0000-00008F2D0000}"/>
    <cellStyle name="40% - Accent2 51 2 4" xfId="8155" xr:uid="{00000000-0005-0000-0000-0000902D0000}"/>
    <cellStyle name="40% - Accent2 51 2 4 2" xfId="19443" xr:uid="{00000000-0005-0000-0000-0000912D0000}"/>
    <cellStyle name="40% - Accent2 51 2 5" xfId="6161" xr:uid="{00000000-0005-0000-0000-0000922D0000}"/>
    <cellStyle name="40% - Accent2 51 2 5 2" xfId="17449" xr:uid="{00000000-0005-0000-0000-0000932D0000}"/>
    <cellStyle name="40% - Accent2 51 2 6" xfId="15455" xr:uid="{00000000-0005-0000-0000-0000942D0000}"/>
    <cellStyle name="40% - Accent2 51 3" xfId="11146" xr:uid="{00000000-0005-0000-0000-0000952D0000}"/>
    <cellStyle name="40% - Accent2 51 3 2" xfId="22434" xr:uid="{00000000-0005-0000-0000-0000962D0000}"/>
    <cellStyle name="40% - Accent2 51 4" xfId="9152" xr:uid="{00000000-0005-0000-0000-0000972D0000}"/>
    <cellStyle name="40% - Accent2 51 4 2" xfId="20440" xr:uid="{00000000-0005-0000-0000-0000982D0000}"/>
    <cellStyle name="40% - Accent2 51 5" xfId="7158" xr:uid="{00000000-0005-0000-0000-0000992D0000}"/>
    <cellStyle name="40% - Accent2 51 5 2" xfId="18446" xr:uid="{00000000-0005-0000-0000-00009A2D0000}"/>
    <cellStyle name="40% - Accent2 51 6" xfId="5164" xr:uid="{00000000-0005-0000-0000-00009B2D0000}"/>
    <cellStyle name="40% - Accent2 51 6 2" xfId="16452" xr:uid="{00000000-0005-0000-0000-00009C2D0000}"/>
    <cellStyle name="40% - Accent2 51 7" xfId="14458" xr:uid="{00000000-0005-0000-0000-00009D2D0000}"/>
    <cellStyle name="40% - Accent2 51 8" xfId="13144" xr:uid="{00000000-0005-0000-0000-00009E2D0000}"/>
    <cellStyle name="40% - Accent2 52" xfId="1209" xr:uid="{00000000-0005-0000-0000-00009F2D0000}"/>
    <cellStyle name="40% - Accent2 52 2" xfId="4165" xr:uid="{00000000-0005-0000-0000-0000A02D0000}"/>
    <cellStyle name="40% - Accent2 52 2 2" xfId="12144" xr:uid="{00000000-0005-0000-0000-0000A12D0000}"/>
    <cellStyle name="40% - Accent2 52 2 2 2" xfId="23432" xr:uid="{00000000-0005-0000-0000-0000A22D0000}"/>
    <cellStyle name="40% - Accent2 52 2 3" xfId="10150" xr:uid="{00000000-0005-0000-0000-0000A32D0000}"/>
    <cellStyle name="40% - Accent2 52 2 3 2" xfId="21438" xr:uid="{00000000-0005-0000-0000-0000A42D0000}"/>
    <cellStyle name="40% - Accent2 52 2 4" xfId="8156" xr:uid="{00000000-0005-0000-0000-0000A52D0000}"/>
    <cellStyle name="40% - Accent2 52 2 4 2" xfId="19444" xr:uid="{00000000-0005-0000-0000-0000A62D0000}"/>
    <cellStyle name="40% - Accent2 52 2 5" xfId="6162" xr:uid="{00000000-0005-0000-0000-0000A72D0000}"/>
    <cellStyle name="40% - Accent2 52 2 5 2" xfId="17450" xr:uid="{00000000-0005-0000-0000-0000A82D0000}"/>
    <cellStyle name="40% - Accent2 52 2 6" xfId="15456" xr:uid="{00000000-0005-0000-0000-0000A92D0000}"/>
    <cellStyle name="40% - Accent2 52 3" xfId="11147" xr:uid="{00000000-0005-0000-0000-0000AA2D0000}"/>
    <cellStyle name="40% - Accent2 52 3 2" xfId="22435" xr:uid="{00000000-0005-0000-0000-0000AB2D0000}"/>
    <cellStyle name="40% - Accent2 52 4" xfId="9153" xr:uid="{00000000-0005-0000-0000-0000AC2D0000}"/>
    <cellStyle name="40% - Accent2 52 4 2" xfId="20441" xr:uid="{00000000-0005-0000-0000-0000AD2D0000}"/>
    <cellStyle name="40% - Accent2 52 5" xfId="7159" xr:uid="{00000000-0005-0000-0000-0000AE2D0000}"/>
    <cellStyle name="40% - Accent2 52 5 2" xfId="18447" xr:uid="{00000000-0005-0000-0000-0000AF2D0000}"/>
    <cellStyle name="40% - Accent2 52 6" xfId="5165" xr:uid="{00000000-0005-0000-0000-0000B02D0000}"/>
    <cellStyle name="40% - Accent2 52 6 2" xfId="16453" xr:uid="{00000000-0005-0000-0000-0000B12D0000}"/>
    <cellStyle name="40% - Accent2 52 7" xfId="14459" xr:uid="{00000000-0005-0000-0000-0000B22D0000}"/>
    <cellStyle name="40% - Accent2 52 8" xfId="13145" xr:uid="{00000000-0005-0000-0000-0000B32D0000}"/>
    <cellStyle name="40% - Accent2 53" xfId="1210" xr:uid="{00000000-0005-0000-0000-0000B42D0000}"/>
    <cellStyle name="40% - Accent2 53 2" xfId="4166" xr:uid="{00000000-0005-0000-0000-0000B52D0000}"/>
    <cellStyle name="40% - Accent2 53 2 2" xfId="12145" xr:uid="{00000000-0005-0000-0000-0000B62D0000}"/>
    <cellStyle name="40% - Accent2 53 2 2 2" xfId="23433" xr:uid="{00000000-0005-0000-0000-0000B72D0000}"/>
    <cellStyle name="40% - Accent2 53 2 3" xfId="10151" xr:uid="{00000000-0005-0000-0000-0000B82D0000}"/>
    <cellStyle name="40% - Accent2 53 2 3 2" xfId="21439" xr:uid="{00000000-0005-0000-0000-0000B92D0000}"/>
    <cellStyle name="40% - Accent2 53 2 4" xfId="8157" xr:uid="{00000000-0005-0000-0000-0000BA2D0000}"/>
    <cellStyle name="40% - Accent2 53 2 4 2" xfId="19445" xr:uid="{00000000-0005-0000-0000-0000BB2D0000}"/>
    <cellStyle name="40% - Accent2 53 2 5" xfId="6163" xr:uid="{00000000-0005-0000-0000-0000BC2D0000}"/>
    <cellStyle name="40% - Accent2 53 2 5 2" xfId="17451" xr:uid="{00000000-0005-0000-0000-0000BD2D0000}"/>
    <cellStyle name="40% - Accent2 53 2 6" xfId="15457" xr:uid="{00000000-0005-0000-0000-0000BE2D0000}"/>
    <cellStyle name="40% - Accent2 53 3" xfId="11148" xr:uid="{00000000-0005-0000-0000-0000BF2D0000}"/>
    <cellStyle name="40% - Accent2 53 3 2" xfId="22436" xr:uid="{00000000-0005-0000-0000-0000C02D0000}"/>
    <cellStyle name="40% - Accent2 53 4" xfId="9154" xr:uid="{00000000-0005-0000-0000-0000C12D0000}"/>
    <cellStyle name="40% - Accent2 53 4 2" xfId="20442" xr:uid="{00000000-0005-0000-0000-0000C22D0000}"/>
    <cellStyle name="40% - Accent2 53 5" xfId="7160" xr:uid="{00000000-0005-0000-0000-0000C32D0000}"/>
    <cellStyle name="40% - Accent2 53 5 2" xfId="18448" xr:uid="{00000000-0005-0000-0000-0000C42D0000}"/>
    <cellStyle name="40% - Accent2 53 6" xfId="5166" xr:uid="{00000000-0005-0000-0000-0000C52D0000}"/>
    <cellStyle name="40% - Accent2 53 6 2" xfId="16454" xr:uid="{00000000-0005-0000-0000-0000C62D0000}"/>
    <cellStyle name="40% - Accent2 53 7" xfId="14460" xr:uid="{00000000-0005-0000-0000-0000C72D0000}"/>
    <cellStyle name="40% - Accent2 53 8" xfId="13146" xr:uid="{00000000-0005-0000-0000-0000C82D0000}"/>
    <cellStyle name="40% - Accent2 54" xfId="1211" xr:uid="{00000000-0005-0000-0000-0000C92D0000}"/>
    <cellStyle name="40% - Accent2 54 2" xfId="4167" xr:uid="{00000000-0005-0000-0000-0000CA2D0000}"/>
    <cellStyle name="40% - Accent2 54 2 2" xfId="12146" xr:uid="{00000000-0005-0000-0000-0000CB2D0000}"/>
    <cellStyle name="40% - Accent2 54 2 2 2" xfId="23434" xr:uid="{00000000-0005-0000-0000-0000CC2D0000}"/>
    <cellStyle name="40% - Accent2 54 2 3" xfId="10152" xr:uid="{00000000-0005-0000-0000-0000CD2D0000}"/>
    <cellStyle name="40% - Accent2 54 2 3 2" xfId="21440" xr:uid="{00000000-0005-0000-0000-0000CE2D0000}"/>
    <cellStyle name="40% - Accent2 54 2 4" xfId="8158" xr:uid="{00000000-0005-0000-0000-0000CF2D0000}"/>
    <cellStyle name="40% - Accent2 54 2 4 2" xfId="19446" xr:uid="{00000000-0005-0000-0000-0000D02D0000}"/>
    <cellStyle name="40% - Accent2 54 2 5" xfId="6164" xr:uid="{00000000-0005-0000-0000-0000D12D0000}"/>
    <cellStyle name="40% - Accent2 54 2 5 2" xfId="17452" xr:uid="{00000000-0005-0000-0000-0000D22D0000}"/>
    <cellStyle name="40% - Accent2 54 2 6" xfId="15458" xr:uid="{00000000-0005-0000-0000-0000D32D0000}"/>
    <cellStyle name="40% - Accent2 54 3" xfId="11149" xr:uid="{00000000-0005-0000-0000-0000D42D0000}"/>
    <cellStyle name="40% - Accent2 54 3 2" xfId="22437" xr:uid="{00000000-0005-0000-0000-0000D52D0000}"/>
    <cellStyle name="40% - Accent2 54 4" xfId="9155" xr:uid="{00000000-0005-0000-0000-0000D62D0000}"/>
    <cellStyle name="40% - Accent2 54 4 2" xfId="20443" xr:uid="{00000000-0005-0000-0000-0000D72D0000}"/>
    <cellStyle name="40% - Accent2 54 5" xfId="7161" xr:uid="{00000000-0005-0000-0000-0000D82D0000}"/>
    <cellStyle name="40% - Accent2 54 5 2" xfId="18449" xr:uid="{00000000-0005-0000-0000-0000D92D0000}"/>
    <cellStyle name="40% - Accent2 54 6" xfId="5167" xr:uid="{00000000-0005-0000-0000-0000DA2D0000}"/>
    <cellStyle name="40% - Accent2 54 6 2" xfId="16455" xr:uid="{00000000-0005-0000-0000-0000DB2D0000}"/>
    <cellStyle name="40% - Accent2 54 7" xfId="14461" xr:uid="{00000000-0005-0000-0000-0000DC2D0000}"/>
    <cellStyle name="40% - Accent2 54 8" xfId="13147" xr:uid="{00000000-0005-0000-0000-0000DD2D0000}"/>
    <cellStyle name="40% - Accent2 55" xfId="1212" xr:uid="{00000000-0005-0000-0000-0000DE2D0000}"/>
    <cellStyle name="40% - Accent2 55 2" xfId="4168" xr:uid="{00000000-0005-0000-0000-0000DF2D0000}"/>
    <cellStyle name="40% - Accent2 55 2 2" xfId="12147" xr:uid="{00000000-0005-0000-0000-0000E02D0000}"/>
    <cellStyle name="40% - Accent2 55 2 2 2" xfId="23435" xr:uid="{00000000-0005-0000-0000-0000E12D0000}"/>
    <cellStyle name="40% - Accent2 55 2 3" xfId="10153" xr:uid="{00000000-0005-0000-0000-0000E22D0000}"/>
    <cellStyle name="40% - Accent2 55 2 3 2" xfId="21441" xr:uid="{00000000-0005-0000-0000-0000E32D0000}"/>
    <cellStyle name="40% - Accent2 55 2 4" xfId="8159" xr:uid="{00000000-0005-0000-0000-0000E42D0000}"/>
    <cellStyle name="40% - Accent2 55 2 4 2" xfId="19447" xr:uid="{00000000-0005-0000-0000-0000E52D0000}"/>
    <cellStyle name="40% - Accent2 55 2 5" xfId="6165" xr:uid="{00000000-0005-0000-0000-0000E62D0000}"/>
    <cellStyle name="40% - Accent2 55 2 5 2" xfId="17453" xr:uid="{00000000-0005-0000-0000-0000E72D0000}"/>
    <cellStyle name="40% - Accent2 55 2 6" xfId="15459" xr:uid="{00000000-0005-0000-0000-0000E82D0000}"/>
    <cellStyle name="40% - Accent2 55 3" xfId="11150" xr:uid="{00000000-0005-0000-0000-0000E92D0000}"/>
    <cellStyle name="40% - Accent2 55 3 2" xfId="22438" xr:uid="{00000000-0005-0000-0000-0000EA2D0000}"/>
    <cellStyle name="40% - Accent2 55 4" xfId="9156" xr:uid="{00000000-0005-0000-0000-0000EB2D0000}"/>
    <cellStyle name="40% - Accent2 55 4 2" xfId="20444" xr:uid="{00000000-0005-0000-0000-0000EC2D0000}"/>
    <cellStyle name="40% - Accent2 55 5" xfId="7162" xr:uid="{00000000-0005-0000-0000-0000ED2D0000}"/>
    <cellStyle name="40% - Accent2 55 5 2" xfId="18450" xr:uid="{00000000-0005-0000-0000-0000EE2D0000}"/>
    <cellStyle name="40% - Accent2 55 6" xfId="5168" xr:uid="{00000000-0005-0000-0000-0000EF2D0000}"/>
    <cellStyle name="40% - Accent2 55 6 2" xfId="16456" xr:uid="{00000000-0005-0000-0000-0000F02D0000}"/>
    <cellStyle name="40% - Accent2 55 7" xfId="14462" xr:uid="{00000000-0005-0000-0000-0000F12D0000}"/>
    <cellStyle name="40% - Accent2 55 8" xfId="13148" xr:uid="{00000000-0005-0000-0000-0000F22D0000}"/>
    <cellStyle name="40% - Accent2 56" xfId="1213" xr:uid="{00000000-0005-0000-0000-0000F32D0000}"/>
    <cellStyle name="40% - Accent2 56 2" xfId="4169" xr:uid="{00000000-0005-0000-0000-0000F42D0000}"/>
    <cellStyle name="40% - Accent2 56 2 2" xfId="12148" xr:uid="{00000000-0005-0000-0000-0000F52D0000}"/>
    <cellStyle name="40% - Accent2 56 2 2 2" xfId="23436" xr:uid="{00000000-0005-0000-0000-0000F62D0000}"/>
    <cellStyle name="40% - Accent2 56 2 3" xfId="10154" xr:uid="{00000000-0005-0000-0000-0000F72D0000}"/>
    <cellStyle name="40% - Accent2 56 2 3 2" xfId="21442" xr:uid="{00000000-0005-0000-0000-0000F82D0000}"/>
    <cellStyle name="40% - Accent2 56 2 4" xfId="8160" xr:uid="{00000000-0005-0000-0000-0000F92D0000}"/>
    <cellStyle name="40% - Accent2 56 2 4 2" xfId="19448" xr:uid="{00000000-0005-0000-0000-0000FA2D0000}"/>
    <cellStyle name="40% - Accent2 56 2 5" xfId="6166" xr:uid="{00000000-0005-0000-0000-0000FB2D0000}"/>
    <cellStyle name="40% - Accent2 56 2 5 2" xfId="17454" xr:uid="{00000000-0005-0000-0000-0000FC2D0000}"/>
    <cellStyle name="40% - Accent2 56 2 6" xfId="15460" xr:uid="{00000000-0005-0000-0000-0000FD2D0000}"/>
    <cellStyle name="40% - Accent2 56 3" xfId="11151" xr:uid="{00000000-0005-0000-0000-0000FE2D0000}"/>
    <cellStyle name="40% - Accent2 56 3 2" xfId="22439" xr:uid="{00000000-0005-0000-0000-0000FF2D0000}"/>
    <cellStyle name="40% - Accent2 56 4" xfId="9157" xr:uid="{00000000-0005-0000-0000-0000002E0000}"/>
    <cellStyle name="40% - Accent2 56 4 2" xfId="20445" xr:uid="{00000000-0005-0000-0000-0000012E0000}"/>
    <cellStyle name="40% - Accent2 56 5" xfId="7163" xr:uid="{00000000-0005-0000-0000-0000022E0000}"/>
    <cellStyle name="40% - Accent2 56 5 2" xfId="18451" xr:uid="{00000000-0005-0000-0000-0000032E0000}"/>
    <cellStyle name="40% - Accent2 56 6" xfId="5169" xr:uid="{00000000-0005-0000-0000-0000042E0000}"/>
    <cellStyle name="40% - Accent2 56 6 2" xfId="16457" xr:uid="{00000000-0005-0000-0000-0000052E0000}"/>
    <cellStyle name="40% - Accent2 56 7" xfId="14463" xr:uid="{00000000-0005-0000-0000-0000062E0000}"/>
    <cellStyle name="40% - Accent2 56 8" xfId="13149" xr:uid="{00000000-0005-0000-0000-0000072E0000}"/>
    <cellStyle name="40% - Accent2 57" xfId="1214" xr:uid="{00000000-0005-0000-0000-0000082E0000}"/>
    <cellStyle name="40% - Accent2 57 2" xfId="4170" xr:uid="{00000000-0005-0000-0000-0000092E0000}"/>
    <cellStyle name="40% - Accent2 57 2 2" xfId="12149" xr:uid="{00000000-0005-0000-0000-00000A2E0000}"/>
    <cellStyle name="40% - Accent2 57 2 2 2" xfId="23437" xr:uid="{00000000-0005-0000-0000-00000B2E0000}"/>
    <cellStyle name="40% - Accent2 57 2 3" xfId="10155" xr:uid="{00000000-0005-0000-0000-00000C2E0000}"/>
    <cellStyle name="40% - Accent2 57 2 3 2" xfId="21443" xr:uid="{00000000-0005-0000-0000-00000D2E0000}"/>
    <cellStyle name="40% - Accent2 57 2 4" xfId="8161" xr:uid="{00000000-0005-0000-0000-00000E2E0000}"/>
    <cellStyle name="40% - Accent2 57 2 4 2" xfId="19449" xr:uid="{00000000-0005-0000-0000-00000F2E0000}"/>
    <cellStyle name="40% - Accent2 57 2 5" xfId="6167" xr:uid="{00000000-0005-0000-0000-0000102E0000}"/>
    <cellStyle name="40% - Accent2 57 2 5 2" xfId="17455" xr:uid="{00000000-0005-0000-0000-0000112E0000}"/>
    <cellStyle name="40% - Accent2 57 2 6" xfId="15461" xr:uid="{00000000-0005-0000-0000-0000122E0000}"/>
    <cellStyle name="40% - Accent2 57 3" xfId="11152" xr:uid="{00000000-0005-0000-0000-0000132E0000}"/>
    <cellStyle name="40% - Accent2 57 3 2" xfId="22440" xr:uid="{00000000-0005-0000-0000-0000142E0000}"/>
    <cellStyle name="40% - Accent2 57 4" xfId="9158" xr:uid="{00000000-0005-0000-0000-0000152E0000}"/>
    <cellStyle name="40% - Accent2 57 4 2" xfId="20446" xr:uid="{00000000-0005-0000-0000-0000162E0000}"/>
    <cellStyle name="40% - Accent2 57 5" xfId="7164" xr:uid="{00000000-0005-0000-0000-0000172E0000}"/>
    <cellStyle name="40% - Accent2 57 5 2" xfId="18452" xr:uid="{00000000-0005-0000-0000-0000182E0000}"/>
    <cellStyle name="40% - Accent2 57 6" xfId="5170" xr:uid="{00000000-0005-0000-0000-0000192E0000}"/>
    <cellStyle name="40% - Accent2 57 6 2" xfId="16458" xr:uid="{00000000-0005-0000-0000-00001A2E0000}"/>
    <cellStyle name="40% - Accent2 57 7" xfId="14464" xr:uid="{00000000-0005-0000-0000-00001B2E0000}"/>
    <cellStyle name="40% - Accent2 57 8" xfId="13150" xr:uid="{00000000-0005-0000-0000-00001C2E0000}"/>
    <cellStyle name="40% - Accent2 58" xfId="1215" xr:uid="{00000000-0005-0000-0000-00001D2E0000}"/>
    <cellStyle name="40% - Accent2 58 2" xfId="4171" xr:uid="{00000000-0005-0000-0000-00001E2E0000}"/>
    <cellStyle name="40% - Accent2 58 2 2" xfId="12150" xr:uid="{00000000-0005-0000-0000-00001F2E0000}"/>
    <cellStyle name="40% - Accent2 58 2 2 2" xfId="23438" xr:uid="{00000000-0005-0000-0000-0000202E0000}"/>
    <cellStyle name="40% - Accent2 58 2 3" xfId="10156" xr:uid="{00000000-0005-0000-0000-0000212E0000}"/>
    <cellStyle name="40% - Accent2 58 2 3 2" xfId="21444" xr:uid="{00000000-0005-0000-0000-0000222E0000}"/>
    <cellStyle name="40% - Accent2 58 2 4" xfId="8162" xr:uid="{00000000-0005-0000-0000-0000232E0000}"/>
    <cellStyle name="40% - Accent2 58 2 4 2" xfId="19450" xr:uid="{00000000-0005-0000-0000-0000242E0000}"/>
    <cellStyle name="40% - Accent2 58 2 5" xfId="6168" xr:uid="{00000000-0005-0000-0000-0000252E0000}"/>
    <cellStyle name="40% - Accent2 58 2 5 2" xfId="17456" xr:uid="{00000000-0005-0000-0000-0000262E0000}"/>
    <cellStyle name="40% - Accent2 58 2 6" xfId="15462" xr:uid="{00000000-0005-0000-0000-0000272E0000}"/>
    <cellStyle name="40% - Accent2 58 3" xfId="11153" xr:uid="{00000000-0005-0000-0000-0000282E0000}"/>
    <cellStyle name="40% - Accent2 58 3 2" xfId="22441" xr:uid="{00000000-0005-0000-0000-0000292E0000}"/>
    <cellStyle name="40% - Accent2 58 4" xfId="9159" xr:uid="{00000000-0005-0000-0000-00002A2E0000}"/>
    <cellStyle name="40% - Accent2 58 4 2" xfId="20447" xr:uid="{00000000-0005-0000-0000-00002B2E0000}"/>
    <cellStyle name="40% - Accent2 58 5" xfId="7165" xr:uid="{00000000-0005-0000-0000-00002C2E0000}"/>
    <cellStyle name="40% - Accent2 58 5 2" xfId="18453" xr:uid="{00000000-0005-0000-0000-00002D2E0000}"/>
    <cellStyle name="40% - Accent2 58 6" xfId="5171" xr:uid="{00000000-0005-0000-0000-00002E2E0000}"/>
    <cellStyle name="40% - Accent2 58 6 2" xfId="16459" xr:uid="{00000000-0005-0000-0000-00002F2E0000}"/>
    <cellStyle name="40% - Accent2 58 7" xfId="14465" xr:uid="{00000000-0005-0000-0000-0000302E0000}"/>
    <cellStyle name="40% - Accent2 58 8" xfId="13151" xr:uid="{00000000-0005-0000-0000-0000312E0000}"/>
    <cellStyle name="40% - Accent2 59" xfId="1216" xr:uid="{00000000-0005-0000-0000-0000322E0000}"/>
    <cellStyle name="40% - Accent2 59 2" xfId="4172" xr:uid="{00000000-0005-0000-0000-0000332E0000}"/>
    <cellStyle name="40% - Accent2 59 2 2" xfId="12151" xr:uid="{00000000-0005-0000-0000-0000342E0000}"/>
    <cellStyle name="40% - Accent2 59 2 2 2" xfId="23439" xr:uid="{00000000-0005-0000-0000-0000352E0000}"/>
    <cellStyle name="40% - Accent2 59 2 3" xfId="10157" xr:uid="{00000000-0005-0000-0000-0000362E0000}"/>
    <cellStyle name="40% - Accent2 59 2 3 2" xfId="21445" xr:uid="{00000000-0005-0000-0000-0000372E0000}"/>
    <cellStyle name="40% - Accent2 59 2 4" xfId="8163" xr:uid="{00000000-0005-0000-0000-0000382E0000}"/>
    <cellStyle name="40% - Accent2 59 2 4 2" xfId="19451" xr:uid="{00000000-0005-0000-0000-0000392E0000}"/>
    <cellStyle name="40% - Accent2 59 2 5" xfId="6169" xr:uid="{00000000-0005-0000-0000-00003A2E0000}"/>
    <cellStyle name="40% - Accent2 59 2 5 2" xfId="17457" xr:uid="{00000000-0005-0000-0000-00003B2E0000}"/>
    <cellStyle name="40% - Accent2 59 2 6" xfId="15463" xr:uid="{00000000-0005-0000-0000-00003C2E0000}"/>
    <cellStyle name="40% - Accent2 59 3" xfId="11154" xr:uid="{00000000-0005-0000-0000-00003D2E0000}"/>
    <cellStyle name="40% - Accent2 59 3 2" xfId="22442" xr:uid="{00000000-0005-0000-0000-00003E2E0000}"/>
    <cellStyle name="40% - Accent2 59 4" xfId="9160" xr:uid="{00000000-0005-0000-0000-00003F2E0000}"/>
    <cellStyle name="40% - Accent2 59 4 2" xfId="20448" xr:uid="{00000000-0005-0000-0000-0000402E0000}"/>
    <cellStyle name="40% - Accent2 59 5" xfId="7166" xr:uid="{00000000-0005-0000-0000-0000412E0000}"/>
    <cellStyle name="40% - Accent2 59 5 2" xfId="18454" xr:uid="{00000000-0005-0000-0000-0000422E0000}"/>
    <cellStyle name="40% - Accent2 59 6" xfId="5172" xr:uid="{00000000-0005-0000-0000-0000432E0000}"/>
    <cellStyle name="40% - Accent2 59 6 2" xfId="16460" xr:uid="{00000000-0005-0000-0000-0000442E0000}"/>
    <cellStyle name="40% - Accent2 59 7" xfId="14466" xr:uid="{00000000-0005-0000-0000-0000452E0000}"/>
    <cellStyle name="40% - Accent2 59 8" xfId="13152" xr:uid="{00000000-0005-0000-0000-0000462E0000}"/>
    <cellStyle name="40% - Accent2 6" xfId="1217" xr:uid="{00000000-0005-0000-0000-0000472E0000}"/>
    <cellStyle name="40% - Accent2 6 10" xfId="24605" xr:uid="{00000000-0005-0000-0000-0000482E0000}"/>
    <cellStyle name="40% - Accent2 6 11" xfId="24995" xr:uid="{00000000-0005-0000-0000-0000492E0000}"/>
    <cellStyle name="40% - Accent2 6 2" xfId="4173" xr:uid="{00000000-0005-0000-0000-00004A2E0000}"/>
    <cellStyle name="40% - Accent2 6 2 2" xfId="12152" xr:uid="{00000000-0005-0000-0000-00004B2E0000}"/>
    <cellStyle name="40% - Accent2 6 2 2 2" xfId="23440" xr:uid="{00000000-0005-0000-0000-00004C2E0000}"/>
    <cellStyle name="40% - Accent2 6 2 3" xfId="10158" xr:uid="{00000000-0005-0000-0000-00004D2E0000}"/>
    <cellStyle name="40% - Accent2 6 2 3 2" xfId="21446" xr:uid="{00000000-0005-0000-0000-00004E2E0000}"/>
    <cellStyle name="40% - Accent2 6 2 4" xfId="8164" xr:uid="{00000000-0005-0000-0000-00004F2E0000}"/>
    <cellStyle name="40% - Accent2 6 2 4 2" xfId="19452" xr:uid="{00000000-0005-0000-0000-0000502E0000}"/>
    <cellStyle name="40% - Accent2 6 2 5" xfId="6170" xr:uid="{00000000-0005-0000-0000-0000512E0000}"/>
    <cellStyle name="40% - Accent2 6 2 5 2" xfId="17458" xr:uid="{00000000-0005-0000-0000-0000522E0000}"/>
    <cellStyle name="40% - Accent2 6 2 6" xfId="15464" xr:uid="{00000000-0005-0000-0000-0000532E0000}"/>
    <cellStyle name="40% - Accent2 6 2 7" xfId="24366" xr:uid="{00000000-0005-0000-0000-0000542E0000}"/>
    <cellStyle name="40% - Accent2 6 2 8" xfId="24830" xr:uid="{00000000-0005-0000-0000-0000552E0000}"/>
    <cellStyle name="40% - Accent2 6 2 9" xfId="25197" xr:uid="{00000000-0005-0000-0000-0000562E0000}"/>
    <cellStyle name="40% - Accent2 6 3" xfId="11155" xr:uid="{00000000-0005-0000-0000-0000572E0000}"/>
    <cellStyle name="40% - Accent2 6 3 2" xfId="22443" xr:uid="{00000000-0005-0000-0000-0000582E0000}"/>
    <cellStyle name="40% - Accent2 6 4" xfId="9161" xr:uid="{00000000-0005-0000-0000-0000592E0000}"/>
    <cellStyle name="40% - Accent2 6 4 2" xfId="20449" xr:uid="{00000000-0005-0000-0000-00005A2E0000}"/>
    <cellStyle name="40% - Accent2 6 5" xfId="7167" xr:uid="{00000000-0005-0000-0000-00005B2E0000}"/>
    <cellStyle name="40% - Accent2 6 5 2" xfId="18455" xr:uid="{00000000-0005-0000-0000-00005C2E0000}"/>
    <cellStyle name="40% - Accent2 6 6" xfId="5173" xr:uid="{00000000-0005-0000-0000-00005D2E0000}"/>
    <cellStyle name="40% - Accent2 6 6 2" xfId="16461" xr:uid="{00000000-0005-0000-0000-00005E2E0000}"/>
    <cellStyle name="40% - Accent2 6 7" xfId="14467" xr:uid="{00000000-0005-0000-0000-00005F2E0000}"/>
    <cellStyle name="40% - Accent2 6 8" xfId="13153" xr:uid="{00000000-0005-0000-0000-0000602E0000}"/>
    <cellStyle name="40% - Accent2 6 9" xfId="23978" xr:uid="{00000000-0005-0000-0000-0000612E0000}"/>
    <cellStyle name="40% - Accent2 60" xfId="1218" xr:uid="{00000000-0005-0000-0000-0000622E0000}"/>
    <cellStyle name="40% - Accent2 60 2" xfId="4174" xr:uid="{00000000-0005-0000-0000-0000632E0000}"/>
    <cellStyle name="40% - Accent2 60 2 2" xfId="12153" xr:uid="{00000000-0005-0000-0000-0000642E0000}"/>
    <cellStyle name="40% - Accent2 60 2 2 2" xfId="23441" xr:uid="{00000000-0005-0000-0000-0000652E0000}"/>
    <cellStyle name="40% - Accent2 60 2 3" xfId="10159" xr:uid="{00000000-0005-0000-0000-0000662E0000}"/>
    <cellStyle name="40% - Accent2 60 2 3 2" xfId="21447" xr:uid="{00000000-0005-0000-0000-0000672E0000}"/>
    <cellStyle name="40% - Accent2 60 2 4" xfId="8165" xr:uid="{00000000-0005-0000-0000-0000682E0000}"/>
    <cellStyle name="40% - Accent2 60 2 4 2" xfId="19453" xr:uid="{00000000-0005-0000-0000-0000692E0000}"/>
    <cellStyle name="40% - Accent2 60 2 5" xfId="6171" xr:uid="{00000000-0005-0000-0000-00006A2E0000}"/>
    <cellStyle name="40% - Accent2 60 2 5 2" xfId="17459" xr:uid="{00000000-0005-0000-0000-00006B2E0000}"/>
    <cellStyle name="40% - Accent2 60 2 6" xfId="15465" xr:uid="{00000000-0005-0000-0000-00006C2E0000}"/>
    <cellStyle name="40% - Accent2 60 3" xfId="11156" xr:uid="{00000000-0005-0000-0000-00006D2E0000}"/>
    <cellStyle name="40% - Accent2 60 3 2" xfId="22444" xr:uid="{00000000-0005-0000-0000-00006E2E0000}"/>
    <cellStyle name="40% - Accent2 60 4" xfId="9162" xr:uid="{00000000-0005-0000-0000-00006F2E0000}"/>
    <cellStyle name="40% - Accent2 60 4 2" xfId="20450" xr:uid="{00000000-0005-0000-0000-0000702E0000}"/>
    <cellStyle name="40% - Accent2 60 5" xfId="7168" xr:uid="{00000000-0005-0000-0000-0000712E0000}"/>
    <cellStyle name="40% - Accent2 60 5 2" xfId="18456" xr:uid="{00000000-0005-0000-0000-0000722E0000}"/>
    <cellStyle name="40% - Accent2 60 6" xfId="5174" xr:uid="{00000000-0005-0000-0000-0000732E0000}"/>
    <cellStyle name="40% - Accent2 60 6 2" xfId="16462" xr:uid="{00000000-0005-0000-0000-0000742E0000}"/>
    <cellStyle name="40% - Accent2 60 7" xfId="14468" xr:uid="{00000000-0005-0000-0000-0000752E0000}"/>
    <cellStyle name="40% - Accent2 60 8" xfId="13154" xr:uid="{00000000-0005-0000-0000-0000762E0000}"/>
    <cellStyle name="40% - Accent2 61" xfId="1219" xr:uid="{00000000-0005-0000-0000-0000772E0000}"/>
    <cellStyle name="40% - Accent2 61 2" xfId="4175" xr:uid="{00000000-0005-0000-0000-0000782E0000}"/>
    <cellStyle name="40% - Accent2 61 2 2" xfId="12154" xr:uid="{00000000-0005-0000-0000-0000792E0000}"/>
    <cellStyle name="40% - Accent2 61 2 2 2" xfId="23442" xr:uid="{00000000-0005-0000-0000-00007A2E0000}"/>
    <cellStyle name="40% - Accent2 61 2 3" xfId="10160" xr:uid="{00000000-0005-0000-0000-00007B2E0000}"/>
    <cellStyle name="40% - Accent2 61 2 3 2" xfId="21448" xr:uid="{00000000-0005-0000-0000-00007C2E0000}"/>
    <cellStyle name="40% - Accent2 61 2 4" xfId="8166" xr:uid="{00000000-0005-0000-0000-00007D2E0000}"/>
    <cellStyle name="40% - Accent2 61 2 4 2" xfId="19454" xr:uid="{00000000-0005-0000-0000-00007E2E0000}"/>
    <cellStyle name="40% - Accent2 61 2 5" xfId="6172" xr:uid="{00000000-0005-0000-0000-00007F2E0000}"/>
    <cellStyle name="40% - Accent2 61 2 5 2" xfId="17460" xr:uid="{00000000-0005-0000-0000-0000802E0000}"/>
    <cellStyle name="40% - Accent2 61 2 6" xfId="15466" xr:uid="{00000000-0005-0000-0000-0000812E0000}"/>
    <cellStyle name="40% - Accent2 61 3" xfId="11157" xr:uid="{00000000-0005-0000-0000-0000822E0000}"/>
    <cellStyle name="40% - Accent2 61 3 2" xfId="22445" xr:uid="{00000000-0005-0000-0000-0000832E0000}"/>
    <cellStyle name="40% - Accent2 61 4" xfId="9163" xr:uid="{00000000-0005-0000-0000-0000842E0000}"/>
    <cellStyle name="40% - Accent2 61 4 2" xfId="20451" xr:uid="{00000000-0005-0000-0000-0000852E0000}"/>
    <cellStyle name="40% - Accent2 61 5" xfId="7169" xr:uid="{00000000-0005-0000-0000-0000862E0000}"/>
    <cellStyle name="40% - Accent2 61 5 2" xfId="18457" xr:uid="{00000000-0005-0000-0000-0000872E0000}"/>
    <cellStyle name="40% - Accent2 61 6" xfId="5175" xr:uid="{00000000-0005-0000-0000-0000882E0000}"/>
    <cellStyle name="40% - Accent2 61 6 2" xfId="16463" xr:uid="{00000000-0005-0000-0000-0000892E0000}"/>
    <cellStyle name="40% - Accent2 61 7" xfId="14469" xr:uid="{00000000-0005-0000-0000-00008A2E0000}"/>
    <cellStyle name="40% - Accent2 61 8" xfId="13155" xr:uid="{00000000-0005-0000-0000-00008B2E0000}"/>
    <cellStyle name="40% - Accent2 62" xfId="1220" xr:uid="{00000000-0005-0000-0000-00008C2E0000}"/>
    <cellStyle name="40% - Accent2 62 2" xfId="4176" xr:uid="{00000000-0005-0000-0000-00008D2E0000}"/>
    <cellStyle name="40% - Accent2 62 2 2" xfId="12155" xr:uid="{00000000-0005-0000-0000-00008E2E0000}"/>
    <cellStyle name="40% - Accent2 62 2 2 2" xfId="23443" xr:uid="{00000000-0005-0000-0000-00008F2E0000}"/>
    <cellStyle name="40% - Accent2 62 2 3" xfId="10161" xr:uid="{00000000-0005-0000-0000-0000902E0000}"/>
    <cellStyle name="40% - Accent2 62 2 3 2" xfId="21449" xr:uid="{00000000-0005-0000-0000-0000912E0000}"/>
    <cellStyle name="40% - Accent2 62 2 4" xfId="8167" xr:uid="{00000000-0005-0000-0000-0000922E0000}"/>
    <cellStyle name="40% - Accent2 62 2 4 2" xfId="19455" xr:uid="{00000000-0005-0000-0000-0000932E0000}"/>
    <cellStyle name="40% - Accent2 62 2 5" xfId="6173" xr:uid="{00000000-0005-0000-0000-0000942E0000}"/>
    <cellStyle name="40% - Accent2 62 2 5 2" xfId="17461" xr:uid="{00000000-0005-0000-0000-0000952E0000}"/>
    <cellStyle name="40% - Accent2 62 2 6" xfId="15467" xr:uid="{00000000-0005-0000-0000-0000962E0000}"/>
    <cellStyle name="40% - Accent2 62 3" xfId="11158" xr:uid="{00000000-0005-0000-0000-0000972E0000}"/>
    <cellStyle name="40% - Accent2 62 3 2" xfId="22446" xr:uid="{00000000-0005-0000-0000-0000982E0000}"/>
    <cellStyle name="40% - Accent2 62 4" xfId="9164" xr:uid="{00000000-0005-0000-0000-0000992E0000}"/>
    <cellStyle name="40% - Accent2 62 4 2" xfId="20452" xr:uid="{00000000-0005-0000-0000-00009A2E0000}"/>
    <cellStyle name="40% - Accent2 62 5" xfId="7170" xr:uid="{00000000-0005-0000-0000-00009B2E0000}"/>
    <cellStyle name="40% - Accent2 62 5 2" xfId="18458" xr:uid="{00000000-0005-0000-0000-00009C2E0000}"/>
    <cellStyle name="40% - Accent2 62 6" xfId="5176" xr:uid="{00000000-0005-0000-0000-00009D2E0000}"/>
    <cellStyle name="40% - Accent2 62 6 2" xfId="16464" xr:uid="{00000000-0005-0000-0000-00009E2E0000}"/>
    <cellStyle name="40% - Accent2 62 7" xfId="14470" xr:uid="{00000000-0005-0000-0000-00009F2E0000}"/>
    <cellStyle name="40% - Accent2 62 8" xfId="13156" xr:uid="{00000000-0005-0000-0000-0000A02E0000}"/>
    <cellStyle name="40% - Accent2 63" xfId="1221" xr:uid="{00000000-0005-0000-0000-0000A12E0000}"/>
    <cellStyle name="40% - Accent2 63 2" xfId="4177" xr:uid="{00000000-0005-0000-0000-0000A22E0000}"/>
    <cellStyle name="40% - Accent2 63 2 2" xfId="12156" xr:uid="{00000000-0005-0000-0000-0000A32E0000}"/>
    <cellStyle name="40% - Accent2 63 2 2 2" xfId="23444" xr:uid="{00000000-0005-0000-0000-0000A42E0000}"/>
    <cellStyle name="40% - Accent2 63 2 3" xfId="10162" xr:uid="{00000000-0005-0000-0000-0000A52E0000}"/>
    <cellStyle name="40% - Accent2 63 2 3 2" xfId="21450" xr:uid="{00000000-0005-0000-0000-0000A62E0000}"/>
    <cellStyle name="40% - Accent2 63 2 4" xfId="8168" xr:uid="{00000000-0005-0000-0000-0000A72E0000}"/>
    <cellStyle name="40% - Accent2 63 2 4 2" xfId="19456" xr:uid="{00000000-0005-0000-0000-0000A82E0000}"/>
    <cellStyle name="40% - Accent2 63 2 5" xfId="6174" xr:uid="{00000000-0005-0000-0000-0000A92E0000}"/>
    <cellStyle name="40% - Accent2 63 2 5 2" xfId="17462" xr:uid="{00000000-0005-0000-0000-0000AA2E0000}"/>
    <cellStyle name="40% - Accent2 63 2 6" xfId="15468" xr:uid="{00000000-0005-0000-0000-0000AB2E0000}"/>
    <cellStyle name="40% - Accent2 63 3" xfId="11159" xr:uid="{00000000-0005-0000-0000-0000AC2E0000}"/>
    <cellStyle name="40% - Accent2 63 3 2" xfId="22447" xr:uid="{00000000-0005-0000-0000-0000AD2E0000}"/>
    <cellStyle name="40% - Accent2 63 4" xfId="9165" xr:uid="{00000000-0005-0000-0000-0000AE2E0000}"/>
    <cellStyle name="40% - Accent2 63 4 2" xfId="20453" xr:uid="{00000000-0005-0000-0000-0000AF2E0000}"/>
    <cellStyle name="40% - Accent2 63 5" xfId="7171" xr:uid="{00000000-0005-0000-0000-0000B02E0000}"/>
    <cellStyle name="40% - Accent2 63 5 2" xfId="18459" xr:uid="{00000000-0005-0000-0000-0000B12E0000}"/>
    <cellStyle name="40% - Accent2 63 6" xfId="5177" xr:uid="{00000000-0005-0000-0000-0000B22E0000}"/>
    <cellStyle name="40% - Accent2 63 6 2" xfId="16465" xr:uid="{00000000-0005-0000-0000-0000B32E0000}"/>
    <cellStyle name="40% - Accent2 63 7" xfId="14471" xr:uid="{00000000-0005-0000-0000-0000B42E0000}"/>
    <cellStyle name="40% - Accent2 63 8" xfId="13157" xr:uid="{00000000-0005-0000-0000-0000B52E0000}"/>
    <cellStyle name="40% - Accent2 64" xfId="1222" xr:uid="{00000000-0005-0000-0000-0000B62E0000}"/>
    <cellStyle name="40% - Accent2 64 2" xfId="4178" xr:uid="{00000000-0005-0000-0000-0000B72E0000}"/>
    <cellStyle name="40% - Accent2 64 2 2" xfId="12157" xr:uid="{00000000-0005-0000-0000-0000B82E0000}"/>
    <cellStyle name="40% - Accent2 64 2 2 2" xfId="23445" xr:uid="{00000000-0005-0000-0000-0000B92E0000}"/>
    <cellStyle name="40% - Accent2 64 2 3" xfId="10163" xr:uid="{00000000-0005-0000-0000-0000BA2E0000}"/>
    <cellStyle name="40% - Accent2 64 2 3 2" xfId="21451" xr:uid="{00000000-0005-0000-0000-0000BB2E0000}"/>
    <cellStyle name="40% - Accent2 64 2 4" xfId="8169" xr:uid="{00000000-0005-0000-0000-0000BC2E0000}"/>
    <cellStyle name="40% - Accent2 64 2 4 2" xfId="19457" xr:uid="{00000000-0005-0000-0000-0000BD2E0000}"/>
    <cellStyle name="40% - Accent2 64 2 5" xfId="6175" xr:uid="{00000000-0005-0000-0000-0000BE2E0000}"/>
    <cellStyle name="40% - Accent2 64 2 5 2" xfId="17463" xr:uid="{00000000-0005-0000-0000-0000BF2E0000}"/>
    <cellStyle name="40% - Accent2 64 2 6" xfId="15469" xr:uid="{00000000-0005-0000-0000-0000C02E0000}"/>
    <cellStyle name="40% - Accent2 64 3" xfId="11160" xr:uid="{00000000-0005-0000-0000-0000C12E0000}"/>
    <cellStyle name="40% - Accent2 64 3 2" xfId="22448" xr:uid="{00000000-0005-0000-0000-0000C22E0000}"/>
    <cellStyle name="40% - Accent2 64 4" xfId="9166" xr:uid="{00000000-0005-0000-0000-0000C32E0000}"/>
    <cellStyle name="40% - Accent2 64 4 2" xfId="20454" xr:uid="{00000000-0005-0000-0000-0000C42E0000}"/>
    <cellStyle name="40% - Accent2 64 5" xfId="7172" xr:uid="{00000000-0005-0000-0000-0000C52E0000}"/>
    <cellStyle name="40% - Accent2 64 5 2" xfId="18460" xr:uid="{00000000-0005-0000-0000-0000C62E0000}"/>
    <cellStyle name="40% - Accent2 64 6" xfId="5178" xr:uid="{00000000-0005-0000-0000-0000C72E0000}"/>
    <cellStyle name="40% - Accent2 64 6 2" xfId="16466" xr:uid="{00000000-0005-0000-0000-0000C82E0000}"/>
    <cellStyle name="40% - Accent2 64 7" xfId="14472" xr:uid="{00000000-0005-0000-0000-0000C92E0000}"/>
    <cellStyle name="40% - Accent2 64 8" xfId="13158" xr:uid="{00000000-0005-0000-0000-0000CA2E0000}"/>
    <cellStyle name="40% - Accent2 65" xfId="1223" xr:uid="{00000000-0005-0000-0000-0000CB2E0000}"/>
    <cellStyle name="40% - Accent2 65 2" xfId="4179" xr:uid="{00000000-0005-0000-0000-0000CC2E0000}"/>
    <cellStyle name="40% - Accent2 65 2 2" xfId="12158" xr:uid="{00000000-0005-0000-0000-0000CD2E0000}"/>
    <cellStyle name="40% - Accent2 65 2 2 2" xfId="23446" xr:uid="{00000000-0005-0000-0000-0000CE2E0000}"/>
    <cellStyle name="40% - Accent2 65 2 3" xfId="10164" xr:uid="{00000000-0005-0000-0000-0000CF2E0000}"/>
    <cellStyle name="40% - Accent2 65 2 3 2" xfId="21452" xr:uid="{00000000-0005-0000-0000-0000D02E0000}"/>
    <cellStyle name="40% - Accent2 65 2 4" xfId="8170" xr:uid="{00000000-0005-0000-0000-0000D12E0000}"/>
    <cellStyle name="40% - Accent2 65 2 4 2" xfId="19458" xr:uid="{00000000-0005-0000-0000-0000D22E0000}"/>
    <cellStyle name="40% - Accent2 65 2 5" xfId="6176" xr:uid="{00000000-0005-0000-0000-0000D32E0000}"/>
    <cellStyle name="40% - Accent2 65 2 5 2" xfId="17464" xr:uid="{00000000-0005-0000-0000-0000D42E0000}"/>
    <cellStyle name="40% - Accent2 65 2 6" xfId="15470" xr:uid="{00000000-0005-0000-0000-0000D52E0000}"/>
    <cellStyle name="40% - Accent2 65 3" xfId="11161" xr:uid="{00000000-0005-0000-0000-0000D62E0000}"/>
    <cellStyle name="40% - Accent2 65 3 2" xfId="22449" xr:uid="{00000000-0005-0000-0000-0000D72E0000}"/>
    <cellStyle name="40% - Accent2 65 4" xfId="9167" xr:uid="{00000000-0005-0000-0000-0000D82E0000}"/>
    <cellStyle name="40% - Accent2 65 4 2" xfId="20455" xr:uid="{00000000-0005-0000-0000-0000D92E0000}"/>
    <cellStyle name="40% - Accent2 65 5" xfId="7173" xr:uid="{00000000-0005-0000-0000-0000DA2E0000}"/>
    <cellStyle name="40% - Accent2 65 5 2" xfId="18461" xr:uid="{00000000-0005-0000-0000-0000DB2E0000}"/>
    <cellStyle name="40% - Accent2 65 6" xfId="5179" xr:uid="{00000000-0005-0000-0000-0000DC2E0000}"/>
    <cellStyle name="40% - Accent2 65 6 2" xfId="16467" xr:uid="{00000000-0005-0000-0000-0000DD2E0000}"/>
    <cellStyle name="40% - Accent2 65 7" xfId="14473" xr:uid="{00000000-0005-0000-0000-0000DE2E0000}"/>
    <cellStyle name="40% - Accent2 65 8" xfId="13159" xr:uid="{00000000-0005-0000-0000-0000DF2E0000}"/>
    <cellStyle name="40% - Accent2 66" xfId="1224" xr:uid="{00000000-0005-0000-0000-0000E02E0000}"/>
    <cellStyle name="40% - Accent2 66 2" xfId="4180" xr:uid="{00000000-0005-0000-0000-0000E12E0000}"/>
    <cellStyle name="40% - Accent2 66 2 2" xfId="12159" xr:uid="{00000000-0005-0000-0000-0000E22E0000}"/>
    <cellStyle name="40% - Accent2 66 2 2 2" xfId="23447" xr:uid="{00000000-0005-0000-0000-0000E32E0000}"/>
    <cellStyle name="40% - Accent2 66 2 3" xfId="10165" xr:uid="{00000000-0005-0000-0000-0000E42E0000}"/>
    <cellStyle name="40% - Accent2 66 2 3 2" xfId="21453" xr:uid="{00000000-0005-0000-0000-0000E52E0000}"/>
    <cellStyle name="40% - Accent2 66 2 4" xfId="8171" xr:uid="{00000000-0005-0000-0000-0000E62E0000}"/>
    <cellStyle name="40% - Accent2 66 2 4 2" xfId="19459" xr:uid="{00000000-0005-0000-0000-0000E72E0000}"/>
    <cellStyle name="40% - Accent2 66 2 5" xfId="6177" xr:uid="{00000000-0005-0000-0000-0000E82E0000}"/>
    <cellStyle name="40% - Accent2 66 2 5 2" xfId="17465" xr:uid="{00000000-0005-0000-0000-0000E92E0000}"/>
    <cellStyle name="40% - Accent2 66 2 6" xfId="15471" xr:uid="{00000000-0005-0000-0000-0000EA2E0000}"/>
    <cellStyle name="40% - Accent2 66 3" xfId="11162" xr:uid="{00000000-0005-0000-0000-0000EB2E0000}"/>
    <cellStyle name="40% - Accent2 66 3 2" xfId="22450" xr:uid="{00000000-0005-0000-0000-0000EC2E0000}"/>
    <cellStyle name="40% - Accent2 66 4" xfId="9168" xr:uid="{00000000-0005-0000-0000-0000ED2E0000}"/>
    <cellStyle name="40% - Accent2 66 4 2" xfId="20456" xr:uid="{00000000-0005-0000-0000-0000EE2E0000}"/>
    <cellStyle name="40% - Accent2 66 5" xfId="7174" xr:uid="{00000000-0005-0000-0000-0000EF2E0000}"/>
    <cellStyle name="40% - Accent2 66 5 2" xfId="18462" xr:uid="{00000000-0005-0000-0000-0000F02E0000}"/>
    <cellStyle name="40% - Accent2 66 6" xfId="5180" xr:uid="{00000000-0005-0000-0000-0000F12E0000}"/>
    <cellStyle name="40% - Accent2 66 6 2" xfId="16468" xr:uid="{00000000-0005-0000-0000-0000F22E0000}"/>
    <cellStyle name="40% - Accent2 66 7" xfId="14474" xr:uid="{00000000-0005-0000-0000-0000F32E0000}"/>
    <cellStyle name="40% - Accent2 66 8" xfId="13160" xr:uid="{00000000-0005-0000-0000-0000F42E0000}"/>
    <cellStyle name="40% - Accent2 67" xfId="1225" xr:uid="{00000000-0005-0000-0000-0000F52E0000}"/>
    <cellStyle name="40% - Accent2 67 2" xfId="4181" xr:uid="{00000000-0005-0000-0000-0000F62E0000}"/>
    <cellStyle name="40% - Accent2 67 2 2" xfId="12160" xr:uid="{00000000-0005-0000-0000-0000F72E0000}"/>
    <cellStyle name="40% - Accent2 67 2 2 2" xfId="23448" xr:uid="{00000000-0005-0000-0000-0000F82E0000}"/>
    <cellStyle name="40% - Accent2 67 2 3" xfId="10166" xr:uid="{00000000-0005-0000-0000-0000F92E0000}"/>
    <cellStyle name="40% - Accent2 67 2 3 2" xfId="21454" xr:uid="{00000000-0005-0000-0000-0000FA2E0000}"/>
    <cellStyle name="40% - Accent2 67 2 4" xfId="8172" xr:uid="{00000000-0005-0000-0000-0000FB2E0000}"/>
    <cellStyle name="40% - Accent2 67 2 4 2" xfId="19460" xr:uid="{00000000-0005-0000-0000-0000FC2E0000}"/>
    <cellStyle name="40% - Accent2 67 2 5" xfId="6178" xr:uid="{00000000-0005-0000-0000-0000FD2E0000}"/>
    <cellStyle name="40% - Accent2 67 2 5 2" xfId="17466" xr:uid="{00000000-0005-0000-0000-0000FE2E0000}"/>
    <cellStyle name="40% - Accent2 67 2 6" xfId="15472" xr:uid="{00000000-0005-0000-0000-0000FF2E0000}"/>
    <cellStyle name="40% - Accent2 67 3" xfId="11163" xr:uid="{00000000-0005-0000-0000-0000002F0000}"/>
    <cellStyle name="40% - Accent2 67 3 2" xfId="22451" xr:uid="{00000000-0005-0000-0000-0000012F0000}"/>
    <cellStyle name="40% - Accent2 67 4" xfId="9169" xr:uid="{00000000-0005-0000-0000-0000022F0000}"/>
    <cellStyle name="40% - Accent2 67 4 2" xfId="20457" xr:uid="{00000000-0005-0000-0000-0000032F0000}"/>
    <cellStyle name="40% - Accent2 67 5" xfId="7175" xr:uid="{00000000-0005-0000-0000-0000042F0000}"/>
    <cellStyle name="40% - Accent2 67 5 2" xfId="18463" xr:uid="{00000000-0005-0000-0000-0000052F0000}"/>
    <cellStyle name="40% - Accent2 67 6" xfId="5181" xr:uid="{00000000-0005-0000-0000-0000062F0000}"/>
    <cellStyle name="40% - Accent2 67 6 2" xfId="16469" xr:uid="{00000000-0005-0000-0000-0000072F0000}"/>
    <cellStyle name="40% - Accent2 67 7" xfId="14475" xr:uid="{00000000-0005-0000-0000-0000082F0000}"/>
    <cellStyle name="40% - Accent2 67 8" xfId="13161" xr:uid="{00000000-0005-0000-0000-0000092F0000}"/>
    <cellStyle name="40% - Accent2 68" xfId="1226" xr:uid="{00000000-0005-0000-0000-00000A2F0000}"/>
    <cellStyle name="40% - Accent2 68 2" xfId="4182" xr:uid="{00000000-0005-0000-0000-00000B2F0000}"/>
    <cellStyle name="40% - Accent2 68 2 2" xfId="12161" xr:uid="{00000000-0005-0000-0000-00000C2F0000}"/>
    <cellStyle name="40% - Accent2 68 2 2 2" xfId="23449" xr:uid="{00000000-0005-0000-0000-00000D2F0000}"/>
    <cellStyle name="40% - Accent2 68 2 3" xfId="10167" xr:uid="{00000000-0005-0000-0000-00000E2F0000}"/>
    <cellStyle name="40% - Accent2 68 2 3 2" xfId="21455" xr:uid="{00000000-0005-0000-0000-00000F2F0000}"/>
    <cellStyle name="40% - Accent2 68 2 4" xfId="8173" xr:uid="{00000000-0005-0000-0000-0000102F0000}"/>
    <cellStyle name="40% - Accent2 68 2 4 2" xfId="19461" xr:uid="{00000000-0005-0000-0000-0000112F0000}"/>
    <cellStyle name="40% - Accent2 68 2 5" xfId="6179" xr:uid="{00000000-0005-0000-0000-0000122F0000}"/>
    <cellStyle name="40% - Accent2 68 2 5 2" xfId="17467" xr:uid="{00000000-0005-0000-0000-0000132F0000}"/>
    <cellStyle name="40% - Accent2 68 2 6" xfId="15473" xr:uid="{00000000-0005-0000-0000-0000142F0000}"/>
    <cellStyle name="40% - Accent2 68 3" xfId="11164" xr:uid="{00000000-0005-0000-0000-0000152F0000}"/>
    <cellStyle name="40% - Accent2 68 3 2" xfId="22452" xr:uid="{00000000-0005-0000-0000-0000162F0000}"/>
    <cellStyle name="40% - Accent2 68 4" xfId="9170" xr:uid="{00000000-0005-0000-0000-0000172F0000}"/>
    <cellStyle name="40% - Accent2 68 4 2" xfId="20458" xr:uid="{00000000-0005-0000-0000-0000182F0000}"/>
    <cellStyle name="40% - Accent2 68 5" xfId="7176" xr:uid="{00000000-0005-0000-0000-0000192F0000}"/>
    <cellStyle name="40% - Accent2 68 5 2" xfId="18464" xr:uid="{00000000-0005-0000-0000-00001A2F0000}"/>
    <cellStyle name="40% - Accent2 68 6" xfId="5182" xr:uid="{00000000-0005-0000-0000-00001B2F0000}"/>
    <cellStyle name="40% - Accent2 68 6 2" xfId="16470" xr:uid="{00000000-0005-0000-0000-00001C2F0000}"/>
    <cellStyle name="40% - Accent2 68 7" xfId="14476" xr:uid="{00000000-0005-0000-0000-00001D2F0000}"/>
    <cellStyle name="40% - Accent2 68 8" xfId="13162" xr:uid="{00000000-0005-0000-0000-00001E2F0000}"/>
    <cellStyle name="40% - Accent2 69" xfId="1227" xr:uid="{00000000-0005-0000-0000-00001F2F0000}"/>
    <cellStyle name="40% - Accent2 69 2" xfId="4183" xr:uid="{00000000-0005-0000-0000-0000202F0000}"/>
    <cellStyle name="40% - Accent2 69 2 2" xfId="12162" xr:uid="{00000000-0005-0000-0000-0000212F0000}"/>
    <cellStyle name="40% - Accent2 69 2 2 2" xfId="23450" xr:uid="{00000000-0005-0000-0000-0000222F0000}"/>
    <cellStyle name="40% - Accent2 69 2 3" xfId="10168" xr:uid="{00000000-0005-0000-0000-0000232F0000}"/>
    <cellStyle name="40% - Accent2 69 2 3 2" xfId="21456" xr:uid="{00000000-0005-0000-0000-0000242F0000}"/>
    <cellStyle name="40% - Accent2 69 2 4" xfId="8174" xr:uid="{00000000-0005-0000-0000-0000252F0000}"/>
    <cellStyle name="40% - Accent2 69 2 4 2" xfId="19462" xr:uid="{00000000-0005-0000-0000-0000262F0000}"/>
    <cellStyle name="40% - Accent2 69 2 5" xfId="6180" xr:uid="{00000000-0005-0000-0000-0000272F0000}"/>
    <cellStyle name="40% - Accent2 69 2 5 2" xfId="17468" xr:uid="{00000000-0005-0000-0000-0000282F0000}"/>
    <cellStyle name="40% - Accent2 69 2 6" xfId="15474" xr:uid="{00000000-0005-0000-0000-0000292F0000}"/>
    <cellStyle name="40% - Accent2 69 3" xfId="11165" xr:uid="{00000000-0005-0000-0000-00002A2F0000}"/>
    <cellStyle name="40% - Accent2 69 3 2" xfId="22453" xr:uid="{00000000-0005-0000-0000-00002B2F0000}"/>
    <cellStyle name="40% - Accent2 69 4" xfId="9171" xr:uid="{00000000-0005-0000-0000-00002C2F0000}"/>
    <cellStyle name="40% - Accent2 69 4 2" xfId="20459" xr:uid="{00000000-0005-0000-0000-00002D2F0000}"/>
    <cellStyle name="40% - Accent2 69 5" xfId="7177" xr:uid="{00000000-0005-0000-0000-00002E2F0000}"/>
    <cellStyle name="40% - Accent2 69 5 2" xfId="18465" xr:uid="{00000000-0005-0000-0000-00002F2F0000}"/>
    <cellStyle name="40% - Accent2 69 6" xfId="5183" xr:uid="{00000000-0005-0000-0000-0000302F0000}"/>
    <cellStyle name="40% - Accent2 69 6 2" xfId="16471" xr:uid="{00000000-0005-0000-0000-0000312F0000}"/>
    <cellStyle name="40% - Accent2 69 7" xfId="14477" xr:uid="{00000000-0005-0000-0000-0000322F0000}"/>
    <cellStyle name="40% - Accent2 69 8" xfId="13163" xr:uid="{00000000-0005-0000-0000-0000332F0000}"/>
    <cellStyle name="40% - Accent2 7" xfId="1228" xr:uid="{00000000-0005-0000-0000-0000342F0000}"/>
    <cellStyle name="40% - Accent2 7 10" xfId="24606" xr:uid="{00000000-0005-0000-0000-0000352F0000}"/>
    <cellStyle name="40% - Accent2 7 11" xfId="24996" xr:uid="{00000000-0005-0000-0000-0000362F0000}"/>
    <cellStyle name="40% - Accent2 7 2" xfId="4184" xr:uid="{00000000-0005-0000-0000-0000372F0000}"/>
    <cellStyle name="40% - Accent2 7 2 2" xfId="12163" xr:uid="{00000000-0005-0000-0000-0000382F0000}"/>
    <cellStyle name="40% - Accent2 7 2 2 2" xfId="23451" xr:uid="{00000000-0005-0000-0000-0000392F0000}"/>
    <cellStyle name="40% - Accent2 7 2 3" xfId="10169" xr:uid="{00000000-0005-0000-0000-00003A2F0000}"/>
    <cellStyle name="40% - Accent2 7 2 3 2" xfId="21457" xr:uid="{00000000-0005-0000-0000-00003B2F0000}"/>
    <cellStyle name="40% - Accent2 7 2 4" xfId="8175" xr:uid="{00000000-0005-0000-0000-00003C2F0000}"/>
    <cellStyle name="40% - Accent2 7 2 4 2" xfId="19463" xr:uid="{00000000-0005-0000-0000-00003D2F0000}"/>
    <cellStyle name="40% - Accent2 7 2 5" xfId="6181" xr:uid="{00000000-0005-0000-0000-00003E2F0000}"/>
    <cellStyle name="40% - Accent2 7 2 5 2" xfId="17469" xr:uid="{00000000-0005-0000-0000-00003F2F0000}"/>
    <cellStyle name="40% - Accent2 7 2 6" xfId="15475" xr:uid="{00000000-0005-0000-0000-0000402F0000}"/>
    <cellStyle name="40% - Accent2 7 2 7" xfId="24367" xr:uid="{00000000-0005-0000-0000-0000412F0000}"/>
    <cellStyle name="40% - Accent2 7 2 8" xfId="24831" xr:uid="{00000000-0005-0000-0000-0000422F0000}"/>
    <cellStyle name="40% - Accent2 7 2 9" xfId="25198" xr:uid="{00000000-0005-0000-0000-0000432F0000}"/>
    <cellStyle name="40% - Accent2 7 3" xfId="11166" xr:uid="{00000000-0005-0000-0000-0000442F0000}"/>
    <cellStyle name="40% - Accent2 7 3 2" xfId="22454" xr:uid="{00000000-0005-0000-0000-0000452F0000}"/>
    <cellStyle name="40% - Accent2 7 4" xfId="9172" xr:uid="{00000000-0005-0000-0000-0000462F0000}"/>
    <cellStyle name="40% - Accent2 7 4 2" xfId="20460" xr:uid="{00000000-0005-0000-0000-0000472F0000}"/>
    <cellStyle name="40% - Accent2 7 5" xfId="7178" xr:uid="{00000000-0005-0000-0000-0000482F0000}"/>
    <cellStyle name="40% - Accent2 7 5 2" xfId="18466" xr:uid="{00000000-0005-0000-0000-0000492F0000}"/>
    <cellStyle name="40% - Accent2 7 6" xfId="5184" xr:uid="{00000000-0005-0000-0000-00004A2F0000}"/>
    <cellStyle name="40% - Accent2 7 6 2" xfId="16472" xr:uid="{00000000-0005-0000-0000-00004B2F0000}"/>
    <cellStyle name="40% - Accent2 7 7" xfId="14478" xr:uid="{00000000-0005-0000-0000-00004C2F0000}"/>
    <cellStyle name="40% - Accent2 7 8" xfId="13164" xr:uid="{00000000-0005-0000-0000-00004D2F0000}"/>
    <cellStyle name="40% - Accent2 7 9" xfId="23979" xr:uid="{00000000-0005-0000-0000-00004E2F0000}"/>
    <cellStyle name="40% - Accent2 70" xfId="1229" xr:uid="{00000000-0005-0000-0000-00004F2F0000}"/>
    <cellStyle name="40% - Accent2 70 2" xfId="4185" xr:uid="{00000000-0005-0000-0000-0000502F0000}"/>
    <cellStyle name="40% - Accent2 70 2 2" xfId="12164" xr:uid="{00000000-0005-0000-0000-0000512F0000}"/>
    <cellStyle name="40% - Accent2 70 2 2 2" xfId="23452" xr:uid="{00000000-0005-0000-0000-0000522F0000}"/>
    <cellStyle name="40% - Accent2 70 2 3" xfId="10170" xr:uid="{00000000-0005-0000-0000-0000532F0000}"/>
    <cellStyle name="40% - Accent2 70 2 3 2" xfId="21458" xr:uid="{00000000-0005-0000-0000-0000542F0000}"/>
    <cellStyle name="40% - Accent2 70 2 4" xfId="8176" xr:uid="{00000000-0005-0000-0000-0000552F0000}"/>
    <cellStyle name="40% - Accent2 70 2 4 2" xfId="19464" xr:uid="{00000000-0005-0000-0000-0000562F0000}"/>
    <cellStyle name="40% - Accent2 70 2 5" xfId="6182" xr:uid="{00000000-0005-0000-0000-0000572F0000}"/>
    <cellStyle name="40% - Accent2 70 2 5 2" xfId="17470" xr:uid="{00000000-0005-0000-0000-0000582F0000}"/>
    <cellStyle name="40% - Accent2 70 2 6" xfId="15476" xr:uid="{00000000-0005-0000-0000-0000592F0000}"/>
    <cellStyle name="40% - Accent2 70 3" xfId="11167" xr:uid="{00000000-0005-0000-0000-00005A2F0000}"/>
    <cellStyle name="40% - Accent2 70 3 2" xfId="22455" xr:uid="{00000000-0005-0000-0000-00005B2F0000}"/>
    <cellStyle name="40% - Accent2 70 4" xfId="9173" xr:uid="{00000000-0005-0000-0000-00005C2F0000}"/>
    <cellStyle name="40% - Accent2 70 4 2" xfId="20461" xr:uid="{00000000-0005-0000-0000-00005D2F0000}"/>
    <cellStyle name="40% - Accent2 70 5" xfId="7179" xr:uid="{00000000-0005-0000-0000-00005E2F0000}"/>
    <cellStyle name="40% - Accent2 70 5 2" xfId="18467" xr:uid="{00000000-0005-0000-0000-00005F2F0000}"/>
    <cellStyle name="40% - Accent2 70 6" xfId="5185" xr:uid="{00000000-0005-0000-0000-0000602F0000}"/>
    <cellStyle name="40% - Accent2 70 6 2" xfId="16473" xr:uid="{00000000-0005-0000-0000-0000612F0000}"/>
    <cellStyle name="40% - Accent2 70 7" xfId="14479" xr:uid="{00000000-0005-0000-0000-0000622F0000}"/>
    <cellStyle name="40% - Accent2 70 8" xfId="13165" xr:uid="{00000000-0005-0000-0000-0000632F0000}"/>
    <cellStyle name="40% - Accent2 71" xfId="1230" xr:uid="{00000000-0005-0000-0000-0000642F0000}"/>
    <cellStyle name="40% - Accent2 71 2" xfId="4186" xr:uid="{00000000-0005-0000-0000-0000652F0000}"/>
    <cellStyle name="40% - Accent2 71 2 2" xfId="12165" xr:uid="{00000000-0005-0000-0000-0000662F0000}"/>
    <cellStyle name="40% - Accent2 71 2 2 2" xfId="23453" xr:uid="{00000000-0005-0000-0000-0000672F0000}"/>
    <cellStyle name="40% - Accent2 71 2 3" xfId="10171" xr:uid="{00000000-0005-0000-0000-0000682F0000}"/>
    <cellStyle name="40% - Accent2 71 2 3 2" xfId="21459" xr:uid="{00000000-0005-0000-0000-0000692F0000}"/>
    <cellStyle name="40% - Accent2 71 2 4" xfId="8177" xr:uid="{00000000-0005-0000-0000-00006A2F0000}"/>
    <cellStyle name="40% - Accent2 71 2 4 2" xfId="19465" xr:uid="{00000000-0005-0000-0000-00006B2F0000}"/>
    <cellStyle name="40% - Accent2 71 2 5" xfId="6183" xr:uid="{00000000-0005-0000-0000-00006C2F0000}"/>
    <cellStyle name="40% - Accent2 71 2 5 2" xfId="17471" xr:uid="{00000000-0005-0000-0000-00006D2F0000}"/>
    <cellStyle name="40% - Accent2 71 2 6" xfId="15477" xr:uid="{00000000-0005-0000-0000-00006E2F0000}"/>
    <cellStyle name="40% - Accent2 71 3" xfId="11168" xr:uid="{00000000-0005-0000-0000-00006F2F0000}"/>
    <cellStyle name="40% - Accent2 71 3 2" xfId="22456" xr:uid="{00000000-0005-0000-0000-0000702F0000}"/>
    <cellStyle name="40% - Accent2 71 4" xfId="9174" xr:uid="{00000000-0005-0000-0000-0000712F0000}"/>
    <cellStyle name="40% - Accent2 71 4 2" xfId="20462" xr:uid="{00000000-0005-0000-0000-0000722F0000}"/>
    <cellStyle name="40% - Accent2 71 5" xfId="7180" xr:uid="{00000000-0005-0000-0000-0000732F0000}"/>
    <cellStyle name="40% - Accent2 71 5 2" xfId="18468" xr:uid="{00000000-0005-0000-0000-0000742F0000}"/>
    <cellStyle name="40% - Accent2 71 6" xfId="5186" xr:uid="{00000000-0005-0000-0000-0000752F0000}"/>
    <cellStyle name="40% - Accent2 71 6 2" xfId="16474" xr:uid="{00000000-0005-0000-0000-0000762F0000}"/>
    <cellStyle name="40% - Accent2 71 7" xfId="14480" xr:uid="{00000000-0005-0000-0000-0000772F0000}"/>
    <cellStyle name="40% - Accent2 71 8" xfId="13166" xr:uid="{00000000-0005-0000-0000-0000782F0000}"/>
    <cellStyle name="40% - Accent2 72" xfId="1231" xr:uid="{00000000-0005-0000-0000-0000792F0000}"/>
    <cellStyle name="40% - Accent2 72 2" xfId="4187" xr:uid="{00000000-0005-0000-0000-00007A2F0000}"/>
    <cellStyle name="40% - Accent2 72 2 2" xfId="12166" xr:uid="{00000000-0005-0000-0000-00007B2F0000}"/>
    <cellStyle name="40% - Accent2 72 2 2 2" xfId="23454" xr:uid="{00000000-0005-0000-0000-00007C2F0000}"/>
    <cellStyle name="40% - Accent2 72 2 3" xfId="10172" xr:uid="{00000000-0005-0000-0000-00007D2F0000}"/>
    <cellStyle name="40% - Accent2 72 2 3 2" xfId="21460" xr:uid="{00000000-0005-0000-0000-00007E2F0000}"/>
    <cellStyle name="40% - Accent2 72 2 4" xfId="8178" xr:uid="{00000000-0005-0000-0000-00007F2F0000}"/>
    <cellStyle name="40% - Accent2 72 2 4 2" xfId="19466" xr:uid="{00000000-0005-0000-0000-0000802F0000}"/>
    <cellStyle name="40% - Accent2 72 2 5" xfId="6184" xr:uid="{00000000-0005-0000-0000-0000812F0000}"/>
    <cellStyle name="40% - Accent2 72 2 5 2" xfId="17472" xr:uid="{00000000-0005-0000-0000-0000822F0000}"/>
    <cellStyle name="40% - Accent2 72 2 6" xfId="15478" xr:uid="{00000000-0005-0000-0000-0000832F0000}"/>
    <cellStyle name="40% - Accent2 72 3" xfId="11169" xr:uid="{00000000-0005-0000-0000-0000842F0000}"/>
    <cellStyle name="40% - Accent2 72 3 2" xfId="22457" xr:uid="{00000000-0005-0000-0000-0000852F0000}"/>
    <cellStyle name="40% - Accent2 72 4" xfId="9175" xr:uid="{00000000-0005-0000-0000-0000862F0000}"/>
    <cellStyle name="40% - Accent2 72 4 2" xfId="20463" xr:uid="{00000000-0005-0000-0000-0000872F0000}"/>
    <cellStyle name="40% - Accent2 72 5" xfId="7181" xr:uid="{00000000-0005-0000-0000-0000882F0000}"/>
    <cellStyle name="40% - Accent2 72 5 2" xfId="18469" xr:uid="{00000000-0005-0000-0000-0000892F0000}"/>
    <cellStyle name="40% - Accent2 72 6" xfId="5187" xr:uid="{00000000-0005-0000-0000-00008A2F0000}"/>
    <cellStyle name="40% - Accent2 72 6 2" xfId="16475" xr:uid="{00000000-0005-0000-0000-00008B2F0000}"/>
    <cellStyle name="40% - Accent2 72 7" xfId="14481" xr:uid="{00000000-0005-0000-0000-00008C2F0000}"/>
    <cellStyle name="40% - Accent2 72 8" xfId="13167" xr:uid="{00000000-0005-0000-0000-00008D2F0000}"/>
    <cellStyle name="40% - Accent2 8" xfId="1232" xr:uid="{00000000-0005-0000-0000-00008E2F0000}"/>
    <cellStyle name="40% - Accent2 8 2" xfId="4188" xr:uid="{00000000-0005-0000-0000-00008F2F0000}"/>
    <cellStyle name="40% - Accent2 8 2 2" xfId="12167" xr:uid="{00000000-0005-0000-0000-0000902F0000}"/>
    <cellStyle name="40% - Accent2 8 2 2 2" xfId="23455" xr:uid="{00000000-0005-0000-0000-0000912F0000}"/>
    <cellStyle name="40% - Accent2 8 2 3" xfId="10173" xr:uid="{00000000-0005-0000-0000-0000922F0000}"/>
    <cellStyle name="40% - Accent2 8 2 3 2" xfId="21461" xr:uid="{00000000-0005-0000-0000-0000932F0000}"/>
    <cellStyle name="40% - Accent2 8 2 4" xfId="8179" xr:uid="{00000000-0005-0000-0000-0000942F0000}"/>
    <cellStyle name="40% - Accent2 8 2 4 2" xfId="19467" xr:uid="{00000000-0005-0000-0000-0000952F0000}"/>
    <cellStyle name="40% - Accent2 8 2 5" xfId="6185" xr:uid="{00000000-0005-0000-0000-0000962F0000}"/>
    <cellStyle name="40% - Accent2 8 2 5 2" xfId="17473" xr:uid="{00000000-0005-0000-0000-0000972F0000}"/>
    <cellStyle name="40% - Accent2 8 2 6" xfId="15479" xr:uid="{00000000-0005-0000-0000-0000982F0000}"/>
    <cellStyle name="40% - Accent2 8 3" xfId="11170" xr:uid="{00000000-0005-0000-0000-0000992F0000}"/>
    <cellStyle name="40% - Accent2 8 3 2" xfId="22458" xr:uid="{00000000-0005-0000-0000-00009A2F0000}"/>
    <cellStyle name="40% - Accent2 8 4" xfId="9176" xr:uid="{00000000-0005-0000-0000-00009B2F0000}"/>
    <cellStyle name="40% - Accent2 8 4 2" xfId="20464" xr:uid="{00000000-0005-0000-0000-00009C2F0000}"/>
    <cellStyle name="40% - Accent2 8 5" xfId="7182" xr:uid="{00000000-0005-0000-0000-00009D2F0000}"/>
    <cellStyle name="40% - Accent2 8 5 2" xfId="18470" xr:uid="{00000000-0005-0000-0000-00009E2F0000}"/>
    <cellStyle name="40% - Accent2 8 6" xfId="5188" xr:uid="{00000000-0005-0000-0000-00009F2F0000}"/>
    <cellStyle name="40% - Accent2 8 6 2" xfId="16476" xr:uid="{00000000-0005-0000-0000-0000A02F0000}"/>
    <cellStyle name="40% - Accent2 8 7" xfId="14482" xr:uid="{00000000-0005-0000-0000-0000A12F0000}"/>
    <cellStyle name="40% - Accent2 8 8" xfId="13168" xr:uid="{00000000-0005-0000-0000-0000A22F0000}"/>
    <cellStyle name="40% - Accent2 9" xfId="1233" xr:uid="{00000000-0005-0000-0000-0000A32F0000}"/>
    <cellStyle name="40% - Accent2 9 2" xfId="4189" xr:uid="{00000000-0005-0000-0000-0000A42F0000}"/>
    <cellStyle name="40% - Accent2 9 2 2" xfId="12168" xr:uid="{00000000-0005-0000-0000-0000A52F0000}"/>
    <cellStyle name="40% - Accent2 9 2 2 2" xfId="23456" xr:uid="{00000000-0005-0000-0000-0000A62F0000}"/>
    <cellStyle name="40% - Accent2 9 2 3" xfId="10174" xr:uid="{00000000-0005-0000-0000-0000A72F0000}"/>
    <cellStyle name="40% - Accent2 9 2 3 2" xfId="21462" xr:uid="{00000000-0005-0000-0000-0000A82F0000}"/>
    <cellStyle name="40% - Accent2 9 2 4" xfId="8180" xr:uid="{00000000-0005-0000-0000-0000A92F0000}"/>
    <cellStyle name="40% - Accent2 9 2 4 2" xfId="19468" xr:uid="{00000000-0005-0000-0000-0000AA2F0000}"/>
    <cellStyle name="40% - Accent2 9 2 5" xfId="6186" xr:uid="{00000000-0005-0000-0000-0000AB2F0000}"/>
    <cellStyle name="40% - Accent2 9 2 5 2" xfId="17474" xr:uid="{00000000-0005-0000-0000-0000AC2F0000}"/>
    <cellStyle name="40% - Accent2 9 2 6" xfId="15480" xr:uid="{00000000-0005-0000-0000-0000AD2F0000}"/>
    <cellStyle name="40% - Accent2 9 3" xfId="11171" xr:uid="{00000000-0005-0000-0000-0000AE2F0000}"/>
    <cellStyle name="40% - Accent2 9 3 2" xfId="22459" xr:uid="{00000000-0005-0000-0000-0000AF2F0000}"/>
    <cellStyle name="40% - Accent2 9 4" xfId="9177" xr:uid="{00000000-0005-0000-0000-0000B02F0000}"/>
    <cellStyle name="40% - Accent2 9 4 2" xfId="20465" xr:uid="{00000000-0005-0000-0000-0000B12F0000}"/>
    <cellStyle name="40% - Accent2 9 5" xfId="7183" xr:uid="{00000000-0005-0000-0000-0000B22F0000}"/>
    <cellStyle name="40% - Accent2 9 5 2" xfId="18471" xr:uid="{00000000-0005-0000-0000-0000B32F0000}"/>
    <cellStyle name="40% - Accent2 9 6" xfId="5189" xr:uid="{00000000-0005-0000-0000-0000B42F0000}"/>
    <cellStyle name="40% - Accent2 9 6 2" xfId="16477" xr:uid="{00000000-0005-0000-0000-0000B52F0000}"/>
    <cellStyle name="40% - Accent2 9 7" xfId="14483" xr:uid="{00000000-0005-0000-0000-0000B62F0000}"/>
    <cellStyle name="40% - Accent2 9 8" xfId="13169" xr:uid="{00000000-0005-0000-0000-0000B72F0000}"/>
    <cellStyle name="40% - Accent3 10" xfId="1234" xr:uid="{00000000-0005-0000-0000-0000B82F0000}"/>
    <cellStyle name="40% - Accent3 10 2" xfId="4190" xr:uid="{00000000-0005-0000-0000-0000B92F0000}"/>
    <cellStyle name="40% - Accent3 10 2 2" xfId="12169" xr:uid="{00000000-0005-0000-0000-0000BA2F0000}"/>
    <cellStyle name="40% - Accent3 10 2 2 2" xfId="23457" xr:uid="{00000000-0005-0000-0000-0000BB2F0000}"/>
    <cellStyle name="40% - Accent3 10 2 3" xfId="10175" xr:uid="{00000000-0005-0000-0000-0000BC2F0000}"/>
    <cellStyle name="40% - Accent3 10 2 3 2" xfId="21463" xr:uid="{00000000-0005-0000-0000-0000BD2F0000}"/>
    <cellStyle name="40% - Accent3 10 2 4" xfId="8181" xr:uid="{00000000-0005-0000-0000-0000BE2F0000}"/>
    <cellStyle name="40% - Accent3 10 2 4 2" xfId="19469" xr:uid="{00000000-0005-0000-0000-0000BF2F0000}"/>
    <cellStyle name="40% - Accent3 10 2 5" xfId="6187" xr:uid="{00000000-0005-0000-0000-0000C02F0000}"/>
    <cellStyle name="40% - Accent3 10 2 5 2" xfId="17475" xr:uid="{00000000-0005-0000-0000-0000C12F0000}"/>
    <cellStyle name="40% - Accent3 10 2 6" xfId="15481" xr:uid="{00000000-0005-0000-0000-0000C22F0000}"/>
    <cellStyle name="40% - Accent3 10 3" xfId="11172" xr:uid="{00000000-0005-0000-0000-0000C32F0000}"/>
    <cellStyle name="40% - Accent3 10 3 2" xfId="22460" xr:uid="{00000000-0005-0000-0000-0000C42F0000}"/>
    <cellStyle name="40% - Accent3 10 4" xfId="9178" xr:uid="{00000000-0005-0000-0000-0000C52F0000}"/>
    <cellStyle name="40% - Accent3 10 4 2" xfId="20466" xr:uid="{00000000-0005-0000-0000-0000C62F0000}"/>
    <cellStyle name="40% - Accent3 10 5" xfId="7184" xr:uid="{00000000-0005-0000-0000-0000C72F0000}"/>
    <cellStyle name="40% - Accent3 10 5 2" xfId="18472" xr:uid="{00000000-0005-0000-0000-0000C82F0000}"/>
    <cellStyle name="40% - Accent3 10 6" xfId="5190" xr:uid="{00000000-0005-0000-0000-0000C92F0000}"/>
    <cellStyle name="40% - Accent3 10 6 2" xfId="16478" xr:uid="{00000000-0005-0000-0000-0000CA2F0000}"/>
    <cellStyle name="40% - Accent3 10 7" xfId="14484" xr:uid="{00000000-0005-0000-0000-0000CB2F0000}"/>
    <cellStyle name="40% - Accent3 10 8" xfId="13170" xr:uid="{00000000-0005-0000-0000-0000CC2F0000}"/>
    <cellStyle name="40% - Accent3 11" xfId="1235" xr:uid="{00000000-0005-0000-0000-0000CD2F0000}"/>
    <cellStyle name="40% - Accent3 11 2" xfId="4191" xr:uid="{00000000-0005-0000-0000-0000CE2F0000}"/>
    <cellStyle name="40% - Accent3 11 2 2" xfId="12170" xr:uid="{00000000-0005-0000-0000-0000CF2F0000}"/>
    <cellStyle name="40% - Accent3 11 2 2 2" xfId="23458" xr:uid="{00000000-0005-0000-0000-0000D02F0000}"/>
    <cellStyle name="40% - Accent3 11 2 3" xfId="10176" xr:uid="{00000000-0005-0000-0000-0000D12F0000}"/>
    <cellStyle name="40% - Accent3 11 2 3 2" xfId="21464" xr:uid="{00000000-0005-0000-0000-0000D22F0000}"/>
    <cellStyle name="40% - Accent3 11 2 4" xfId="8182" xr:uid="{00000000-0005-0000-0000-0000D32F0000}"/>
    <cellStyle name="40% - Accent3 11 2 4 2" xfId="19470" xr:uid="{00000000-0005-0000-0000-0000D42F0000}"/>
    <cellStyle name="40% - Accent3 11 2 5" xfId="6188" xr:uid="{00000000-0005-0000-0000-0000D52F0000}"/>
    <cellStyle name="40% - Accent3 11 2 5 2" xfId="17476" xr:uid="{00000000-0005-0000-0000-0000D62F0000}"/>
    <cellStyle name="40% - Accent3 11 2 6" xfId="15482" xr:uid="{00000000-0005-0000-0000-0000D72F0000}"/>
    <cellStyle name="40% - Accent3 11 3" xfId="11173" xr:uid="{00000000-0005-0000-0000-0000D82F0000}"/>
    <cellStyle name="40% - Accent3 11 3 2" xfId="22461" xr:uid="{00000000-0005-0000-0000-0000D92F0000}"/>
    <cellStyle name="40% - Accent3 11 4" xfId="9179" xr:uid="{00000000-0005-0000-0000-0000DA2F0000}"/>
    <cellStyle name="40% - Accent3 11 4 2" xfId="20467" xr:uid="{00000000-0005-0000-0000-0000DB2F0000}"/>
    <cellStyle name="40% - Accent3 11 5" xfId="7185" xr:uid="{00000000-0005-0000-0000-0000DC2F0000}"/>
    <cellStyle name="40% - Accent3 11 5 2" xfId="18473" xr:uid="{00000000-0005-0000-0000-0000DD2F0000}"/>
    <cellStyle name="40% - Accent3 11 6" xfId="5191" xr:uid="{00000000-0005-0000-0000-0000DE2F0000}"/>
    <cellStyle name="40% - Accent3 11 6 2" xfId="16479" xr:uid="{00000000-0005-0000-0000-0000DF2F0000}"/>
    <cellStyle name="40% - Accent3 11 7" xfId="14485" xr:uid="{00000000-0005-0000-0000-0000E02F0000}"/>
    <cellStyle name="40% - Accent3 11 8" xfId="13171" xr:uid="{00000000-0005-0000-0000-0000E12F0000}"/>
    <cellStyle name="40% - Accent3 12" xfId="1236" xr:uid="{00000000-0005-0000-0000-0000E22F0000}"/>
    <cellStyle name="40% - Accent3 12 2" xfId="4192" xr:uid="{00000000-0005-0000-0000-0000E32F0000}"/>
    <cellStyle name="40% - Accent3 12 2 2" xfId="12171" xr:uid="{00000000-0005-0000-0000-0000E42F0000}"/>
    <cellStyle name="40% - Accent3 12 2 2 2" xfId="23459" xr:uid="{00000000-0005-0000-0000-0000E52F0000}"/>
    <cellStyle name="40% - Accent3 12 2 3" xfId="10177" xr:uid="{00000000-0005-0000-0000-0000E62F0000}"/>
    <cellStyle name="40% - Accent3 12 2 3 2" xfId="21465" xr:uid="{00000000-0005-0000-0000-0000E72F0000}"/>
    <cellStyle name="40% - Accent3 12 2 4" xfId="8183" xr:uid="{00000000-0005-0000-0000-0000E82F0000}"/>
    <cellStyle name="40% - Accent3 12 2 4 2" xfId="19471" xr:uid="{00000000-0005-0000-0000-0000E92F0000}"/>
    <cellStyle name="40% - Accent3 12 2 5" xfId="6189" xr:uid="{00000000-0005-0000-0000-0000EA2F0000}"/>
    <cellStyle name="40% - Accent3 12 2 5 2" xfId="17477" xr:uid="{00000000-0005-0000-0000-0000EB2F0000}"/>
    <cellStyle name="40% - Accent3 12 2 6" xfId="15483" xr:uid="{00000000-0005-0000-0000-0000EC2F0000}"/>
    <cellStyle name="40% - Accent3 12 3" xfId="11174" xr:uid="{00000000-0005-0000-0000-0000ED2F0000}"/>
    <cellStyle name="40% - Accent3 12 3 2" xfId="22462" xr:uid="{00000000-0005-0000-0000-0000EE2F0000}"/>
    <cellStyle name="40% - Accent3 12 4" xfId="9180" xr:uid="{00000000-0005-0000-0000-0000EF2F0000}"/>
    <cellStyle name="40% - Accent3 12 4 2" xfId="20468" xr:uid="{00000000-0005-0000-0000-0000F02F0000}"/>
    <cellStyle name="40% - Accent3 12 5" xfId="7186" xr:uid="{00000000-0005-0000-0000-0000F12F0000}"/>
    <cellStyle name="40% - Accent3 12 5 2" xfId="18474" xr:uid="{00000000-0005-0000-0000-0000F22F0000}"/>
    <cellStyle name="40% - Accent3 12 6" xfId="5192" xr:uid="{00000000-0005-0000-0000-0000F32F0000}"/>
    <cellStyle name="40% - Accent3 12 6 2" xfId="16480" xr:uid="{00000000-0005-0000-0000-0000F42F0000}"/>
    <cellStyle name="40% - Accent3 12 7" xfId="14486" xr:uid="{00000000-0005-0000-0000-0000F52F0000}"/>
    <cellStyle name="40% - Accent3 12 8" xfId="13172" xr:uid="{00000000-0005-0000-0000-0000F62F0000}"/>
    <cellStyle name="40% - Accent3 13" xfId="1237" xr:uid="{00000000-0005-0000-0000-0000F72F0000}"/>
    <cellStyle name="40% - Accent3 13 2" xfId="4193" xr:uid="{00000000-0005-0000-0000-0000F82F0000}"/>
    <cellStyle name="40% - Accent3 13 2 2" xfId="12172" xr:uid="{00000000-0005-0000-0000-0000F92F0000}"/>
    <cellStyle name="40% - Accent3 13 2 2 2" xfId="23460" xr:uid="{00000000-0005-0000-0000-0000FA2F0000}"/>
    <cellStyle name="40% - Accent3 13 2 3" xfId="10178" xr:uid="{00000000-0005-0000-0000-0000FB2F0000}"/>
    <cellStyle name="40% - Accent3 13 2 3 2" xfId="21466" xr:uid="{00000000-0005-0000-0000-0000FC2F0000}"/>
    <cellStyle name="40% - Accent3 13 2 4" xfId="8184" xr:uid="{00000000-0005-0000-0000-0000FD2F0000}"/>
    <cellStyle name="40% - Accent3 13 2 4 2" xfId="19472" xr:uid="{00000000-0005-0000-0000-0000FE2F0000}"/>
    <cellStyle name="40% - Accent3 13 2 5" xfId="6190" xr:uid="{00000000-0005-0000-0000-0000FF2F0000}"/>
    <cellStyle name="40% - Accent3 13 2 5 2" xfId="17478" xr:uid="{00000000-0005-0000-0000-000000300000}"/>
    <cellStyle name="40% - Accent3 13 2 6" xfId="15484" xr:uid="{00000000-0005-0000-0000-000001300000}"/>
    <cellStyle name="40% - Accent3 13 3" xfId="11175" xr:uid="{00000000-0005-0000-0000-000002300000}"/>
    <cellStyle name="40% - Accent3 13 3 2" xfId="22463" xr:uid="{00000000-0005-0000-0000-000003300000}"/>
    <cellStyle name="40% - Accent3 13 4" xfId="9181" xr:uid="{00000000-0005-0000-0000-000004300000}"/>
    <cellStyle name="40% - Accent3 13 4 2" xfId="20469" xr:uid="{00000000-0005-0000-0000-000005300000}"/>
    <cellStyle name="40% - Accent3 13 5" xfId="7187" xr:uid="{00000000-0005-0000-0000-000006300000}"/>
    <cellStyle name="40% - Accent3 13 5 2" xfId="18475" xr:uid="{00000000-0005-0000-0000-000007300000}"/>
    <cellStyle name="40% - Accent3 13 6" xfId="5193" xr:uid="{00000000-0005-0000-0000-000008300000}"/>
    <cellStyle name="40% - Accent3 13 6 2" xfId="16481" xr:uid="{00000000-0005-0000-0000-000009300000}"/>
    <cellStyle name="40% - Accent3 13 7" xfId="14487" xr:uid="{00000000-0005-0000-0000-00000A300000}"/>
    <cellStyle name="40% - Accent3 13 8" xfId="13173" xr:uid="{00000000-0005-0000-0000-00000B300000}"/>
    <cellStyle name="40% - Accent3 14" xfId="1238" xr:uid="{00000000-0005-0000-0000-00000C300000}"/>
    <cellStyle name="40% - Accent3 14 2" xfId="4194" xr:uid="{00000000-0005-0000-0000-00000D300000}"/>
    <cellStyle name="40% - Accent3 14 2 2" xfId="12173" xr:uid="{00000000-0005-0000-0000-00000E300000}"/>
    <cellStyle name="40% - Accent3 14 2 2 2" xfId="23461" xr:uid="{00000000-0005-0000-0000-00000F300000}"/>
    <cellStyle name="40% - Accent3 14 2 3" xfId="10179" xr:uid="{00000000-0005-0000-0000-000010300000}"/>
    <cellStyle name="40% - Accent3 14 2 3 2" xfId="21467" xr:uid="{00000000-0005-0000-0000-000011300000}"/>
    <cellStyle name="40% - Accent3 14 2 4" xfId="8185" xr:uid="{00000000-0005-0000-0000-000012300000}"/>
    <cellStyle name="40% - Accent3 14 2 4 2" xfId="19473" xr:uid="{00000000-0005-0000-0000-000013300000}"/>
    <cellStyle name="40% - Accent3 14 2 5" xfId="6191" xr:uid="{00000000-0005-0000-0000-000014300000}"/>
    <cellStyle name="40% - Accent3 14 2 5 2" xfId="17479" xr:uid="{00000000-0005-0000-0000-000015300000}"/>
    <cellStyle name="40% - Accent3 14 2 6" xfId="15485" xr:uid="{00000000-0005-0000-0000-000016300000}"/>
    <cellStyle name="40% - Accent3 14 3" xfId="11176" xr:uid="{00000000-0005-0000-0000-000017300000}"/>
    <cellStyle name="40% - Accent3 14 3 2" xfId="22464" xr:uid="{00000000-0005-0000-0000-000018300000}"/>
    <cellStyle name="40% - Accent3 14 4" xfId="9182" xr:uid="{00000000-0005-0000-0000-000019300000}"/>
    <cellStyle name="40% - Accent3 14 4 2" xfId="20470" xr:uid="{00000000-0005-0000-0000-00001A300000}"/>
    <cellStyle name="40% - Accent3 14 5" xfId="7188" xr:uid="{00000000-0005-0000-0000-00001B300000}"/>
    <cellStyle name="40% - Accent3 14 5 2" xfId="18476" xr:uid="{00000000-0005-0000-0000-00001C300000}"/>
    <cellStyle name="40% - Accent3 14 6" xfId="5194" xr:uid="{00000000-0005-0000-0000-00001D300000}"/>
    <cellStyle name="40% - Accent3 14 6 2" xfId="16482" xr:uid="{00000000-0005-0000-0000-00001E300000}"/>
    <cellStyle name="40% - Accent3 14 7" xfId="14488" xr:uid="{00000000-0005-0000-0000-00001F300000}"/>
    <cellStyle name="40% - Accent3 14 8" xfId="13174" xr:uid="{00000000-0005-0000-0000-000020300000}"/>
    <cellStyle name="40% - Accent3 15" xfId="1239" xr:uid="{00000000-0005-0000-0000-000021300000}"/>
    <cellStyle name="40% - Accent3 15 2" xfId="4195" xr:uid="{00000000-0005-0000-0000-000022300000}"/>
    <cellStyle name="40% - Accent3 15 2 2" xfId="12174" xr:uid="{00000000-0005-0000-0000-000023300000}"/>
    <cellStyle name="40% - Accent3 15 2 2 2" xfId="23462" xr:uid="{00000000-0005-0000-0000-000024300000}"/>
    <cellStyle name="40% - Accent3 15 2 3" xfId="10180" xr:uid="{00000000-0005-0000-0000-000025300000}"/>
    <cellStyle name="40% - Accent3 15 2 3 2" xfId="21468" xr:uid="{00000000-0005-0000-0000-000026300000}"/>
    <cellStyle name="40% - Accent3 15 2 4" xfId="8186" xr:uid="{00000000-0005-0000-0000-000027300000}"/>
    <cellStyle name="40% - Accent3 15 2 4 2" xfId="19474" xr:uid="{00000000-0005-0000-0000-000028300000}"/>
    <cellStyle name="40% - Accent3 15 2 5" xfId="6192" xr:uid="{00000000-0005-0000-0000-000029300000}"/>
    <cellStyle name="40% - Accent3 15 2 5 2" xfId="17480" xr:uid="{00000000-0005-0000-0000-00002A300000}"/>
    <cellStyle name="40% - Accent3 15 2 6" xfId="15486" xr:uid="{00000000-0005-0000-0000-00002B300000}"/>
    <cellStyle name="40% - Accent3 15 3" xfId="11177" xr:uid="{00000000-0005-0000-0000-00002C300000}"/>
    <cellStyle name="40% - Accent3 15 3 2" xfId="22465" xr:uid="{00000000-0005-0000-0000-00002D300000}"/>
    <cellStyle name="40% - Accent3 15 4" xfId="9183" xr:uid="{00000000-0005-0000-0000-00002E300000}"/>
    <cellStyle name="40% - Accent3 15 4 2" xfId="20471" xr:uid="{00000000-0005-0000-0000-00002F300000}"/>
    <cellStyle name="40% - Accent3 15 5" xfId="7189" xr:uid="{00000000-0005-0000-0000-000030300000}"/>
    <cellStyle name="40% - Accent3 15 5 2" xfId="18477" xr:uid="{00000000-0005-0000-0000-000031300000}"/>
    <cellStyle name="40% - Accent3 15 6" xfId="5195" xr:uid="{00000000-0005-0000-0000-000032300000}"/>
    <cellStyle name="40% - Accent3 15 6 2" xfId="16483" xr:uid="{00000000-0005-0000-0000-000033300000}"/>
    <cellStyle name="40% - Accent3 15 7" xfId="14489" xr:uid="{00000000-0005-0000-0000-000034300000}"/>
    <cellStyle name="40% - Accent3 15 8" xfId="13175" xr:uid="{00000000-0005-0000-0000-000035300000}"/>
    <cellStyle name="40% - Accent3 16" xfId="1240" xr:uid="{00000000-0005-0000-0000-000036300000}"/>
    <cellStyle name="40% - Accent3 16 2" xfId="4196" xr:uid="{00000000-0005-0000-0000-000037300000}"/>
    <cellStyle name="40% - Accent3 16 2 2" xfId="12175" xr:uid="{00000000-0005-0000-0000-000038300000}"/>
    <cellStyle name="40% - Accent3 16 2 2 2" xfId="23463" xr:uid="{00000000-0005-0000-0000-000039300000}"/>
    <cellStyle name="40% - Accent3 16 2 3" xfId="10181" xr:uid="{00000000-0005-0000-0000-00003A300000}"/>
    <cellStyle name="40% - Accent3 16 2 3 2" xfId="21469" xr:uid="{00000000-0005-0000-0000-00003B300000}"/>
    <cellStyle name="40% - Accent3 16 2 4" xfId="8187" xr:uid="{00000000-0005-0000-0000-00003C300000}"/>
    <cellStyle name="40% - Accent3 16 2 4 2" xfId="19475" xr:uid="{00000000-0005-0000-0000-00003D300000}"/>
    <cellStyle name="40% - Accent3 16 2 5" xfId="6193" xr:uid="{00000000-0005-0000-0000-00003E300000}"/>
    <cellStyle name="40% - Accent3 16 2 5 2" xfId="17481" xr:uid="{00000000-0005-0000-0000-00003F300000}"/>
    <cellStyle name="40% - Accent3 16 2 6" xfId="15487" xr:uid="{00000000-0005-0000-0000-000040300000}"/>
    <cellStyle name="40% - Accent3 16 3" xfId="11178" xr:uid="{00000000-0005-0000-0000-000041300000}"/>
    <cellStyle name="40% - Accent3 16 3 2" xfId="22466" xr:uid="{00000000-0005-0000-0000-000042300000}"/>
    <cellStyle name="40% - Accent3 16 4" xfId="9184" xr:uid="{00000000-0005-0000-0000-000043300000}"/>
    <cellStyle name="40% - Accent3 16 4 2" xfId="20472" xr:uid="{00000000-0005-0000-0000-000044300000}"/>
    <cellStyle name="40% - Accent3 16 5" xfId="7190" xr:uid="{00000000-0005-0000-0000-000045300000}"/>
    <cellStyle name="40% - Accent3 16 5 2" xfId="18478" xr:uid="{00000000-0005-0000-0000-000046300000}"/>
    <cellStyle name="40% - Accent3 16 6" xfId="5196" xr:uid="{00000000-0005-0000-0000-000047300000}"/>
    <cellStyle name="40% - Accent3 16 6 2" xfId="16484" xr:uid="{00000000-0005-0000-0000-000048300000}"/>
    <cellStyle name="40% - Accent3 16 7" xfId="14490" xr:uid="{00000000-0005-0000-0000-000049300000}"/>
    <cellStyle name="40% - Accent3 16 8" xfId="13176" xr:uid="{00000000-0005-0000-0000-00004A300000}"/>
    <cellStyle name="40% - Accent3 17" xfId="1241" xr:uid="{00000000-0005-0000-0000-00004B300000}"/>
    <cellStyle name="40% - Accent3 17 2" xfId="4197" xr:uid="{00000000-0005-0000-0000-00004C300000}"/>
    <cellStyle name="40% - Accent3 17 2 2" xfId="12176" xr:uid="{00000000-0005-0000-0000-00004D300000}"/>
    <cellStyle name="40% - Accent3 17 2 2 2" xfId="23464" xr:uid="{00000000-0005-0000-0000-00004E300000}"/>
    <cellStyle name="40% - Accent3 17 2 3" xfId="10182" xr:uid="{00000000-0005-0000-0000-00004F300000}"/>
    <cellStyle name="40% - Accent3 17 2 3 2" xfId="21470" xr:uid="{00000000-0005-0000-0000-000050300000}"/>
    <cellStyle name="40% - Accent3 17 2 4" xfId="8188" xr:uid="{00000000-0005-0000-0000-000051300000}"/>
    <cellStyle name="40% - Accent3 17 2 4 2" xfId="19476" xr:uid="{00000000-0005-0000-0000-000052300000}"/>
    <cellStyle name="40% - Accent3 17 2 5" xfId="6194" xr:uid="{00000000-0005-0000-0000-000053300000}"/>
    <cellStyle name="40% - Accent3 17 2 5 2" xfId="17482" xr:uid="{00000000-0005-0000-0000-000054300000}"/>
    <cellStyle name="40% - Accent3 17 2 6" xfId="15488" xr:uid="{00000000-0005-0000-0000-000055300000}"/>
    <cellStyle name="40% - Accent3 17 3" xfId="11179" xr:uid="{00000000-0005-0000-0000-000056300000}"/>
    <cellStyle name="40% - Accent3 17 3 2" xfId="22467" xr:uid="{00000000-0005-0000-0000-000057300000}"/>
    <cellStyle name="40% - Accent3 17 4" xfId="9185" xr:uid="{00000000-0005-0000-0000-000058300000}"/>
    <cellStyle name="40% - Accent3 17 4 2" xfId="20473" xr:uid="{00000000-0005-0000-0000-000059300000}"/>
    <cellStyle name="40% - Accent3 17 5" xfId="7191" xr:uid="{00000000-0005-0000-0000-00005A300000}"/>
    <cellStyle name="40% - Accent3 17 5 2" xfId="18479" xr:uid="{00000000-0005-0000-0000-00005B300000}"/>
    <cellStyle name="40% - Accent3 17 6" xfId="5197" xr:uid="{00000000-0005-0000-0000-00005C300000}"/>
    <cellStyle name="40% - Accent3 17 6 2" xfId="16485" xr:uid="{00000000-0005-0000-0000-00005D300000}"/>
    <cellStyle name="40% - Accent3 17 7" xfId="14491" xr:uid="{00000000-0005-0000-0000-00005E300000}"/>
    <cellStyle name="40% - Accent3 17 8" xfId="13177" xr:uid="{00000000-0005-0000-0000-00005F300000}"/>
    <cellStyle name="40% - Accent3 18" xfId="1242" xr:uid="{00000000-0005-0000-0000-000060300000}"/>
    <cellStyle name="40% - Accent3 18 2" xfId="4198" xr:uid="{00000000-0005-0000-0000-000061300000}"/>
    <cellStyle name="40% - Accent3 18 2 2" xfId="12177" xr:uid="{00000000-0005-0000-0000-000062300000}"/>
    <cellStyle name="40% - Accent3 18 2 2 2" xfId="23465" xr:uid="{00000000-0005-0000-0000-000063300000}"/>
    <cellStyle name="40% - Accent3 18 2 3" xfId="10183" xr:uid="{00000000-0005-0000-0000-000064300000}"/>
    <cellStyle name="40% - Accent3 18 2 3 2" xfId="21471" xr:uid="{00000000-0005-0000-0000-000065300000}"/>
    <cellStyle name="40% - Accent3 18 2 4" xfId="8189" xr:uid="{00000000-0005-0000-0000-000066300000}"/>
    <cellStyle name="40% - Accent3 18 2 4 2" xfId="19477" xr:uid="{00000000-0005-0000-0000-000067300000}"/>
    <cellStyle name="40% - Accent3 18 2 5" xfId="6195" xr:uid="{00000000-0005-0000-0000-000068300000}"/>
    <cellStyle name="40% - Accent3 18 2 5 2" xfId="17483" xr:uid="{00000000-0005-0000-0000-000069300000}"/>
    <cellStyle name="40% - Accent3 18 2 6" xfId="15489" xr:uid="{00000000-0005-0000-0000-00006A300000}"/>
    <cellStyle name="40% - Accent3 18 3" xfId="11180" xr:uid="{00000000-0005-0000-0000-00006B300000}"/>
    <cellStyle name="40% - Accent3 18 3 2" xfId="22468" xr:uid="{00000000-0005-0000-0000-00006C300000}"/>
    <cellStyle name="40% - Accent3 18 4" xfId="9186" xr:uid="{00000000-0005-0000-0000-00006D300000}"/>
    <cellStyle name="40% - Accent3 18 4 2" xfId="20474" xr:uid="{00000000-0005-0000-0000-00006E300000}"/>
    <cellStyle name="40% - Accent3 18 5" xfId="7192" xr:uid="{00000000-0005-0000-0000-00006F300000}"/>
    <cellStyle name="40% - Accent3 18 5 2" xfId="18480" xr:uid="{00000000-0005-0000-0000-000070300000}"/>
    <cellStyle name="40% - Accent3 18 6" xfId="5198" xr:uid="{00000000-0005-0000-0000-000071300000}"/>
    <cellStyle name="40% - Accent3 18 6 2" xfId="16486" xr:uid="{00000000-0005-0000-0000-000072300000}"/>
    <cellStyle name="40% - Accent3 18 7" xfId="14492" xr:uid="{00000000-0005-0000-0000-000073300000}"/>
    <cellStyle name="40% - Accent3 18 8" xfId="13178" xr:uid="{00000000-0005-0000-0000-000074300000}"/>
    <cellStyle name="40% - Accent3 19" xfId="1243" xr:uid="{00000000-0005-0000-0000-000075300000}"/>
    <cellStyle name="40% - Accent3 19 2" xfId="4199" xr:uid="{00000000-0005-0000-0000-000076300000}"/>
    <cellStyle name="40% - Accent3 19 2 2" xfId="12178" xr:uid="{00000000-0005-0000-0000-000077300000}"/>
    <cellStyle name="40% - Accent3 19 2 2 2" xfId="23466" xr:uid="{00000000-0005-0000-0000-000078300000}"/>
    <cellStyle name="40% - Accent3 19 2 3" xfId="10184" xr:uid="{00000000-0005-0000-0000-000079300000}"/>
    <cellStyle name="40% - Accent3 19 2 3 2" xfId="21472" xr:uid="{00000000-0005-0000-0000-00007A300000}"/>
    <cellStyle name="40% - Accent3 19 2 4" xfId="8190" xr:uid="{00000000-0005-0000-0000-00007B300000}"/>
    <cellStyle name="40% - Accent3 19 2 4 2" xfId="19478" xr:uid="{00000000-0005-0000-0000-00007C300000}"/>
    <cellStyle name="40% - Accent3 19 2 5" xfId="6196" xr:uid="{00000000-0005-0000-0000-00007D300000}"/>
    <cellStyle name="40% - Accent3 19 2 5 2" xfId="17484" xr:uid="{00000000-0005-0000-0000-00007E300000}"/>
    <cellStyle name="40% - Accent3 19 2 6" xfId="15490" xr:uid="{00000000-0005-0000-0000-00007F300000}"/>
    <cellStyle name="40% - Accent3 19 3" xfId="11181" xr:uid="{00000000-0005-0000-0000-000080300000}"/>
    <cellStyle name="40% - Accent3 19 3 2" xfId="22469" xr:uid="{00000000-0005-0000-0000-000081300000}"/>
    <cellStyle name="40% - Accent3 19 4" xfId="9187" xr:uid="{00000000-0005-0000-0000-000082300000}"/>
    <cellStyle name="40% - Accent3 19 4 2" xfId="20475" xr:uid="{00000000-0005-0000-0000-000083300000}"/>
    <cellStyle name="40% - Accent3 19 5" xfId="7193" xr:uid="{00000000-0005-0000-0000-000084300000}"/>
    <cellStyle name="40% - Accent3 19 5 2" xfId="18481" xr:uid="{00000000-0005-0000-0000-000085300000}"/>
    <cellStyle name="40% - Accent3 19 6" xfId="5199" xr:uid="{00000000-0005-0000-0000-000086300000}"/>
    <cellStyle name="40% - Accent3 19 6 2" xfId="16487" xr:uid="{00000000-0005-0000-0000-000087300000}"/>
    <cellStyle name="40% - Accent3 19 7" xfId="14493" xr:uid="{00000000-0005-0000-0000-000088300000}"/>
    <cellStyle name="40% - Accent3 19 8" xfId="13179" xr:uid="{00000000-0005-0000-0000-000089300000}"/>
    <cellStyle name="40% - Accent3 2" xfId="1244" xr:uid="{00000000-0005-0000-0000-00008A300000}"/>
    <cellStyle name="40% - Accent3 2 10" xfId="24607" xr:uid="{00000000-0005-0000-0000-00008B300000}"/>
    <cellStyle name="40% - Accent3 2 11" xfId="24997" xr:uid="{00000000-0005-0000-0000-00008C300000}"/>
    <cellStyle name="40% - Accent3 2 2" xfId="4200" xr:uid="{00000000-0005-0000-0000-00008D300000}"/>
    <cellStyle name="40% - Accent3 2 2 2" xfId="12179" xr:uid="{00000000-0005-0000-0000-00008E300000}"/>
    <cellStyle name="40% - Accent3 2 2 2 2" xfId="23467" xr:uid="{00000000-0005-0000-0000-00008F300000}"/>
    <cellStyle name="40% - Accent3 2 2 3" xfId="10185" xr:uid="{00000000-0005-0000-0000-000090300000}"/>
    <cellStyle name="40% - Accent3 2 2 3 2" xfId="21473" xr:uid="{00000000-0005-0000-0000-000091300000}"/>
    <cellStyle name="40% - Accent3 2 2 4" xfId="8191" xr:uid="{00000000-0005-0000-0000-000092300000}"/>
    <cellStyle name="40% - Accent3 2 2 4 2" xfId="19479" xr:uid="{00000000-0005-0000-0000-000093300000}"/>
    <cellStyle name="40% - Accent3 2 2 5" xfId="6197" xr:uid="{00000000-0005-0000-0000-000094300000}"/>
    <cellStyle name="40% - Accent3 2 2 5 2" xfId="17485" xr:uid="{00000000-0005-0000-0000-000095300000}"/>
    <cellStyle name="40% - Accent3 2 2 6" xfId="15491" xr:uid="{00000000-0005-0000-0000-000096300000}"/>
    <cellStyle name="40% - Accent3 2 2 7" xfId="24368" xr:uid="{00000000-0005-0000-0000-000097300000}"/>
    <cellStyle name="40% - Accent3 2 2 8" xfId="24832" xr:uid="{00000000-0005-0000-0000-000098300000}"/>
    <cellStyle name="40% - Accent3 2 2 9" xfId="25199" xr:uid="{00000000-0005-0000-0000-000099300000}"/>
    <cellStyle name="40% - Accent3 2 3" xfId="11182" xr:uid="{00000000-0005-0000-0000-00009A300000}"/>
    <cellStyle name="40% - Accent3 2 3 2" xfId="22470" xr:uid="{00000000-0005-0000-0000-00009B300000}"/>
    <cellStyle name="40% - Accent3 2 4" xfId="9188" xr:uid="{00000000-0005-0000-0000-00009C300000}"/>
    <cellStyle name="40% - Accent3 2 4 2" xfId="20476" xr:uid="{00000000-0005-0000-0000-00009D300000}"/>
    <cellStyle name="40% - Accent3 2 5" xfId="7194" xr:uid="{00000000-0005-0000-0000-00009E300000}"/>
    <cellStyle name="40% - Accent3 2 5 2" xfId="18482" xr:uid="{00000000-0005-0000-0000-00009F300000}"/>
    <cellStyle name="40% - Accent3 2 6" xfId="5200" xr:uid="{00000000-0005-0000-0000-0000A0300000}"/>
    <cellStyle name="40% - Accent3 2 6 2" xfId="16488" xr:uid="{00000000-0005-0000-0000-0000A1300000}"/>
    <cellStyle name="40% - Accent3 2 7" xfId="14494" xr:uid="{00000000-0005-0000-0000-0000A2300000}"/>
    <cellStyle name="40% - Accent3 2 8" xfId="13180" xr:uid="{00000000-0005-0000-0000-0000A3300000}"/>
    <cellStyle name="40% - Accent3 2 9" xfId="23980" xr:uid="{00000000-0005-0000-0000-0000A4300000}"/>
    <cellStyle name="40% - Accent3 20" xfId="1245" xr:uid="{00000000-0005-0000-0000-0000A5300000}"/>
    <cellStyle name="40% - Accent3 20 2" xfId="4201" xr:uid="{00000000-0005-0000-0000-0000A6300000}"/>
    <cellStyle name="40% - Accent3 20 2 2" xfId="12180" xr:uid="{00000000-0005-0000-0000-0000A7300000}"/>
    <cellStyle name="40% - Accent3 20 2 2 2" xfId="23468" xr:uid="{00000000-0005-0000-0000-0000A8300000}"/>
    <cellStyle name="40% - Accent3 20 2 3" xfId="10186" xr:uid="{00000000-0005-0000-0000-0000A9300000}"/>
    <cellStyle name="40% - Accent3 20 2 3 2" xfId="21474" xr:uid="{00000000-0005-0000-0000-0000AA300000}"/>
    <cellStyle name="40% - Accent3 20 2 4" xfId="8192" xr:uid="{00000000-0005-0000-0000-0000AB300000}"/>
    <cellStyle name="40% - Accent3 20 2 4 2" xfId="19480" xr:uid="{00000000-0005-0000-0000-0000AC300000}"/>
    <cellStyle name="40% - Accent3 20 2 5" xfId="6198" xr:uid="{00000000-0005-0000-0000-0000AD300000}"/>
    <cellStyle name="40% - Accent3 20 2 5 2" xfId="17486" xr:uid="{00000000-0005-0000-0000-0000AE300000}"/>
    <cellStyle name="40% - Accent3 20 2 6" xfId="15492" xr:uid="{00000000-0005-0000-0000-0000AF300000}"/>
    <cellStyle name="40% - Accent3 20 3" xfId="11183" xr:uid="{00000000-0005-0000-0000-0000B0300000}"/>
    <cellStyle name="40% - Accent3 20 3 2" xfId="22471" xr:uid="{00000000-0005-0000-0000-0000B1300000}"/>
    <cellStyle name="40% - Accent3 20 4" xfId="9189" xr:uid="{00000000-0005-0000-0000-0000B2300000}"/>
    <cellStyle name="40% - Accent3 20 4 2" xfId="20477" xr:uid="{00000000-0005-0000-0000-0000B3300000}"/>
    <cellStyle name="40% - Accent3 20 5" xfId="7195" xr:uid="{00000000-0005-0000-0000-0000B4300000}"/>
    <cellStyle name="40% - Accent3 20 5 2" xfId="18483" xr:uid="{00000000-0005-0000-0000-0000B5300000}"/>
    <cellStyle name="40% - Accent3 20 6" xfId="5201" xr:uid="{00000000-0005-0000-0000-0000B6300000}"/>
    <cellStyle name="40% - Accent3 20 6 2" xfId="16489" xr:uid="{00000000-0005-0000-0000-0000B7300000}"/>
    <cellStyle name="40% - Accent3 20 7" xfId="14495" xr:uid="{00000000-0005-0000-0000-0000B8300000}"/>
    <cellStyle name="40% - Accent3 20 8" xfId="13181" xr:uid="{00000000-0005-0000-0000-0000B9300000}"/>
    <cellStyle name="40% - Accent3 21" xfId="1246" xr:uid="{00000000-0005-0000-0000-0000BA300000}"/>
    <cellStyle name="40% - Accent3 21 2" xfId="4202" xr:uid="{00000000-0005-0000-0000-0000BB300000}"/>
    <cellStyle name="40% - Accent3 21 2 2" xfId="12181" xr:uid="{00000000-0005-0000-0000-0000BC300000}"/>
    <cellStyle name="40% - Accent3 21 2 2 2" xfId="23469" xr:uid="{00000000-0005-0000-0000-0000BD300000}"/>
    <cellStyle name="40% - Accent3 21 2 3" xfId="10187" xr:uid="{00000000-0005-0000-0000-0000BE300000}"/>
    <cellStyle name="40% - Accent3 21 2 3 2" xfId="21475" xr:uid="{00000000-0005-0000-0000-0000BF300000}"/>
    <cellStyle name="40% - Accent3 21 2 4" xfId="8193" xr:uid="{00000000-0005-0000-0000-0000C0300000}"/>
    <cellStyle name="40% - Accent3 21 2 4 2" xfId="19481" xr:uid="{00000000-0005-0000-0000-0000C1300000}"/>
    <cellStyle name="40% - Accent3 21 2 5" xfId="6199" xr:uid="{00000000-0005-0000-0000-0000C2300000}"/>
    <cellStyle name="40% - Accent3 21 2 5 2" xfId="17487" xr:uid="{00000000-0005-0000-0000-0000C3300000}"/>
    <cellStyle name="40% - Accent3 21 2 6" xfId="15493" xr:uid="{00000000-0005-0000-0000-0000C4300000}"/>
    <cellStyle name="40% - Accent3 21 3" xfId="11184" xr:uid="{00000000-0005-0000-0000-0000C5300000}"/>
    <cellStyle name="40% - Accent3 21 3 2" xfId="22472" xr:uid="{00000000-0005-0000-0000-0000C6300000}"/>
    <cellStyle name="40% - Accent3 21 4" xfId="9190" xr:uid="{00000000-0005-0000-0000-0000C7300000}"/>
    <cellStyle name="40% - Accent3 21 4 2" xfId="20478" xr:uid="{00000000-0005-0000-0000-0000C8300000}"/>
    <cellStyle name="40% - Accent3 21 5" xfId="7196" xr:uid="{00000000-0005-0000-0000-0000C9300000}"/>
    <cellStyle name="40% - Accent3 21 5 2" xfId="18484" xr:uid="{00000000-0005-0000-0000-0000CA300000}"/>
    <cellStyle name="40% - Accent3 21 6" xfId="5202" xr:uid="{00000000-0005-0000-0000-0000CB300000}"/>
    <cellStyle name="40% - Accent3 21 6 2" xfId="16490" xr:uid="{00000000-0005-0000-0000-0000CC300000}"/>
    <cellStyle name="40% - Accent3 21 7" xfId="14496" xr:uid="{00000000-0005-0000-0000-0000CD300000}"/>
    <cellStyle name="40% - Accent3 21 8" xfId="13182" xr:uid="{00000000-0005-0000-0000-0000CE300000}"/>
    <cellStyle name="40% - Accent3 22" xfId="1247" xr:uid="{00000000-0005-0000-0000-0000CF300000}"/>
    <cellStyle name="40% - Accent3 22 2" xfId="4203" xr:uid="{00000000-0005-0000-0000-0000D0300000}"/>
    <cellStyle name="40% - Accent3 22 2 2" xfId="12182" xr:uid="{00000000-0005-0000-0000-0000D1300000}"/>
    <cellStyle name="40% - Accent3 22 2 2 2" xfId="23470" xr:uid="{00000000-0005-0000-0000-0000D2300000}"/>
    <cellStyle name="40% - Accent3 22 2 3" xfId="10188" xr:uid="{00000000-0005-0000-0000-0000D3300000}"/>
    <cellStyle name="40% - Accent3 22 2 3 2" xfId="21476" xr:uid="{00000000-0005-0000-0000-0000D4300000}"/>
    <cellStyle name="40% - Accent3 22 2 4" xfId="8194" xr:uid="{00000000-0005-0000-0000-0000D5300000}"/>
    <cellStyle name="40% - Accent3 22 2 4 2" xfId="19482" xr:uid="{00000000-0005-0000-0000-0000D6300000}"/>
    <cellStyle name="40% - Accent3 22 2 5" xfId="6200" xr:uid="{00000000-0005-0000-0000-0000D7300000}"/>
    <cellStyle name="40% - Accent3 22 2 5 2" xfId="17488" xr:uid="{00000000-0005-0000-0000-0000D8300000}"/>
    <cellStyle name="40% - Accent3 22 2 6" xfId="15494" xr:uid="{00000000-0005-0000-0000-0000D9300000}"/>
    <cellStyle name="40% - Accent3 22 3" xfId="11185" xr:uid="{00000000-0005-0000-0000-0000DA300000}"/>
    <cellStyle name="40% - Accent3 22 3 2" xfId="22473" xr:uid="{00000000-0005-0000-0000-0000DB300000}"/>
    <cellStyle name="40% - Accent3 22 4" xfId="9191" xr:uid="{00000000-0005-0000-0000-0000DC300000}"/>
    <cellStyle name="40% - Accent3 22 4 2" xfId="20479" xr:uid="{00000000-0005-0000-0000-0000DD300000}"/>
    <cellStyle name="40% - Accent3 22 5" xfId="7197" xr:uid="{00000000-0005-0000-0000-0000DE300000}"/>
    <cellStyle name="40% - Accent3 22 5 2" xfId="18485" xr:uid="{00000000-0005-0000-0000-0000DF300000}"/>
    <cellStyle name="40% - Accent3 22 6" xfId="5203" xr:uid="{00000000-0005-0000-0000-0000E0300000}"/>
    <cellStyle name="40% - Accent3 22 6 2" xfId="16491" xr:uid="{00000000-0005-0000-0000-0000E1300000}"/>
    <cellStyle name="40% - Accent3 22 7" xfId="14497" xr:uid="{00000000-0005-0000-0000-0000E2300000}"/>
    <cellStyle name="40% - Accent3 22 8" xfId="13183" xr:uid="{00000000-0005-0000-0000-0000E3300000}"/>
    <cellStyle name="40% - Accent3 23" xfId="1248" xr:uid="{00000000-0005-0000-0000-0000E4300000}"/>
    <cellStyle name="40% - Accent3 23 2" xfId="4204" xr:uid="{00000000-0005-0000-0000-0000E5300000}"/>
    <cellStyle name="40% - Accent3 23 2 2" xfId="12183" xr:uid="{00000000-0005-0000-0000-0000E6300000}"/>
    <cellStyle name="40% - Accent3 23 2 2 2" xfId="23471" xr:uid="{00000000-0005-0000-0000-0000E7300000}"/>
    <cellStyle name="40% - Accent3 23 2 3" xfId="10189" xr:uid="{00000000-0005-0000-0000-0000E8300000}"/>
    <cellStyle name="40% - Accent3 23 2 3 2" xfId="21477" xr:uid="{00000000-0005-0000-0000-0000E9300000}"/>
    <cellStyle name="40% - Accent3 23 2 4" xfId="8195" xr:uid="{00000000-0005-0000-0000-0000EA300000}"/>
    <cellStyle name="40% - Accent3 23 2 4 2" xfId="19483" xr:uid="{00000000-0005-0000-0000-0000EB300000}"/>
    <cellStyle name="40% - Accent3 23 2 5" xfId="6201" xr:uid="{00000000-0005-0000-0000-0000EC300000}"/>
    <cellStyle name="40% - Accent3 23 2 5 2" xfId="17489" xr:uid="{00000000-0005-0000-0000-0000ED300000}"/>
    <cellStyle name="40% - Accent3 23 2 6" xfId="15495" xr:uid="{00000000-0005-0000-0000-0000EE300000}"/>
    <cellStyle name="40% - Accent3 23 3" xfId="11186" xr:uid="{00000000-0005-0000-0000-0000EF300000}"/>
    <cellStyle name="40% - Accent3 23 3 2" xfId="22474" xr:uid="{00000000-0005-0000-0000-0000F0300000}"/>
    <cellStyle name="40% - Accent3 23 4" xfId="9192" xr:uid="{00000000-0005-0000-0000-0000F1300000}"/>
    <cellStyle name="40% - Accent3 23 4 2" xfId="20480" xr:uid="{00000000-0005-0000-0000-0000F2300000}"/>
    <cellStyle name="40% - Accent3 23 5" xfId="7198" xr:uid="{00000000-0005-0000-0000-0000F3300000}"/>
    <cellStyle name="40% - Accent3 23 5 2" xfId="18486" xr:uid="{00000000-0005-0000-0000-0000F4300000}"/>
    <cellStyle name="40% - Accent3 23 6" xfId="5204" xr:uid="{00000000-0005-0000-0000-0000F5300000}"/>
    <cellStyle name="40% - Accent3 23 6 2" xfId="16492" xr:uid="{00000000-0005-0000-0000-0000F6300000}"/>
    <cellStyle name="40% - Accent3 23 7" xfId="14498" xr:uid="{00000000-0005-0000-0000-0000F7300000}"/>
    <cellStyle name="40% - Accent3 23 8" xfId="13184" xr:uid="{00000000-0005-0000-0000-0000F8300000}"/>
    <cellStyle name="40% - Accent3 24" xfId="1249" xr:uid="{00000000-0005-0000-0000-0000F9300000}"/>
    <cellStyle name="40% - Accent3 24 2" xfId="4205" xr:uid="{00000000-0005-0000-0000-0000FA300000}"/>
    <cellStyle name="40% - Accent3 24 2 2" xfId="12184" xr:uid="{00000000-0005-0000-0000-0000FB300000}"/>
    <cellStyle name="40% - Accent3 24 2 2 2" xfId="23472" xr:uid="{00000000-0005-0000-0000-0000FC300000}"/>
    <cellStyle name="40% - Accent3 24 2 3" xfId="10190" xr:uid="{00000000-0005-0000-0000-0000FD300000}"/>
    <cellStyle name="40% - Accent3 24 2 3 2" xfId="21478" xr:uid="{00000000-0005-0000-0000-0000FE300000}"/>
    <cellStyle name="40% - Accent3 24 2 4" xfId="8196" xr:uid="{00000000-0005-0000-0000-0000FF300000}"/>
    <cellStyle name="40% - Accent3 24 2 4 2" xfId="19484" xr:uid="{00000000-0005-0000-0000-000000310000}"/>
    <cellStyle name="40% - Accent3 24 2 5" xfId="6202" xr:uid="{00000000-0005-0000-0000-000001310000}"/>
    <cellStyle name="40% - Accent3 24 2 5 2" xfId="17490" xr:uid="{00000000-0005-0000-0000-000002310000}"/>
    <cellStyle name="40% - Accent3 24 2 6" xfId="15496" xr:uid="{00000000-0005-0000-0000-000003310000}"/>
    <cellStyle name="40% - Accent3 24 3" xfId="11187" xr:uid="{00000000-0005-0000-0000-000004310000}"/>
    <cellStyle name="40% - Accent3 24 3 2" xfId="22475" xr:uid="{00000000-0005-0000-0000-000005310000}"/>
    <cellStyle name="40% - Accent3 24 4" xfId="9193" xr:uid="{00000000-0005-0000-0000-000006310000}"/>
    <cellStyle name="40% - Accent3 24 4 2" xfId="20481" xr:uid="{00000000-0005-0000-0000-000007310000}"/>
    <cellStyle name="40% - Accent3 24 5" xfId="7199" xr:uid="{00000000-0005-0000-0000-000008310000}"/>
    <cellStyle name="40% - Accent3 24 5 2" xfId="18487" xr:uid="{00000000-0005-0000-0000-000009310000}"/>
    <cellStyle name="40% - Accent3 24 6" xfId="5205" xr:uid="{00000000-0005-0000-0000-00000A310000}"/>
    <cellStyle name="40% - Accent3 24 6 2" xfId="16493" xr:uid="{00000000-0005-0000-0000-00000B310000}"/>
    <cellStyle name="40% - Accent3 24 7" xfId="14499" xr:uid="{00000000-0005-0000-0000-00000C310000}"/>
    <cellStyle name="40% - Accent3 24 8" xfId="13185" xr:uid="{00000000-0005-0000-0000-00000D310000}"/>
    <cellStyle name="40% - Accent3 25" xfId="1250" xr:uid="{00000000-0005-0000-0000-00000E310000}"/>
    <cellStyle name="40% - Accent3 25 2" xfId="4206" xr:uid="{00000000-0005-0000-0000-00000F310000}"/>
    <cellStyle name="40% - Accent3 25 2 2" xfId="12185" xr:uid="{00000000-0005-0000-0000-000010310000}"/>
    <cellStyle name="40% - Accent3 25 2 2 2" xfId="23473" xr:uid="{00000000-0005-0000-0000-000011310000}"/>
    <cellStyle name="40% - Accent3 25 2 3" xfId="10191" xr:uid="{00000000-0005-0000-0000-000012310000}"/>
    <cellStyle name="40% - Accent3 25 2 3 2" xfId="21479" xr:uid="{00000000-0005-0000-0000-000013310000}"/>
    <cellStyle name="40% - Accent3 25 2 4" xfId="8197" xr:uid="{00000000-0005-0000-0000-000014310000}"/>
    <cellStyle name="40% - Accent3 25 2 4 2" xfId="19485" xr:uid="{00000000-0005-0000-0000-000015310000}"/>
    <cellStyle name="40% - Accent3 25 2 5" xfId="6203" xr:uid="{00000000-0005-0000-0000-000016310000}"/>
    <cellStyle name="40% - Accent3 25 2 5 2" xfId="17491" xr:uid="{00000000-0005-0000-0000-000017310000}"/>
    <cellStyle name="40% - Accent3 25 2 6" xfId="15497" xr:uid="{00000000-0005-0000-0000-000018310000}"/>
    <cellStyle name="40% - Accent3 25 3" xfId="11188" xr:uid="{00000000-0005-0000-0000-000019310000}"/>
    <cellStyle name="40% - Accent3 25 3 2" xfId="22476" xr:uid="{00000000-0005-0000-0000-00001A310000}"/>
    <cellStyle name="40% - Accent3 25 4" xfId="9194" xr:uid="{00000000-0005-0000-0000-00001B310000}"/>
    <cellStyle name="40% - Accent3 25 4 2" xfId="20482" xr:uid="{00000000-0005-0000-0000-00001C310000}"/>
    <cellStyle name="40% - Accent3 25 5" xfId="7200" xr:uid="{00000000-0005-0000-0000-00001D310000}"/>
    <cellStyle name="40% - Accent3 25 5 2" xfId="18488" xr:uid="{00000000-0005-0000-0000-00001E310000}"/>
    <cellStyle name="40% - Accent3 25 6" xfId="5206" xr:uid="{00000000-0005-0000-0000-00001F310000}"/>
    <cellStyle name="40% - Accent3 25 6 2" xfId="16494" xr:uid="{00000000-0005-0000-0000-000020310000}"/>
    <cellStyle name="40% - Accent3 25 7" xfId="14500" xr:uid="{00000000-0005-0000-0000-000021310000}"/>
    <cellStyle name="40% - Accent3 25 8" xfId="13186" xr:uid="{00000000-0005-0000-0000-000022310000}"/>
    <cellStyle name="40% - Accent3 26" xfId="1251" xr:uid="{00000000-0005-0000-0000-000023310000}"/>
    <cellStyle name="40% - Accent3 26 2" xfId="4207" xr:uid="{00000000-0005-0000-0000-000024310000}"/>
    <cellStyle name="40% - Accent3 26 2 2" xfId="12186" xr:uid="{00000000-0005-0000-0000-000025310000}"/>
    <cellStyle name="40% - Accent3 26 2 2 2" xfId="23474" xr:uid="{00000000-0005-0000-0000-000026310000}"/>
    <cellStyle name="40% - Accent3 26 2 3" xfId="10192" xr:uid="{00000000-0005-0000-0000-000027310000}"/>
    <cellStyle name="40% - Accent3 26 2 3 2" xfId="21480" xr:uid="{00000000-0005-0000-0000-000028310000}"/>
    <cellStyle name="40% - Accent3 26 2 4" xfId="8198" xr:uid="{00000000-0005-0000-0000-000029310000}"/>
    <cellStyle name="40% - Accent3 26 2 4 2" xfId="19486" xr:uid="{00000000-0005-0000-0000-00002A310000}"/>
    <cellStyle name="40% - Accent3 26 2 5" xfId="6204" xr:uid="{00000000-0005-0000-0000-00002B310000}"/>
    <cellStyle name="40% - Accent3 26 2 5 2" xfId="17492" xr:uid="{00000000-0005-0000-0000-00002C310000}"/>
    <cellStyle name="40% - Accent3 26 2 6" xfId="15498" xr:uid="{00000000-0005-0000-0000-00002D310000}"/>
    <cellStyle name="40% - Accent3 26 3" xfId="11189" xr:uid="{00000000-0005-0000-0000-00002E310000}"/>
    <cellStyle name="40% - Accent3 26 3 2" xfId="22477" xr:uid="{00000000-0005-0000-0000-00002F310000}"/>
    <cellStyle name="40% - Accent3 26 4" xfId="9195" xr:uid="{00000000-0005-0000-0000-000030310000}"/>
    <cellStyle name="40% - Accent3 26 4 2" xfId="20483" xr:uid="{00000000-0005-0000-0000-000031310000}"/>
    <cellStyle name="40% - Accent3 26 5" xfId="7201" xr:uid="{00000000-0005-0000-0000-000032310000}"/>
    <cellStyle name="40% - Accent3 26 5 2" xfId="18489" xr:uid="{00000000-0005-0000-0000-000033310000}"/>
    <cellStyle name="40% - Accent3 26 6" xfId="5207" xr:uid="{00000000-0005-0000-0000-000034310000}"/>
    <cellStyle name="40% - Accent3 26 6 2" xfId="16495" xr:uid="{00000000-0005-0000-0000-000035310000}"/>
    <cellStyle name="40% - Accent3 26 7" xfId="14501" xr:uid="{00000000-0005-0000-0000-000036310000}"/>
    <cellStyle name="40% - Accent3 26 8" xfId="13187" xr:uid="{00000000-0005-0000-0000-000037310000}"/>
    <cellStyle name="40% - Accent3 27" xfId="1252" xr:uid="{00000000-0005-0000-0000-000038310000}"/>
    <cellStyle name="40% - Accent3 27 2" xfId="4208" xr:uid="{00000000-0005-0000-0000-000039310000}"/>
    <cellStyle name="40% - Accent3 27 2 2" xfId="12187" xr:uid="{00000000-0005-0000-0000-00003A310000}"/>
    <cellStyle name="40% - Accent3 27 2 2 2" xfId="23475" xr:uid="{00000000-0005-0000-0000-00003B310000}"/>
    <cellStyle name="40% - Accent3 27 2 3" xfId="10193" xr:uid="{00000000-0005-0000-0000-00003C310000}"/>
    <cellStyle name="40% - Accent3 27 2 3 2" xfId="21481" xr:uid="{00000000-0005-0000-0000-00003D310000}"/>
    <cellStyle name="40% - Accent3 27 2 4" xfId="8199" xr:uid="{00000000-0005-0000-0000-00003E310000}"/>
    <cellStyle name="40% - Accent3 27 2 4 2" xfId="19487" xr:uid="{00000000-0005-0000-0000-00003F310000}"/>
    <cellStyle name="40% - Accent3 27 2 5" xfId="6205" xr:uid="{00000000-0005-0000-0000-000040310000}"/>
    <cellStyle name="40% - Accent3 27 2 5 2" xfId="17493" xr:uid="{00000000-0005-0000-0000-000041310000}"/>
    <cellStyle name="40% - Accent3 27 2 6" xfId="15499" xr:uid="{00000000-0005-0000-0000-000042310000}"/>
    <cellStyle name="40% - Accent3 27 3" xfId="11190" xr:uid="{00000000-0005-0000-0000-000043310000}"/>
    <cellStyle name="40% - Accent3 27 3 2" xfId="22478" xr:uid="{00000000-0005-0000-0000-000044310000}"/>
    <cellStyle name="40% - Accent3 27 4" xfId="9196" xr:uid="{00000000-0005-0000-0000-000045310000}"/>
    <cellStyle name="40% - Accent3 27 4 2" xfId="20484" xr:uid="{00000000-0005-0000-0000-000046310000}"/>
    <cellStyle name="40% - Accent3 27 5" xfId="7202" xr:uid="{00000000-0005-0000-0000-000047310000}"/>
    <cellStyle name="40% - Accent3 27 5 2" xfId="18490" xr:uid="{00000000-0005-0000-0000-000048310000}"/>
    <cellStyle name="40% - Accent3 27 6" xfId="5208" xr:uid="{00000000-0005-0000-0000-000049310000}"/>
    <cellStyle name="40% - Accent3 27 6 2" xfId="16496" xr:uid="{00000000-0005-0000-0000-00004A310000}"/>
    <cellStyle name="40% - Accent3 27 7" xfId="14502" xr:uid="{00000000-0005-0000-0000-00004B310000}"/>
    <cellStyle name="40% - Accent3 27 8" xfId="13188" xr:uid="{00000000-0005-0000-0000-00004C310000}"/>
    <cellStyle name="40% - Accent3 28" xfId="1253" xr:uid="{00000000-0005-0000-0000-00004D310000}"/>
    <cellStyle name="40% - Accent3 28 2" xfId="4209" xr:uid="{00000000-0005-0000-0000-00004E310000}"/>
    <cellStyle name="40% - Accent3 28 2 2" xfId="12188" xr:uid="{00000000-0005-0000-0000-00004F310000}"/>
    <cellStyle name="40% - Accent3 28 2 2 2" xfId="23476" xr:uid="{00000000-0005-0000-0000-000050310000}"/>
    <cellStyle name="40% - Accent3 28 2 3" xfId="10194" xr:uid="{00000000-0005-0000-0000-000051310000}"/>
    <cellStyle name="40% - Accent3 28 2 3 2" xfId="21482" xr:uid="{00000000-0005-0000-0000-000052310000}"/>
    <cellStyle name="40% - Accent3 28 2 4" xfId="8200" xr:uid="{00000000-0005-0000-0000-000053310000}"/>
    <cellStyle name="40% - Accent3 28 2 4 2" xfId="19488" xr:uid="{00000000-0005-0000-0000-000054310000}"/>
    <cellStyle name="40% - Accent3 28 2 5" xfId="6206" xr:uid="{00000000-0005-0000-0000-000055310000}"/>
    <cellStyle name="40% - Accent3 28 2 5 2" xfId="17494" xr:uid="{00000000-0005-0000-0000-000056310000}"/>
    <cellStyle name="40% - Accent3 28 2 6" xfId="15500" xr:uid="{00000000-0005-0000-0000-000057310000}"/>
    <cellStyle name="40% - Accent3 28 3" xfId="11191" xr:uid="{00000000-0005-0000-0000-000058310000}"/>
    <cellStyle name="40% - Accent3 28 3 2" xfId="22479" xr:uid="{00000000-0005-0000-0000-000059310000}"/>
    <cellStyle name="40% - Accent3 28 4" xfId="9197" xr:uid="{00000000-0005-0000-0000-00005A310000}"/>
    <cellStyle name="40% - Accent3 28 4 2" xfId="20485" xr:uid="{00000000-0005-0000-0000-00005B310000}"/>
    <cellStyle name="40% - Accent3 28 5" xfId="7203" xr:uid="{00000000-0005-0000-0000-00005C310000}"/>
    <cellStyle name="40% - Accent3 28 5 2" xfId="18491" xr:uid="{00000000-0005-0000-0000-00005D310000}"/>
    <cellStyle name="40% - Accent3 28 6" xfId="5209" xr:uid="{00000000-0005-0000-0000-00005E310000}"/>
    <cellStyle name="40% - Accent3 28 6 2" xfId="16497" xr:uid="{00000000-0005-0000-0000-00005F310000}"/>
    <cellStyle name="40% - Accent3 28 7" xfId="14503" xr:uid="{00000000-0005-0000-0000-000060310000}"/>
    <cellStyle name="40% - Accent3 28 8" xfId="13189" xr:uid="{00000000-0005-0000-0000-000061310000}"/>
    <cellStyle name="40% - Accent3 29" xfId="1254" xr:uid="{00000000-0005-0000-0000-000062310000}"/>
    <cellStyle name="40% - Accent3 29 2" xfId="4210" xr:uid="{00000000-0005-0000-0000-000063310000}"/>
    <cellStyle name="40% - Accent3 29 2 2" xfId="12189" xr:uid="{00000000-0005-0000-0000-000064310000}"/>
    <cellStyle name="40% - Accent3 29 2 2 2" xfId="23477" xr:uid="{00000000-0005-0000-0000-000065310000}"/>
    <cellStyle name="40% - Accent3 29 2 3" xfId="10195" xr:uid="{00000000-0005-0000-0000-000066310000}"/>
    <cellStyle name="40% - Accent3 29 2 3 2" xfId="21483" xr:uid="{00000000-0005-0000-0000-000067310000}"/>
    <cellStyle name="40% - Accent3 29 2 4" xfId="8201" xr:uid="{00000000-0005-0000-0000-000068310000}"/>
    <cellStyle name="40% - Accent3 29 2 4 2" xfId="19489" xr:uid="{00000000-0005-0000-0000-000069310000}"/>
    <cellStyle name="40% - Accent3 29 2 5" xfId="6207" xr:uid="{00000000-0005-0000-0000-00006A310000}"/>
    <cellStyle name="40% - Accent3 29 2 5 2" xfId="17495" xr:uid="{00000000-0005-0000-0000-00006B310000}"/>
    <cellStyle name="40% - Accent3 29 2 6" xfId="15501" xr:uid="{00000000-0005-0000-0000-00006C310000}"/>
    <cellStyle name="40% - Accent3 29 3" xfId="11192" xr:uid="{00000000-0005-0000-0000-00006D310000}"/>
    <cellStyle name="40% - Accent3 29 3 2" xfId="22480" xr:uid="{00000000-0005-0000-0000-00006E310000}"/>
    <cellStyle name="40% - Accent3 29 4" xfId="9198" xr:uid="{00000000-0005-0000-0000-00006F310000}"/>
    <cellStyle name="40% - Accent3 29 4 2" xfId="20486" xr:uid="{00000000-0005-0000-0000-000070310000}"/>
    <cellStyle name="40% - Accent3 29 5" xfId="7204" xr:uid="{00000000-0005-0000-0000-000071310000}"/>
    <cellStyle name="40% - Accent3 29 5 2" xfId="18492" xr:uid="{00000000-0005-0000-0000-000072310000}"/>
    <cellStyle name="40% - Accent3 29 6" xfId="5210" xr:uid="{00000000-0005-0000-0000-000073310000}"/>
    <cellStyle name="40% - Accent3 29 6 2" xfId="16498" xr:uid="{00000000-0005-0000-0000-000074310000}"/>
    <cellStyle name="40% - Accent3 29 7" xfId="14504" xr:uid="{00000000-0005-0000-0000-000075310000}"/>
    <cellStyle name="40% - Accent3 29 8" xfId="13190" xr:uid="{00000000-0005-0000-0000-000076310000}"/>
    <cellStyle name="40% - Accent3 3" xfId="1255" xr:uid="{00000000-0005-0000-0000-000077310000}"/>
    <cellStyle name="40% - Accent3 3 10" xfId="24608" xr:uid="{00000000-0005-0000-0000-000078310000}"/>
    <cellStyle name="40% - Accent3 3 11" xfId="24998" xr:uid="{00000000-0005-0000-0000-000079310000}"/>
    <cellStyle name="40% - Accent3 3 2" xfId="4211" xr:uid="{00000000-0005-0000-0000-00007A310000}"/>
    <cellStyle name="40% - Accent3 3 2 2" xfId="12190" xr:uid="{00000000-0005-0000-0000-00007B310000}"/>
    <cellStyle name="40% - Accent3 3 2 2 2" xfId="23478" xr:uid="{00000000-0005-0000-0000-00007C310000}"/>
    <cellStyle name="40% - Accent3 3 2 3" xfId="10196" xr:uid="{00000000-0005-0000-0000-00007D310000}"/>
    <cellStyle name="40% - Accent3 3 2 3 2" xfId="21484" xr:uid="{00000000-0005-0000-0000-00007E310000}"/>
    <cellStyle name="40% - Accent3 3 2 4" xfId="8202" xr:uid="{00000000-0005-0000-0000-00007F310000}"/>
    <cellStyle name="40% - Accent3 3 2 4 2" xfId="19490" xr:uid="{00000000-0005-0000-0000-000080310000}"/>
    <cellStyle name="40% - Accent3 3 2 5" xfId="6208" xr:uid="{00000000-0005-0000-0000-000081310000}"/>
    <cellStyle name="40% - Accent3 3 2 5 2" xfId="17496" xr:uid="{00000000-0005-0000-0000-000082310000}"/>
    <cellStyle name="40% - Accent3 3 2 6" xfId="15502" xr:uid="{00000000-0005-0000-0000-000083310000}"/>
    <cellStyle name="40% - Accent3 3 2 7" xfId="24369" xr:uid="{00000000-0005-0000-0000-000084310000}"/>
    <cellStyle name="40% - Accent3 3 2 8" xfId="24833" xr:uid="{00000000-0005-0000-0000-000085310000}"/>
    <cellStyle name="40% - Accent3 3 2 9" xfId="25200" xr:uid="{00000000-0005-0000-0000-000086310000}"/>
    <cellStyle name="40% - Accent3 3 3" xfId="11193" xr:uid="{00000000-0005-0000-0000-000087310000}"/>
    <cellStyle name="40% - Accent3 3 3 2" xfId="22481" xr:uid="{00000000-0005-0000-0000-000088310000}"/>
    <cellStyle name="40% - Accent3 3 4" xfId="9199" xr:uid="{00000000-0005-0000-0000-000089310000}"/>
    <cellStyle name="40% - Accent3 3 4 2" xfId="20487" xr:uid="{00000000-0005-0000-0000-00008A310000}"/>
    <cellStyle name="40% - Accent3 3 5" xfId="7205" xr:uid="{00000000-0005-0000-0000-00008B310000}"/>
    <cellStyle name="40% - Accent3 3 5 2" xfId="18493" xr:uid="{00000000-0005-0000-0000-00008C310000}"/>
    <cellStyle name="40% - Accent3 3 6" xfId="5211" xr:uid="{00000000-0005-0000-0000-00008D310000}"/>
    <cellStyle name="40% - Accent3 3 6 2" xfId="16499" xr:uid="{00000000-0005-0000-0000-00008E310000}"/>
    <cellStyle name="40% - Accent3 3 7" xfId="14505" xr:uid="{00000000-0005-0000-0000-00008F310000}"/>
    <cellStyle name="40% - Accent3 3 8" xfId="13191" xr:uid="{00000000-0005-0000-0000-000090310000}"/>
    <cellStyle name="40% - Accent3 3 9" xfId="23981" xr:uid="{00000000-0005-0000-0000-000091310000}"/>
    <cellStyle name="40% - Accent3 30" xfId="1256" xr:uid="{00000000-0005-0000-0000-000092310000}"/>
    <cellStyle name="40% - Accent3 30 2" xfId="4212" xr:uid="{00000000-0005-0000-0000-000093310000}"/>
    <cellStyle name="40% - Accent3 30 2 2" xfId="12191" xr:uid="{00000000-0005-0000-0000-000094310000}"/>
    <cellStyle name="40% - Accent3 30 2 2 2" xfId="23479" xr:uid="{00000000-0005-0000-0000-000095310000}"/>
    <cellStyle name="40% - Accent3 30 2 3" xfId="10197" xr:uid="{00000000-0005-0000-0000-000096310000}"/>
    <cellStyle name="40% - Accent3 30 2 3 2" xfId="21485" xr:uid="{00000000-0005-0000-0000-000097310000}"/>
    <cellStyle name="40% - Accent3 30 2 4" xfId="8203" xr:uid="{00000000-0005-0000-0000-000098310000}"/>
    <cellStyle name="40% - Accent3 30 2 4 2" xfId="19491" xr:uid="{00000000-0005-0000-0000-000099310000}"/>
    <cellStyle name="40% - Accent3 30 2 5" xfId="6209" xr:uid="{00000000-0005-0000-0000-00009A310000}"/>
    <cellStyle name="40% - Accent3 30 2 5 2" xfId="17497" xr:uid="{00000000-0005-0000-0000-00009B310000}"/>
    <cellStyle name="40% - Accent3 30 2 6" xfId="15503" xr:uid="{00000000-0005-0000-0000-00009C310000}"/>
    <cellStyle name="40% - Accent3 30 3" xfId="11194" xr:uid="{00000000-0005-0000-0000-00009D310000}"/>
    <cellStyle name="40% - Accent3 30 3 2" xfId="22482" xr:uid="{00000000-0005-0000-0000-00009E310000}"/>
    <cellStyle name="40% - Accent3 30 4" xfId="9200" xr:uid="{00000000-0005-0000-0000-00009F310000}"/>
    <cellStyle name="40% - Accent3 30 4 2" xfId="20488" xr:uid="{00000000-0005-0000-0000-0000A0310000}"/>
    <cellStyle name="40% - Accent3 30 5" xfId="7206" xr:uid="{00000000-0005-0000-0000-0000A1310000}"/>
    <cellStyle name="40% - Accent3 30 5 2" xfId="18494" xr:uid="{00000000-0005-0000-0000-0000A2310000}"/>
    <cellStyle name="40% - Accent3 30 6" xfId="5212" xr:uid="{00000000-0005-0000-0000-0000A3310000}"/>
    <cellStyle name="40% - Accent3 30 6 2" xfId="16500" xr:uid="{00000000-0005-0000-0000-0000A4310000}"/>
    <cellStyle name="40% - Accent3 30 7" xfId="14506" xr:uid="{00000000-0005-0000-0000-0000A5310000}"/>
    <cellStyle name="40% - Accent3 30 8" xfId="13192" xr:uid="{00000000-0005-0000-0000-0000A6310000}"/>
    <cellStyle name="40% - Accent3 31" xfId="1257" xr:uid="{00000000-0005-0000-0000-0000A7310000}"/>
    <cellStyle name="40% - Accent3 31 2" xfId="4213" xr:uid="{00000000-0005-0000-0000-0000A8310000}"/>
    <cellStyle name="40% - Accent3 31 2 2" xfId="12192" xr:uid="{00000000-0005-0000-0000-0000A9310000}"/>
    <cellStyle name="40% - Accent3 31 2 2 2" xfId="23480" xr:uid="{00000000-0005-0000-0000-0000AA310000}"/>
    <cellStyle name="40% - Accent3 31 2 3" xfId="10198" xr:uid="{00000000-0005-0000-0000-0000AB310000}"/>
    <cellStyle name="40% - Accent3 31 2 3 2" xfId="21486" xr:uid="{00000000-0005-0000-0000-0000AC310000}"/>
    <cellStyle name="40% - Accent3 31 2 4" xfId="8204" xr:uid="{00000000-0005-0000-0000-0000AD310000}"/>
    <cellStyle name="40% - Accent3 31 2 4 2" xfId="19492" xr:uid="{00000000-0005-0000-0000-0000AE310000}"/>
    <cellStyle name="40% - Accent3 31 2 5" xfId="6210" xr:uid="{00000000-0005-0000-0000-0000AF310000}"/>
    <cellStyle name="40% - Accent3 31 2 5 2" xfId="17498" xr:uid="{00000000-0005-0000-0000-0000B0310000}"/>
    <cellStyle name="40% - Accent3 31 2 6" xfId="15504" xr:uid="{00000000-0005-0000-0000-0000B1310000}"/>
    <cellStyle name="40% - Accent3 31 3" xfId="11195" xr:uid="{00000000-0005-0000-0000-0000B2310000}"/>
    <cellStyle name="40% - Accent3 31 3 2" xfId="22483" xr:uid="{00000000-0005-0000-0000-0000B3310000}"/>
    <cellStyle name="40% - Accent3 31 4" xfId="9201" xr:uid="{00000000-0005-0000-0000-0000B4310000}"/>
    <cellStyle name="40% - Accent3 31 4 2" xfId="20489" xr:uid="{00000000-0005-0000-0000-0000B5310000}"/>
    <cellStyle name="40% - Accent3 31 5" xfId="7207" xr:uid="{00000000-0005-0000-0000-0000B6310000}"/>
    <cellStyle name="40% - Accent3 31 5 2" xfId="18495" xr:uid="{00000000-0005-0000-0000-0000B7310000}"/>
    <cellStyle name="40% - Accent3 31 6" xfId="5213" xr:uid="{00000000-0005-0000-0000-0000B8310000}"/>
    <cellStyle name="40% - Accent3 31 6 2" xfId="16501" xr:uid="{00000000-0005-0000-0000-0000B9310000}"/>
    <cellStyle name="40% - Accent3 31 7" xfId="14507" xr:uid="{00000000-0005-0000-0000-0000BA310000}"/>
    <cellStyle name="40% - Accent3 31 8" xfId="13193" xr:uid="{00000000-0005-0000-0000-0000BB310000}"/>
    <cellStyle name="40% - Accent3 32" xfId="1258" xr:uid="{00000000-0005-0000-0000-0000BC310000}"/>
    <cellStyle name="40% - Accent3 32 2" xfId="4214" xr:uid="{00000000-0005-0000-0000-0000BD310000}"/>
    <cellStyle name="40% - Accent3 32 2 2" xfId="12193" xr:uid="{00000000-0005-0000-0000-0000BE310000}"/>
    <cellStyle name="40% - Accent3 32 2 2 2" xfId="23481" xr:uid="{00000000-0005-0000-0000-0000BF310000}"/>
    <cellStyle name="40% - Accent3 32 2 3" xfId="10199" xr:uid="{00000000-0005-0000-0000-0000C0310000}"/>
    <cellStyle name="40% - Accent3 32 2 3 2" xfId="21487" xr:uid="{00000000-0005-0000-0000-0000C1310000}"/>
    <cellStyle name="40% - Accent3 32 2 4" xfId="8205" xr:uid="{00000000-0005-0000-0000-0000C2310000}"/>
    <cellStyle name="40% - Accent3 32 2 4 2" xfId="19493" xr:uid="{00000000-0005-0000-0000-0000C3310000}"/>
    <cellStyle name="40% - Accent3 32 2 5" xfId="6211" xr:uid="{00000000-0005-0000-0000-0000C4310000}"/>
    <cellStyle name="40% - Accent3 32 2 5 2" xfId="17499" xr:uid="{00000000-0005-0000-0000-0000C5310000}"/>
    <cellStyle name="40% - Accent3 32 2 6" xfId="15505" xr:uid="{00000000-0005-0000-0000-0000C6310000}"/>
    <cellStyle name="40% - Accent3 32 3" xfId="11196" xr:uid="{00000000-0005-0000-0000-0000C7310000}"/>
    <cellStyle name="40% - Accent3 32 3 2" xfId="22484" xr:uid="{00000000-0005-0000-0000-0000C8310000}"/>
    <cellStyle name="40% - Accent3 32 4" xfId="9202" xr:uid="{00000000-0005-0000-0000-0000C9310000}"/>
    <cellStyle name="40% - Accent3 32 4 2" xfId="20490" xr:uid="{00000000-0005-0000-0000-0000CA310000}"/>
    <cellStyle name="40% - Accent3 32 5" xfId="7208" xr:uid="{00000000-0005-0000-0000-0000CB310000}"/>
    <cellStyle name="40% - Accent3 32 5 2" xfId="18496" xr:uid="{00000000-0005-0000-0000-0000CC310000}"/>
    <cellStyle name="40% - Accent3 32 6" xfId="5214" xr:uid="{00000000-0005-0000-0000-0000CD310000}"/>
    <cellStyle name="40% - Accent3 32 6 2" xfId="16502" xr:uid="{00000000-0005-0000-0000-0000CE310000}"/>
    <cellStyle name="40% - Accent3 32 7" xfId="14508" xr:uid="{00000000-0005-0000-0000-0000CF310000}"/>
    <cellStyle name="40% - Accent3 32 8" xfId="13194" xr:uid="{00000000-0005-0000-0000-0000D0310000}"/>
    <cellStyle name="40% - Accent3 33" xfId="1259" xr:uid="{00000000-0005-0000-0000-0000D1310000}"/>
    <cellStyle name="40% - Accent3 33 2" xfId="4215" xr:uid="{00000000-0005-0000-0000-0000D2310000}"/>
    <cellStyle name="40% - Accent3 33 2 2" xfId="12194" xr:uid="{00000000-0005-0000-0000-0000D3310000}"/>
    <cellStyle name="40% - Accent3 33 2 2 2" xfId="23482" xr:uid="{00000000-0005-0000-0000-0000D4310000}"/>
    <cellStyle name="40% - Accent3 33 2 3" xfId="10200" xr:uid="{00000000-0005-0000-0000-0000D5310000}"/>
    <cellStyle name="40% - Accent3 33 2 3 2" xfId="21488" xr:uid="{00000000-0005-0000-0000-0000D6310000}"/>
    <cellStyle name="40% - Accent3 33 2 4" xfId="8206" xr:uid="{00000000-0005-0000-0000-0000D7310000}"/>
    <cellStyle name="40% - Accent3 33 2 4 2" xfId="19494" xr:uid="{00000000-0005-0000-0000-0000D8310000}"/>
    <cellStyle name="40% - Accent3 33 2 5" xfId="6212" xr:uid="{00000000-0005-0000-0000-0000D9310000}"/>
    <cellStyle name="40% - Accent3 33 2 5 2" xfId="17500" xr:uid="{00000000-0005-0000-0000-0000DA310000}"/>
    <cellStyle name="40% - Accent3 33 2 6" xfId="15506" xr:uid="{00000000-0005-0000-0000-0000DB310000}"/>
    <cellStyle name="40% - Accent3 33 3" xfId="11197" xr:uid="{00000000-0005-0000-0000-0000DC310000}"/>
    <cellStyle name="40% - Accent3 33 3 2" xfId="22485" xr:uid="{00000000-0005-0000-0000-0000DD310000}"/>
    <cellStyle name="40% - Accent3 33 4" xfId="9203" xr:uid="{00000000-0005-0000-0000-0000DE310000}"/>
    <cellStyle name="40% - Accent3 33 4 2" xfId="20491" xr:uid="{00000000-0005-0000-0000-0000DF310000}"/>
    <cellStyle name="40% - Accent3 33 5" xfId="7209" xr:uid="{00000000-0005-0000-0000-0000E0310000}"/>
    <cellStyle name="40% - Accent3 33 5 2" xfId="18497" xr:uid="{00000000-0005-0000-0000-0000E1310000}"/>
    <cellStyle name="40% - Accent3 33 6" xfId="5215" xr:uid="{00000000-0005-0000-0000-0000E2310000}"/>
    <cellStyle name="40% - Accent3 33 6 2" xfId="16503" xr:uid="{00000000-0005-0000-0000-0000E3310000}"/>
    <cellStyle name="40% - Accent3 33 7" xfId="14509" xr:uid="{00000000-0005-0000-0000-0000E4310000}"/>
    <cellStyle name="40% - Accent3 33 8" xfId="13195" xr:uid="{00000000-0005-0000-0000-0000E5310000}"/>
    <cellStyle name="40% - Accent3 34" xfId="1260" xr:uid="{00000000-0005-0000-0000-0000E6310000}"/>
    <cellStyle name="40% - Accent3 34 2" xfId="4216" xr:uid="{00000000-0005-0000-0000-0000E7310000}"/>
    <cellStyle name="40% - Accent3 34 2 2" xfId="12195" xr:uid="{00000000-0005-0000-0000-0000E8310000}"/>
    <cellStyle name="40% - Accent3 34 2 2 2" xfId="23483" xr:uid="{00000000-0005-0000-0000-0000E9310000}"/>
    <cellStyle name="40% - Accent3 34 2 3" xfId="10201" xr:uid="{00000000-0005-0000-0000-0000EA310000}"/>
    <cellStyle name="40% - Accent3 34 2 3 2" xfId="21489" xr:uid="{00000000-0005-0000-0000-0000EB310000}"/>
    <cellStyle name="40% - Accent3 34 2 4" xfId="8207" xr:uid="{00000000-0005-0000-0000-0000EC310000}"/>
    <cellStyle name="40% - Accent3 34 2 4 2" xfId="19495" xr:uid="{00000000-0005-0000-0000-0000ED310000}"/>
    <cellStyle name="40% - Accent3 34 2 5" xfId="6213" xr:uid="{00000000-0005-0000-0000-0000EE310000}"/>
    <cellStyle name="40% - Accent3 34 2 5 2" xfId="17501" xr:uid="{00000000-0005-0000-0000-0000EF310000}"/>
    <cellStyle name="40% - Accent3 34 2 6" xfId="15507" xr:uid="{00000000-0005-0000-0000-0000F0310000}"/>
    <cellStyle name="40% - Accent3 34 3" xfId="11198" xr:uid="{00000000-0005-0000-0000-0000F1310000}"/>
    <cellStyle name="40% - Accent3 34 3 2" xfId="22486" xr:uid="{00000000-0005-0000-0000-0000F2310000}"/>
    <cellStyle name="40% - Accent3 34 4" xfId="9204" xr:uid="{00000000-0005-0000-0000-0000F3310000}"/>
    <cellStyle name="40% - Accent3 34 4 2" xfId="20492" xr:uid="{00000000-0005-0000-0000-0000F4310000}"/>
    <cellStyle name="40% - Accent3 34 5" xfId="7210" xr:uid="{00000000-0005-0000-0000-0000F5310000}"/>
    <cellStyle name="40% - Accent3 34 5 2" xfId="18498" xr:uid="{00000000-0005-0000-0000-0000F6310000}"/>
    <cellStyle name="40% - Accent3 34 6" xfId="5216" xr:uid="{00000000-0005-0000-0000-0000F7310000}"/>
    <cellStyle name="40% - Accent3 34 6 2" xfId="16504" xr:uid="{00000000-0005-0000-0000-0000F8310000}"/>
    <cellStyle name="40% - Accent3 34 7" xfId="14510" xr:uid="{00000000-0005-0000-0000-0000F9310000}"/>
    <cellStyle name="40% - Accent3 34 8" xfId="13196" xr:uid="{00000000-0005-0000-0000-0000FA310000}"/>
    <cellStyle name="40% - Accent3 35" xfId="1261" xr:uid="{00000000-0005-0000-0000-0000FB310000}"/>
    <cellStyle name="40% - Accent3 35 2" xfId="4217" xr:uid="{00000000-0005-0000-0000-0000FC310000}"/>
    <cellStyle name="40% - Accent3 35 2 2" xfId="12196" xr:uid="{00000000-0005-0000-0000-0000FD310000}"/>
    <cellStyle name="40% - Accent3 35 2 2 2" xfId="23484" xr:uid="{00000000-0005-0000-0000-0000FE310000}"/>
    <cellStyle name="40% - Accent3 35 2 3" xfId="10202" xr:uid="{00000000-0005-0000-0000-0000FF310000}"/>
    <cellStyle name="40% - Accent3 35 2 3 2" xfId="21490" xr:uid="{00000000-0005-0000-0000-000000320000}"/>
    <cellStyle name="40% - Accent3 35 2 4" xfId="8208" xr:uid="{00000000-0005-0000-0000-000001320000}"/>
    <cellStyle name="40% - Accent3 35 2 4 2" xfId="19496" xr:uid="{00000000-0005-0000-0000-000002320000}"/>
    <cellStyle name="40% - Accent3 35 2 5" xfId="6214" xr:uid="{00000000-0005-0000-0000-000003320000}"/>
    <cellStyle name="40% - Accent3 35 2 5 2" xfId="17502" xr:uid="{00000000-0005-0000-0000-000004320000}"/>
    <cellStyle name="40% - Accent3 35 2 6" xfId="15508" xr:uid="{00000000-0005-0000-0000-000005320000}"/>
    <cellStyle name="40% - Accent3 35 3" xfId="11199" xr:uid="{00000000-0005-0000-0000-000006320000}"/>
    <cellStyle name="40% - Accent3 35 3 2" xfId="22487" xr:uid="{00000000-0005-0000-0000-000007320000}"/>
    <cellStyle name="40% - Accent3 35 4" xfId="9205" xr:uid="{00000000-0005-0000-0000-000008320000}"/>
    <cellStyle name="40% - Accent3 35 4 2" xfId="20493" xr:uid="{00000000-0005-0000-0000-000009320000}"/>
    <cellStyle name="40% - Accent3 35 5" xfId="7211" xr:uid="{00000000-0005-0000-0000-00000A320000}"/>
    <cellStyle name="40% - Accent3 35 5 2" xfId="18499" xr:uid="{00000000-0005-0000-0000-00000B320000}"/>
    <cellStyle name="40% - Accent3 35 6" xfId="5217" xr:uid="{00000000-0005-0000-0000-00000C320000}"/>
    <cellStyle name="40% - Accent3 35 6 2" xfId="16505" xr:uid="{00000000-0005-0000-0000-00000D320000}"/>
    <cellStyle name="40% - Accent3 35 7" xfId="14511" xr:uid="{00000000-0005-0000-0000-00000E320000}"/>
    <cellStyle name="40% - Accent3 35 8" xfId="13197" xr:uid="{00000000-0005-0000-0000-00000F320000}"/>
    <cellStyle name="40% - Accent3 36" xfId="1262" xr:uid="{00000000-0005-0000-0000-000010320000}"/>
    <cellStyle name="40% - Accent3 36 2" xfId="4218" xr:uid="{00000000-0005-0000-0000-000011320000}"/>
    <cellStyle name="40% - Accent3 36 2 2" xfId="12197" xr:uid="{00000000-0005-0000-0000-000012320000}"/>
    <cellStyle name="40% - Accent3 36 2 2 2" xfId="23485" xr:uid="{00000000-0005-0000-0000-000013320000}"/>
    <cellStyle name="40% - Accent3 36 2 3" xfId="10203" xr:uid="{00000000-0005-0000-0000-000014320000}"/>
    <cellStyle name="40% - Accent3 36 2 3 2" xfId="21491" xr:uid="{00000000-0005-0000-0000-000015320000}"/>
    <cellStyle name="40% - Accent3 36 2 4" xfId="8209" xr:uid="{00000000-0005-0000-0000-000016320000}"/>
    <cellStyle name="40% - Accent3 36 2 4 2" xfId="19497" xr:uid="{00000000-0005-0000-0000-000017320000}"/>
    <cellStyle name="40% - Accent3 36 2 5" xfId="6215" xr:uid="{00000000-0005-0000-0000-000018320000}"/>
    <cellStyle name="40% - Accent3 36 2 5 2" xfId="17503" xr:uid="{00000000-0005-0000-0000-000019320000}"/>
    <cellStyle name="40% - Accent3 36 2 6" xfId="15509" xr:uid="{00000000-0005-0000-0000-00001A320000}"/>
    <cellStyle name="40% - Accent3 36 3" xfId="11200" xr:uid="{00000000-0005-0000-0000-00001B320000}"/>
    <cellStyle name="40% - Accent3 36 3 2" xfId="22488" xr:uid="{00000000-0005-0000-0000-00001C320000}"/>
    <cellStyle name="40% - Accent3 36 4" xfId="9206" xr:uid="{00000000-0005-0000-0000-00001D320000}"/>
    <cellStyle name="40% - Accent3 36 4 2" xfId="20494" xr:uid="{00000000-0005-0000-0000-00001E320000}"/>
    <cellStyle name="40% - Accent3 36 5" xfId="7212" xr:uid="{00000000-0005-0000-0000-00001F320000}"/>
    <cellStyle name="40% - Accent3 36 5 2" xfId="18500" xr:uid="{00000000-0005-0000-0000-000020320000}"/>
    <cellStyle name="40% - Accent3 36 6" xfId="5218" xr:uid="{00000000-0005-0000-0000-000021320000}"/>
    <cellStyle name="40% - Accent3 36 6 2" xfId="16506" xr:uid="{00000000-0005-0000-0000-000022320000}"/>
    <cellStyle name="40% - Accent3 36 7" xfId="14512" xr:uid="{00000000-0005-0000-0000-000023320000}"/>
    <cellStyle name="40% - Accent3 36 8" xfId="13198" xr:uid="{00000000-0005-0000-0000-000024320000}"/>
    <cellStyle name="40% - Accent3 37" xfId="1263" xr:uid="{00000000-0005-0000-0000-000025320000}"/>
    <cellStyle name="40% - Accent3 37 2" xfId="4219" xr:uid="{00000000-0005-0000-0000-000026320000}"/>
    <cellStyle name="40% - Accent3 37 2 2" xfId="12198" xr:uid="{00000000-0005-0000-0000-000027320000}"/>
    <cellStyle name="40% - Accent3 37 2 2 2" xfId="23486" xr:uid="{00000000-0005-0000-0000-000028320000}"/>
    <cellStyle name="40% - Accent3 37 2 3" xfId="10204" xr:uid="{00000000-0005-0000-0000-000029320000}"/>
    <cellStyle name="40% - Accent3 37 2 3 2" xfId="21492" xr:uid="{00000000-0005-0000-0000-00002A320000}"/>
    <cellStyle name="40% - Accent3 37 2 4" xfId="8210" xr:uid="{00000000-0005-0000-0000-00002B320000}"/>
    <cellStyle name="40% - Accent3 37 2 4 2" xfId="19498" xr:uid="{00000000-0005-0000-0000-00002C320000}"/>
    <cellStyle name="40% - Accent3 37 2 5" xfId="6216" xr:uid="{00000000-0005-0000-0000-00002D320000}"/>
    <cellStyle name="40% - Accent3 37 2 5 2" xfId="17504" xr:uid="{00000000-0005-0000-0000-00002E320000}"/>
    <cellStyle name="40% - Accent3 37 2 6" xfId="15510" xr:uid="{00000000-0005-0000-0000-00002F320000}"/>
    <cellStyle name="40% - Accent3 37 3" xfId="11201" xr:uid="{00000000-0005-0000-0000-000030320000}"/>
    <cellStyle name="40% - Accent3 37 3 2" xfId="22489" xr:uid="{00000000-0005-0000-0000-000031320000}"/>
    <cellStyle name="40% - Accent3 37 4" xfId="9207" xr:uid="{00000000-0005-0000-0000-000032320000}"/>
    <cellStyle name="40% - Accent3 37 4 2" xfId="20495" xr:uid="{00000000-0005-0000-0000-000033320000}"/>
    <cellStyle name="40% - Accent3 37 5" xfId="7213" xr:uid="{00000000-0005-0000-0000-000034320000}"/>
    <cellStyle name="40% - Accent3 37 5 2" xfId="18501" xr:uid="{00000000-0005-0000-0000-000035320000}"/>
    <cellStyle name="40% - Accent3 37 6" xfId="5219" xr:uid="{00000000-0005-0000-0000-000036320000}"/>
    <cellStyle name="40% - Accent3 37 6 2" xfId="16507" xr:uid="{00000000-0005-0000-0000-000037320000}"/>
    <cellStyle name="40% - Accent3 37 7" xfId="14513" xr:uid="{00000000-0005-0000-0000-000038320000}"/>
    <cellStyle name="40% - Accent3 37 8" xfId="13199" xr:uid="{00000000-0005-0000-0000-000039320000}"/>
    <cellStyle name="40% - Accent3 38" xfId="1264" xr:uid="{00000000-0005-0000-0000-00003A320000}"/>
    <cellStyle name="40% - Accent3 38 2" xfId="4220" xr:uid="{00000000-0005-0000-0000-00003B320000}"/>
    <cellStyle name="40% - Accent3 38 2 2" xfId="12199" xr:uid="{00000000-0005-0000-0000-00003C320000}"/>
    <cellStyle name="40% - Accent3 38 2 2 2" xfId="23487" xr:uid="{00000000-0005-0000-0000-00003D320000}"/>
    <cellStyle name="40% - Accent3 38 2 3" xfId="10205" xr:uid="{00000000-0005-0000-0000-00003E320000}"/>
    <cellStyle name="40% - Accent3 38 2 3 2" xfId="21493" xr:uid="{00000000-0005-0000-0000-00003F320000}"/>
    <cellStyle name="40% - Accent3 38 2 4" xfId="8211" xr:uid="{00000000-0005-0000-0000-000040320000}"/>
    <cellStyle name="40% - Accent3 38 2 4 2" xfId="19499" xr:uid="{00000000-0005-0000-0000-000041320000}"/>
    <cellStyle name="40% - Accent3 38 2 5" xfId="6217" xr:uid="{00000000-0005-0000-0000-000042320000}"/>
    <cellStyle name="40% - Accent3 38 2 5 2" xfId="17505" xr:uid="{00000000-0005-0000-0000-000043320000}"/>
    <cellStyle name="40% - Accent3 38 2 6" xfId="15511" xr:uid="{00000000-0005-0000-0000-000044320000}"/>
    <cellStyle name="40% - Accent3 38 3" xfId="11202" xr:uid="{00000000-0005-0000-0000-000045320000}"/>
    <cellStyle name="40% - Accent3 38 3 2" xfId="22490" xr:uid="{00000000-0005-0000-0000-000046320000}"/>
    <cellStyle name="40% - Accent3 38 4" xfId="9208" xr:uid="{00000000-0005-0000-0000-000047320000}"/>
    <cellStyle name="40% - Accent3 38 4 2" xfId="20496" xr:uid="{00000000-0005-0000-0000-000048320000}"/>
    <cellStyle name="40% - Accent3 38 5" xfId="7214" xr:uid="{00000000-0005-0000-0000-000049320000}"/>
    <cellStyle name="40% - Accent3 38 5 2" xfId="18502" xr:uid="{00000000-0005-0000-0000-00004A320000}"/>
    <cellStyle name="40% - Accent3 38 6" xfId="5220" xr:uid="{00000000-0005-0000-0000-00004B320000}"/>
    <cellStyle name="40% - Accent3 38 6 2" xfId="16508" xr:uid="{00000000-0005-0000-0000-00004C320000}"/>
    <cellStyle name="40% - Accent3 38 7" xfId="14514" xr:uid="{00000000-0005-0000-0000-00004D320000}"/>
    <cellStyle name="40% - Accent3 38 8" xfId="13200" xr:uid="{00000000-0005-0000-0000-00004E320000}"/>
    <cellStyle name="40% - Accent3 39" xfId="1265" xr:uid="{00000000-0005-0000-0000-00004F320000}"/>
    <cellStyle name="40% - Accent3 39 2" xfId="4221" xr:uid="{00000000-0005-0000-0000-000050320000}"/>
    <cellStyle name="40% - Accent3 39 2 2" xfId="12200" xr:uid="{00000000-0005-0000-0000-000051320000}"/>
    <cellStyle name="40% - Accent3 39 2 2 2" xfId="23488" xr:uid="{00000000-0005-0000-0000-000052320000}"/>
    <cellStyle name="40% - Accent3 39 2 3" xfId="10206" xr:uid="{00000000-0005-0000-0000-000053320000}"/>
    <cellStyle name="40% - Accent3 39 2 3 2" xfId="21494" xr:uid="{00000000-0005-0000-0000-000054320000}"/>
    <cellStyle name="40% - Accent3 39 2 4" xfId="8212" xr:uid="{00000000-0005-0000-0000-000055320000}"/>
    <cellStyle name="40% - Accent3 39 2 4 2" xfId="19500" xr:uid="{00000000-0005-0000-0000-000056320000}"/>
    <cellStyle name="40% - Accent3 39 2 5" xfId="6218" xr:uid="{00000000-0005-0000-0000-000057320000}"/>
    <cellStyle name="40% - Accent3 39 2 5 2" xfId="17506" xr:uid="{00000000-0005-0000-0000-000058320000}"/>
    <cellStyle name="40% - Accent3 39 2 6" xfId="15512" xr:uid="{00000000-0005-0000-0000-000059320000}"/>
    <cellStyle name="40% - Accent3 39 3" xfId="11203" xr:uid="{00000000-0005-0000-0000-00005A320000}"/>
    <cellStyle name="40% - Accent3 39 3 2" xfId="22491" xr:uid="{00000000-0005-0000-0000-00005B320000}"/>
    <cellStyle name="40% - Accent3 39 4" xfId="9209" xr:uid="{00000000-0005-0000-0000-00005C320000}"/>
    <cellStyle name="40% - Accent3 39 4 2" xfId="20497" xr:uid="{00000000-0005-0000-0000-00005D320000}"/>
    <cellStyle name="40% - Accent3 39 5" xfId="7215" xr:uid="{00000000-0005-0000-0000-00005E320000}"/>
    <cellStyle name="40% - Accent3 39 5 2" xfId="18503" xr:uid="{00000000-0005-0000-0000-00005F320000}"/>
    <cellStyle name="40% - Accent3 39 6" xfId="5221" xr:uid="{00000000-0005-0000-0000-000060320000}"/>
    <cellStyle name="40% - Accent3 39 6 2" xfId="16509" xr:uid="{00000000-0005-0000-0000-000061320000}"/>
    <cellStyle name="40% - Accent3 39 7" xfId="14515" xr:uid="{00000000-0005-0000-0000-000062320000}"/>
    <cellStyle name="40% - Accent3 39 8" xfId="13201" xr:uid="{00000000-0005-0000-0000-000063320000}"/>
    <cellStyle name="40% - Accent3 4" xfId="1266" xr:uid="{00000000-0005-0000-0000-000064320000}"/>
    <cellStyle name="40% - Accent3 4 10" xfId="24609" xr:uid="{00000000-0005-0000-0000-000065320000}"/>
    <cellStyle name="40% - Accent3 4 11" xfId="24999" xr:uid="{00000000-0005-0000-0000-000066320000}"/>
    <cellStyle name="40% - Accent3 4 2" xfId="4222" xr:uid="{00000000-0005-0000-0000-000067320000}"/>
    <cellStyle name="40% - Accent3 4 2 2" xfId="12201" xr:uid="{00000000-0005-0000-0000-000068320000}"/>
    <cellStyle name="40% - Accent3 4 2 2 2" xfId="23489" xr:uid="{00000000-0005-0000-0000-000069320000}"/>
    <cellStyle name="40% - Accent3 4 2 3" xfId="10207" xr:uid="{00000000-0005-0000-0000-00006A320000}"/>
    <cellStyle name="40% - Accent3 4 2 3 2" xfId="21495" xr:uid="{00000000-0005-0000-0000-00006B320000}"/>
    <cellStyle name="40% - Accent3 4 2 4" xfId="8213" xr:uid="{00000000-0005-0000-0000-00006C320000}"/>
    <cellStyle name="40% - Accent3 4 2 4 2" xfId="19501" xr:uid="{00000000-0005-0000-0000-00006D320000}"/>
    <cellStyle name="40% - Accent3 4 2 5" xfId="6219" xr:uid="{00000000-0005-0000-0000-00006E320000}"/>
    <cellStyle name="40% - Accent3 4 2 5 2" xfId="17507" xr:uid="{00000000-0005-0000-0000-00006F320000}"/>
    <cellStyle name="40% - Accent3 4 2 6" xfId="15513" xr:uid="{00000000-0005-0000-0000-000070320000}"/>
    <cellStyle name="40% - Accent3 4 2 7" xfId="24370" xr:uid="{00000000-0005-0000-0000-000071320000}"/>
    <cellStyle name="40% - Accent3 4 2 8" xfId="24834" xr:uid="{00000000-0005-0000-0000-000072320000}"/>
    <cellStyle name="40% - Accent3 4 2 9" xfId="25201" xr:uid="{00000000-0005-0000-0000-000073320000}"/>
    <cellStyle name="40% - Accent3 4 3" xfId="11204" xr:uid="{00000000-0005-0000-0000-000074320000}"/>
    <cellStyle name="40% - Accent3 4 3 2" xfId="22492" xr:uid="{00000000-0005-0000-0000-000075320000}"/>
    <cellStyle name="40% - Accent3 4 4" xfId="9210" xr:uid="{00000000-0005-0000-0000-000076320000}"/>
    <cellStyle name="40% - Accent3 4 4 2" xfId="20498" xr:uid="{00000000-0005-0000-0000-000077320000}"/>
    <cellStyle name="40% - Accent3 4 5" xfId="7216" xr:uid="{00000000-0005-0000-0000-000078320000}"/>
    <cellStyle name="40% - Accent3 4 5 2" xfId="18504" xr:uid="{00000000-0005-0000-0000-000079320000}"/>
    <cellStyle name="40% - Accent3 4 6" xfId="5222" xr:uid="{00000000-0005-0000-0000-00007A320000}"/>
    <cellStyle name="40% - Accent3 4 6 2" xfId="16510" xr:uid="{00000000-0005-0000-0000-00007B320000}"/>
    <cellStyle name="40% - Accent3 4 7" xfId="14516" xr:uid="{00000000-0005-0000-0000-00007C320000}"/>
    <cellStyle name="40% - Accent3 4 8" xfId="13202" xr:uid="{00000000-0005-0000-0000-00007D320000}"/>
    <cellStyle name="40% - Accent3 4 9" xfId="23982" xr:uid="{00000000-0005-0000-0000-00007E320000}"/>
    <cellStyle name="40% - Accent3 40" xfId="1267" xr:uid="{00000000-0005-0000-0000-00007F320000}"/>
    <cellStyle name="40% - Accent3 40 2" xfId="4223" xr:uid="{00000000-0005-0000-0000-000080320000}"/>
    <cellStyle name="40% - Accent3 40 2 2" xfId="12202" xr:uid="{00000000-0005-0000-0000-000081320000}"/>
    <cellStyle name="40% - Accent3 40 2 2 2" xfId="23490" xr:uid="{00000000-0005-0000-0000-000082320000}"/>
    <cellStyle name="40% - Accent3 40 2 3" xfId="10208" xr:uid="{00000000-0005-0000-0000-000083320000}"/>
    <cellStyle name="40% - Accent3 40 2 3 2" xfId="21496" xr:uid="{00000000-0005-0000-0000-000084320000}"/>
    <cellStyle name="40% - Accent3 40 2 4" xfId="8214" xr:uid="{00000000-0005-0000-0000-000085320000}"/>
    <cellStyle name="40% - Accent3 40 2 4 2" xfId="19502" xr:uid="{00000000-0005-0000-0000-000086320000}"/>
    <cellStyle name="40% - Accent3 40 2 5" xfId="6220" xr:uid="{00000000-0005-0000-0000-000087320000}"/>
    <cellStyle name="40% - Accent3 40 2 5 2" xfId="17508" xr:uid="{00000000-0005-0000-0000-000088320000}"/>
    <cellStyle name="40% - Accent3 40 2 6" xfId="15514" xr:uid="{00000000-0005-0000-0000-000089320000}"/>
    <cellStyle name="40% - Accent3 40 3" xfId="11205" xr:uid="{00000000-0005-0000-0000-00008A320000}"/>
    <cellStyle name="40% - Accent3 40 3 2" xfId="22493" xr:uid="{00000000-0005-0000-0000-00008B320000}"/>
    <cellStyle name="40% - Accent3 40 4" xfId="9211" xr:uid="{00000000-0005-0000-0000-00008C320000}"/>
    <cellStyle name="40% - Accent3 40 4 2" xfId="20499" xr:uid="{00000000-0005-0000-0000-00008D320000}"/>
    <cellStyle name="40% - Accent3 40 5" xfId="7217" xr:uid="{00000000-0005-0000-0000-00008E320000}"/>
    <cellStyle name="40% - Accent3 40 5 2" xfId="18505" xr:uid="{00000000-0005-0000-0000-00008F320000}"/>
    <cellStyle name="40% - Accent3 40 6" xfId="5223" xr:uid="{00000000-0005-0000-0000-000090320000}"/>
    <cellStyle name="40% - Accent3 40 6 2" xfId="16511" xr:uid="{00000000-0005-0000-0000-000091320000}"/>
    <cellStyle name="40% - Accent3 40 7" xfId="14517" xr:uid="{00000000-0005-0000-0000-000092320000}"/>
    <cellStyle name="40% - Accent3 40 8" xfId="13203" xr:uid="{00000000-0005-0000-0000-000093320000}"/>
    <cellStyle name="40% - Accent3 41" xfId="1268" xr:uid="{00000000-0005-0000-0000-000094320000}"/>
    <cellStyle name="40% - Accent3 41 2" xfId="4224" xr:uid="{00000000-0005-0000-0000-000095320000}"/>
    <cellStyle name="40% - Accent3 41 2 2" xfId="12203" xr:uid="{00000000-0005-0000-0000-000096320000}"/>
    <cellStyle name="40% - Accent3 41 2 2 2" xfId="23491" xr:uid="{00000000-0005-0000-0000-000097320000}"/>
    <cellStyle name="40% - Accent3 41 2 3" xfId="10209" xr:uid="{00000000-0005-0000-0000-000098320000}"/>
    <cellStyle name="40% - Accent3 41 2 3 2" xfId="21497" xr:uid="{00000000-0005-0000-0000-000099320000}"/>
    <cellStyle name="40% - Accent3 41 2 4" xfId="8215" xr:uid="{00000000-0005-0000-0000-00009A320000}"/>
    <cellStyle name="40% - Accent3 41 2 4 2" xfId="19503" xr:uid="{00000000-0005-0000-0000-00009B320000}"/>
    <cellStyle name="40% - Accent3 41 2 5" xfId="6221" xr:uid="{00000000-0005-0000-0000-00009C320000}"/>
    <cellStyle name="40% - Accent3 41 2 5 2" xfId="17509" xr:uid="{00000000-0005-0000-0000-00009D320000}"/>
    <cellStyle name="40% - Accent3 41 2 6" xfId="15515" xr:uid="{00000000-0005-0000-0000-00009E320000}"/>
    <cellStyle name="40% - Accent3 41 3" xfId="11206" xr:uid="{00000000-0005-0000-0000-00009F320000}"/>
    <cellStyle name="40% - Accent3 41 3 2" xfId="22494" xr:uid="{00000000-0005-0000-0000-0000A0320000}"/>
    <cellStyle name="40% - Accent3 41 4" xfId="9212" xr:uid="{00000000-0005-0000-0000-0000A1320000}"/>
    <cellStyle name="40% - Accent3 41 4 2" xfId="20500" xr:uid="{00000000-0005-0000-0000-0000A2320000}"/>
    <cellStyle name="40% - Accent3 41 5" xfId="7218" xr:uid="{00000000-0005-0000-0000-0000A3320000}"/>
    <cellStyle name="40% - Accent3 41 5 2" xfId="18506" xr:uid="{00000000-0005-0000-0000-0000A4320000}"/>
    <cellStyle name="40% - Accent3 41 6" xfId="5224" xr:uid="{00000000-0005-0000-0000-0000A5320000}"/>
    <cellStyle name="40% - Accent3 41 6 2" xfId="16512" xr:uid="{00000000-0005-0000-0000-0000A6320000}"/>
    <cellStyle name="40% - Accent3 41 7" xfId="14518" xr:uid="{00000000-0005-0000-0000-0000A7320000}"/>
    <cellStyle name="40% - Accent3 41 8" xfId="13204" xr:uid="{00000000-0005-0000-0000-0000A8320000}"/>
    <cellStyle name="40% - Accent3 42" xfId="1269" xr:uid="{00000000-0005-0000-0000-0000A9320000}"/>
    <cellStyle name="40% - Accent3 42 2" xfId="4225" xr:uid="{00000000-0005-0000-0000-0000AA320000}"/>
    <cellStyle name="40% - Accent3 42 2 2" xfId="12204" xr:uid="{00000000-0005-0000-0000-0000AB320000}"/>
    <cellStyle name="40% - Accent3 42 2 2 2" xfId="23492" xr:uid="{00000000-0005-0000-0000-0000AC320000}"/>
    <cellStyle name="40% - Accent3 42 2 3" xfId="10210" xr:uid="{00000000-0005-0000-0000-0000AD320000}"/>
    <cellStyle name="40% - Accent3 42 2 3 2" xfId="21498" xr:uid="{00000000-0005-0000-0000-0000AE320000}"/>
    <cellStyle name="40% - Accent3 42 2 4" xfId="8216" xr:uid="{00000000-0005-0000-0000-0000AF320000}"/>
    <cellStyle name="40% - Accent3 42 2 4 2" xfId="19504" xr:uid="{00000000-0005-0000-0000-0000B0320000}"/>
    <cellStyle name="40% - Accent3 42 2 5" xfId="6222" xr:uid="{00000000-0005-0000-0000-0000B1320000}"/>
    <cellStyle name="40% - Accent3 42 2 5 2" xfId="17510" xr:uid="{00000000-0005-0000-0000-0000B2320000}"/>
    <cellStyle name="40% - Accent3 42 2 6" xfId="15516" xr:uid="{00000000-0005-0000-0000-0000B3320000}"/>
    <cellStyle name="40% - Accent3 42 3" xfId="11207" xr:uid="{00000000-0005-0000-0000-0000B4320000}"/>
    <cellStyle name="40% - Accent3 42 3 2" xfId="22495" xr:uid="{00000000-0005-0000-0000-0000B5320000}"/>
    <cellStyle name="40% - Accent3 42 4" xfId="9213" xr:uid="{00000000-0005-0000-0000-0000B6320000}"/>
    <cellStyle name="40% - Accent3 42 4 2" xfId="20501" xr:uid="{00000000-0005-0000-0000-0000B7320000}"/>
    <cellStyle name="40% - Accent3 42 5" xfId="7219" xr:uid="{00000000-0005-0000-0000-0000B8320000}"/>
    <cellStyle name="40% - Accent3 42 5 2" xfId="18507" xr:uid="{00000000-0005-0000-0000-0000B9320000}"/>
    <cellStyle name="40% - Accent3 42 6" xfId="5225" xr:uid="{00000000-0005-0000-0000-0000BA320000}"/>
    <cellStyle name="40% - Accent3 42 6 2" xfId="16513" xr:uid="{00000000-0005-0000-0000-0000BB320000}"/>
    <cellStyle name="40% - Accent3 42 7" xfId="14519" xr:uid="{00000000-0005-0000-0000-0000BC320000}"/>
    <cellStyle name="40% - Accent3 42 8" xfId="13205" xr:uid="{00000000-0005-0000-0000-0000BD320000}"/>
    <cellStyle name="40% - Accent3 43" xfId="1270" xr:uid="{00000000-0005-0000-0000-0000BE320000}"/>
    <cellStyle name="40% - Accent3 43 2" xfId="4226" xr:uid="{00000000-0005-0000-0000-0000BF320000}"/>
    <cellStyle name="40% - Accent3 43 2 2" xfId="12205" xr:uid="{00000000-0005-0000-0000-0000C0320000}"/>
    <cellStyle name="40% - Accent3 43 2 2 2" xfId="23493" xr:uid="{00000000-0005-0000-0000-0000C1320000}"/>
    <cellStyle name="40% - Accent3 43 2 3" xfId="10211" xr:uid="{00000000-0005-0000-0000-0000C2320000}"/>
    <cellStyle name="40% - Accent3 43 2 3 2" xfId="21499" xr:uid="{00000000-0005-0000-0000-0000C3320000}"/>
    <cellStyle name="40% - Accent3 43 2 4" xfId="8217" xr:uid="{00000000-0005-0000-0000-0000C4320000}"/>
    <cellStyle name="40% - Accent3 43 2 4 2" xfId="19505" xr:uid="{00000000-0005-0000-0000-0000C5320000}"/>
    <cellStyle name="40% - Accent3 43 2 5" xfId="6223" xr:uid="{00000000-0005-0000-0000-0000C6320000}"/>
    <cellStyle name="40% - Accent3 43 2 5 2" xfId="17511" xr:uid="{00000000-0005-0000-0000-0000C7320000}"/>
    <cellStyle name="40% - Accent3 43 2 6" xfId="15517" xr:uid="{00000000-0005-0000-0000-0000C8320000}"/>
    <cellStyle name="40% - Accent3 43 3" xfId="11208" xr:uid="{00000000-0005-0000-0000-0000C9320000}"/>
    <cellStyle name="40% - Accent3 43 3 2" xfId="22496" xr:uid="{00000000-0005-0000-0000-0000CA320000}"/>
    <cellStyle name="40% - Accent3 43 4" xfId="9214" xr:uid="{00000000-0005-0000-0000-0000CB320000}"/>
    <cellStyle name="40% - Accent3 43 4 2" xfId="20502" xr:uid="{00000000-0005-0000-0000-0000CC320000}"/>
    <cellStyle name="40% - Accent3 43 5" xfId="7220" xr:uid="{00000000-0005-0000-0000-0000CD320000}"/>
    <cellStyle name="40% - Accent3 43 5 2" xfId="18508" xr:uid="{00000000-0005-0000-0000-0000CE320000}"/>
    <cellStyle name="40% - Accent3 43 6" xfId="5226" xr:uid="{00000000-0005-0000-0000-0000CF320000}"/>
    <cellStyle name="40% - Accent3 43 6 2" xfId="16514" xr:uid="{00000000-0005-0000-0000-0000D0320000}"/>
    <cellStyle name="40% - Accent3 43 7" xfId="14520" xr:uid="{00000000-0005-0000-0000-0000D1320000}"/>
    <cellStyle name="40% - Accent3 43 8" xfId="13206" xr:uid="{00000000-0005-0000-0000-0000D2320000}"/>
    <cellStyle name="40% - Accent3 44" xfId="1271" xr:uid="{00000000-0005-0000-0000-0000D3320000}"/>
    <cellStyle name="40% - Accent3 44 2" xfId="4227" xr:uid="{00000000-0005-0000-0000-0000D4320000}"/>
    <cellStyle name="40% - Accent3 44 2 2" xfId="12206" xr:uid="{00000000-0005-0000-0000-0000D5320000}"/>
    <cellStyle name="40% - Accent3 44 2 2 2" xfId="23494" xr:uid="{00000000-0005-0000-0000-0000D6320000}"/>
    <cellStyle name="40% - Accent3 44 2 3" xfId="10212" xr:uid="{00000000-0005-0000-0000-0000D7320000}"/>
    <cellStyle name="40% - Accent3 44 2 3 2" xfId="21500" xr:uid="{00000000-0005-0000-0000-0000D8320000}"/>
    <cellStyle name="40% - Accent3 44 2 4" xfId="8218" xr:uid="{00000000-0005-0000-0000-0000D9320000}"/>
    <cellStyle name="40% - Accent3 44 2 4 2" xfId="19506" xr:uid="{00000000-0005-0000-0000-0000DA320000}"/>
    <cellStyle name="40% - Accent3 44 2 5" xfId="6224" xr:uid="{00000000-0005-0000-0000-0000DB320000}"/>
    <cellStyle name="40% - Accent3 44 2 5 2" xfId="17512" xr:uid="{00000000-0005-0000-0000-0000DC320000}"/>
    <cellStyle name="40% - Accent3 44 2 6" xfId="15518" xr:uid="{00000000-0005-0000-0000-0000DD320000}"/>
    <cellStyle name="40% - Accent3 44 3" xfId="11209" xr:uid="{00000000-0005-0000-0000-0000DE320000}"/>
    <cellStyle name="40% - Accent3 44 3 2" xfId="22497" xr:uid="{00000000-0005-0000-0000-0000DF320000}"/>
    <cellStyle name="40% - Accent3 44 4" xfId="9215" xr:uid="{00000000-0005-0000-0000-0000E0320000}"/>
    <cellStyle name="40% - Accent3 44 4 2" xfId="20503" xr:uid="{00000000-0005-0000-0000-0000E1320000}"/>
    <cellStyle name="40% - Accent3 44 5" xfId="7221" xr:uid="{00000000-0005-0000-0000-0000E2320000}"/>
    <cellStyle name="40% - Accent3 44 5 2" xfId="18509" xr:uid="{00000000-0005-0000-0000-0000E3320000}"/>
    <cellStyle name="40% - Accent3 44 6" xfId="5227" xr:uid="{00000000-0005-0000-0000-0000E4320000}"/>
    <cellStyle name="40% - Accent3 44 6 2" xfId="16515" xr:uid="{00000000-0005-0000-0000-0000E5320000}"/>
    <cellStyle name="40% - Accent3 44 7" xfId="14521" xr:uid="{00000000-0005-0000-0000-0000E6320000}"/>
    <cellStyle name="40% - Accent3 44 8" xfId="13207" xr:uid="{00000000-0005-0000-0000-0000E7320000}"/>
    <cellStyle name="40% - Accent3 45" xfId="1272" xr:uid="{00000000-0005-0000-0000-0000E8320000}"/>
    <cellStyle name="40% - Accent3 45 2" xfId="4228" xr:uid="{00000000-0005-0000-0000-0000E9320000}"/>
    <cellStyle name="40% - Accent3 45 2 2" xfId="12207" xr:uid="{00000000-0005-0000-0000-0000EA320000}"/>
    <cellStyle name="40% - Accent3 45 2 2 2" xfId="23495" xr:uid="{00000000-0005-0000-0000-0000EB320000}"/>
    <cellStyle name="40% - Accent3 45 2 3" xfId="10213" xr:uid="{00000000-0005-0000-0000-0000EC320000}"/>
    <cellStyle name="40% - Accent3 45 2 3 2" xfId="21501" xr:uid="{00000000-0005-0000-0000-0000ED320000}"/>
    <cellStyle name="40% - Accent3 45 2 4" xfId="8219" xr:uid="{00000000-0005-0000-0000-0000EE320000}"/>
    <cellStyle name="40% - Accent3 45 2 4 2" xfId="19507" xr:uid="{00000000-0005-0000-0000-0000EF320000}"/>
    <cellStyle name="40% - Accent3 45 2 5" xfId="6225" xr:uid="{00000000-0005-0000-0000-0000F0320000}"/>
    <cellStyle name="40% - Accent3 45 2 5 2" xfId="17513" xr:uid="{00000000-0005-0000-0000-0000F1320000}"/>
    <cellStyle name="40% - Accent3 45 2 6" xfId="15519" xr:uid="{00000000-0005-0000-0000-0000F2320000}"/>
    <cellStyle name="40% - Accent3 45 3" xfId="11210" xr:uid="{00000000-0005-0000-0000-0000F3320000}"/>
    <cellStyle name="40% - Accent3 45 3 2" xfId="22498" xr:uid="{00000000-0005-0000-0000-0000F4320000}"/>
    <cellStyle name="40% - Accent3 45 4" xfId="9216" xr:uid="{00000000-0005-0000-0000-0000F5320000}"/>
    <cellStyle name="40% - Accent3 45 4 2" xfId="20504" xr:uid="{00000000-0005-0000-0000-0000F6320000}"/>
    <cellStyle name="40% - Accent3 45 5" xfId="7222" xr:uid="{00000000-0005-0000-0000-0000F7320000}"/>
    <cellStyle name="40% - Accent3 45 5 2" xfId="18510" xr:uid="{00000000-0005-0000-0000-0000F8320000}"/>
    <cellStyle name="40% - Accent3 45 6" xfId="5228" xr:uid="{00000000-0005-0000-0000-0000F9320000}"/>
    <cellStyle name="40% - Accent3 45 6 2" xfId="16516" xr:uid="{00000000-0005-0000-0000-0000FA320000}"/>
    <cellStyle name="40% - Accent3 45 7" xfId="14522" xr:uid="{00000000-0005-0000-0000-0000FB320000}"/>
    <cellStyle name="40% - Accent3 45 8" xfId="13208" xr:uid="{00000000-0005-0000-0000-0000FC320000}"/>
    <cellStyle name="40% - Accent3 46" xfId="1273" xr:uid="{00000000-0005-0000-0000-0000FD320000}"/>
    <cellStyle name="40% - Accent3 46 2" xfId="4229" xr:uid="{00000000-0005-0000-0000-0000FE320000}"/>
    <cellStyle name="40% - Accent3 46 2 2" xfId="12208" xr:uid="{00000000-0005-0000-0000-0000FF320000}"/>
    <cellStyle name="40% - Accent3 46 2 2 2" xfId="23496" xr:uid="{00000000-0005-0000-0000-000000330000}"/>
    <cellStyle name="40% - Accent3 46 2 3" xfId="10214" xr:uid="{00000000-0005-0000-0000-000001330000}"/>
    <cellStyle name="40% - Accent3 46 2 3 2" xfId="21502" xr:uid="{00000000-0005-0000-0000-000002330000}"/>
    <cellStyle name="40% - Accent3 46 2 4" xfId="8220" xr:uid="{00000000-0005-0000-0000-000003330000}"/>
    <cellStyle name="40% - Accent3 46 2 4 2" xfId="19508" xr:uid="{00000000-0005-0000-0000-000004330000}"/>
    <cellStyle name="40% - Accent3 46 2 5" xfId="6226" xr:uid="{00000000-0005-0000-0000-000005330000}"/>
    <cellStyle name="40% - Accent3 46 2 5 2" xfId="17514" xr:uid="{00000000-0005-0000-0000-000006330000}"/>
    <cellStyle name="40% - Accent3 46 2 6" xfId="15520" xr:uid="{00000000-0005-0000-0000-000007330000}"/>
    <cellStyle name="40% - Accent3 46 3" xfId="11211" xr:uid="{00000000-0005-0000-0000-000008330000}"/>
    <cellStyle name="40% - Accent3 46 3 2" xfId="22499" xr:uid="{00000000-0005-0000-0000-000009330000}"/>
    <cellStyle name="40% - Accent3 46 4" xfId="9217" xr:uid="{00000000-0005-0000-0000-00000A330000}"/>
    <cellStyle name="40% - Accent3 46 4 2" xfId="20505" xr:uid="{00000000-0005-0000-0000-00000B330000}"/>
    <cellStyle name="40% - Accent3 46 5" xfId="7223" xr:uid="{00000000-0005-0000-0000-00000C330000}"/>
    <cellStyle name="40% - Accent3 46 5 2" xfId="18511" xr:uid="{00000000-0005-0000-0000-00000D330000}"/>
    <cellStyle name="40% - Accent3 46 6" xfId="5229" xr:uid="{00000000-0005-0000-0000-00000E330000}"/>
    <cellStyle name="40% - Accent3 46 6 2" xfId="16517" xr:uid="{00000000-0005-0000-0000-00000F330000}"/>
    <cellStyle name="40% - Accent3 46 7" xfId="14523" xr:uid="{00000000-0005-0000-0000-000010330000}"/>
    <cellStyle name="40% - Accent3 46 8" xfId="13209" xr:uid="{00000000-0005-0000-0000-000011330000}"/>
    <cellStyle name="40% - Accent3 47" xfId="1274" xr:uid="{00000000-0005-0000-0000-000012330000}"/>
    <cellStyle name="40% - Accent3 47 2" xfId="4230" xr:uid="{00000000-0005-0000-0000-000013330000}"/>
    <cellStyle name="40% - Accent3 47 2 2" xfId="12209" xr:uid="{00000000-0005-0000-0000-000014330000}"/>
    <cellStyle name="40% - Accent3 47 2 2 2" xfId="23497" xr:uid="{00000000-0005-0000-0000-000015330000}"/>
    <cellStyle name="40% - Accent3 47 2 3" xfId="10215" xr:uid="{00000000-0005-0000-0000-000016330000}"/>
    <cellStyle name="40% - Accent3 47 2 3 2" xfId="21503" xr:uid="{00000000-0005-0000-0000-000017330000}"/>
    <cellStyle name="40% - Accent3 47 2 4" xfId="8221" xr:uid="{00000000-0005-0000-0000-000018330000}"/>
    <cellStyle name="40% - Accent3 47 2 4 2" xfId="19509" xr:uid="{00000000-0005-0000-0000-000019330000}"/>
    <cellStyle name="40% - Accent3 47 2 5" xfId="6227" xr:uid="{00000000-0005-0000-0000-00001A330000}"/>
    <cellStyle name="40% - Accent3 47 2 5 2" xfId="17515" xr:uid="{00000000-0005-0000-0000-00001B330000}"/>
    <cellStyle name="40% - Accent3 47 2 6" xfId="15521" xr:uid="{00000000-0005-0000-0000-00001C330000}"/>
    <cellStyle name="40% - Accent3 47 3" xfId="11212" xr:uid="{00000000-0005-0000-0000-00001D330000}"/>
    <cellStyle name="40% - Accent3 47 3 2" xfId="22500" xr:uid="{00000000-0005-0000-0000-00001E330000}"/>
    <cellStyle name="40% - Accent3 47 4" xfId="9218" xr:uid="{00000000-0005-0000-0000-00001F330000}"/>
    <cellStyle name="40% - Accent3 47 4 2" xfId="20506" xr:uid="{00000000-0005-0000-0000-000020330000}"/>
    <cellStyle name="40% - Accent3 47 5" xfId="7224" xr:uid="{00000000-0005-0000-0000-000021330000}"/>
    <cellStyle name="40% - Accent3 47 5 2" xfId="18512" xr:uid="{00000000-0005-0000-0000-000022330000}"/>
    <cellStyle name="40% - Accent3 47 6" xfId="5230" xr:uid="{00000000-0005-0000-0000-000023330000}"/>
    <cellStyle name="40% - Accent3 47 6 2" xfId="16518" xr:uid="{00000000-0005-0000-0000-000024330000}"/>
    <cellStyle name="40% - Accent3 47 7" xfId="14524" xr:uid="{00000000-0005-0000-0000-000025330000}"/>
    <cellStyle name="40% - Accent3 47 8" xfId="13210" xr:uid="{00000000-0005-0000-0000-000026330000}"/>
    <cellStyle name="40% - Accent3 48" xfId="1275" xr:uid="{00000000-0005-0000-0000-000027330000}"/>
    <cellStyle name="40% - Accent3 48 2" xfId="4231" xr:uid="{00000000-0005-0000-0000-000028330000}"/>
    <cellStyle name="40% - Accent3 48 2 2" xfId="12210" xr:uid="{00000000-0005-0000-0000-000029330000}"/>
    <cellStyle name="40% - Accent3 48 2 2 2" xfId="23498" xr:uid="{00000000-0005-0000-0000-00002A330000}"/>
    <cellStyle name="40% - Accent3 48 2 3" xfId="10216" xr:uid="{00000000-0005-0000-0000-00002B330000}"/>
    <cellStyle name="40% - Accent3 48 2 3 2" xfId="21504" xr:uid="{00000000-0005-0000-0000-00002C330000}"/>
    <cellStyle name="40% - Accent3 48 2 4" xfId="8222" xr:uid="{00000000-0005-0000-0000-00002D330000}"/>
    <cellStyle name="40% - Accent3 48 2 4 2" xfId="19510" xr:uid="{00000000-0005-0000-0000-00002E330000}"/>
    <cellStyle name="40% - Accent3 48 2 5" xfId="6228" xr:uid="{00000000-0005-0000-0000-00002F330000}"/>
    <cellStyle name="40% - Accent3 48 2 5 2" xfId="17516" xr:uid="{00000000-0005-0000-0000-000030330000}"/>
    <cellStyle name="40% - Accent3 48 2 6" xfId="15522" xr:uid="{00000000-0005-0000-0000-000031330000}"/>
    <cellStyle name="40% - Accent3 48 3" xfId="11213" xr:uid="{00000000-0005-0000-0000-000032330000}"/>
    <cellStyle name="40% - Accent3 48 3 2" xfId="22501" xr:uid="{00000000-0005-0000-0000-000033330000}"/>
    <cellStyle name="40% - Accent3 48 4" xfId="9219" xr:uid="{00000000-0005-0000-0000-000034330000}"/>
    <cellStyle name="40% - Accent3 48 4 2" xfId="20507" xr:uid="{00000000-0005-0000-0000-000035330000}"/>
    <cellStyle name="40% - Accent3 48 5" xfId="7225" xr:uid="{00000000-0005-0000-0000-000036330000}"/>
    <cellStyle name="40% - Accent3 48 5 2" xfId="18513" xr:uid="{00000000-0005-0000-0000-000037330000}"/>
    <cellStyle name="40% - Accent3 48 6" xfId="5231" xr:uid="{00000000-0005-0000-0000-000038330000}"/>
    <cellStyle name="40% - Accent3 48 6 2" xfId="16519" xr:uid="{00000000-0005-0000-0000-000039330000}"/>
    <cellStyle name="40% - Accent3 48 7" xfId="14525" xr:uid="{00000000-0005-0000-0000-00003A330000}"/>
    <cellStyle name="40% - Accent3 48 8" xfId="13211" xr:uid="{00000000-0005-0000-0000-00003B330000}"/>
    <cellStyle name="40% - Accent3 49" xfId="1276" xr:uid="{00000000-0005-0000-0000-00003C330000}"/>
    <cellStyle name="40% - Accent3 49 2" xfId="4232" xr:uid="{00000000-0005-0000-0000-00003D330000}"/>
    <cellStyle name="40% - Accent3 49 2 2" xfId="12211" xr:uid="{00000000-0005-0000-0000-00003E330000}"/>
    <cellStyle name="40% - Accent3 49 2 2 2" xfId="23499" xr:uid="{00000000-0005-0000-0000-00003F330000}"/>
    <cellStyle name="40% - Accent3 49 2 3" xfId="10217" xr:uid="{00000000-0005-0000-0000-000040330000}"/>
    <cellStyle name="40% - Accent3 49 2 3 2" xfId="21505" xr:uid="{00000000-0005-0000-0000-000041330000}"/>
    <cellStyle name="40% - Accent3 49 2 4" xfId="8223" xr:uid="{00000000-0005-0000-0000-000042330000}"/>
    <cellStyle name="40% - Accent3 49 2 4 2" xfId="19511" xr:uid="{00000000-0005-0000-0000-000043330000}"/>
    <cellStyle name="40% - Accent3 49 2 5" xfId="6229" xr:uid="{00000000-0005-0000-0000-000044330000}"/>
    <cellStyle name="40% - Accent3 49 2 5 2" xfId="17517" xr:uid="{00000000-0005-0000-0000-000045330000}"/>
    <cellStyle name="40% - Accent3 49 2 6" xfId="15523" xr:uid="{00000000-0005-0000-0000-000046330000}"/>
    <cellStyle name="40% - Accent3 49 3" xfId="11214" xr:uid="{00000000-0005-0000-0000-000047330000}"/>
    <cellStyle name="40% - Accent3 49 3 2" xfId="22502" xr:uid="{00000000-0005-0000-0000-000048330000}"/>
    <cellStyle name="40% - Accent3 49 4" xfId="9220" xr:uid="{00000000-0005-0000-0000-000049330000}"/>
    <cellStyle name="40% - Accent3 49 4 2" xfId="20508" xr:uid="{00000000-0005-0000-0000-00004A330000}"/>
    <cellStyle name="40% - Accent3 49 5" xfId="7226" xr:uid="{00000000-0005-0000-0000-00004B330000}"/>
    <cellStyle name="40% - Accent3 49 5 2" xfId="18514" xr:uid="{00000000-0005-0000-0000-00004C330000}"/>
    <cellStyle name="40% - Accent3 49 6" xfId="5232" xr:uid="{00000000-0005-0000-0000-00004D330000}"/>
    <cellStyle name="40% - Accent3 49 6 2" xfId="16520" xr:uid="{00000000-0005-0000-0000-00004E330000}"/>
    <cellStyle name="40% - Accent3 49 7" xfId="14526" xr:uid="{00000000-0005-0000-0000-00004F330000}"/>
    <cellStyle name="40% - Accent3 49 8" xfId="13212" xr:uid="{00000000-0005-0000-0000-000050330000}"/>
    <cellStyle name="40% - Accent3 5" xfId="1277" xr:uid="{00000000-0005-0000-0000-000051330000}"/>
    <cellStyle name="40% - Accent3 5 10" xfId="24610" xr:uid="{00000000-0005-0000-0000-000052330000}"/>
    <cellStyle name="40% - Accent3 5 11" xfId="25000" xr:uid="{00000000-0005-0000-0000-000053330000}"/>
    <cellStyle name="40% - Accent3 5 2" xfId="4233" xr:uid="{00000000-0005-0000-0000-000054330000}"/>
    <cellStyle name="40% - Accent3 5 2 2" xfId="12212" xr:uid="{00000000-0005-0000-0000-000055330000}"/>
    <cellStyle name="40% - Accent3 5 2 2 2" xfId="23500" xr:uid="{00000000-0005-0000-0000-000056330000}"/>
    <cellStyle name="40% - Accent3 5 2 3" xfId="10218" xr:uid="{00000000-0005-0000-0000-000057330000}"/>
    <cellStyle name="40% - Accent3 5 2 3 2" xfId="21506" xr:uid="{00000000-0005-0000-0000-000058330000}"/>
    <cellStyle name="40% - Accent3 5 2 4" xfId="8224" xr:uid="{00000000-0005-0000-0000-000059330000}"/>
    <cellStyle name="40% - Accent3 5 2 4 2" xfId="19512" xr:uid="{00000000-0005-0000-0000-00005A330000}"/>
    <cellStyle name="40% - Accent3 5 2 5" xfId="6230" xr:uid="{00000000-0005-0000-0000-00005B330000}"/>
    <cellStyle name="40% - Accent3 5 2 5 2" xfId="17518" xr:uid="{00000000-0005-0000-0000-00005C330000}"/>
    <cellStyle name="40% - Accent3 5 2 6" xfId="15524" xr:uid="{00000000-0005-0000-0000-00005D330000}"/>
    <cellStyle name="40% - Accent3 5 2 7" xfId="24371" xr:uid="{00000000-0005-0000-0000-00005E330000}"/>
    <cellStyle name="40% - Accent3 5 2 8" xfId="24835" xr:uid="{00000000-0005-0000-0000-00005F330000}"/>
    <cellStyle name="40% - Accent3 5 2 9" xfId="25202" xr:uid="{00000000-0005-0000-0000-000060330000}"/>
    <cellStyle name="40% - Accent3 5 3" xfId="11215" xr:uid="{00000000-0005-0000-0000-000061330000}"/>
    <cellStyle name="40% - Accent3 5 3 2" xfId="22503" xr:uid="{00000000-0005-0000-0000-000062330000}"/>
    <cellStyle name="40% - Accent3 5 4" xfId="9221" xr:uid="{00000000-0005-0000-0000-000063330000}"/>
    <cellStyle name="40% - Accent3 5 4 2" xfId="20509" xr:uid="{00000000-0005-0000-0000-000064330000}"/>
    <cellStyle name="40% - Accent3 5 5" xfId="7227" xr:uid="{00000000-0005-0000-0000-000065330000}"/>
    <cellStyle name="40% - Accent3 5 5 2" xfId="18515" xr:uid="{00000000-0005-0000-0000-000066330000}"/>
    <cellStyle name="40% - Accent3 5 6" xfId="5233" xr:uid="{00000000-0005-0000-0000-000067330000}"/>
    <cellStyle name="40% - Accent3 5 6 2" xfId="16521" xr:uid="{00000000-0005-0000-0000-000068330000}"/>
    <cellStyle name="40% - Accent3 5 7" xfId="14527" xr:uid="{00000000-0005-0000-0000-000069330000}"/>
    <cellStyle name="40% - Accent3 5 8" xfId="13213" xr:uid="{00000000-0005-0000-0000-00006A330000}"/>
    <cellStyle name="40% - Accent3 5 9" xfId="23983" xr:uid="{00000000-0005-0000-0000-00006B330000}"/>
    <cellStyle name="40% - Accent3 50" xfId="1278" xr:uid="{00000000-0005-0000-0000-00006C330000}"/>
    <cellStyle name="40% - Accent3 50 2" xfId="4234" xr:uid="{00000000-0005-0000-0000-00006D330000}"/>
    <cellStyle name="40% - Accent3 50 2 2" xfId="12213" xr:uid="{00000000-0005-0000-0000-00006E330000}"/>
    <cellStyle name="40% - Accent3 50 2 2 2" xfId="23501" xr:uid="{00000000-0005-0000-0000-00006F330000}"/>
    <cellStyle name="40% - Accent3 50 2 3" xfId="10219" xr:uid="{00000000-0005-0000-0000-000070330000}"/>
    <cellStyle name="40% - Accent3 50 2 3 2" xfId="21507" xr:uid="{00000000-0005-0000-0000-000071330000}"/>
    <cellStyle name="40% - Accent3 50 2 4" xfId="8225" xr:uid="{00000000-0005-0000-0000-000072330000}"/>
    <cellStyle name="40% - Accent3 50 2 4 2" xfId="19513" xr:uid="{00000000-0005-0000-0000-000073330000}"/>
    <cellStyle name="40% - Accent3 50 2 5" xfId="6231" xr:uid="{00000000-0005-0000-0000-000074330000}"/>
    <cellStyle name="40% - Accent3 50 2 5 2" xfId="17519" xr:uid="{00000000-0005-0000-0000-000075330000}"/>
    <cellStyle name="40% - Accent3 50 2 6" xfId="15525" xr:uid="{00000000-0005-0000-0000-000076330000}"/>
    <cellStyle name="40% - Accent3 50 3" xfId="11216" xr:uid="{00000000-0005-0000-0000-000077330000}"/>
    <cellStyle name="40% - Accent3 50 3 2" xfId="22504" xr:uid="{00000000-0005-0000-0000-000078330000}"/>
    <cellStyle name="40% - Accent3 50 4" xfId="9222" xr:uid="{00000000-0005-0000-0000-000079330000}"/>
    <cellStyle name="40% - Accent3 50 4 2" xfId="20510" xr:uid="{00000000-0005-0000-0000-00007A330000}"/>
    <cellStyle name="40% - Accent3 50 5" xfId="7228" xr:uid="{00000000-0005-0000-0000-00007B330000}"/>
    <cellStyle name="40% - Accent3 50 5 2" xfId="18516" xr:uid="{00000000-0005-0000-0000-00007C330000}"/>
    <cellStyle name="40% - Accent3 50 6" xfId="5234" xr:uid="{00000000-0005-0000-0000-00007D330000}"/>
    <cellStyle name="40% - Accent3 50 6 2" xfId="16522" xr:uid="{00000000-0005-0000-0000-00007E330000}"/>
    <cellStyle name="40% - Accent3 50 7" xfId="14528" xr:uid="{00000000-0005-0000-0000-00007F330000}"/>
    <cellStyle name="40% - Accent3 50 8" xfId="13214" xr:uid="{00000000-0005-0000-0000-000080330000}"/>
    <cellStyle name="40% - Accent3 51" xfId="1279" xr:uid="{00000000-0005-0000-0000-000081330000}"/>
    <cellStyle name="40% - Accent3 51 2" xfId="4235" xr:uid="{00000000-0005-0000-0000-000082330000}"/>
    <cellStyle name="40% - Accent3 51 2 2" xfId="12214" xr:uid="{00000000-0005-0000-0000-000083330000}"/>
    <cellStyle name="40% - Accent3 51 2 2 2" xfId="23502" xr:uid="{00000000-0005-0000-0000-000084330000}"/>
    <cellStyle name="40% - Accent3 51 2 3" xfId="10220" xr:uid="{00000000-0005-0000-0000-000085330000}"/>
    <cellStyle name="40% - Accent3 51 2 3 2" xfId="21508" xr:uid="{00000000-0005-0000-0000-000086330000}"/>
    <cellStyle name="40% - Accent3 51 2 4" xfId="8226" xr:uid="{00000000-0005-0000-0000-000087330000}"/>
    <cellStyle name="40% - Accent3 51 2 4 2" xfId="19514" xr:uid="{00000000-0005-0000-0000-000088330000}"/>
    <cellStyle name="40% - Accent3 51 2 5" xfId="6232" xr:uid="{00000000-0005-0000-0000-000089330000}"/>
    <cellStyle name="40% - Accent3 51 2 5 2" xfId="17520" xr:uid="{00000000-0005-0000-0000-00008A330000}"/>
    <cellStyle name="40% - Accent3 51 2 6" xfId="15526" xr:uid="{00000000-0005-0000-0000-00008B330000}"/>
    <cellStyle name="40% - Accent3 51 3" xfId="11217" xr:uid="{00000000-0005-0000-0000-00008C330000}"/>
    <cellStyle name="40% - Accent3 51 3 2" xfId="22505" xr:uid="{00000000-0005-0000-0000-00008D330000}"/>
    <cellStyle name="40% - Accent3 51 4" xfId="9223" xr:uid="{00000000-0005-0000-0000-00008E330000}"/>
    <cellStyle name="40% - Accent3 51 4 2" xfId="20511" xr:uid="{00000000-0005-0000-0000-00008F330000}"/>
    <cellStyle name="40% - Accent3 51 5" xfId="7229" xr:uid="{00000000-0005-0000-0000-000090330000}"/>
    <cellStyle name="40% - Accent3 51 5 2" xfId="18517" xr:uid="{00000000-0005-0000-0000-000091330000}"/>
    <cellStyle name="40% - Accent3 51 6" xfId="5235" xr:uid="{00000000-0005-0000-0000-000092330000}"/>
    <cellStyle name="40% - Accent3 51 6 2" xfId="16523" xr:uid="{00000000-0005-0000-0000-000093330000}"/>
    <cellStyle name="40% - Accent3 51 7" xfId="14529" xr:uid="{00000000-0005-0000-0000-000094330000}"/>
    <cellStyle name="40% - Accent3 51 8" xfId="13215" xr:uid="{00000000-0005-0000-0000-000095330000}"/>
    <cellStyle name="40% - Accent3 52" xfId="1280" xr:uid="{00000000-0005-0000-0000-000096330000}"/>
    <cellStyle name="40% - Accent3 52 2" xfId="4236" xr:uid="{00000000-0005-0000-0000-000097330000}"/>
    <cellStyle name="40% - Accent3 52 2 2" xfId="12215" xr:uid="{00000000-0005-0000-0000-000098330000}"/>
    <cellStyle name="40% - Accent3 52 2 2 2" xfId="23503" xr:uid="{00000000-0005-0000-0000-000099330000}"/>
    <cellStyle name="40% - Accent3 52 2 3" xfId="10221" xr:uid="{00000000-0005-0000-0000-00009A330000}"/>
    <cellStyle name="40% - Accent3 52 2 3 2" xfId="21509" xr:uid="{00000000-0005-0000-0000-00009B330000}"/>
    <cellStyle name="40% - Accent3 52 2 4" xfId="8227" xr:uid="{00000000-0005-0000-0000-00009C330000}"/>
    <cellStyle name="40% - Accent3 52 2 4 2" xfId="19515" xr:uid="{00000000-0005-0000-0000-00009D330000}"/>
    <cellStyle name="40% - Accent3 52 2 5" xfId="6233" xr:uid="{00000000-0005-0000-0000-00009E330000}"/>
    <cellStyle name="40% - Accent3 52 2 5 2" xfId="17521" xr:uid="{00000000-0005-0000-0000-00009F330000}"/>
    <cellStyle name="40% - Accent3 52 2 6" xfId="15527" xr:uid="{00000000-0005-0000-0000-0000A0330000}"/>
    <cellStyle name="40% - Accent3 52 3" xfId="11218" xr:uid="{00000000-0005-0000-0000-0000A1330000}"/>
    <cellStyle name="40% - Accent3 52 3 2" xfId="22506" xr:uid="{00000000-0005-0000-0000-0000A2330000}"/>
    <cellStyle name="40% - Accent3 52 4" xfId="9224" xr:uid="{00000000-0005-0000-0000-0000A3330000}"/>
    <cellStyle name="40% - Accent3 52 4 2" xfId="20512" xr:uid="{00000000-0005-0000-0000-0000A4330000}"/>
    <cellStyle name="40% - Accent3 52 5" xfId="7230" xr:uid="{00000000-0005-0000-0000-0000A5330000}"/>
    <cellStyle name="40% - Accent3 52 5 2" xfId="18518" xr:uid="{00000000-0005-0000-0000-0000A6330000}"/>
    <cellStyle name="40% - Accent3 52 6" xfId="5236" xr:uid="{00000000-0005-0000-0000-0000A7330000}"/>
    <cellStyle name="40% - Accent3 52 6 2" xfId="16524" xr:uid="{00000000-0005-0000-0000-0000A8330000}"/>
    <cellStyle name="40% - Accent3 52 7" xfId="14530" xr:uid="{00000000-0005-0000-0000-0000A9330000}"/>
    <cellStyle name="40% - Accent3 52 8" xfId="13216" xr:uid="{00000000-0005-0000-0000-0000AA330000}"/>
    <cellStyle name="40% - Accent3 53" xfId="1281" xr:uid="{00000000-0005-0000-0000-0000AB330000}"/>
    <cellStyle name="40% - Accent3 53 2" xfId="4237" xr:uid="{00000000-0005-0000-0000-0000AC330000}"/>
    <cellStyle name="40% - Accent3 53 2 2" xfId="12216" xr:uid="{00000000-0005-0000-0000-0000AD330000}"/>
    <cellStyle name="40% - Accent3 53 2 2 2" xfId="23504" xr:uid="{00000000-0005-0000-0000-0000AE330000}"/>
    <cellStyle name="40% - Accent3 53 2 3" xfId="10222" xr:uid="{00000000-0005-0000-0000-0000AF330000}"/>
    <cellStyle name="40% - Accent3 53 2 3 2" xfId="21510" xr:uid="{00000000-0005-0000-0000-0000B0330000}"/>
    <cellStyle name="40% - Accent3 53 2 4" xfId="8228" xr:uid="{00000000-0005-0000-0000-0000B1330000}"/>
    <cellStyle name="40% - Accent3 53 2 4 2" xfId="19516" xr:uid="{00000000-0005-0000-0000-0000B2330000}"/>
    <cellStyle name="40% - Accent3 53 2 5" xfId="6234" xr:uid="{00000000-0005-0000-0000-0000B3330000}"/>
    <cellStyle name="40% - Accent3 53 2 5 2" xfId="17522" xr:uid="{00000000-0005-0000-0000-0000B4330000}"/>
    <cellStyle name="40% - Accent3 53 2 6" xfId="15528" xr:uid="{00000000-0005-0000-0000-0000B5330000}"/>
    <cellStyle name="40% - Accent3 53 3" xfId="11219" xr:uid="{00000000-0005-0000-0000-0000B6330000}"/>
    <cellStyle name="40% - Accent3 53 3 2" xfId="22507" xr:uid="{00000000-0005-0000-0000-0000B7330000}"/>
    <cellStyle name="40% - Accent3 53 4" xfId="9225" xr:uid="{00000000-0005-0000-0000-0000B8330000}"/>
    <cellStyle name="40% - Accent3 53 4 2" xfId="20513" xr:uid="{00000000-0005-0000-0000-0000B9330000}"/>
    <cellStyle name="40% - Accent3 53 5" xfId="7231" xr:uid="{00000000-0005-0000-0000-0000BA330000}"/>
    <cellStyle name="40% - Accent3 53 5 2" xfId="18519" xr:uid="{00000000-0005-0000-0000-0000BB330000}"/>
    <cellStyle name="40% - Accent3 53 6" xfId="5237" xr:uid="{00000000-0005-0000-0000-0000BC330000}"/>
    <cellStyle name="40% - Accent3 53 6 2" xfId="16525" xr:uid="{00000000-0005-0000-0000-0000BD330000}"/>
    <cellStyle name="40% - Accent3 53 7" xfId="14531" xr:uid="{00000000-0005-0000-0000-0000BE330000}"/>
    <cellStyle name="40% - Accent3 53 8" xfId="13217" xr:uid="{00000000-0005-0000-0000-0000BF330000}"/>
    <cellStyle name="40% - Accent3 54" xfId="1282" xr:uid="{00000000-0005-0000-0000-0000C0330000}"/>
    <cellStyle name="40% - Accent3 54 2" xfId="4238" xr:uid="{00000000-0005-0000-0000-0000C1330000}"/>
    <cellStyle name="40% - Accent3 54 2 2" xfId="12217" xr:uid="{00000000-0005-0000-0000-0000C2330000}"/>
    <cellStyle name="40% - Accent3 54 2 2 2" xfId="23505" xr:uid="{00000000-0005-0000-0000-0000C3330000}"/>
    <cellStyle name="40% - Accent3 54 2 3" xfId="10223" xr:uid="{00000000-0005-0000-0000-0000C4330000}"/>
    <cellStyle name="40% - Accent3 54 2 3 2" xfId="21511" xr:uid="{00000000-0005-0000-0000-0000C5330000}"/>
    <cellStyle name="40% - Accent3 54 2 4" xfId="8229" xr:uid="{00000000-0005-0000-0000-0000C6330000}"/>
    <cellStyle name="40% - Accent3 54 2 4 2" xfId="19517" xr:uid="{00000000-0005-0000-0000-0000C7330000}"/>
    <cellStyle name="40% - Accent3 54 2 5" xfId="6235" xr:uid="{00000000-0005-0000-0000-0000C8330000}"/>
    <cellStyle name="40% - Accent3 54 2 5 2" xfId="17523" xr:uid="{00000000-0005-0000-0000-0000C9330000}"/>
    <cellStyle name="40% - Accent3 54 2 6" xfId="15529" xr:uid="{00000000-0005-0000-0000-0000CA330000}"/>
    <cellStyle name="40% - Accent3 54 3" xfId="11220" xr:uid="{00000000-0005-0000-0000-0000CB330000}"/>
    <cellStyle name="40% - Accent3 54 3 2" xfId="22508" xr:uid="{00000000-0005-0000-0000-0000CC330000}"/>
    <cellStyle name="40% - Accent3 54 4" xfId="9226" xr:uid="{00000000-0005-0000-0000-0000CD330000}"/>
    <cellStyle name="40% - Accent3 54 4 2" xfId="20514" xr:uid="{00000000-0005-0000-0000-0000CE330000}"/>
    <cellStyle name="40% - Accent3 54 5" xfId="7232" xr:uid="{00000000-0005-0000-0000-0000CF330000}"/>
    <cellStyle name="40% - Accent3 54 5 2" xfId="18520" xr:uid="{00000000-0005-0000-0000-0000D0330000}"/>
    <cellStyle name="40% - Accent3 54 6" xfId="5238" xr:uid="{00000000-0005-0000-0000-0000D1330000}"/>
    <cellStyle name="40% - Accent3 54 6 2" xfId="16526" xr:uid="{00000000-0005-0000-0000-0000D2330000}"/>
    <cellStyle name="40% - Accent3 54 7" xfId="14532" xr:uid="{00000000-0005-0000-0000-0000D3330000}"/>
    <cellStyle name="40% - Accent3 54 8" xfId="13218" xr:uid="{00000000-0005-0000-0000-0000D4330000}"/>
    <cellStyle name="40% - Accent3 55" xfId="1283" xr:uid="{00000000-0005-0000-0000-0000D5330000}"/>
    <cellStyle name="40% - Accent3 55 2" xfId="4239" xr:uid="{00000000-0005-0000-0000-0000D6330000}"/>
    <cellStyle name="40% - Accent3 55 2 2" xfId="12218" xr:uid="{00000000-0005-0000-0000-0000D7330000}"/>
    <cellStyle name="40% - Accent3 55 2 2 2" xfId="23506" xr:uid="{00000000-0005-0000-0000-0000D8330000}"/>
    <cellStyle name="40% - Accent3 55 2 3" xfId="10224" xr:uid="{00000000-0005-0000-0000-0000D9330000}"/>
    <cellStyle name="40% - Accent3 55 2 3 2" xfId="21512" xr:uid="{00000000-0005-0000-0000-0000DA330000}"/>
    <cellStyle name="40% - Accent3 55 2 4" xfId="8230" xr:uid="{00000000-0005-0000-0000-0000DB330000}"/>
    <cellStyle name="40% - Accent3 55 2 4 2" xfId="19518" xr:uid="{00000000-0005-0000-0000-0000DC330000}"/>
    <cellStyle name="40% - Accent3 55 2 5" xfId="6236" xr:uid="{00000000-0005-0000-0000-0000DD330000}"/>
    <cellStyle name="40% - Accent3 55 2 5 2" xfId="17524" xr:uid="{00000000-0005-0000-0000-0000DE330000}"/>
    <cellStyle name="40% - Accent3 55 2 6" xfId="15530" xr:uid="{00000000-0005-0000-0000-0000DF330000}"/>
    <cellStyle name="40% - Accent3 55 3" xfId="11221" xr:uid="{00000000-0005-0000-0000-0000E0330000}"/>
    <cellStyle name="40% - Accent3 55 3 2" xfId="22509" xr:uid="{00000000-0005-0000-0000-0000E1330000}"/>
    <cellStyle name="40% - Accent3 55 4" xfId="9227" xr:uid="{00000000-0005-0000-0000-0000E2330000}"/>
    <cellStyle name="40% - Accent3 55 4 2" xfId="20515" xr:uid="{00000000-0005-0000-0000-0000E3330000}"/>
    <cellStyle name="40% - Accent3 55 5" xfId="7233" xr:uid="{00000000-0005-0000-0000-0000E4330000}"/>
    <cellStyle name="40% - Accent3 55 5 2" xfId="18521" xr:uid="{00000000-0005-0000-0000-0000E5330000}"/>
    <cellStyle name="40% - Accent3 55 6" xfId="5239" xr:uid="{00000000-0005-0000-0000-0000E6330000}"/>
    <cellStyle name="40% - Accent3 55 6 2" xfId="16527" xr:uid="{00000000-0005-0000-0000-0000E7330000}"/>
    <cellStyle name="40% - Accent3 55 7" xfId="14533" xr:uid="{00000000-0005-0000-0000-0000E8330000}"/>
    <cellStyle name="40% - Accent3 55 8" xfId="13219" xr:uid="{00000000-0005-0000-0000-0000E9330000}"/>
    <cellStyle name="40% - Accent3 56" xfId="1284" xr:uid="{00000000-0005-0000-0000-0000EA330000}"/>
    <cellStyle name="40% - Accent3 56 2" xfId="4240" xr:uid="{00000000-0005-0000-0000-0000EB330000}"/>
    <cellStyle name="40% - Accent3 56 2 2" xfId="12219" xr:uid="{00000000-0005-0000-0000-0000EC330000}"/>
    <cellStyle name="40% - Accent3 56 2 2 2" xfId="23507" xr:uid="{00000000-0005-0000-0000-0000ED330000}"/>
    <cellStyle name="40% - Accent3 56 2 3" xfId="10225" xr:uid="{00000000-0005-0000-0000-0000EE330000}"/>
    <cellStyle name="40% - Accent3 56 2 3 2" xfId="21513" xr:uid="{00000000-0005-0000-0000-0000EF330000}"/>
    <cellStyle name="40% - Accent3 56 2 4" xfId="8231" xr:uid="{00000000-0005-0000-0000-0000F0330000}"/>
    <cellStyle name="40% - Accent3 56 2 4 2" xfId="19519" xr:uid="{00000000-0005-0000-0000-0000F1330000}"/>
    <cellStyle name="40% - Accent3 56 2 5" xfId="6237" xr:uid="{00000000-0005-0000-0000-0000F2330000}"/>
    <cellStyle name="40% - Accent3 56 2 5 2" xfId="17525" xr:uid="{00000000-0005-0000-0000-0000F3330000}"/>
    <cellStyle name="40% - Accent3 56 2 6" xfId="15531" xr:uid="{00000000-0005-0000-0000-0000F4330000}"/>
    <cellStyle name="40% - Accent3 56 3" xfId="11222" xr:uid="{00000000-0005-0000-0000-0000F5330000}"/>
    <cellStyle name="40% - Accent3 56 3 2" xfId="22510" xr:uid="{00000000-0005-0000-0000-0000F6330000}"/>
    <cellStyle name="40% - Accent3 56 4" xfId="9228" xr:uid="{00000000-0005-0000-0000-0000F7330000}"/>
    <cellStyle name="40% - Accent3 56 4 2" xfId="20516" xr:uid="{00000000-0005-0000-0000-0000F8330000}"/>
    <cellStyle name="40% - Accent3 56 5" xfId="7234" xr:uid="{00000000-0005-0000-0000-0000F9330000}"/>
    <cellStyle name="40% - Accent3 56 5 2" xfId="18522" xr:uid="{00000000-0005-0000-0000-0000FA330000}"/>
    <cellStyle name="40% - Accent3 56 6" xfId="5240" xr:uid="{00000000-0005-0000-0000-0000FB330000}"/>
    <cellStyle name="40% - Accent3 56 6 2" xfId="16528" xr:uid="{00000000-0005-0000-0000-0000FC330000}"/>
    <cellStyle name="40% - Accent3 56 7" xfId="14534" xr:uid="{00000000-0005-0000-0000-0000FD330000}"/>
    <cellStyle name="40% - Accent3 56 8" xfId="13220" xr:uid="{00000000-0005-0000-0000-0000FE330000}"/>
    <cellStyle name="40% - Accent3 57" xfId="1285" xr:uid="{00000000-0005-0000-0000-0000FF330000}"/>
    <cellStyle name="40% - Accent3 57 2" xfId="4241" xr:uid="{00000000-0005-0000-0000-000000340000}"/>
    <cellStyle name="40% - Accent3 57 2 2" xfId="12220" xr:uid="{00000000-0005-0000-0000-000001340000}"/>
    <cellStyle name="40% - Accent3 57 2 2 2" xfId="23508" xr:uid="{00000000-0005-0000-0000-000002340000}"/>
    <cellStyle name="40% - Accent3 57 2 3" xfId="10226" xr:uid="{00000000-0005-0000-0000-000003340000}"/>
    <cellStyle name="40% - Accent3 57 2 3 2" xfId="21514" xr:uid="{00000000-0005-0000-0000-000004340000}"/>
    <cellStyle name="40% - Accent3 57 2 4" xfId="8232" xr:uid="{00000000-0005-0000-0000-000005340000}"/>
    <cellStyle name="40% - Accent3 57 2 4 2" xfId="19520" xr:uid="{00000000-0005-0000-0000-000006340000}"/>
    <cellStyle name="40% - Accent3 57 2 5" xfId="6238" xr:uid="{00000000-0005-0000-0000-000007340000}"/>
    <cellStyle name="40% - Accent3 57 2 5 2" xfId="17526" xr:uid="{00000000-0005-0000-0000-000008340000}"/>
    <cellStyle name="40% - Accent3 57 2 6" xfId="15532" xr:uid="{00000000-0005-0000-0000-000009340000}"/>
    <cellStyle name="40% - Accent3 57 3" xfId="11223" xr:uid="{00000000-0005-0000-0000-00000A340000}"/>
    <cellStyle name="40% - Accent3 57 3 2" xfId="22511" xr:uid="{00000000-0005-0000-0000-00000B340000}"/>
    <cellStyle name="40% - Accent3 57 4" xfId="9229" xr:uid="{00000000-0005-0000-0000-00000C340000}"/>
    <cellStyle name="40% - Accent3 57 4 2" xfId="20517" xr:uid="{00000000-0005-0000-0000-00000D340000}"/>
    <cellStyle name="40% - Accent3 57 5" xfId="7235" xr:uid="{00000000-0005-0000-0000-00000E340000}"/>
    <cellStyle name="40% - Accent3 57 5 2" xfId="18523" xr:uid="{00000000-0005-0000-0000-00000F340000}"/>
    <cellStyle name="40% - Accent3 57 6" xfId="5241" xr:uid="{00000000-0005-0000-0000-000010340000}"/>
    <cellStyle name="40% - Accent3 57 6 2" xfId="16529" xr:uid="{00000000-0005-0000-0000-000011340000}"/>
    <cellStyle name="40% - Accent3 57 7" xfId="14535" xr:uid="{00000000-0005-0000-0000-000012340000}"/>
    <cellStyle name="40% - Accent3 57 8" xfId="13221" xr:uid="{00000000-0005-0000-0000-000013340000}"/>
    <cellStyle name="40% - Accent3 58" xfId="1286" xr:uid="{00000000-0005-0000-0000-000014340000}"/>
    <cellStyle name="40% - Accent3 58 2" xfId="4242" xr:uid="{00000000-0005-0000-0000-000015340000}"/>
    <cellStyle name="40% - Accent3 58 2 2" xfId="12221" xr:uid="{00000000-0005-0000-0000-000016340000}"/>
    <cellStyle name="40% - Accent3 58 2 2 2" xfId="23509" xr:uid="{00000000-0005-0000-0000-000017340000}"/>
    <cellStyle name="40% - Accent3 58 2 3" xfId="10227" xr:uid="{00000000-0005-0000-0000-000018340000}"/>
    <cellStyle name="40% - Accent3 58 2 3 2" xfId="21515" xr:uid="{00000000-0005-0000-0000-000019340000}"/>
    <cellStyle name="40% - Accent3 58 2 4" xfId="8233" xr:uid="{00000000-0005-0000-0000-00001A340000}"/>
    <cellStyle name="40% - Accent3 58 2 4 2" xfId="19521" xr:uid="{00000000-0005-0000-0000-00001B340000}"/>
    <cellStyle name="40% - Accent3 58 2 5" xfId="6239" xr:uid="{00000000-0005-0000-0000-00001C340000}"/>
    <cellStyle name="40% - Accent3 58 2 5 2" xfId="17527" xr:uid="{00000000-0005-0000-0000-00001D340000}"/>
    <cellStyle name="40% - Accent3 58 2 6" xfId="15533" xr:uid="{00000000-0005-0000-0000-00001E340000}"/>
    <cellStyle name="40% - Accent3 58 3" xfId="11224" xr:uid="{00000000-0005-0000-0000-00001F340000}"/>
    <cellStyle name="40% - Accent3 58 3 2" xfId="22512" xr:uid="{00000000-0005-0000-0000-000020340000}"/>
    <cellStyle name="40% - Accent3 58 4" xfId="9230" xr:uid="{00000000-0005-0000-0000-000021340000}"/>
    <cellStyle name="40% - Accent3 58 4 2" xfId="20518" xr:uid="{00000000-0005-0000-0000-000022340000}"/>
    <cellStyle name="40% - Accent3 58 5" xfId="7236" xr:uid="{00000000-0005-0000-0000-000023340000}"/>
    <cellStyle name="40% - Accent3 58 5 2" xfId="18524" xr:uid="{00000000-0005-0000-0000-000024340000}"/>
    <cellStyle name="40% - Accent3 58 6" xfId="5242" xr:uid="{00000000-0005-0000-0000-000025340000}"/>
    <cellStyle name="40% - Accent3 58 6 2" xfId="16530" xr:uid="{00000000-0005-0000-0000-000026340000}"/>
    <cellStyle name="40% - Accent3 58 7" xfId="14536" xr:uid="{00000000-0005-0000-0000-000027340000}"/>
    <cellStyle name="40% - Accent3 58 8" xfId="13222" xr:uid="{00000000-0005-0000-0000-000028340000}"/>
    <cellStyle name="40% - Accent3 59" xfId="1287" xr:uid="{00000000-0005-0000-0000-000029340000}"/>
    <cellStyle name="40% - Accent3 59 2" xfId="4243" xr:uid="{00000000-0005-0000-0000-00002A340000}"/>
    <cellStyle name="40% - Accent3 59 2 2" xfId="12222" xr:uid="{00000000-0005-0000-0000-00002B340000}"/>
    <cellStyle name="40% - Accent3 59 2 2 2" xfId="23510" xr:uid="{00000000-0005-0000-0000-00002C340000}"/>
    <cellStyle name="40% - Accent3 59 2 3" xfId="10228" xr:uid="{00000000-0005-0000-0000-00002D340000}"/>
    <cellStyle name="40% - Accent3 59 2 3 2" xfId="21516" xr:uid="{00000000-0005-0000-0000-00002E340000}"/>
    <cellStyle name="40% - Accent3 59 2 4" xfId="8234" xr:uid="{00000000-0005-0000-0000-00002F340000}"/>
    <cellStyle name="40% - Accent3 59 2 4 2" xfId="19522" xr:uid="{00000000-0005-0000-0000-000030340000}"/>
    <cellStyle name="40% - Accent3 59 2 5" xfId="6240" xr:uid="{00000000-0005-0000-0000-000031340000}"/>
    <cellStyle name="40% - Accent3 59 2 5 2" xfId="17528" xr:uid="{00000000-0005-0000-0000-000032340000}"/>
    <cellStyle name="40% - Accent3 59 2 6" xfId="15534" xr:uid="{00000000-0005-0000-0000-000033340000}"/>
    <cellStyle name="40% - Accent3 59 3" xfId="11225" xr:uid="{00000000-0005-0000-0000-000034340000}"/>
    <cellStyle name="40% - Accent3 59 3 2" xfId="22513" xr:uid="{00000000-0005-0000-0000-000035340000}"/>
    <cellStyle name="40% - Accent3 59 4" xfId="9231" xr:uid="{00000000-0005-0000-0000-000036340000}"/>
    <cellStyle name="40% - Accent3 59 4 2" xfId="20519" xr:uid="{00000000-0005-0000-0000-000037340000}"/>
    <cellStyle name="40% - Accent3 59 5" xfId="7237" xr:uid="{00000000-0005-0000-0000-000038340000}"/>
    <cellStyle name="40% - Accent3 59 5 2" xfId="18525" xr:uid="{00000000-0005-0000-0000-000039340000}"/>
    <cellStyle name="40% - Accent3 59 6" xfId="5243" xr:uid="{00000000-0005-0000-0000-00003A340000}"/>
    <cellStyle name="40% - Accent3 59 6 2" xfId="16531" xr:uid="{00000000-0005-0000-0000-00003B340000}"/>
    <cellStyle name="40% - Accent3 59 7" xfId="14537" xr:uid="{00000000-0005-0000-0000-00003C340000}"/>
    <cellStyle name="40% - Accent3 59 8" xfId="13223" xr:uid="{00000000-0005-0000-0000-00003D340000}"/>
    <cellStyle name="40% - Accent3 6" xfId="1288" xr:uid="{00000000-0005-0000-0000-00003E340000}"/>
    <cellStyle name="40% - Accent3 6 10" xfId="24611" xr:uid="{00000000-0005-0000-0000-00003F340000}"/>
    <cellStyle name="40% - Accent3 6 11" xfId="25001" xr:uid="{00000000-0005-0000-0000-000040340000}"/>
    <cellStyle name="40% - Accent3 6 2" xfId="4244" xr:uid="{00000000-0005-0000-0000-000041340000}"/>
    <cellStyle name="40% - Accent3 6 2 2" xfId="12223" xr:uid="{00000000-0005-0000-0000-000042340000}"/>
    <cellStyle name="40% - Accent3 6 2 2 2" xfId="23511" xr:uid="{00000000-0005-0000-0000-000043340000}"/>
    <cellStyle name="40% - Accent3 6 2 3" xfId="10229" xr:uid="{00000000-0005-0000-0000-000044340000}"/>
    <cellStyle name="40% - Accent3 6 2 3 2" xfId="21517" xr:uid="{00000000-0005-0000-0000-000045340000}"/>
    <cellStyle name="40% - Accent3 6 2 4" xfId="8235" xr:uid="{00000000-0005-0000-0000-000046340000}"/>
    <cellStyle name="40% - Accent3 6 2 4 2" xfId="19523" xr:uid="{00000000-0005-0000-0000-000047340000}"/>
    <cellStyle name="40% - Accent3 6 2 5" xfId="6241" xr:uid="{00000000-0005-0000-0000-000048340000}"/>
    <cellStyle name="40% - Accent3 6 2 5 2" xfId="17529" xr:uid="{00000000-0005-0000-0000-000049340000}"/>
    <cellStyle name="40% - Accent3 6 2 6" xfId="15535" xr:uid="{00000000-0005-0000-0000-00004A340000}"/>
    <cellStyle name="40% - Accent3 6 2 7" xfId="24372" xr:uid="{00000000-0005-0000-0000-00004B340000}"/>
    <cellStyle name="40% - Accent3 6 2 8" xfId="24836" xr:uid="{00000000-0005-0000-0000-00004C340000}"/>
    <cellStyle name="40% - Accent3 6 2 9" xfId="25203" xr:uid="{00000000-0005-0000-0000-00004D340000}"/>
    <cellStyle name="40% - Accent3 6 3" xfId="11226" xr:uid="{00000000-0005-0000-0000-00004E340000}"/>
    <cellStyle name="40% - Accent3 6 3 2" xfId="22514" xr:uid="{00000000-0005-0000-0000-00004F340000}"/>
    <cellStyle name="40% - Accent3 6 4" xfId="9232" xr:uid="{00000000-0005-0000-0000-000050340000}"/>
    <cellStyle name="40% - Accent3 6 4 2" xfId="20520" xr:uid="{00000000-0005-0000-0000-000051340000}"/>
    <cellStyle name="40% - Accent3 6 5" xfId="7238" xr:uid="{00000000-0005-0000-0000-000052340000}"/>
    <cellStyle name="40% - Accent3 6 5 2" xfId="18526" xr:uid="{00000000-0005-0000-0000-000053340000}"/>
    <cellStyle name="40% - Accent3 6 6" xfId="5244" xr:uid="{00000000-0005-0000-0000-000054340000}"/>
    <cellStyle name="40% - Accent3 6 6 2" xfId="16532" xr:uid="{00000000-0005-0000-0000-000055340000}"/>
    <cellStyle name="40% - Accent3 6 7" xfId="14538" xr:uid="{00000000-0005-0000-0000-000056340000}"/>
    <cellStyle name="40% - Accent3 6 8" xfId="13224" xr:uid="{00000000-0005-0000-0000-000057340000}"/>
    <cellStyle name="40% - Accent3 6 9" xfId="23984" xr:uid="{00000000-0005-0000-0000-000058340000}"/>
    <cellStyle name="40% - Accent3 60" xfId="1289" xr:uid="{00000000-0005-0000-0000-000059340000}"/>
    <cellStyle name="40% - Accent3 60 2" xfId="4245" xr:uid="{00000000-0005-0000-0000-00005A340000}"/>
    <cellStyle name="40% - Accent3 60 2 2" xfId="12224" xr:uid="{00000000-0005-0000-0000-00005B340000}"/>
    <cellStyle name="40% - Accent3 60 2 2 2" xfId="23512" xr:uid="{00000000-0005-0000-0000-00005C340000}"/>
    <cellStyle name="40% - Accent3 60 2 3" xfId="10230" xr:uid="{00000000-0005-0000-0000-00005D340000}"/>
    <cellStyle name="40% - Accent3 60 2 3 2" xfId="21518" xr:uid="{00000000-0005-0000-0000-00005E340000}"/>
    <cellStyle name="40% - Accent3 60 2 4" xfId="8236" xr:uid="{00000000-0005-0000-0000-00005F340000}"/>
    <cellStyle name="40% - Accent3 60 2 4 2" xfId="19524" xr:uid="{00000000-0005-0000-0000-000060340000}"/>
    <cellStyle name="40% - Accent3 60 2 5" xfId="6242" xr:uid="{00000000-0005-0000-0000-000061340000}"/>
    <cellStyle name="40% - Accent3 60 2 5 2" xfId="17530" xr:uid="{00000000-0005-0000-0000-000062340000}"/>
    <cellStyle name="40% - Accent3 60 2 6" xfId="15536" xr:uid="{00000000-0005-0000-0000-000063340000}"/>
    <cellStyle name="40% - Accent3 60 3" xfId="11227" xr:uid="{00000000-0005-0000-0000-000064340000}"/>
    <cellStyle name="40% - Accent3 60 3 2" xfId="22515" xr:uid="{00000000-0005-0000-0000-000065340000}"/>
    <cellStyle name="40% - Accent3 60 4" xfId="9233" xr:uid="{00000000-0005-0000-0000-000066340000}"/>
    <cellStyle name="40% - Accent3 60 4 2" xfId="20521" xr:uid="{00000000-0005-0000-0000-000067340000}"/>
    <cellStyle name="40% - Accent3 60 5" xfId="7239" xr:uid="{00000000-0005-0000-0000-000068340000}"/>
    <cellStyle name="40% - Accent3 60 5 2" xfId="18527" xr:uid="{00000000-0005-0000-0000-000069340000}"/>
    <cellStyle name="40% - Accent3 60 6" xfId="5245" xr:uid="{00000000-0005-0000-0000-00006A340000}"/>
    <cellStyle name="40% - Accent3 60 6 2" xfId="16533" xr:uid="{00000000-0005-0000-0000-00006B340000}"/>
    <cellStyle name="40% - Accent3 60 7" xfId="14539" xr:uid="{00000000-0005-0000-0000-00006C340000}"/>
    <cellStyle name="40% - Accent3 60 8" xfId="13225" xr:uid="{00000000-0005-0000-0000-00006D340000}"/>
    <cellStyle name="40% - Accent3 61" xfId="1290" xr:uid="{00000000-0005-0000-0000-00006E340000}"/>
    <cellStyle name="40% - Accent3 61 2" xfId="4246" xr:uid="{00000000-0005-0000-0000-00006F340000}"/>
    <cellStyle name="40% - Accent3 61 2 2" xfId="12225" xr:uid="{00000000-0005-0000-0000-000070340000}"/>
    <cellStyle name="40% - Accent3 61 2 2 2" xfId="23513" xr:uid="{00000000-0005-0000-0000-000071340000}"/>
    <cellStyle name="40% - Accent3 61 2 3" xfId="10231" xr:uid="{00000000-0005-0000-0000-000072340000}"/>
    <cellStyle name="40% - Accent3 61 2 3 2" xfId="21519" xr:uid="{00000000-0005-0000-0000-000073340000}"/>
    <cellStyle name="40% - Accent3 61 2 4" xfId="8237" xr:uid="{00000000-0005-0000-0000-000074340000}"/>
    <cellStyle name="40% - Accent3 61 2 4 2" xfId="19525" xr:uid="{00000000-0005-0000-0000-000075340000}"/>
    <cellStyle name="40% - Accent3 61 2 5" xfId="6243" xr:uid="{00000000-0005-0000-0000-000076340000}"/>
    <cellStyle name="40% - Accent3 61 2 5 2" xfId="17531" xr:uid="{00000000-0005-0000-0000-000077340000}"/>
    <cellStyle name="40% - Accent3 61 2 6" xfId="15537" xr:uid="{00000000-0005-0000-0000-000078340000}"/>
    <cellStyle name="40% - Accent3 61 3" xfId="11228" xr:uid="{00000000-0005-0000-0000-000079340000}"/>
    <cellStyle name="40% - Accent3 61 3 2" xfId="22516" xr:uid="{00000000-0005-0000-0000-00007A340000}"/>
    <cellStyle name="40% - Accent3 61 4" xfId="9234" xr:uid="{00000000-0005-0000-0000-00007B340000}"/>
    <cellStyle name="40% - Accent3 61 4 2" xfId="20522" xr:uid="{00000000-0005-0000-0000-00007C340000}"/>
    <cellStyle name="40% - Accent3 61 5" xfId="7240" xr:uid="{00000000-0005-0000-0000-00007D340000}"/>
    <cellStyle name="40% - Accent3 61 5 2" xfId="18528" xr:uid="{00000000-0005-0000-0000-00007E340000}"/>
    <cellStyle name="40% - Accent3 61 6" xfId="5246" xr:uid="{00000000-0005-0000-0000-00007F340000}"/>
    <cellStyle name="40% - Accent3 61 6 2" xfId="16534" xr:uid="{00000000-0005-0000-0000-000080340000}"/>
    <cellStyle name="40% - Accent3 61 7" xfId="14540" xr:uid="{00000000-0005-0000-0000-000081340000}"/>
    <cellStyle name="40% - Accent3 61 8" xfId="13226" xr:uid="{00000000-0005-0000-0000-000082340000}"/>
    <cellStyle name="40% - Accent3 62" xfId="1291" xr:uid="{00000000-0005-0000-0000-000083340000}"/>
    <cellStyle name="40% - Accent3 62 2" xfId="4247" xr:uid="{00000000-0005-0000-0000-000084340000}"/>
    <cellStyle name="40% - Accent3 62 2 2" xfId="12226" xr:uid="{00000000-0005-0000-0000-000085340000}"/>
    <cellStyle name="40% - Accent3 62 2 2 2" xfId="23514" xr:uid="{00000000-0005-0000-0000-000086340000}"/>
    <cellStyle name="40% - Accent3 62 2 3" xfId="10232" xr:uid="{00000000-0005-0000-0000-000087340000}"/>
    <cellStyle name="40% - Accent3 62 2 3 2" xfId="21520" xr:uid="{00000000-0005-0000-0000-000088340000}"/>
    <cellStyle name="40% - Accent3 62 2 4" xfId="8238" xr:uid="{00000000-0005-0000-0000-000089340000}"/>
    <cellStyle name="40% - Accent3 62 2 4 2" xfId="19526" xr:uid="{00000000-0005-0000-0000-00008A340000}"/>
    <cellStyle name="40% - Accent3 62 2 5" xfId="6244" xr:uid="{00000000-0005-0000-0000-00008B340000}"/>
    <cellStyle name="40% - Accent3 62 2 5 2" xfId="17532" xr:uid="{00000000-0005-0000-0000-00008C340000}"/>
    <cellStyle name="40% - Accent3 62 2 6" xfId="15538" xr:uid="{00000000-0005-0000-0000-00008D340000}"/>
    <cellStyle name="40% - Accent3 62 3" xfId="11229" xr:uid="{00000000-0005-0000-0000-00008E340000}"/>
    <cellStyle name="40% - Accent3 62 3 2" xfId="22517" xr:uid="{00000000-0005-0000-0000-00008F340000}"/>
    <cellStyle name="40% - Accent3 62 4" xfId="9235" xr:uid="{00000000-0005-0000-0000-000090340000}"/>
    <cellStyle name="40% - Accent3 62 4 2" xfId="20523" xr:uid="{00000000-0005-0000-0000-000091340000}"/>
    <cellStyle name="40% - Accent3 62 5" xfId="7241" xr:uid="{00000000-0005-0000-0000-000092340000}"/>
    <cellStyle name="40% - Accent3 62 5 2" xfId="18529" xr:uid="{00000000-0005-0000-0000-000093340000}"/>
    <cellStyle name="40% - Accent3 62 6" xfId="5247" xr:uid="{00000000-0005-0000-0000-000094340000}"/>
    <cellStyle name="40% - Accent3 62 6 2" xfId="16535" xr:uid="{00000000-0005-0000-0000-000095340000}"/>
    <cellStyle name="40% - Accent3 62 7" xfId="14541" xr:uid="{00000000-0005-0000-0000-000096340000}"/>
    <cellStyle name="40% - Accent3 62 8" xfId="13227" xr:uid="{00000000-0005-0000-0000-000097340000}"/>
    <cellStyle name="40% - Accent3 63" xfId="1292" xr:uid="{00000000-0005-0000-0000-000098340000}"/>
    <cellStyle name="40% - Accent3 63 2" xfId="4248" xr:uid="{00000000-0005-0000-0000-000099340000}"/>
    <cellStyle name="40% - Accent3 63 2 2" xfId="12227" xr:uid="{00000000-0005-0000-0000-00009A340000}"/>
    <cellStyle name="40% - Accent3 63 2 2 2" xfId="23515" xr:uid="{00000000-0005-0000-0000-00009B340000}"/>
    <cellStyle name="40% - Accent3 63 2 3" xfId="10233" xr:uid="{00000000-0005-0000-0000-00009C340000}"/>
    <cellStyle name="40% - Accent3 63 2 3 2" xfId="21521" xr:uid="{00000000-0005-0000-0000-00009D340000}"/>
    <cellStyle name="40% - Accent3 63 2 4" xfId="8239" xr:uid="{00000000-0005-0000-0000-00009E340000}"/>
    <cellStyle name="40% - Accent3 63 2 4 2" xfId="19527" xr:uid="{00000000-0005-0000-0000-00009F340000}"/>
    <cellStyle name="40% - Accent3 63 2 5" xfId="6245" xr:uid="{00000000-0005-0000-0000-0000A0340000}"/>
    <cellStyle name="40% - Accent3 63 2 5 2" xfId="17533" xr:uid="{00000000-0005-0000-0000-0000A1340000}"/>
    <cellStyle name="40% - Accent3 63 2 6" xfId="15539" xr:uid="{00000000-0005-0000-0000-0000A2340000}"/>
    <cellStyle name="40% - Accent3 63 3" xfId="11230" xr:uid="{00000000-0005-0000-0000-0000A3340000}"/>
    <cellStyle name="40% - Accent3 63 3 2" xfId="22518" xr:uid="{00000000-0005-0000-0000-0000A4340000}"/>
    <cellStyle name="40% - Accent3 63 4" xfId="9236" xr:uid="{00000000-0005-0000-0000-0000A5340000}"/>
    <cellStyle name="40% - Accent3 63 4 2" xfId="20524" xr:uid="{00000000-0005-0000-0000-0000A6340000}"/>
    <cellStyle name="40% - Accent3 63 5" xfId="7242" xr:uid="{00000000-0005-0000-0000-0000A7340000}"/>
    <cellStyle name="40% - Accent3 63 5 2" xfId="18530" xr:uid="{00000000-0005-0000-0000-0000A8340000}"/>
    <cellStyle name="40% - Accent3 63 6" xfId="5248" xr:uid="{00000000-0005-0000-0000-0000A9340000}"/>
    <cellStyle name="40% - Accent3 63 6 2" xfId="16536" xr:uid="{00000000-0005-0000-0000-0000AA340000}"/>
    <cellStyle name="40% - Accent3 63 7" xfId="14542" xr:uid="{00000000-0005-0000-0000-0000AB340000}"/>
    <cellStyle name="40% - Accent3 63 8" xfId="13228" xr:uid="{00000000-0005-0000-0000-0000AC340000}"/>
    <cellStyle name="40% - Accent3 64" xfId="1293" xr:uid="{00000000-0005-0000-0000-0000AD340000}"/>
    <cellStyle name="40% - Accent3 64 2" xfId="4249" xr:uid="{00000000-0005-0000-0000-0000AE340000}"/>
    <cellStyle name="40% - Accent3 64 2 2" xfId="12228" xr:uid="{00000000-0005-0000-0000-0000AF340000}"/>
    <cellStyle name="40% - Accent3 64 2 2 2" xfId="23516" xr:uid="{00000000-0005-0000-0000-0000B0340000}"/>
    <cellStyle name="40% - Accent3 64 2 3" xfId="10234" xr:uid="{00000000-0005-0000-0000-0000B1340000}"/>
    <cellStyle name="40% - Accent3 64 2 3 2" xfId="21522" xr:uid="{00000000-0005-0000-0000-0000B2340000}"/>
    <cellStyle name="40% - Accent3 64 2 4" xfId="8240" xr:uid="{00000000-0005-0000-0000-0000B3340000}"/>
    <cellStyle name="40% - Accent3 64 2 4 2" xfId="19528" xr:uid="{00000000-0005-0000-0000-0000B4340000}"/>
    <cellStyle name="40% - Accent3 64 2 5" xfId="6246" xr:uid="{00000000-0005-0000-0000-0000B5340000}"/>
    <cellStyle name="40% - Accent3 64 2 5 2" xfId="17534" xr:uid="{00000000-0005-0000-0000-0000B6340000}"/>
    <cellStyle name="40% - Accent3 64 2 6" xfId="15540" xr:uid="{00000000-0005-0000-0000-0000B7340000}"/>
    <cellStyle name="40% - Accent3 64 3" xfId="11231" xr:uid="{00000000-0005-0000-0000-0000B8340000}"/>
    <cellStyle name="40% - Accent3 64 3 2" xfId="22519" xr:uid="{00000000-0005-0000-0000-0000B9340000}"/>
    <cellStyle name="40% - Accent3 64 4" xfId="9237" xr:uid="{00000000-0005-0000-0000-0000BA340000}"/>
    <cellStyle name="40% - Accent3 64 4 2" xfId="20525" xr:uid="{00000000-0005-0000-0000-0000BB340000}"/>
    <cellStyle name="40% - Accent3 64 5" xfId="7243" xr:uid="{00000000-0005-0000-0000-0000BC340000}"/>
    <cellStyle name="40% - Accent3 64 5 2" xfId="18531" xr:uid="{00000000-0005-0000-0000-0000BD340000}"/>
    <cellStyle name="40% - Accent3 64 6" xfId="5249" xr:uid="{00000000-0005-0000-0000-0000BE340000}"/>
    <cellStyle name="40% - Accent3 64 6 2" xfId="16537" xr:uid="{00000000-0005-0000-0000-0000BF340000}"/>
    <cellStyle name="40% - Accent3 64 7" xfId="14543" xr:uid="{00000000-0005-0000-0000-0000C0340000}"/>
    <cellStyle name="40% - Accent3 64 8" xfId="13229" xr:uid="{00000000-0005-0000-0000-0000C1340000}"/>
    <cellStyle name="40% - Accent3 65" xfId="1294" xr:uid="{00000000-0005-0000-0000-0000C2340000}"/>
    <cellStyle name="40% - Accent3 65 2" xfId="4250" xr:uid="{00000000-0005-0000-0000-0000C3340000}"/>
    <cellStyle name="40% - Accent3 65 2 2" xfId="12229" xr:uid="{00000000-0005-0000-0000-0000C4340000}"/>
    <cellStyle name="40% - Accent3 65 2 2 2" xfId="23517" xr:uid="{00000000-0005-0000-0000-0000C5340000}"/>
    <cellStyle name="40% - Accent3 65 2 3" xfId="10235" xr:uid="{00000000-0005-0000-0000-0000C6340000}"/>
    <cellStyle name="40% - Accent3 65 2 3 2" xfId="21523" xr:uid="{00000000-0005-0000-0000-0000C7340000}"/>
    <cellStyle name="40% - Accent3 65 2 4" xfId="8241" xr:uid="{00000000-0005-0000-0000-0000C8340000}"/>
    <cellStyle name="40% - Accent3 65 2 4 2" xfId="19529" xr:uid="{00000000-0005-0000-0000-0000C9340000}"/>
    <cellStyle name="40% - Accent3 65 2 5" xfId="6247" xr:uid="{00000000-0005-0000-0000-0000CA340000}"/>
    <cellStyle name="40% - Accent3 65 2 5 2" xfId="17535" xr:uid="{00000000-0005-0000-0000-0000CB340000}"/>
    <cellStyle name="40% - Accent3 65 2 6" xfId="15541" xr:uid="{00000000-0005-0000-0000-0000CC340000}"/>
    <cellStyle name="40% - Accent3 65 3" xfId="11232" xr:uid="{00000000-0005-0000-0000-0000CD340000}"/>
    <cellStyle name="40% - Accent3 65 3 2" xfId="22520" xr:uid="{00000000-0005-0000-0000-0000CE340000}"/>
    <cellStyle name="40% - Accent3 65 4" xfId="9238" xr:uid="{00000000-0005-0000-0000-0000CF340000}"/>
    <cellStyle name="40% - Accent3 65 4 2" xfId="20526" xr:uid="{00000000-0005-0000-0000-0000D0340000}"/>
    <cellStyle name="40% - Accent3 65 5" xfId="7244" xr:uid="{00000000-0005-0000-0000-0000D1340000}"/>
    <cellStyle name="40% - Accent3 65 5 2" xfId="18532" xr:uid="{00000000-0005-0000-0000-0000D2340000}"/>
    <cellStyle name="40% - Accent3 65 6" xfId="5250" xr:uid="{00000000-0005-0000-0000-0000D3340000}"/>
    <cellStyle name="40% - Accent3 65 6 2" xfId="16538" xr:uid="{00000000-0005-0000-0000-0000D4340000}"/>
    <cellStyle name="40% - Accent3 65 7" xfId="14544" xr:uid="{00000000-0005-0000-0000-0000D5340000}"/>
    <cellStyle name="40% - Accent3 65 8" xfId="13230" xr:uid="{00000000-0005-0000-0000-0000D6340000}"/>
    <cellStyle name="40% - Accent3 66" xfId="1295" xr:uid="{00000000-0005-0000-0000-0000D7340000}"/>
    <cellStyle name="40% - Accent3 66 2" xfId="4251" xr:uid="{00000000-0005-0000-0000-0000D8340000}"/>
    <cellStyle name="40% - Accent3 66 2 2" xfId="12230" xr:uid="{00000000-0005-0000-0000-0000D9340000}"/>
    <cellStyle name="40% - Accent3 66 2 2 2" xfId="23518" xr:uid="{00000000-0005-0000-0000-0000DA340000}"/>
    <cellStyle name="40% - Accent3 66 2 3" xfId="10236" xr:uid="{00000000-0005-0000-0000-0000DB340000}"/>
    <cellStyle name="40% - Accent3 66 2 3 2" xfId="21524" xr:uid="{00000000-0005-0000-0000-0000DC340000}"/>
    <cellStyle name="40% - Accent3 66 2 4" xfId="8242" xr:uid="{00000000-0005-0000-0000-0000DD340000}"/>
    <cellStyle name="40% - Accent3 66 2 4 2" xfId="19530" xr:uid="{00000000-0005-0000-0000-0000DE340000}"/>
    <cellStyle name="40% - Accent3 66 2 5" xfId="6248" xr:uid="{00000000-0005-0000-0000-0000DF340000}"/>
    <cellStyle name="40% - Accent3 66 2 5 2" xfId="17536" xr:uid="{00000000-0005-0000-0000-0000E0340000}"/>
    <cellStyle name="40% - Accent3 66 2 6" xfId="15542" xr:uid="{00000000-0005-0000-0000-0000E1340000}"/>
    <cellStyle name="40% - Accent3 66 3" xfId="11233" xr:uid="{00000000-0005-0000-0000-0000E2340000}"/>
    <cellStyle name="40% - Accent3 66 3 2" xfId="22521" xr:uid="{00000000-0005-0000-0000-0000E3340000}"/>
    <cellStyle name="40% - Accent3 66 4" xfId="9239" xr:uid="{00000000-0005-0000-0000-0000E4340000}"/>
    <cellStyle name="40% - Accent3 66 4 2" xfId="20527" xr:uid="{00000000-0005-0000-0000-0000E5340000}"/>
    <cellStyle name="40% - Accent3 66 5" xfId="7245" xr:uid="{00000000-0005-0000-0000-0000E6340000}"/>
    <cellStyle name="40% - Accent3 66 5 2" xfId="18533" xr:uid="{00000000-0005-0000-0000-0000E7340000}"/>
    <cellStyle name="40% - Accent3 66 6" xfId="5251" xr:uid="{00000000-0005-0000-0000-0000E8340000}"/>
    <cellStyle name="40% - Accent3 66 6 2" xfId="16539" xr:uid="{00000000-0005-0000-0000-0000E9340000}"/>
    <cellStyle name="40% - Accent3 66 7" xfId="14545" xr:uid="{00000000-0005-0000-0000-0000EA340000}"/>
    <cellStyle name="40% - Accent3 66 8" xfId="13231" xr:uid="{00000000-0005-0000-0000-0000EB340000}"/>
    <cellStyle name="40% - Accent3 67" xfId="1296" xr:uid="{00000000-0005-0000-0000-0000EC340000}"/>
    <cellStyle name="40% - Accent3 67 2" xfId="4252" xr:uid="{00000000-0005-0000-0000-0000ED340000}"/>
    <cellStyle name="40% - Accent3 67 2 2" xfId="12231" xr:uid="{00000000-0005-0000-0000-0000EE340000}"/>
    <cellStyle name="40% - Accent3 67 2 2 2" xfId="23519" xr:uid="{00000000-0005-0000-0000-0000EF340000}"/>
    <cellStyle name="40% - Accent3 67 2 3" xfId="10237" xr:uid="{00000000-0005-0000-0000-0000F0340000}"/>
    <cellStyle name="40% - Accent3 67 2 3 2" xfId="21525" xr:uid="{00000000-0005-0000-0000-0000F1340000}"/>
    <cellStyle name="40% - Accent3 67 2 4" xfId="8243" xr:uid="{00000000-0005-0000-0000-0000F2340000}"/>
    <cellStyle name="40% - Accent3 67 2 4 2" xfId="19531" xr:uid="{00000000-0005-0000-0000-0000F3340000}"/>
    <cellStyle name="40% - Accent3 67 2 5" xfId="6249" xr:uid="{00000000-0005-0000-0000-0000F4340000}"/>
    <cellStyle name="40% - Accent3 67 2 5 2" xfId="17537" xr:uid="{00000000-0005-0000-0000-0000F5340000}"/>
    <cellStyle name="40% - Accent3 67 2 6" xfId="15543" xr:uid="{00000000-0005-0000-0000-0000F6340000}"/>
    <cellStyle name="40% - Accent3 67 3" xfId="11234" xr:uid="{00000000-0005-0000-0000-0000F7340000}"/>
    <cellStyle name="40% - Accent3 67 3 2" xfId="22522" xr:uid="{00000000-0005-0000-0000-0000F8340000}"/>
    <cellStyle name="40% - Accent3 67 4" xfId="9240" xr:uid="{00000000-0005-0000-0000-0000F9340000}"/>
    <cellStyle name="40% - Accent3 67 4 2" xfId="20528" xr:uid="{00000000-0005-0000-0000-0000FA340000}"/>
    <cellStyle name="40% - Accent3 67 5" xfId="7246" xr:uid="{00000000-0005-0000-0000-0000FB340000}"/>
    <cellStyle name="40% - Accent3 67 5 2" xfId="18534" xr:uid="{00000000-0005-0000-0000-0000FC340000}"/>
    <cellStyle name="40% - Accent3 67 6" xfId="5252" xr:uid="{00000000-0005-0000-0000-0000FD340000}"/>
    <cellStyle name="40% - Accent3 67 6 2" xfId="16540" xr:uid="{00000000-0005-0000-0000-0000FE340000}"/>
    <cellStyle name="40% - Accent3 67 7" xfId="14546" xr:uid="{00000000-0005-0000-0000-0000FF340000}"/>
    <cellStyle name="40% - Accent3 67 8" xfId="13232" xr:uid="{00000000-0005-0000-0000-000000350000}"/>
    <cellStyle name="40% - Accent3 68" xfId="1297" xr:uid="{00000000-0005-0000-0000-000001350000}"/>
    <cellStyle name="40% - Accent3 68 2" xfId="4253" xr:uid="{00000000-0005-0000-0000-000002350000}"/>
    <cellStyle name="40% - Accent3 68 2 2" xfId="12232" xr:uid="{00000000-0005-0000-0000-000003350000}"/>
    <cellStyle name="40% - Accent3 68 2 2 2" xfId="23520" xr:uid="{00000000-0005-0000-0000-000004350000}"/>
    <cellStyle name="40% - Accent3 68 2 3" xfId="10238" xr:uid="{00000000-0005-0000-0000-000005350000}"/>
    <cellStyle name="40% - Accent3 68 2 3 2" xfId="21526" xr:uid="{00000000-0005-0000-0000-000006350000}"/>
    <cellStyle name="40% - Accent3 68 2 4" xfId="8244" xr:uid="{00000000-0005-0000-0000-000007350000}"/>
    <cellStyle name="40% - Accent3 68 2 4 2" xfId="19532" xr:uid="{00000000-0005-0000-0000-000008350000}"/>
    <cellStyle name="40% - Accent3 68 2 5" xfId="6250" xr:uid="{00000000-0005-0000-0000-000009350000}"/>
    <cellStyle name="40% - Accent3 68 2 5 2" xfId="17538" xr:uid="{00000000-0005-0000-0000-00000A350000}"/>
    <cellStyle name="40% - Accent3 68 2 6" xfId="15544" xr:uid="{00000000-0005-0000-0000-00000B350000}"/>
    <cellStyle name="40% - Accent3 68 3" xfId="11235" xr:uid="{00000000-0005-0000-0000-00000C350000}"/>
    <cellStyle name="40% - Accent3 68 3 2" xfId="22523" xr:uid="{00000000-0005-0000-0000-00000D350000}"/>
    <cellStyle name="40% - Accent3 68 4" xfId="9241" xr:uid="{00000000-0005-0000-0000-00000E350000}"/>
    <cellStyle name="40% - Accent3 68 4 2" xfId="20529" xr:uid="{00000000-0005-0000-0000-00000F350000}"/>
    <cellStyle name="40% - Accent3 68 5" xfId="7247" xr:uid="{00000000-0005-0000-0000-000010350000}"/>
    <cellStyle name="40% - Accent3 68 5 2" xfId="18535" xr:uid="{00000000-0005-0000-0000-000011350000}"/>
    <cellStyle name="40% - Accent3 68 6" xfId="5253" xr:uid="{00000000-0005-0000-0000-000012350000}"/>
    <cellStyle name="40% - Accent3 68 6 2" xfId="16541" xr:uid="{00000000-0005-0000-0000-000013350000}"/>
    <cellStyle name="40% - Accent3 68 7" xfId="14547" xr:uid="{00000000-0005-0000-0000-000014350000}"/>
    <cellStyle name="40% - Accent3 68 8" xfId="13233" xr:uid="{00000000-0005-0000-0000-000015350000}"/>
    <cellStyle name="40% - Accent3 69" xfId="1298" xr:uid="{00000000-0005-0000-0000-000016350000}"/>
    <cellStyle name="40% - Accent3 69 2" xfId="4254" xr:uid="{00000000-0005-0000-0000-000017350000}"/>
    <cellStyle name="40% - Accent3 69 2 2" xfId="12233" xr:uid="{00000000-0005-0000-0000-000018350000}"/>
    <cellStyle name="40% - Accent3 69 2 2 2" xfId="23521" xr:uid="{00000000-0005-0000-0000-000019350000}"/>
    <cellStyle name="40% - Accent3 69 2 3" xfId="10239" xr:uid="{00000000-0005-0000-0000-00001A350000}"/>
    <cellStyle name="40% - Accent3 69 2 3 2" xfId="21527" xr:uid="{00000000-0005-0000-0000-00001B350000}"/>
    <cellStyle name="40% - Accent3 69 2 4" xfId="8245" xr:uid="{00000000-0005-0000-0000-00001C350000}"/>
    <cellStyle name="40% - Accent3 69 2 4 2" xfId="19533" xr:uid="{00000000-0005-0000-0000-00001D350000}"/>
    <cellStyle name="40% - Accent3 69 2 5" xfId="6251" xr:uid="{00000000-0005-0000-0000-00001E350000}"/>
    <cellStyle name="40% - Accent3 69 2 5 2" xfId="17539" xr:uid="{00000000-0005-0000-0000-00001F350000}"/>
    <cellStyle name="40% - Accent3 69 2 6" xfId="15545" xr:uid="{00000000-0005-0000-0000-000020350000}"/>
    <cellStyle name="40% - Accent3 69 3" xfId="11236" xr:uid="{00000000-0005-0000-0000-000021350000}"/>
    <cellStyle name="40% - Accent3 69 3 2" xfId="22524" xr:uid="{00000000-0005-0000-0000-000022350000}"/>
    <cellStyle name="40% - Accent3 69 4" xfId="9242" xr:uid="{00000000-0005-0000-0000-000023350000}"/>
    <cellStyle name="40% - Accent3 69 4 2" xfId="20530" xr:uid="{00000000-0005-0000-0000-000024350000}"/>
    <cellStyle name="40% - Accent3 69 5" xfId="7248" xr:uid="{00000000-0005-0000-0000-000025350000}"/>
    <cellStyle name="40% - Accent3 69 5 2" xfId="18536" xr:uid="{00000000-0005-0000-0000-000026350000}"/>
    <cellStyle name="40% - Accent3 69 6" xfId="5254" xr:uid="{00000000-0005-0000-0000-000027350000}"/>
    <cellStyle name="40% - Accent3 69 6 2" xfId="16542" xr:uid="{00000000-0005-0000-0000-000028350000}"/>
    <cellStyle name="40% - Accent3 69 7" xfId="14548" xr:uid="{00000000-0005-0000-0000-000029350000}"/>
    <cellStyle name="40% - Accent3 69 8" xfId="13234" xr:uid="{00000000-0005-0000-0000-00002A350000}"/>
    <cellStyle name="40% - Accent3 7" xfId="1299" xr:uid="{00000000-0005-0000-0000-00002B350000}"/>
    <cellStyle name="40% - Accent3 7 10" xfId="24612" xr:uid="{00000000-0005-0000-0000-00002C350000}"/>
    <cellStyle name="40% - Accent3 7 11" xfId="25002" xr:uid="{00000000-0005-0000-0000-00002D350000}"/>
    <cellStyle name="40% - Accent3 7 2" xfId="4255" xr:uid="{00000000-0005-0000-0000-00002E350000}"/>
    <cellStyle name="40% - Accent3 7 2 2" xfId="12234" xr:uid="{00000000-0005-0000-0000-00002F350000}"/>
    <cellStyle name="40% - Accent3 7 2 2 2" xfId="23522" xr:uid="{00000000-0005-0000-0000-000030350000}"/>
    <cellStyle name="40% - Accent3 7 2 3" xfId="10240" xr:uid="{00000000-0005-0000-0000-000031350000}"/>
    <cellStyle name="40% - Accent3 7 2 3 2" xfId="21528" xr:uid="{00000000-0005-0000-0000-000032350000}"/>
    <cellStyle name="40% - Accent3 7 2 4" xfId="8246" xr:uid="{00000000-0005-0000-0000-000033350000}"/>
    <cellStyle name="40% - Accent3 7 2 4 2" xfId="19534" xr:uid="{00000000-0005-0000-0000-000034350000}"/>
    <cellStyle name="40% - Accent3 7 2 5" xfId="6252" xr:uid="{00000000-0005-0000-0000-000035350000}"/>
    <cellStyle name="40% - Accent3 7 2 5 2" xfId="17540" xr:uid="{00000000-0005-0000-0000-000036350000}"/>
    <cellStyle name="40% - Accent3 7 2 6" xfId="15546" xr:uid="{00000000-0005-0000-0000-000037350000}"/>
    <cellStyle name="40% - Accent3 7 2 7" xfId="24373" xr:uid="{00000000-0005-0000-0000-000038350000}"/>
    <cellStyle name="40% - Accent3 7 2 8" xfId="24837" xr:uid="{00000000-0005-0000-0000-000039350000}"/>
    <cellStyle name="40% - Accent3 7 2 9" xfId="25204" xr:uid="{00000000-0005-0000-0000-00003A350000}"/>
    <cellStyle name="40% - Accent3 7 3" xfId="11237" xr:uid="{00000000-0005-0000-0000-00003B350000}"/>
    <cellStyle name="40% - Accent3 7 3 2" xfId="22525" xr:uid="{00000000-0005-0000-0000-00003C350000}"/>
    <cellStyle name="40% - Accent3 7 4" xfId="9243" xr:uid="{00000000-0005-0000-0000-00003D350000}"/>
    <cellStyle name="40% - Accent3 7 4 2" xfId="20531" xr:uid="{00000000-0005-0000-0000-00003E350000}"/>
    <cellStyle name="40% - Accent3 7 5" xfId="7249" xr:uid="{00000000-0005-0000-0000-00003F350000}"/>
    <cellStyle name="40% - Accent3 7 5 2" xfId="18537" xr:uid="{00000000-0005-0000-0000-000040350000}"/>
    <cellStyle name="40% - Accent3 7 6" xfId="5255" xr:uid="{00000000-0005-0000-0000-000041350000}"/>
    <cellStyle name="40% - Accent3 7 6 2" xfId="16543" xr:uid="{00000000-0005-0000-0000-000042350000}"/>
    <cellStyle name="40% - Accent3 7 7" xfId="14549" xr:uid="{00000000-0005-0000-0000-000043350000}"/>
    <cellStyle name="40% - Accent3 7 8" xfId="13235" xr:uid="{00000000-0005-0000-0000-000044350000}"/>
    <cellStyle name="40% - Accent3 7 9" xfId="23985" xr:uid="{00000000-0005-0000-0000-000045350000}"/>
    <cellStyle name="40% - Accent3 70" xfId="1300" xr:uid="{00000000-0005-0000-0000-000046350000}"/>
    <cellStyle name="40% - Accent3 70 2" xfId="4256" xr:uid="{00000000-0005-0000-0000-000047350000}"/>
    <cellStyle name="40% - Accent3 70 2 2" xfId="12235" xr:uid="{00000000-0005-0000-0000-000048350000}"/>
    <cellStyle name="40% - Accent3 70 2 2 2" xfId="23523" xr:uid="{00000000-0005-0000-0000-000049350000}"/>
    <cellStyle name="40% - Accent3 70 2 3" xfId="10241" xr:uid="{00000000-0005-0000-0000-00004A350000}"/>
    <cellStyle name="40% - Accent3 70 2 3 2" xfId="21529" xr:uid="{00000000-0005-0000-0000-00004B350000}"/>
    <cellStyle name="40% - Accent3 70 2 4" xfId="8247" xr:uid="{00000000-0005-0000-0000-00004C350000}"/>
    <cellStyle name="40% - Accent3 70 2 4 2" xfId="19535" xr:uid="{00000000-0005-0000-0000-00004D350000}"/>
    <cellStyle name="40% - Accent3 70 2 5" xfId="6253" xr:uid="{00000000-0005-0000-0000-00004E350000}"/>
    <cellStyle name="40% - Accent3 70 2 5 2" xfId="17541" xr:uid="{00000000-0005-0000-0000-00004F350000}"/>
    <cellStyle name="40% - Accent3 70 2 6" xfId="15547" xr:uid="{00000000-0005-0000-0000-000050350000}"/>
    <cellStyle name="40% - Accent3 70 3" xfId="11238" xr:uid="{00000000-0005-0000-0000-000051350000}"/>
    <cellStyle name="40% - Accent3 70 3 2" xfId="22526" xr:uid="{00000000-0005-0000-0000-000052350000}"/>
    <cellStyle name="40% - Accent3 70 4" xfId="9244" xr:uid="{00000000-0005-0000-0000-000053350000}"/>
    <cellStyle name="40% - Accent3 70 4 2" xfId="20532" xr:uid="{00000000-0005-0000-0000-000054350000}"/>
    <cellStyle name="40% - Accent3 70 5" xfId="7250" xr:uid="{00000000-0005-0000-0000-000055350000}"/>
    <cellStyle name="40% - Accent3 70 5 2" xfId="18538" xr:uid="{00000000-0005-0000-0000-000056350000}"/>
    <cellStyle name="40% - Accent3 70 6" xfId="5256" xr:uid="{00000000-0005-0000-0000-000057350000}"/>
    <cellStyle name="40% - Accent3 70 6 2" xfId="16544" xr:uid="{00000000-0005-0000-0000-000058350000}"/>
    <cellStyle name="40% - Accent3 70 7" xfId="14550" xr:uid="{00000000-0005-0000-0000-000059350000}"/>
    <cellStyle name="40% - Accent3 70 8" xfId="13236" xr:uid="{00000000-0005-0000-0000-00005A350000}"/>
    <cellStyle name="40% - Accent3 71" xfId="1301" xr:uid="{00000000-0005-0000-0000-00005B350000}"/>
    <cellStyle name="40% - Accent3 71 2" xfId="4257" xr:uid="{00000000-0005-0000-0000-00005C350000}"/>
    <cellStyle name="40% - Accent3 71 2 2" xfId="12236" xr:uid="{00000000-0005-0000-0000-00005D350000}"/>
    <cellStyle name="40% - Accent3 71 2 2 2" xfId="23524" xr:uid="{00000000-0005-0000-0000-00005E350000}"/>
    <cellStyle name="40% - Accent3 71 2 3" xfId="10242" xr:uid="{00000000-0005-0000-0000-00005F350000}"/>
    <cellStyle name="40% - Accent3 71 2 3 2" xfId="21530" xr:uid="{00000000-0005-0000-0000-000060350000}"/>
    <cellStyle name="40% - Accent3 71 2 4" xfId="8248" xr:uid="{00000000-0005-0000-0000-000061350000}"/>
    <cellStyle name="40% - Accent3 71 2 4 2" xfId="19536" xr:uid="{00000000-0005-0000-0000-000062350000}"/>
    <cellStyle name="40% - Accent3 71 2 5" xfId="6254" xr:uid="{00000000-0005-0000-0000-000063350000}"/>
    <cellStyle name="40% - Accent3 71 2 5 2" xfId="17542" xr:uid="{00000000-0005-0000-0000-000064350000}"/>
    <cellStyle name="40% - Accent3 71 2 6" xfId="15548" xr:uid="{00000000-0005-0000-0000-000065350000}"/>
    <cellStyle name="40% - Accent3 71 3" xfId="11239" xr:uid="{00000000-0005-0000-0000-000066350000}"/>
    <cellStyle name="40% - Accent3 71 3 2" xfId="22527" xr:uid="{00000000-0005-0000-0000-000067350000}"/>
    <cellStyle name="40% - Accent3 71 4" xfId="9245" xr:uid="{00000000-0005-0000-0000-000068350000}"/>
    <cellStyle name="40% - Accent3 71 4 2" xfId="20533" xr:uid="{00000000-0005-0000-0000-000069350000}"/>
    <cellStyle name="40% - Accent3 71 5" xfId="7251" xr:uid="{00000000-0005-0000-0000-00006A350000}"/>
    <cellStyle name="40% - Accent3 71 5 2" xfId="18539" xr:uid="{00000000-0005-0000-0000-00006B350000}"/>
    <cellStyle name="40% - Accent3 71 6" xfId="5257" xr:uid="{00000000-0005-0000-0000-00006C350000}"/>
    <cellStyle name="40% - Accent3 71 6 2" xfId="16545" xr:uid="{00000000-0005-0000-0000-00006D350000}"/>
    <cellStyle name="40% - Accent3 71 7" xfId="14551" xr:uid="{00000000-0005-0000-0000-00006E350000}"/>
    <cellStyle name="40% - Accent3 71 8" xfId="13237" xr:uid="{00000000-0005-0000-0000-00006F350000}"/>
    <cellStyle name="40% - Accent3 72" xfId="1302" xr:uid="{00000000-0005-0000-0000-000070350000}"/>
    <cellStyle name="40% - Accent3 72 2" xfId="4258" xr:uid="{00000000-0005-0000-0000-000071350000}"/>
    <cellStyle name="40% - Accent3 72 2 2" xfId="12237" xr:uid="{00000000-0005-0000-0000-000072350000}"/>
    <cellStyle name="40% - Accent3 72 2 2 2" xfId="23525" xr:uid="{00000000-0005-0000-0000-000073350000}"/>
    <cellStyle name="40% - Accent3 72 2 3" xfId="10243" xr:uid="{00000000-0005-0000-0000-000074350000}"/>
    <cellStyle name="40% - Accent3 72 2 3 2" xfId="21531" xr:uid="{00000000-0005-0000-0000-000075350000}"/>
    <cellStyle name="40% - Accent3 72 2 4" xfId="8249" xr:uid="{00000000-0005-0000-0000-000076350000}"/>
    <cellStyle name="40% - Accent3 72 2 4 2" xfId="19537" xr:uid="{00000000-0005-0000-0000-000077350000}"/>
    <cellStyle name="40% - Accent3 72 2 5" xfId="6255" xr:uid="{00000000-0005-0000-0000-000078350000}"/>
    <cellStyle name="40% - Accent3 72 2 5 2" xfId="17543" xr:uid="{00000000-0005-0000-0000-000079350000}"/>
    <cellStyle name="40% - Accent3 72 2 6" xfId="15549" xr:uid="{00000000-0005-0000-0000-00007A350000}"/>
    <cellStyle name="40% - Accent3 72 3" xfId="11240" xr:uid="{00000000-0005-0000-0000-00007B350000}"/>
    <cellStyle name="40% - Accent3 72 3 2" xfId="22528" xr:uid="{00000000-0005-0000-0000-00007C350000}"/>
    <cellStyle name="40% - Accent3 72 4" xfId="9246" xr:uid="{00000000-0005-0000-0000-00007D350000}"/>
    <cellStyle name="40% - Accent3 72 4 2" xfId="20534" xr:uid="{00000000-0005-0000-0000-00007E350000}"/>
    <cellStyle name="40% - Accent3 72 5" xfId="7252" xr:uid="{00000000-0005-0000-0000-00007F350000}"/>
    <cellStyle name="40% - Accent3 72 5 2" xfId="18540" xr:uid="{00000000-0005-0000-0000-000080350000}"/>
    <cellStyle name="40% - Accent3 72 6" xfId="5258" xr:uid="{00000000-0005-0000-0000-000081350000}"/>
    <cellStyle name="40% - Accent3 72 6 2" xfId="16546" xr:uid="{00000000-0005-0000-0000-000082350000}"/>
    <cellStyle name="40% - Accent3 72 7" xfId="14552" xr:uid="{00000000-0005-0000-0000-000083350000}"/>
    <cellStyle name="40% - Accent3 72 8" xfId="13238" xr:uid="{00000000-0005-0000-0000-000084350000}"/>
    <cellStyle name="40% - Accent3 8" xfId="1303" xr:uid="{00000000-0005-0000-0000-000085350000}"/>
    <cellStyle name="40% - Accent3 8 2" xfId="4259" xr:uid="{00000000-0005-0000-0000-000086350000}"/>
    <cellStyle name="40% - Accent3 8 2 2" xfId="12238" xr:uid="{00000000-0005-0000-0000-000087350000}"/>
    <cellStyle name="40% - Accent3 8 2 2 2" xfId="23526" xr:uid="{00000000-0005-0000-0000-000088350000}"/>
    <cellStyle name="40% - Accent3 8 2 3" xfId="10244" xr:uid="{00000000-0005-0000-0000-000089350000}"/>
    <cellStyle name="40% - Accent3 8 2 3 2" xfId="21532" xr:uid="{00000000-0005-0000-0000-00008A350000}"/>
    <cellStyle name="40% - Accent3 8 2 4" xfId="8250" xr:uid="{00000000-0005-0000-0000-00008B350000}"/>
    <cellStyle name="40% - Accent3 8 2 4 2" xfId="19538" xr:uid="{00000000-0005-0000-0000-00008C350000}"/>
    <cellStyle name="40% - Accent3 8 2 5" xfId="6256" xr:uid="{00000000-0005-0000-0000-00008D350000}"/>
    <cellStyle name="40% - Accent3 8 2 5 2" xfId="17544" xr:uid="{00000000-0005-0000-0000-00008E350000}"/>
    <cellStyle name="40% - Accent3 8 2 6" xfId="15550" xr:uid="{00000000-0005-0000-0000-00008F350000}"/>
    <cellStyle name="40% - Accent3 8 3" xfId="11241" xr:uid="{00000000-0005-0000-0000-000090350000}"/>
    <cellStyle name="40% - Accent3 8 3 2" xfId="22529" xr:uid="{00000000-0005-0000-0000-000091350000}"/>
    <cellStyle name="40% - Accent3 8 4" xfId="9247" xr:uid="{00000000-0005-0000-0000-000092350000}"/>
    <cellStyle name="40% - Accent3 8 4 2" xfId="20535" xr:uid="{00000000-0005-0000-0000-000093350000}"/>
    <cellStyle name="40% - Accent3 8 5" xfId="7253" xr:uid="{00000000-0005-0000-0000-000094350000}"/>
    <cellStyle name="40% - Accent3 8 5 2" xfId="18541" xr:uid="{00000000-0005-0000-0000-000095350000}"/>
    <cellStyle name="40% - Accent3 8 6" xfId="5259" xr:uid="{00000000-0005-0000-0000-000096350000}"/>
    <cellStyle name="40% - Accent3 8 6 2" xfId="16547" xr:uid="{00000000-0005-0000-0000-000097350000}"/>
    <cellStyle name="40% - Accent3 8 7" xfId="14553" xr:uid="{00000000-0005-0000-0000-000098350000}"/>
    <cellStyle name="40% - Accent3 8 8" xfId="13239" xr:uid="{00000000-0005-0000-0000-000099350000}"/>
    <cellStyle name="40% - Accent3 9" xfId="1304" xr:uid="{00000000-0005-0000-0000-00009A350000}"/>
    <cellStyle name="40% - Accent3 9 2" xfId="4260" xr:uid="{00000000-0005-0000-0000-00009B350000}"/>
    <cellStyle name="40% - Accent3 9 2 2" xfId="12239" xr:uid="{00000000-0005-0000-0000-00009C350000}"/>
    <cellStyle name="40% - Accent3 9 2 2 2" xfId="23527" xr:uid="{00000000-0005-0000-0000-00009D350000}"/>
    <cellStyle name="40% - Accent3 9 2 3" xfId="10245" xr:uid="{00000000-0005-0000-0000-00009E350000}"/>
    <cellStyle name="40% - Accent3 9 2 3 2" xfId="21533" xr:uid="{00000000-0005-0000-0000-00009F350000}"/>
    <cellStyle name="40% - Accent3 9 2 4" xfId="8251" xr:uid="{00000000-0005-0000-0000-0000A0350000}"/>
    <cellStyle name="40% - Accent3 9 2 4 2" xfId="19539" xr:uid="{00000000-0005-0000-0000-0000A1350000}"/>
    <cellStyle name="40% - Accent3 9 2 5" xfId="6257" xr:uid="{00000000-0005-0000-0000-0000A2350000}"/>
    <cellStyle name="40% - Accent3 9 2 5 2" xfId="17545" xr:uid="{00000000-0005-0000-0000-0000A3350000}"/>
    <cellStyle name="40% - Accent3 9 2 6" xfId="15551" xr:uid="{00000000-0005-0000-0000-0000A4350000}"/>
    <cellStyle name="40% - Accent3 9 3" xfId="11242" xr:uid="{00000000-0005-0000-0000-0000A5350000}"/>
    <cellStyle name="40% - Accent3 9 3 2" xfId="22530" xr:uid="{00000000-0005-0000-0000-0000A6350000}"/>
    <cellStyle name="40% - Accent3 9 4" xfId="9248" xr:uid="{00000000-0005-0000-0000-0000A7350000}"/>
    <cellStyle name="40% - Accent3 9 4 2" xfId="20536" xr:uid="{00000000-0005-0000-0000-0000A8350000}"/>
    <cellStyle name="40% - Accent3 9 5" xfId="7254" xr:uid="{00000000-0005-0000-0000-0000A9350000}"/>
    <cellStyle name="40% - Accent3 9 5 2" xfId="18542" xr:uid="{00000000-0005-0000-0000-0000AA350000}"/>
    <cellStyle name="40% - Accent3 9 6" xfId="5260" xr:uid="{00000000-0005-0000-0000-0000AB350000}"/>
    <cellStyle name="40% - Accent3 9 6 2" xfId="16548" xr:uid="{00000000-0005-0000-0000-0000AC350000}"/>
    <cellStyle name="40% - Accent3 9 7" xfId="14554" xr:uid="{00000000-0005-0000-0000-0000AD350000}"/>
    <cellStyle name="40% - Accent3 9 8" xfId="13240" xr:uid="{00000000-0005-0000-0000-0000AE350000}"/>
    <cellStyle name="40% - Accent4 10" xfId="1305" xr:uid="{00000000-0005-0000-0000-0000AF350000}"/>
    <cellStyle name="40% - Accent4 10 2" xfId="4261" xr:uid="{00000000-0005-0000-0000-0000B0350000}"/>
    <cellStyle name="40% - Accent4 10 2 2" xfId="12240" xr:uid="{00000000-0005-0000-0000-0000B1350000}"/>
    <cellStyle name="40% - Accent4 10 2 2 2" xfId="23528" xr:uid="{00000000-0005-0000-0000-0000B2350000}"/>
    <cellStyle name="40% - Accent4 10 2 3" xfId="10246" xr:uid="{00000000-0005-0000-0000-0000B3350000}"/>
    <cellStyle name="40% - Accent4 10 2 3 2" xfId="21534" xr:uid="{00000000-0005-0000-0000-0000B4350000}"/>
    <cellStyle name="40% - Accent4 10 2 4" xfId="8252" xr:uid="{00000000-0005-0000-0000-0000B5350000}"/>
    <cellStyle name="40% - Accent4 10 2 4 2" xfId="19540" xr:uid="{00000000-0005-0000-0000-0000B6350000}"/>
    <cellStyle name="40% - Accent4 10 2 5" xfId="6258" xr:uid="{00000000-0005-0000-0000-0000B7350000}"/>
    <cellStyle name="40% - Accent4 10 2 5 2" xfId="17546" xr:uid="{00000000-0005-0000-0000-0000B8350000}"/>
    <cellStyle name="40% - Accent4 10 2 6" xfId="15552" xr:uid="{00000000-0005-0000-0000-0000B9350000}"/>
    <cellStyle name="40% - Accent4 10 3" xfId="11243" xr:uid="{00000000-0005-0000-0000-0000BA350000}"/>
    <cellStyle name="40% - Accent4 10 3 2" xfId="22531" xr:uid="{00000000-0005-0000-0000-0000BB350000}"/>
    <cellStyle name="40% - Accent4 10 4" xfId="9249" xr:uid="{00000000-0005-0000-0000-0000BC350000}"/>
    <cellStyle name="40% - Accent4 10 4 2" xfId="20537" xr:uid="{00000000-0005-0000-0000-0000BD350000}"/>
    <cellStyle name="40% - Accent4 10 5" xfId="7255" xr:uid="{00000000-0005-0000-0000-0000BE350000}"/>
    <cellStyle name="40% - Accent4 10 5 2" xfId="18543" xr:uid="{00000000-0005-0000-0000-0000BF350000}"/>
    <cellStyle name="40% - Accent4 10 6" xfId="5261" xr:uid="{00000000-0005-0000-0000-0000C0350000}"/>
    <cellStyle name="40% - Accent4 10 6 2" xfId="16549" xr:uid="{00000000-0005-0000-0000-0000C1350000}"/>
    <cellStyle name="40% - Accent4 10 7" xfId="14555" xr:uid="{00000000-0005-0000-0000-0000C2350000}"/>
    <cellStyle name="40% - Accent4 10 8" xfId="13241" xr:uid="{00000000-0005-0000-0000-0000C3350000}"/>
    <cellStyle name="40% - Accent4 11" xfId="1306" xr:uid="{00000000-0005-0000-0000-0000C4350000}"/>
    <cellStyle name="40% - Accent4 11 2" xfId="4262" xr:uid="{00000000-0005-0000-0000-0000C5350000}"/>
    <cellStyle name="40% - Accent4 11 2 2" xfId="12241" xr:uid="{00000000-0005-0000-0000-0000C6350000}"/>
    <cellStyle name="40% - Accent4 11 2 2 2" xfId="23529" xr:uid="{00000000-0005-0000-0000-0000C7350000}"/>
    <cellStyle name="40% - Accent4 11 2 3" xfId="10247" xr:uid="{00000000-0005-0000-0000-0000C8350000}"/>
    <cellStyle name="40% - Accent4 11 2 3 2" xfId="21535" xr:uid="{00000000-0005-0000-0000-0000C9350000}"/>
    <cellStyle name="40% - Accent4 11 2 4" xfId="8253" xr:uid="{00000000-0005-0000-0000-0000CA350000}"/>
    <cellStyle name="40% - Accent4 11 2 4 2" xfId="19541" xr:uid="{00000000-0005-0000-0000-0000CB350000}"/>
    <cellStyle name="40% - Accent4 11 2 5" xfId="6259" xr:uid="{00000000-0005-0000-0000-0000CC350000}"/>
    <cellStyle name="40% - Accent4 11 2 5 2" xfId="17547" xr:uid="{00000000-0005-0000-0000-0000CD350000}"/>
    <cellStyle name="40% - Accent4 11 2 6" xfId="15553" xr:uid="{00000000-0005-0000-0000-0000CE350000}"/>
    <cellStyle name="40% - Accent4 11 3" xfId="11244" xr:uid="{00000000-0005-0000-0000-0000CF350000}"/>
    <cellStyle name="40% - Accent4 11 3 2" xfId="22532" xr:uid="{00000000-0005-0000-0000-0000D0350000}"/>
    <cellStyle name="40% - Accent4 11 4" xfId="9250" xr:uid="{00000000-0005-0000-0000-0000D1350000}"/>
    <cellStyle name="40% - Accent4 11 4 2" xfId="20538" xr:uid="{00000000-0005-0000-0000-0000D2350000}"/>
    <cellStyle name="40% - Accent4 11 5" xfId="7256" xr:uid="{00000000-0005-0000-0000-0000D3350000}"/>
    <cellStyle name="40% - Accent4 11 5 2" xfId="18544" xr:uid="{00000000-0005-0000-0000-0000D4350000}"/>
    <cellStyle name="40% - Accent4 11 6" xfId="5262" xr:uid="{00000000-0005-0000-0000-0000D5350000}"/>
    <cellStyle name="40% - Accent4 11 6 2" xfId="16550" xr:uid="{00000000-0005-0000-0000-0000D6350000}"/>
    <cellStyle name="40% - Accent4 11 7" xfId="14556" xr:uid="{00000000-0005-0000-0000-0000D7350000}"/>
    <cellStyle name="40% - Accent4 11 8" xfId="13242" xr:uid="{00000000-0005-0000-0000-0000D8350000}"/>
    <cellStyle name="40% - Accent4 12" xfId="1307" xr:uid="{00000000-0005-0000-0000-0000D9350000}"/>
    <cellStyle name="40% - Accent4 12 2" xfId="4263" xr:uid="{00000000-0005-0000-0000-0000DA350000}"/>
    <cellStyle name="40% - Accent4 12 2 2" xfId="12242" xr:uid="{00000000-0005-0000-0000-0000DB350000}"/>
    <cellStyle name="40% - Accent4 12 2 2 2" xfId="23530" xr:uid="{00000000-0005-0000-0000-0000DC350000}"/>
    <cellStyle name="40% - Accent4 12 2 3" xfId="10248" xr:uid="{00000000-0005-0000-0000-0000DD350000}"/>
    <cellStyle name="40% - Accent4 12 2 3 2" xfId="21536" xr:uid="{00000000-0005-0000-0000-0000DE350000}"/>
    <cellStyle name="40% - Accent4 12 2 4" xfId="8254" xr:uid="{00000000-0005-0000-0000-0000DF350000}"/>
    <cellStyle name="40% - Accent4 12 2 4 2" xfId="19542" xr:uid="{00000000-0005-0000-0000-0000E0350000}"/>
    <cellStyle name="40% - Accent4 12 2 5" xfId="6260" xr:uid="{00000000-0005-0000-0000-0000E1350000}"/>
    <cellStyle name="40% - Accent4 12 2 5 2" xfId="17548" xr:uid="{00000000-0005-0000-0000-0000E2350000}"/>
    <cellStyle name="40% - Accent4 12 2 6" xfId="15554" xr:uid="{00000000-0005-0000-0000-0000E3350000}"/>
    <cellStyle name="40% - Accent4 12 3" xfId="11245" xr:uid="{00000000-0005-0000-0000-0000E4350000}"/>
    <cellStyle name="40% - Accent4 12 3 2" xfId="22533" xr:uid="{00000000-0005-0000-0000-0000E5350000}"/>
    <cellStyle name="40% - Accent4 12 4" xfId="9251" xr:uid="{00000000-0005-0000-0000-0000E6350000}"/>
    <cellStyle name="40% - Accent4 12 4 2" xfId="20539" xr:uid="{00000000-0005-0000-0000-0000E7350000}"/>
    <cellStyle name="40% - Accent4 12 5" xfId="7257" xr:uid="{00000000-0005-0000-0000-0000E8350000}"/>
    <cellStyle name="40% - Accent4 12 5 2" xfId="18545" xr:uid="{00000000-0005-0000-0000-0000E9350000}"/>
    <cellStyle name="40% - Accent4 12 6" xfId="5263" xr:uid="{00000000-0005-0000-0000-0000EA350000}"/>
    <cellStyle name="40% - Accent4 12 6 2" xfId="16551" xr:uid="{00000000-0005-0000-0000-0000EB350000}"/>
    <cellStyle name="40% - Accent4 12 7" xfId="14557" xr:uid="{00000000-0005-0000-0000-0000EC350000}"/>
    <cellStyle name="40% - Accent4 12 8" xfId="13243" xr:uid="{00000000-0005-0000-0000-0000ED350000}"/>
    <cellStyle name="40% - Accent4 13" xfId="1308" xr:uid="{00000000-0005-0000-0000-0000EE350000}"/>
    <cellStyle name="40% - Accent4 13 2" xfId="4264" xr:uid="{00000000-0005-0000-0000-0000EF350000}"/>
    <cellStyle name="40% - Accent4 13 2 2" xfId="12243" xr:uid="{00000000-0005-0000-0000-0000F0350000}"/>
    <cellStyle name="40% - Accent4 13 2 2 2" xfId="23531" xr:uid="{00000000-0005-0000-0000-0000F1350000}"/>
    <cellStyle name="40% - Accent4 13 2 3" xfId="10249" xr:uid="{00000000-0005-0000-0000-0000F2350000}"/>
    <cellStyle name="40% - Accent4 13 2 3 2" xfId="21537" xr:uid="{00000000-0005-0000-0000-0000F3350000}"/>
    <cellStyle name="40% - Accent4 13 2 4" xfId="8255" xr:uid="{00000000-0005-0000-0000-0000F4350000}"/>
    <cellStyle name="40% - Accent4 13 2 4 2" xfId="19543" xr:uid="{00000000-0005-0000-0000-0000F5350000}"/>
    <cellStyle name="40% - Accent4 13 2 5" xfId="6261" xr:uid="{00000000-0005-0000-0000-0000F6350000}"/>
    <cellStyle name="40% - Accent4 13 2 5 2" xfId="17549" xr:uid="{00000000-0005-0000-0000-0000F7350000}"/>
    <cellStyle name="40% - Accent4 13 2 6" xfId="15555" xr:uid="{00000000-0005-0000-0000-0000F8350000}"/>
    <cellStyle name="40% - Accent4 13 3" xfId="11246" xr:uid="{00000000-0005-0000-0000-0000F9350000}"/>
    <cellStyle name="40% - Accent4 13 3 2" xfId="22534" xr:uid="{00000000-0005-0000-0000-0000FA350000}"/>
    <cellStyle name="40% - Accent4 13 4" xfId="9252" xr:uid="{00000000-0005-0000-0000-0000FB350000}"/>
    <cellStyle name="40% - Accent4 13 4 2" xfId="20540" xr:uid="{00000000-0005-0000-0000-0000FC350000}"/>
    <cellStyle name="40% - Accent4 13 5" xfId="7258" xr:uid="{00000000-0005-0000-0000-0000FD350000}"/>
    <cellStyle name="40% - Accent4 13 5 2" xfId="18546" xr:uid="{00000000-0005-0000-0000-0000FE350000}"/>
    <cellStyle name="40% - Accent4 13 6" xfId="5264" xr:uid="{00000000-0005-0000-0000-0000FF350000}"/>
    <cellStyle name="40% - Accent4 13 6 2" xfId="16552" xr:uid="{00000000-0005-0000-0000-000000360000}"/>
    <cellStyle name="40% - Accent4 13 7" xfId="14558" xr:uid="{00000000-0005-0000-0000-000001360000}"/>
    <cellStyle name="40% - Accent4 13 8" xfId="13244" xr:uid="{00000000-0005-0000-0000-000002360000}"/>
    <cellStyle name="40% - Accent4 14" xfId="1309" xr:uid="{00000000-0005-0000-0000-000003360000}"/>
    <cellStyle name="40% - Accent4 14 2" xfId="4265" xr:uid="{00000000-0005-0000-0000-000004360000}"/>
    <cellStyle name="40% - Accent4 14 2 2" xfId="12244" xr:uid="{00000000-0005-0000-0000-000005360000}"/>
    <cellStyle name="40% - Accent4 14 2 2 2" xfId="23532" xr:uid="{00000000-0005-0000-0000-000006360000}"/>
    <cellStyle name="40% - Accent4 14 2 3" xfId="10250" xr:uid="{00000000-0005-0000-0000-000007360000}"/>
    <cellStyle name="40% - Accent4 14 2 3 2" xfId="21538" xr:uid="{00000000-0005-0000-0000-000008360000}"/>
    <cellStyle name="40% - Accent4 14 2 4" xfId="8256" xr:uid="{00000000-0005-0000-0000-000009360000}"/>
    <cellStyle name="40% - Accent4 14 2 4 2" xfId="19544" xr:uid="{00000000-0005-0000-0000-00000A360000}"/>
    <cellStyle name="40% - Accent4 14 2 5" xfId="6262" xr:uid="{00000000-0005-0000-0000-00000B360000}"/>
    <cellStyle name="40% - Accent4 14 2 5 2" xfId="17550" xr:uid="{00000000-0005-0000-0000-00000C360000}"/>
    <cellStyle name="40% - Accent4 14 2 6" xfId="15556" xr:uid="{00000000-0005-0000-0000-00000D360000}"/>
    <cellStyle name="40% - Accent4 14 3" xfId="11247" xr:uid="{00000000-0005-0000-0000-00000E360000}"/>
    <cellStyle name="40% - Accent4 14 3 2" xfId="22535" xr:uid="{00000000-0005-0000-0000-00000F360000}"/>
    <cellStyle name="40% - Accent4 14 4" xfId="9253" xr:uid="{00000000-0005-0000-0000-000010360000}"/>
    <cellStyle name="40% - Accent4 14 4 2" xfId="20541" xr:uid="{00000000-0005-0000-0000-000011360000}"/>
    <cellStyle name="40% - Accent4 14 5" xfId="7259" xr:uid="{00000000-0005-0000-0000-000012360000}"/>
    <cellStyle name="40% - Accent4 14 5 2" xfId="18547" xr:uid="{00000000-0005-0000-0000-000013360000}"/>
    <cellStyle name="40% - Accent4 14 6" xfId="5265" xr:uid="{00000000-0005-0000-0000-000014360000}"/>
    <cellStyle name="40% - Accent4 14 6 2" xfId="16553" xr:uid="{00000000-0005-0000-0000-000015360000}"/>
    <cellStyle name="40% - Accent4 14 7" xfId="14559" xr:uid="{00000000-0005-0000-0000-000016360000}"/>
    <cellStyle name="40% - Accent4 14 8" xfId="13245" xr:uid="{00000000-0005-0000-0000-000017360000}"/>
    <cellStyle name="40% - Accent4 15" xfId="1310" xr:uid="{00000000-0005-0000-0000-000018360000}"/>
    <cellStyle name="40% - Accent4 15 2" xfId="4266" xr:uid="{00000000-0005-0000-0000-000019360000}"/>
    <cellStyle name="40% - Accent4 15 2 2" xfId="12245" xr:uid="{00000000-0005-0000-0000-00001A360000}"/>
    <cellStyle name="40% - Accent4 15 2 2 2" xfId="23533" xr:uid="{00000000-0005-0000-0000-00001B360000}"/>
    <cellStyle name="40% - Accent4 15 2 3" xfId="10251" xr:uid="{00000000-0005-0000-0000-00001C360000}"/>
    <cellStyle name="40% - Accent4 15 2 3 2" xfId="21539" xr:uid="{00000000-0005-0000-0000-00001D360000}"/>
    <cellStyle name="40% - Accent4 15 2 4" xfId="8257" xr:uid="{00000000-0005-0000-0000-00001E360000}"/>
    <cellStyle name="40% - Accent4 15 2 4 2" xfId="19545" xr:uid="{00000000-0005-0000-0000-00001F360000}"/>
    <cellStyle name="40% - Accent4 15 2 5" xfId="6263" xr:uid="{00000000-0005-0000-0000-000020360000}"/>
    <cellStyle name="40% - Accent4 15 2 5 2" xfId="17551" xr:uid="{00000000-0005-0000-0000-000021360000}"/>
    <cellStyle name="40% - Accent4 15 2 6" xfId="15557" xr:uid="{00000000-0005-0000-0000-000022360000}"/>
    <cellStyle name="40% - Accent4 15 3" xfId="11248" xr:uid="{00000000-0005-0000-0000-000023360000}"/>
    <cellStyle name="40% - Accent4 15 3 2" xfId="22536" xr:uid="{00000000-0005-0000-0000-000024360000}"/>
    <cellStyle name="40% - Accent4 15 4" xfId="9254" xr:uid="{00000000-0005-0000-0000-000025360000}"/>
    <cellStyle name="40% - Accent4 15 4 2" xfId="20542" xr:uid="{00000000-0005-0000-0000-000026360000}"/>
    <cellStyle name="40% - Accent4 15 5" xfId="7260" xr:uid="{00000000-0005-0000-0000-000027360000}"/>
    <cellStyle name="40% - Accent4 15 5 2" xfId="18548" xr:uid="{00000000-0005-0000-0000-000028360000}"/>
    <cellStyle name="40% - Accent4 15 6" xfId="5266" xr:uid="{00000000-0005-0000-0000-000029360000}"/>
    <cellStyle name="40% - Accent4 15 6 2" xfId="16554" xr:uid="{00000000-0005-0000-0000-00002A360000}"/>
    <cellStyle name="40% - Accent4 15 7" xfId="14560" xr:uid="{00000000-0005-0000-0000-00002B360000}"/>
    <cellStyle name="40% - Accent4 15 8" xfId="13246" xr:uid="{00000000-0005-0000-0000-00002C360000}"/>
    <cellStyle name="40% - Accent4 16" xfId="1311" xr:uid="{00000000-0005-0000-0000-00002D360000}"/>
    <cellStyle name="40% - Accent4 16 2" xfId="4267" xr:uid="{00000000-0005-0000-0000-00002E360000}"/>
    <cellStyle name="40% - Accent4 16 2 2" xfId="12246" xr:uid="{00000000-0005-0000-0000-00002F360000}"/>
    <cellStyle name="40% - Accent4 16 2 2 2" xfId="23534" xr:uid="{00000000-0005-0000-0000-000030360000}"/>
    <cellStyle name="40% - Accent4 16 2 3" xfId="10252" xr:uid="{00000000-0005-0000-0000-000031360000}"/>
    <cellStyle name="40% - Accent4 16 2 3 2" xfId="21540" xr:uid="{00000000-0005-0000-0000-000032360000}"/>
    <cellStyle name="40% - Accent4 16 2 4" xfId="8258" xr:uid="{00000000-0005-0000-0000-000033360000}"/>
    <cellStyle name="40% - Accent4 16 2 4 2" xfId="19546" xr:uid="{00000000-0005-0000-0000-000034360000}"/>
    <cellStyle name="40% - Accent4 16 2 5" xfId="6264" xr:uid="{00000000-0005-0000-0000-000035360000}"/>
    <cellStyle name="40% - Accent4 16 2 5 2" xfId="17552" xr:uid="{00000000-0005-0000-0000-000036360000}"/>
    <cellStyle name="40% - Accent4 16 2 6" xfId="15558" xr:uid="{00000000-0005-0000-0000-000037360000}"/>
    <cellStyle name="40% - Accent4 16 3" xfId="11249" xr:uid="{00000000-0005-0000-0000-000038360000}"/>
    <cellStyle name="40% - Accent4 16 3 2" xfId="22537" xr:uid="{00000000-0005-0000-0000-000039360000}"/>
    <cellStyle name="40% - Accent4 16 4" xfId="9255" xr:uid="{00000000-0005-0000-0000-00003A360000}"/>
    <cellStyle name="40% - Accent4 16 4 2" xfId="20543" xr:uid="{00000000-0005-0000-0000-00003B360000}"/>
    <cellStyle name="40% - Accent4 16 5" xfId="7261" xr:uid="{00000000-0005-0000-0000-00003C360000}"/>
    <cellStyle name="40% - Accent4 16 5 2" xfId="18549" xr:uid="{00000000-0005-0000-0000-00003D360000}"/>
    <cellStyle name="40% - Accent4 16 6" xfId="5267" xr:uid="{00000000-0005-0000-0000-00003E360000}"/>
    <cellStyle name="40% - Accent4 16 6 2" xfId="16555" xr:uid="{00000000-0005-0000-0000-00003F360000}"/>
    <cellStyle name="40% - Accent4 16 7" xfId="14561" xr:uid="{00000000-0005-0000-0000-000040360000}"/>
    <cellStyle name="40% - Accent4 16 8" xfId="13247" xr:uid="{00000000-0005-0000-0000-000041360000}"/>
    <cellStyle name="40% - Accent4 17" xfId="1312" xr:uid="{00000000-0005-0000-0000-000042360000}"/>
    <cellStyle name="40% - Accent4 17 2" xfId="4268" xr:uid="{00000000-0005-0000-0000-000043360000}"/>
    <cellStyle name="40% - Accent4 17 2 2" xfId="12247" xr:uid="{00000000-0005-0000-0000-000044360000}"/>
    <cellStyle name="40% - Accent4 17 2 2 2" xfId="23535" xr:uid="{00000000-0005-0000-0000-000045360000}"/>
    <cellStyle name="40% - Accent4 17 2 3" xfId="10253" xr:uid="{00000000-0005-0000-0000-000046360000}"/>
    <cellStyle name="40% - Accent4 17 2 3 2" xfId="21541" xr:uid="{00000000-0005-0000-0000-000047360000}"/>
    <cellStyle name="40% - Accent4 17 2 4" xfId="8259" xr:uid="{00000000-0005-0000-0000-000048360000}"/>
    <cellStyle name="40% - Accent4 17 2 4 2" xfId="19547" xr:uid="{00000000-0005-0000-0000-000049360000}"/>
    <cellStyle name="40% - Accent4 17 2 5" xfId="6265" xr:uid="{00000000-0005-0000-0000-00004A360000}"/>
    <cellStyle name="40% - Accent4 17 2 5 2" xfId="17553" xr:uid="{00000000-0005-0000-0000-00004B360000}"/>
    <cellStyle name="40% - Accent4 17 2 6" xfId="15559" xr:uid="{00000000-0005-0000-0000-00004C360000}"/>
    <cellStyle name="40% - Accent4 17 3" xfId="11250" xr:uid="{00000000-0005-0000-0000-00004D360000}"/>
    <cellStyle name="40% - Accent4 17 3 2" xfId="22538" xr:uid="{00000000-0005-0000-0000-00004E360000}"/>
    <cellStyle name="40% - Accent4 17 4" xfId="9256" xr:uid="{00000000-0005-0000-0000-00004F360000}"/>
    <cellStyle name="40% - Accent4 17 4 2" xfId="20544" xr:uid="{00000000-0005-0000-0000-000050360000}"/>
    <cellStyle name="40% - Accent4 17 5" xfId="7262" xr:uid="{00000000-0005-0000-0000-000051360000}"/>
    <cellStyle name="40% - Accent4 17 5 2" xfId="18550" xr:uid="{00000000-0005-0000-0000-000052360000}"/>
    <cellStyle name="40% - Accent4 17 6" xfId="5268" xr:uid="{00000000-0005-0000-0000-000053360000}"/>
    <cellStyle name="40% - Accent4 17 6 2" xfId="16556" xr:uid="{00000000-0005-0000-0000-000054360000}"/>
    <cellStyle name="40% - Accent4 17 7" xfId="14562" xr:uid="{00000000-0005-0000-0000-000055360000}"/>
    <cellStyle name="40% - Accent4 17 8" xfId="13248" xr:uid="{00000000-0005-0000-0000-000056360000}"/>
    <cellStyle name="40% - Accent4 18" xfId="1313" xr:uid="{00000000-0005-0000-0000-000057360000}"/>
    <cellStyle name="40% - Accent4 18 2" xfId="4269" xr:uid="{00000000-0005-0000-0000-000058360000}"/>
    <cellStyle name="40% - Accent4 18 2 2" xfId="12248" xr:uid="{00000000-0005-0000-0000-000059360000}"/>
    <cellStyle name="40% - Accent4 18 2 2 2" xfId="23536" xr:uid="{00000000-0005-0000-0000-00005A360000}"/>
    <cellStyle name="40% - Accent4 18 2 3" xfId="10254" xr:uid="{00000000-0005-0000-0000-00005B360000}"/>
    <cellStyle name="40% - Accent4 18 2 3 2" xfId="21542" xr:uid="{00000000-0005-0000-0000-00005C360000}"/>
    <cellStyle name="40% - Accent4 18 2 4" xfId="8260" xr:uid="{00000000-0005-0000-0000-00005D360000}"/>
    <cellStyle name="40% - Accent4 18 2 4 2" xfId="19548" xr:uid="{00000000-0005-0000-0000-00005E360000}"/>
    <cellStyle name="40% - Accent4 18 2 5" xfId="6266" xr:uid="{00000000-0005-0000-0000-00005F360000}"/>
    <cellStyle name="40% - Accent4 18 2 5 2" xfId="17554" xr:uid="{00000000-0005-0000-0000-000060360000}"/>
    <cellStyle name="40% - Accent4 18 2 6" xfId="15560" xr:uid="{00000000-0005-0000-0000-000061360000}"/>
    <cellStyle name="40% - Accent4 18 3" xfId="11251" xr:uid="{00000000-0005-0000-0000-000062360000}"/>
    <cellStyle name="40% - Accent4 18 3 2" xfId="22539" xr:uid="{00000000-0005-0000-0000-000063360000}"/>
    <cellStyle name="40% - Accent4 18 4" xfId="9257" xr:uid="{00000000-0005-0000-0000-000064360000}"/>
    <cellStyle name="40% - Accent4 18 4 2" xfId="20545" xr:uid="{00000000-0005-0000-0000-000065360000}"/>
    <cellStyle name="40% - Accent4 18 5" xfId="7263" xr:uid="{00000000-0005-0000-0000-000066360000}"/>
    <cellStyle name="40% - Accent4 18 5 2" xfId="18551" xr:uid="{00000000-0005-0000-0000-000067360000}"/>
    <cellStyle name="40% - Accent4 18 6" xfId="5269" xr:uid="{00000000-0005-0000-0000-000068360000}"/>
    <cellStyle name="40% - Accent4 18 6 2" xfId="16557" xr:uid="{00000000-0005-0000-0000-000069360000}"/>
    <cellStyle name="40% - Accent4 18 7" xfId="14563" xr:uid="{00000000-0005-0000-0000-00006A360000}"/>
    <cellStyle name="40% - Accent4 18 8" xfId="13249" xr:uid="{00000000-0005-0000-0000-00006B360000}"/>
    <cellStyle name="40% - Accent4 19" xfId="1314" xr:uid="{00000000-0005-0000-0000-00006C360000}"/>
    <cellStyle name="40% - Accent4 19 2" xfId="4270" xr:uid="{00000000-0005-0000-0000-00006D360000}"/>
    <cellStyle name="40% - Accent4 19 2 2" xfId="12249" xr:uid="{00000000-0005-0000-0000-00006E360000}"/>
    <cellStyle name="40% - Accent4 19 2 2 2" xfId="23537" xr:uid="{00000000-0005-0000-0000-00006F360000}"/>
    <cellStyle name="40% - Accent4 19 2 3" xfId="10255" xr:uid="{00000000-0005-0000-0000-000070360000}"/>
    <cellStyle name="40% - Accent4 19 2 3 2" xfId="21543" xr:uid="{00000000-0005-0000-0000-000071360000}"/>
    <cellStyle name="40% - Accent4 19 2 4" xfId="8261" xr:uid="{00000000-0005-0000-0000-000072360000}"/>
    <cellStyle name="40% - Accent4 19 2 4 2" xfId="19549" xr:uid="{00000000-0005-0000-0000-000073360000}"/>
    <cellStyle name="40% - Accent4 19 2 5" xfId="6267" xr:uid="{00000000-0005-0000-0000-000074360000}"/>
    <cellStyle name="40% - Accent4 19 2 5 2" xfId="17555" xr:uid="{00000000-0005-0000-0000-000075360000}"/>
    <cellStyle name="40% - Accent4 19 2 6" xfId="15561" xr:uid="{00000000-0005-0000-0000-000076360000}"/>
    <cellStyle name="40% - Accent4 19 3" xfId="11252" xr:uid="{00000000-0005-0000-0000-000077360000}"/>
    <cellStyle name="40% - Accent4 19 3 2" xfId="22540" xr:uid="{00000000-0005-0000-0000-000078360000}"/>
    <cellStyle name="40% - Accent4 19 4" xfId="9258" xr:uid="{00000000-0005-0000-0000-000079360000}"/>
    <cellStyle name="40% - Accent4 19 4 2" xfId="20546" xr:uid="{00000000-0005-0000-0000-00007A360000}"/>
    <cellStyle name="40% - Accent4 19 5" xfId="7264" xr:uid="{00000000-0005-0000-0000-00007B360000}"/>
    <cellStyle name="40% - Accent4 19 5 2" xfId="18552" xr:uid="{00000000-0005-0000-0000-00007C360000}"/>
    <cellStyle name="40% - Accent4 19 6" xfId="5270" xr:uid="{00000000-0005-0000-0000-00007D360000}"/>
    <cellStyle name="40% - Accent4 19 6 2" xfId="16558" xr:uid="{00000000-0005-0000-0000-00007E360000}"/>
    <cellStyle name="40% - Accent4 19 7" xfId="14564" xr:uid="{00000000-0005-0000-0000-00007F360000}"/>
    <cellStyle name="40% - Accent4 19 8" xfId="13250" xr:uid="{00000000-0005-0000-0000-000080360000}"/>
    <cellStyle name="40% - Accent4 2" xfId="1315" xr:uid="{00000000-0005-0000-0000-000081360000}"/>
    <cellStyle name="40% - Accent4 2 10" xfId="24613" xr:uid="{00000000-0005-0000-0000-000082360000}"/>
    <cellStyle name="40% - Accent4 2 11" xfId="25003" xr:uid="{00000000-0005-0000-0000-000083360000}"/>
    <cellStyle name="40% - Accent4 2 2" xfId="4271" xr:uid="{00000000-0005-0000-0000-000084360000}"/>
    <cellStyle name="40% - Accent4 2 2 2" xfId="12250" xr:uid="{00000000-0005-0000-0000-000085360000}"/>
    <cellStyle name="40% - Accent4 2 2 2 2" xfId="23538" xr:uid="{00000000-0005-0000-0000-000086360000}"/>
    <cellStyle name="40% - Accent4 2 2 3" xfId="10256" xr:uid="{00000000-0005-0000-0000-000087360000}"/>
    <cellStyle name="40% - Accent4 2 2 3 2" xfId="21544" xr:uid="{00000000-0005-0000-0000-000088360000}"/>
    <cellStyle name="40% - Accent4 2 2 4" xfId="8262" xr:uid="{00000000-0005-0000-0000-000089360000}"/>
    <cellStyle name="40% - Accent4 2 2 4 2" xfId="19550" xr:uid="{00000000-0005-0000-0000-00008A360000}"/>
    <cellStyle name="40% - Accent4 2 2 5" xfId="6268" xr:uid="{00000000-0005-0000-0000-00008B360000}"/>
    <cellStyle name="40% - Accent4 2 2 5 2" xfId="17556" xr:uid="{00000000-0005-0000-0000-00008C360000}"/>
    <cellStyle name="40% - Accent4 2 2 6" xfId="15562" xr:uid="{00000000-0005-0000-0000-00008D360000}"/>
    <cellStyle name="40% - Accent4 2 2 7" xfId="24374" xr:uid="{00000000-0005-0000-0000-00008E360000}"/>
    <cellStyle name="40% - Accent4 2 2 8" xfId="24838" xr:uid="{00000000-0005-0000-0000-00008F360000}"/>
    <cellStyle name="40% - Accent4 2 2 9" xfId="25205" xr:uid="{00000000-0005-0000-0000-000090360000}"/>
    <cellStyle name="40% - Accent4 2 3" xfId="11253" xr:uid="{00000000-0005-0000-0000-000091360000}"/>
    <cellStyle name="40% - Accent4 2 3 2" xfId="22541" xr:uid="{00000000-0005-0000-0000-000092360000}"/>
    <cellStyle name="40% - Accent4 2 4" xfId="9259" xr:uid="{00000000-0005-0000-0000-000093360000}"/>
    <cellStyle name="40% - Accent4 2 4 2" xfId="20547" xr:uid="{00000000-0005-0000-0000-000094360000}"/>
    <cellStyle name="40% - Accent4 2 5" xfId="7265" xr:uid="{00000000-0005-0000-0000-000095360000}"/>
    <cellStyle name="40% - Accent4 2 5 2" xfId="18553" xr:uid="{00000000-0005-0000-0000-000096360000}"/>
    <cellStyle name="40% - Accent4 2 6" xfId="5271" xr:uid="{00000000-0005-0000-0000-000097360000}"/>
    <cellStyle name="40% - Accent4 2 6 2" xfId="16559" xr:uid="{00000000-0005-0000-0000-000098360000}"/>
    <cellStyle name="40% - Accent4 2 7" xfId="14565" xr:uid="{00000000-0005-0000-0000-000099360000}"/>
    <cellStyle name="40% - Accent4 2 8" xfId="13251" xr:uid="{00000000-0005-0000-0000-00009A360000}"/>
    <cellStyle name="40% - Accent4 2 9" xfId="23986" xr:uid="{00000000-0005-0000-0000-00009B360000}"/>
    <cellStyle name="40% - Accent4 20" xfId="1316" xr:uid="{00000000-0005-0000-0000-00009C360000}"/>
    <cellStyle name="40% - Accent4 20 2" xfId="4272" xr:uid="{00000000-0005-0000-0000-00009D360000}"/>
    <cellStyle name="40% - Accent4 20 2 2" xfId="12251" xr:uid="{00000000-0005-0000-0000-00009E360000}"/>
    <cellStyle name="40% - Accent4 20 2 2 2" xfId="23539" xr:uid="{00000000-0005-0000-0000-00009F360000}"/>
    <cellStyle name="40% - Accent4 20 2 3" xfId="10257" xr:uid="{00000000-0005-0000-0000-0000A0360000}"/>
    <cellStyle name="40% - Accent4 20 2 3 2" xfId="21545" xr:uid="{00000000-0005-0000-0000-0000A1360000}"/>
    <cellStyle name="40% - Accent4 20 2 4" xfId="8263" xr:uid="{00000000-0005-0000-0000-0000A2360000}"/>
    <cellStyle name="40% - Accent4 20 2 4 2" xfId="19551" xr:uid="{00000000-0005-0000-0000-0000A3360000}"/>
    <cellStyle name="40% - Accent4 20 2 5" xfId="6269" xr:uid="{00000000-0005-0000-0000-0000A4360000}"/>
    <cellStyle name="40% - Accent4 20 2 5 2" xfId="17557" xr:uid="{00000000-0005-0000-0000-0000A5360000}"/>
    <cellStyle name="40% - Accent4 20 2 6" xfId="15563" xr:uid="{00000000-0005-0000-0000-0000A6360000}"/>
    <cellStyle name="40% - Accent4 20 3" xfId="11254" xr:uid="{00000000-0005-0000-0000-0000A7360000}"/>
    <cellStyle name="40% - Accent4 20 3 2" xfId="22542" xr:uid="{00000000-0005-0000-0000-0000A8360000}"/>
    <cellStyle name="40% - Accent4 20 4" xfId="9260" xr:uid="{00000000-0005-0000-0000-0000A9360000}"/>
    <cellStyle name="40% - Accent4 20 4 2" xfId="20548" xr:uid="{00000000-0005-0000-0000-0000AA360000}"/>
    <cellStyle name="40% - Accent4 20 5" xfId="7266" xr:uid="{00000000-0005-0000-0000-0000AB360000}"/>
    <cellStyle name="40% - Accent4 20 5 2" xfId="18554" xr:uid="{00000000-0005-0000-0000-0000AC360000}"/>
    <cellStyle name="40% - Accent4 20 6" xfId="5272" xr:uid="{00000000-0005-0000-0000-0000AD360000}"/>
    <cellStyle name="40% - Accent4 20 6 2" xfId="16560" xr:uid="{00000000-0005-0000-0000-0000AE360000}"/>
    <cellStyle name="40% - Accent4 20 7" xfId="14566" xr:uid="{00000000-0005-0000-0000-0000AF360000}"/>
    <cellStyle name="40% - Accent4 20 8" xfId="13252" xr:uid="{00000000-0005-0000-0000-0000B0360000}"/>
    <cellStyle name="40% - Accent4 21" xfId="1317" xr:uid="{00000000-0005-0000-0000-0000B1360000}"/>
    <cellStyle name="40% - Accent4 21 2" xfId="4273" xr:uid="{00000000-0005-0000-0000-0000B2360000}"/>
    <cellStyle name="40% - Accent4 21 2 2" xfId="12252" xr:uid="{00000000-0005-0000-0000-0000B3360000}"/>
    <cellStyle name="40% - Accent4 21 2 2 2" xfId="23540" xr:uid="{00000000-0005-0000-0000-0000B4360000}"/>
    <cellStyle name="40% - Accent4 21 2 3" xfId="10258" xr:uid="{00000000-0005-0000-0000-0000B5360000}"/>
    <cellStyle name="40% - Accent4 21 2 3 2" xfId="21546" xr:uid="{00000000-0005-0000-0000-0000B6360000}"/>
    <cellStyle name="40% - Accent4 21 2 4" xfId="8264" xr:uid="{00000000-0005-0000-0000-0000B7360000}"/>
    <cellStyle name="40% - Accent4 21 2 4 2" xfId="19552" xr:uid="{00000000-0005-0000-0000-0000B8360000}"/>
    <cellStyle name="40% - Accent4 21 2 5" xfId="6270" xr:uid="{00000000-0005-0000-0000-0000B9360000}"/>
    <cellStyle name="40% - Accent4 21 2 5 2" xfId="17558" xr:uid="{00000000-0005-0000-0000-0000BA360000}"/>
    <cellStyle name="40% - Accent4 21 2 6" xfId="15564" xr:uid="{00000000-0005-0000-0000-0000BB360000}"/>
    <cellStyle name="40% - Accent4 21 3" xfId="11255" xr:uid="{00000000-0005-0000-0000-0000BC360000}"/>
    <cellStyle name="40% - Accent4 21 3 2" xfId="22543" xr:uid="{00000000-0005-0000-0000-0000BD360000}"/>
    <cellStyle name="40% - Accent4 21 4" xfId="9261" xr:uid="{00000000-0005-0000-0000-0000BE360000}"/>
    <cellStyle name="40% - Accent4 21 4 2" xfId="20549" xr:uid="{00000000-0005-0000-0000-0000BF360000}"/>
    <cellStyle name="40% - Accent4 21 5" xfId="7267" xr:uid="{00000000-0005-0000-0000-0000C0360000}"/>
    <cellStyle name="40% - Accent4 21 5 2" xfId="18555" xr:uid="{00000000-0005-0000-0000-0000C1360000}"/>
    <cellStyle name="40% - Accent4 21 6" xfId="5273" xr:uid="{00000000-0005-0000-0000-0000C2360000}"/>
    <cellStyle name="40% - Accent4 21 6 2" xfId="16561" xr:uid="{00000000-0005-0000-0000-0000C3360000}"/>
    <cellStyle name="40% - Accent4 21 7" xfId="14567" xr:uid="{00000000-0005-0000-0000-0000C4360000}"/>
    <cellStyle name="40% - Accent4 21 8" xfId="13253" xr:uid="{00000000-0005-0000-0000-0000C5360000}"/>
    <cellStyle name="40% - Accent4 22" xfId="1318" xr:uid="{00000000-0005-0000-0000-0000C6360000}"/>
    <cellStyle name="40% - Accent4 22 2" xfId="4274" xr:uid="{00000000-0005-0000-0000-0000C7360000}"/>
    <cellStyle name="40% - Accent4 22 2 2" xfId="12253" xr:uid="{00000000-0005-0000-0000-0000C8360000}"/>
    <cellStyle name="40% - Accent4 22 2 2 2" xfId="23541" xr:uid="{00000000-0005-0000-0000-0000C9360000}"/>
    <cellStyle name="40% - Accent4 22 2 3" xfId="10259" xr:uid="{00000000-0005-0000-0000-0000CA360000}"/>
    <cellStyle name="40% - Accent4 22 2 3 2" xfId="21547" xr:uid="{00000000-0005-0000-0000-0000CB360000}"/>
    <cellStyle name="40% - Accent4 22 2 4" xfId="8265" xr:uid="{00000000-0005-0000-0000-0000CC360000}"/>
    <cellStyle name="40% - Accent4 22 2 4 2" xfId="19553" xr:uid="{00000000-0005-0000-0000-0000CD360000}"/>
    <cellStyle name="40% - Accent4 22 2 5" xfId="6271" xr:uid="{00000000-0005-0000-0000-0000CE360000}"/>
    <cellStyle name="40% - Accent4 22 2 5 2" xfId="17559" xr:uid="{00000000-0005-0000-0000-0000CF360000}"/>
    <cellStyle name="40% - Accent4 22 2 6" xfId="15565" xr:uid="{00000000-0005-0000-0000-0000D0360000}"/>
    <cellStyle name="40% - Accent4 22 3" xfId="11256" xr:uid="{00000000-0005-0000-0000-0000D1360000}"/>
    <cellStyle name="40% - Accent4 22 3 2" xfId="22544" xr:uid="{00000000-0005-0000-0000-0000D2360000}"/>
    <cellStyle name="40% - Accent4 22 4" xfId="9262" xr:uid="{00000000-0005-0000-0000-0000D3360000}"/>
    <cellStyle name="40% - Accent4 22 4 2" xfId="20550" xr:uid="{00000000-0005-0000-0000-0000D4360000}"/>
    <cellStyle name="40% - Accent4 22 5" xfId="7268" xr:uid="{00000000-0005-0000-0000-0000D5360000}"/>
    <cellStyle name="40% - Accent4 22 5 2" xfId="18556" xr:uid="{00000000-0005-0000-0000-0000D6360000}"/>
    <cellStyle name="40% - Accent4 22 6" xfId="5274" xr:uid="{00000000-0005-0000-0000-0000D7360000}"/>
    <cellStyle name="40% - Accent4 22 6 2" xfId="16562" xr:uid="{00000000-0005-0000-0000-0000D8360000}"/>
    <cellStyle name="40% - Accent4 22 7" xfId="14568" xr:uid="{00000000-0005-0000-0000-0000D9360000}"/>
    <cellStyle name="40% - Accent4 22 8" xfId="13254" xr:uid="{00000000-0005-0000-0000-0000DA360000}"/>
    <cellStyle name="40% - Accent4 23" xfId="1319" xr:uid="{00000000-0005-0000-0000-0000DB360000}"/>
    <cellStyle name="40% - Accent4 23 2" xfId="4275" xr:uid="{00000000-0005-0000-0000-0000DC360000}"/>
    <cellStyle name="40% - Accent4 23 2 2" xfId="12254" xr:uid="{00000000-0005-0000-0000-0000DD360000}"/>
    <cellStyle name="40% - Accent4 23 2 2 2" xfId="23542" xr:uid="{00000000-0005-0000-0000-0000DE360000}"/>
    <cellStyle name="40% - Accent4 23 2 3" xfId="10260" xr:uid="{00000000-0005-0000-0000-0000DF360000}"/>
    <cellStyle name="40% - Accent4 23 2 3 2" xfId="21548" xr:uid="{00000000-0005-0000-0000-0000E0360000}"/>
    <cellStyle name="40% - Accent4 23 2 4" xfId="8266" xr:uid="{00000000-0005-0000-0000-0000E1360000}"/>
    <cellStyle name="40% - Accent4 23 2 4 2" xfId="19554" xr:uid="{00000000-0005-0000-0000-0000E2360000}"/>
    <cellStyle name="40% - Accent4 23 2 5" xfId="6272" xr:uid="{00000000-0005-0000-0000-0000E3360000}"/>
    <cellStyle name="40% - Accent4 23 2 5 2" xfId="17560" xr:uid="{00000000-0005-0000-0000-0000E4360000}"/>
    <cellStyle name="40% - Accent4 23 2 6" xfId="15566" xr:uid="{00000000-0005-0000-0000-0000E5360000}"/>
    <cellStyle name="40% - Accent4 23 3" xfId="11257" xr:uid="{00000000-0005-0000-0000-0000E6360000}"/>
    <cellStyle name="40% - Accent4 23 3 2" xfId="22545" xr:uid="{00000000-0005-0000-0000-0000E7360000}"/>
    <cellStyle name="40% - Accent4 23 4" xfId="9263" xr:uid="{00000000-0005-0000-0000-0000E8360000}"/>
    <cellStyle name="40% - Accent4 23 4 2" xfId="20551" xr:uid="{00000000-0005-0000-0000-0000E9360000}"/>
    <cellStyle name="40% - Accent4 23 5" xfId="7269" xr:uid="{00000000-0005-0000-0000-0000EA360000}"/>
    <cellStyle name="40% - Accent4 23 5 2" xfId="18557" xr:uid="{00000000-0005-0000-0000-0000EB360000}"/>
    <cellStyle name="40% - Accent4 23 6" xfId="5275" xr:uid="{00000000-0005-0000-0000-0000EC360000}"/>
    <cellStyle name="40% - Accent4 23 6 2" xfId="16563" xr:uid="{00000000-0005-0000-0000-0000ED360000}"/>
    <cellStyle name="40% - Accent4 23 7" xfId="14569" xr:uid="{00000000-0005-0000-0000-0000EE360000}"/>
    <cellStyle name="40% - Accent4 23 8" xfId="13255" xr:uid="{00000000-0005-0000-0000-0000EF360000}"/>
    <cellStyle name="40% - Accent4 24" xfId="1320" xr:uid="{00000000-0005-0000-0000-0000F0360000}"/>
    <cellStyle name="40% - Accent4 24 2" xfId="4276" xr:uid="{00000000-0005-0000-0000-0000F1360000}"/>
    <cellStyle name="40% - Accent4 24 2 2" xfId="12255" xr:uid="{00000000-0005-0000-0000-0000F2360000}"/>
    <cellStyle name="40% - Accent4 24 2 2 2" xfId="23543" xr:uid="{00000000-0005-0000-0000-0000F3360000}"/>
    <cellStyle name="40% - Accent4 24 2 3" xfId="10261" xr:uid="{00000000-0005-0000-0000-0000F4360000}"/>
    <cellStyle name="40% - Accent4 24 2 3 2" xfId="21549" xr:uid="{00000000-0005-0000-0000-0000F5360000}"/>
    <cellStyle name="40% - Accent4 24 2 4" xfId="8267" xr:uid="{00000000-0005-0000-0000-0000F6360000}"/>
    <cellStyle name="40% - Accent4 24 2 4 2" xfId="19555" xr:uid="{00000000-0005-0000-0000-0000F7360000}"/>
    <cellStyle name="40% - Accent4 24 2 5" xfId="6273" xr:uid="{00000000-0005-0000-0000-0000F8360000}"/>
    <cellStyle name="40% - Accent4 24 2 5 2" xfId="17561" xr:uid="{00000000-0005-0000-0000-0000F9360000}"/>
    <cellStyle name="40% - Accent4 24 2 6" xfId="15567" xr:uid="{00000000-0005-0000-0000-0000FA360000}"/>
    <cellStyle name="40% - Accent4 24 3" xfId="11258" xr:uid="{00000000-0005-0000-0000-0000FB360000}"/>
    <cellStyle name="40% - Accent4 24 3 2" xfId="22546" xr:uid="{00000000-0005-0000-0000-0000FC360000}"/>
    <cellStyle name="40% - Accent4 24 4" xfId="9264" xr:uid="{00000000-0005-0000-0000-0000FD360000}"/>
    <cellStyle name="40% - Accent4 24 4 2" xfId="20552" xr:uid="{00000000-0005-0000-0000-0000FE360000}"/>
    <cellStyle name="40% - Accent4 24 5" xfId="7270" xr:uid="{00000000-0005-0000-0000-0000FF360000}"/>
    <cellStyle name="40% - Accent4 24 5 2" xfId="18558" xr:uid="{00000000-0005-0000-0000-000000370000}"/>
    <cellStyle name="40% - Accent4 24 6" xfId="5276" xr:uid="{00000000-0005-0000-0000-000001370000}"/>
    <cellStyle name="40% - Accent4 24 6 2" xfId="16564" xr:uid="{00000000-0005-0000-0000-000002370000}"/>
    <cellStyle name="40% - Accent4 24 7" xfId="14570" xr:uid="{00000000-0005-0000-0000-000003370000}"/>
    <cellStyle name="40% - Accent4 24 8" xfId="13256" xr:uid="{00000000-0005-0000-0000-000004370000}"/>
    <cellStyle name="40% - Accent4 25" xfId="1321" xr:uid="{00000000-0005-0000-0000-000005370000}"/>
    <cellStyle name="40% - Accent4 25 2" xfId="4277" xr:uid="{00000000-0005-0000-0000-000006370000}"/>
    <cellStyle name="40% - Accent4 25 2 2" xfId="12256" xr:uid="{00000000-0005-0000-0000-000007370000}"/>
    <cellStyle name="40% - Accent4 25 2 2 2" xfId="23544" xr:uid="{00000000-0005-0000-0000-000008370000}"/>
    <cellStyle name="40% - Accent4 25 2 3" xfId="10262" xr:uid="{00000000-0005-0000-0000-000009370000}"/>
    <cellStyle name="40% - Accent4 25 2 3 2" xfId="21550" xr:uid="{00000000-0005-0000-0000-00000A370000}"/>
    <cellStyle name="40% - Accent4 25 2 4" xfId="8268" xr:uid="{00000000-0005-0000-0000-00000B370000}"/>
    <cellStyle name="40% - Accent4 25 2 4 2" xfId="19556" xr:uid="{00000000-0005-0000-0000-00000C370000}"/>
    <cellStyle name="40% - Accent4 25 2 5" xfId="6274" xr:uid="{00000000-0005-0000-0000-00000D370000}"/>
    <cellStyle name="40% - Accent4 25 2 5 2" xfId="17562" xr:uid="{00000000-0005-0000-0000-00000E370000}"/>
    <cellStyle name="40% - Accent4 25 2 6" xfId="15568" xr:uid="{00000000-0005-0000-0000-00000F370000}"/>
    <cellStyle name="40% - Accent4 25 3" xfId="11259" xr:uid="{00000000-0005-0000-0000-000010370000}"/>
    <cellStyle name="40% - Accent4 25 3 2" xfId="22547" xr:uid="{00000000-0005-0000-0000-000011370000}"/>
    <cellStyle name="40% - Accent4 25 4" xfId="9265" xr:uid="{00000000-0005-0000-0000-000012370000}"/>
    <cellStyle name="40% - Accent4 25 4 2" xfId="20553" xr:uid="{00000000-0005-0000-0000-000013370000}"/>
    <cellStyle name="40% - Accent4 25 5" xfId="7271" xr:uid="{00000000-0005-0000-0000-000014370000}"/>
    <cellStyle name="40% - Accent4 25 5 2" xfId="18559" xr:uid="{00000000-0005-0000-0000-000015370000}"/>
    <cellStyle name="40% - Accent4 25 6" xfId="5277" xr:uid="{00000000-0005-0000-0000-000016370000}"/>
    <cellStyle name="40% - Accent4 25 6 2" xfId="16565" xr:uid="{00000000-0005-0000-0000-000017370000}"/>
    <cellStyle name="40% - Accent4 25 7" xfId="14571" xr:uid="{00000000-0005-0000-0000-000018370000}"/>
    <cellStyle name="40% - Accent4 25 8" xfId="13257" xr:uid="{00000000-0005-0000-0000-000019370000}"/>
    <cellStyle name="40% - Accent4 26" xfId="1322" xr:uid="{00000000-0005-0000-0000-00001A370000}"/>
    <cellStyle name="40% - Accent4 26 2" xfId="4278" xr:uid="{00000000-0005-0000-0000-00001B370000}"/>
    <cellStyle name="40% - Accent4 26 2 2" xfId="12257" xr:uid="{00000000-0005-0000-0000-00001C370000}"/>
    <cellStyle name="40% - Accent4 26 2 2 2" xfId="23545" xr:uid="{00000000-0005-0000-0000-00001D370000}"/>
    <cellStyle name="40% - Accent4 26 2 3" xfId="10263" xr:uid="{00000000-0005-0000-0000-00001E370000}"/>
    <cellStyle name="40% - Accent4 26 2 3 2" xfId="21551" xr:uid="{00000000-0005-0000-0000-00001F370000}"/>
    <cellStyle name="40% - Accent4 26 2 4" xfId="8269" xr:uid="{00000000-0005-0000-0000-000020370000}"/>
    <cellStyle name="40% - Accent4 26 2 4 2" xfId="19557" xr:uid="{00000000-0005-0000-0000-000021370000}"/>
    <cellStyle name="40% - Accent4 26 2 5" xfId="6275" xr:uid="{00000000-0005-0000-0000-000022370000}"/>
    <cellStyle name="40% - Accent4 26 2 5 2" xfId="17563" xr:uid="{00000000-0005-0000-0000-000023370000}"/>
    <cellStyle name="40% - Accent4 26 2 6" xfId="15569" xr:uid="{00000000-0005-0000-0000-000024370000}"/>
    <cellStyle name="40% - Accent4 26 3" xfId="11260" xr:uid="{00000000-0005-0000-0000-000025370000}"/>
    <cellStyle name="40% - Accent4 26 3 2" xfId="22548" xr:uid="{00000000-0005-0000-0000-000026370000}"/>
    <cellStyle name="40% - Accent4 26 4" xfId="9266" xr:uid="{00000000-0005-0000-0000-000027370000}"/>
    <cellStyle name="40% - Accent4 26 4 2" xfId="20554" xr:uid="{00000000-0005-0000-0000-000028370000}"/>
    <cellStyle name="40% - Accent4 26 5" xfId="7272" xr:uid="{00000000-0005-0000-0000-000029370000}"/>
    <cellStyle name="40% - Accent4 26 5 2" xfId="18560" xr:uid="{00000000-0005-0000-0000-00002A370000}"/>
    <cellStyle name="40% - Accent4 26 6" xfId="5278" xr:uid="{00000000-0005-0000-0000-00002B370000}"/>
    <cellStyle name="40% - Accent4 26 6 2" xfId="16566" xr:uid="{00000000-0005-0000-0000-00002C370000}"/>
    <cellStyle name="40% - Accent4 26 7" xfId="14572" xr:uid="{00000000-0005-0000-0000-00002D370000}"/>
    <cellStyle name="40% - Accent4 26 8" xfId="13258" xr:uid="{00000000-0005-0000-0000-00002E370000}"/>
    <cellStyle name="40% - Accent4 27" xfId="1323" xr:uid="{00000000-0005-0000-0000-00002F370000}"/>
    <cellStyle name="40% - Accent4 27 2" xfId="4279" xr:uid="{00000000-0005-0000-0000-000030370000}"/>
    <cellStyle name="40% - Accent4 27 2 2" xfId="12258" xr:uid="{00000000-0005-0000-0000-000031370000}"/>
    <cellStyle name="40% - Accent4 27 2 2 2" xfId="23546" xr:uid="{00000000-0005-0000-0000-000032370000}"/>
    <cellStyle name="40% - Accent4 27 2 3" xfId="10264" xr:uid="{00000000-0005-0000-0000-000033370000}"/>
    <cellStyle name="40% - Accent4 27 2 3 2" xfId="21552" xr:uid="{00000000-0005-0000-0000-000034370000}"/>
    <cellStyle name="40% - Accent4 27 2 4" xfId="8270" xr:uid="{00000000-0005-0000-0000-000035370000}"/>
    <cellStyle name="40% - Accent4 27 2 4 2" xfId="19558" xr:uid="{00000000-0005-0000-0000-000036370000}"/>
    <cellStyle name="40% - Accent4 27 2 5" xfId="6276" xr:uid="{00000000-0005-0000-0000-000037370000}"/>
    <cellStyle name="40% - Accent4 27 2 5 2" xfId="17564" xr:uid="{00000000-0005-0000-0000-000038370000}"/>
    <cellStyle name="40% - Accent4 27 2 6" xfId="15570" xr:uid="{00000000-0005-0000-0000-000039370000}"/>
    <cellStyle name="40% - Accent4 27 3" xfId="11261" xr:uid="{00000000-0005-0000-0000-00003A370000}"/>
    <cellStyle name="40% - Accent4 27 3 2" xfId="22549" xr:uid="{00000000-0005-0000-0000-00003B370000}"/>
    <cellStyle name="40% - Accent4 27 4" xfId="9267" xr:uid="{00000000-0005-0000-0000-00003C370000}"/>
    <cellStyle name="40% - Accent4 27 4 2" xfId="20555" xr:uid="{00000000-0005-0000-0000-00003D370000}"/>
    <cellStyle name="40% - Accent4 27 5" xfId="7273" xr:uid="{00000000-0005-0000-0000-00003E370000}"/>
    <cellStyle name="40% - Accent4 27 5 2" xfId="18561" xr:uid="{00000000-0005-0000-0000-00003F370000}"/>
    <cellStyle name="40% - Accent4 27 6" xfId="5279" xr:uid="{00000000-0005-0000-0000-000040370000}"/>
    <cellStyle name="40% - Accent4 27 6 2" xfId="16567" xr:uid="{00000000-0005-0000-0000-000041370000}"/>
    <cellStyle name="40% - Accent4 27 7" xfId="14573" xr:uid="{00000000-0005-0000-0000-000042370000}"/>
    <cellStyle name="40% - Accent4 27 8" xfId="13259" xr:uid="{00000000-0005-0000-0000-000043370000}"/>
    <cellStyle name="40% - Accent4 28" xfId="1324" xr:uid="{00000000-0005-0000-0000-000044370000}"/>
    <cellStyle name="40% - Accent4 28 2" xfId="4280" xr:uid="{00000000-0005-0000-0000-000045370000}"/>
    <cellStyle name="40% - Accent4 28 2 2" xfId="12259" xr:uid="{00000000-0005-0000-0000-000046370000}"/>
    <cellStyle name="40% - Accent4 28 2 2 2" xfId="23547" xr:uid="{00000000-0005-0000-0000-000047370000}"/>
    <cellStyle name="40% - Accent4 28 2 3" xfId="10265" xr:uid="{00000000-0005-0000-0000-000048370000}"/>
    <cellStyle name="40% - Accent4 28 2 3 2" xfId="21553" xr:uid="{00000000-0005-0000-0000-000049370000}"/>
    <cellStyle name="40% - Accent4 28 2 4" xfId="8271" xr:uid="{00000000-0005-0000-0000-00004A370000}"/>
    <cellStyle name="40% - Accent4 28 2 4 2" xfId="19559" xr:uid="{00000000-0005-0000-0000-00004B370000}"/>
    <cellStyle name="40% - Accent4 28 2 5" xfId="6277" xr:uid="{00000000-0005-0000-0000-00004C370000}"/>
    <cellStyle name="40% - Accent4 28 2 5 2" xfId="17565" xr:uid="{00000000-0005-0000-0000-00004D370000}"/>
    <cellStyle name="40% - Accent4 28 2 6" xfId="15571" xr:uid="{00000000-0005-0000-0000-00004E370000}"/>
    <cellStyle name="40% - Accent4 28 3" xfId="11262" xr:uid="{00000000-0005-0000-0000-00004F370000}"/>
    <cellStyle name="40% - Accent4 28 3 2" xfId="22550" xr:uid="{00000000-0005-0000-0000-000050370000}"/>
    <cellStyle name="40% - Accent4 28 4" xfId="9268" xr:uid="{00000000-0005-0000-0000-000051370000}"/>
    <cellStyle name="40% - Accent4 28 4 2" xfId="20556" xr:uid="{00000000-0005-0000-0000-000052370000}"/>
    <cellStyle name="40% - Accent4 28 5" xfId="7274" xr:uid="{00000000-0005-0000-0000-000053370000}"/>
    <cellStyle name="40% - Accent4 28 5 2" xfId="18562" xr:uid="{00000000-0005-0000-0000-000054370000}"/>
    <cellStyle name="40% - Accent4 28 6" xfId="5280" xr:uid="{00000000-0005-0000-0000-000055370000}"/>
    <cellStyle name="40% - Accent4 28 6 2" xfId="16568" xr:uid="{00000000-0005-0000-0000-000056370000}"/>
    <cellStyle name="40% - Accent4 28 7" xfId="14574" xr:uid="{00000000-0005-0000-0000-000057370000}"/>
    <cellStyle name="40% - Accent4 28 8" xfId="13260" xr:uid="{00000000-0005-0000-0000-000058370000}"/>
    <cellStyle name="40% - Accent4 29" xfId="1325" xr:uid="{00000000-0005-0000-0000-000059370000}"/>
    <cellStyle name="40% - Accent4 29 2" xfId="4281" xr:uid="{00000000-0005-0000-0000-00005A370000}"/>
    <cellStyle name="40% - Accent4 29 2 2" xfId="12260" xr:uid="{00000000-0005-0000-0000-00005B370000}"/>
    <cellStyle name="40% - Accent4 29 2 2 2" xfId="23548" xr:uid="{00000000-0005-0000-0000-00005C370000}"/>
    <cellStyle name="40% - Accent4 29 2 3" xfId="10266" xr:uid="{00000000-0005-0000-0000-00005D370000}"/>
    <cellStyle name="40% - Accent4 29 2 3 2" xfId="21554" xr:uid="{00000000-0005-0000-0000-00005E370000}"/>
    <cellStyle name="40% - Accent4 29 2 4" xfId="8272" xr:uid="{00000000-0005-0000-0000-00005F370000}"/>
    <cellStyle name="40% - Accent4 29 2 4 2" xfId="19560" xr:uid="{00000000-0005-0000-0000-000060370000}"/>
    <cellStyle name="40% - Accent4 29 2 5" xfId="6278" xr:uid="{00000000-0005-0000-0000-000061370000}"/>
    <cellStyle name="40% - Accent4 29 2 5 2" xfId="17566" xr:uid="{00000000-0005-0000-0000-000062370000}"/>
    <cellStyle name="40% - Accent4 29 2 6" xfId="15572" xr:uid="{00000000-0005-0000-0000-000063370000}"/>
    <cellStyle name="40% - Accent4 29 3" xfId="11263" xr:uid="{00000000-0005-0000-0000-000064370000}"/>
    <cellStyle name="40% - Accent4 29 3 2" xfId="22551" xr:uid="{00000000-0005-0000-0000-000065370000}"/>
    <cellStyle name="40% - Accent4 29 4" xfId="9269" xr:uid="{00000000-0005-0000-0000-000066370000}"/>
    <cellStyle name="40% - Accent4 29 4 2" xfId="20557" xr:uid="{00000000-0005-0000-0000-000067370000}"/>
    <cellStyle name="40% - Accent4 29 5" xfId="7275" xr:uid="{00000000-0005-0000-0000-000068370000}"/>
    <cellStyle name="40% - Accent4 29 5 2" xfId="18563" xr:uid="{00000000-0005-0000-0000-000069370000}"/>
    <cellStyle name="40% - Accent4 29 6" xfId="5281" xr:uid="{00000000-0005-0000-0000-00006A370000}"/>
    <cellStyle name="40% - Accent4 29 6 2" xfId="16569" xr:uid="{00000000-0005-0000-0000-00006B370000}"/>
    <cellStyle name="40% - Accent4 29 7" xfId="14575" xr:uid="{00000000-0005-0000-0000-00006C370000}"/>
    <cellStyle name="40% - Accent4 29 8" xfId="13261" xr:uid="{00000000-0005-0000-0000-00006D370000}"/>
    <cellStyle name="40% - Accent4 3" xfId="1326" xr:uid="{00000000-0005-0000-0000-00006E370000}"/>
    <cellStyle name="40% - Accent4 3 10" xfId="24614" xr:uid="{00000000-0005-0000-0000-00006F370000}"/>
    <cellStyle name="40% - Accent4 3 11" xfId="25004" xr:uid="{00000000-0005-0000-0000-000070370000}"/>
    <cellStyle name="40% - Accent4 3 2" xfId="4282" xr:uid="{00000000-0005-0000-0000-000071370000}"/>
    <cellStyle name="40% - Accent4 3 2 2" xfId="12261" xr:uid="{00000000-0005-0000-0000-000072370000}"/>
    <cellStyle name="40% - Accent4 3 2 2 2" xfId="23549" xr:uid="{00000000-0005-0000-0000-000073370000}"/>
    <cellStyle name="40% - Accent4 3 2 3" xfId="10267" xr:uid="{00000000-0005-0000-0000-000074370000}"/>
    <cellStyle name="40% - Accent4 3 2 3 2" xfId="21555" xr:uid="{00000000-0005-0000-0000-000075370000}"/>
    <cellStyle name="40% - Accent4 3 2 4" xfId="8273" xr:uid="{00000000-0005-0000-0000-000076370000}"/>
    <cellStyle name="40% - Accent4 3 2 4 2" xfId="19561" xr:uid="{00000000-0005-0000-0000-000077370000}"/>
    <cellStyle name="40% - Accent4 3 2 5" xfId="6279" xr:uid="{00000000-0005-0000-0000-000078370000}"/>
    <cellStyle name="40% - Accent4 3 2 5 2" xfId="17567" xr:uid="{00000000-0005-0000-0000-000079370000}"/>
    <cellStyle name="40% - Accent4 3 2 6" xfId="15573" xr:uid="{00000000-0005-0000-0000-00007A370000}"/>
    <cellStyle name="40% - Accent4 3 2 7" xfId="24375" xr:uid="{00000000-0005-0000-0000-00007B370000}"/>
    <cellStyle name="40% - Accent4 3 2 8" xfId="24839" xr:uid="{00000000-0005-0000-0000-00007C370000}"/>
    <cellStyle name="40% - Accent4 3 2 9" xfId="25206" xr:uid="{00000000-0005-0000-0000-00007D370000}"/>
    <cellStyle name="40% - Accent4 3 3" xfId="11264" xr:uid="{00000000-0005-0000-0000-00007E370000}"/>
    <cellStyle name="40% - Accent4 3 3 2" xfId="22552" xr:uid="{00000000-0005-0000-0000-00007F370000}"/>
    <cellStyle name="40% - Accent4 3 4" xfId="9270" xr:uid="{00000000-0005-0000-0000-000080370000}"/>
    <cellStyle name="40% - Accent4 3 4 2" xfId="20558" xr:uid="{00000000-0005-0000-0000-000081370000}"/>
    <cellStyle name="40% - Accent4 3 5" xfId="7276" xr:uid="{00000000-0005-0000-0000-000082370000}"/>
    <cellStyle name="40% - Accent4 3 5 2" xfId="18564" xr:uid="{00000000-0005-0000-0000-000083370000}"/>
    <cellStyle name="40% - Accent4 3 6" xfId="5282" xr:uid="{00000000-0005-0000-0000-000084370000}"/>
    <cellStyle name="40% - Accent4 3 6 2" xfId="16570" xr:uid="{00000000-0005-0000-0000-000085370000}"/>
    <cellStyle name="40% - Accent4 3 7" xfId="14576" xr:uid="{00000000-0005-0000-0000-000086370000}"/>
    <cellStyle name="40% - Accent4 3 8" xfId="13262" xr:uid="{00000000-0005-0000-0000-000087370000}"/>
    <cellStyle name="40% - Accent4 3 9" xfId="23987" xr:uid="{00000000-0005-0000-0000-000088370000}"/>
    <cellStyle name="40% - Accent4 30" xfId="1327" xr:uid="{00000000-0005-0000-0000-000089370000}"/>
    <cellStyle name="40% - Accent4 30 2" xfId="4283" xr:uid="{00000000-0005-0000-0000-00008A370000}"/>
    <cellStyle name="40% - Accent4 30 2 2" xfId="12262" xr:uid="{00000000-0005-0000-0000-00008B370000}"/>
    <cellStyle name="40% - Accent4 30 2 2 2" xfId="23550" xr:uid="{00000000-0005-0000-0000-00008C370000}"/>
    <cellStyle name="40% - Accent4 30 2 3" xfId="10268" xr:uid="{00000000-0005-0000-0000-00008D370000}"/>
    <cellStyle name="40% - Accent4 30 2 3 2" xfId="21556" xr:uid="{00000000-0005-0000-0000-00008E370000}"/>
    <cellStyle name="40% - Accent4 30 2 4" xfId="8274" xr:uid="{00000000-0005-0000-0000-00008F370000}"/>
    <cellStyle name="40% - Accent4 30 2 4 2" xfId="19562" xr:uid="{00000000-0005-0000-0000-000090370000}"/>
    <cellStyle name="40% - Accent4 30 2 5" xfId="6280" xr:uid="{00000000-0005-0000-0000-000091370000}"/>
    <cellStyle name="40% - Accent4 30 2 5 2" xfId="17568" xr:uid="{00000000-0005-0000-0000-000092370000}"/>
    <cellStyle name="40% - Accent4 30 2 6" xfId="15574" xr:uid="{00000000-0005-0000-0000-000093370000}"/>
    <cellStyle name="40% - Accent4 30 3" xfId="11265" xr:uid="{00000000-0005-0000-0000-000094370000}"/>
    <cellStyle name="40% - Accent4 30 3 2" xfId="22553" xr:uid="{00000000-0005-0000-0000-000095370000}"/>
    <cellStyle name="40% - Accent4 30 4" xfId="9271" xr:uid="{00000000-0005-0000-0000-000096370000}"/>
    <cellStyle name="40% - Accent4 30 4 2" xfId="20559" xr:uid="{00000000-0005-0000-0000-000097370000}"/>
    <cellStyle name="40% - Accent4 30 5" xfId="7277" xr:uid="{00000000-0005-0000-0000-000098370000}"/>
    <cellStyle name="40% - Accent4 30 5 2" xfId="18565" xr:uid="{00000000-0005-0000-0000-000099370000}"/>
    <cellStyle name="40% - Accent4 30 6" xfId="5283" xr:uid="{00000000-0005-0000-0000-00009A370000}"/>
    <cellStyle name="40% - Accent4 30 6 2" xfId="16571" xr:uid="{00000000-0005-0000-0000-00009B370000}"/>
    <cellStyle name="40% - Accent4 30 7" xfId="14577" xr:uid="{00000000-0005-0000-0000-00009C370000}"/>
    <cellStyle name="40% - Accent4 30 8" xfId="13263" xr:uid="{00000000-0005-0000-0000-00009D370000}"/>
    <cellStyle name="40% - Accent4 31" xfId="1328" xr:uid="{00000000-0005-0000-0000-00009E370000}"/>
    <cellStyle name="40% - Accent4 31 2" xfId="4284" xr:uid="{00000000-0005-0000-0000-00009F370000}"/>
    <cellStyle name="40% - Accent4 31 2 2" xfId="12263" xr:uid="{00000000-0005-0000-0000-0000A0370000}"/>
    <cellStyle name="40% - Accent4 31 2 2 2" xfId="23551" xr:uid="{00000000-0005-0000-0000-0000A1370000}"/>
    <cellStyle name="40% - Accent4 31 2 3" xfId="10269" xr:uid="{00000000-0005-0000-0000-0000A2370000}"/>
    <cellStyle name="40% - Accent4 31 2 3 2" xfId="21557" xr:uid="{00000000-0005-0000-0000-0000A3370000}"/>
    <cellStyle name="40% - Accent4 31 2 4" xfId="8275" xr:uid="{00000000-0005-0000-0000-0000A4370000}"/>
    <cellStyle name="40% - Accent4 31 2 4 2" xfId="19563" xr:uid="{00000000-0005-0000-0000-0000A5370000}"/>
    <cellStyle name="40% - Accent4 31 2 5" xfId="6281" xr:uid="{00000000-0005-0000-0000-0000A6370000}"/>
    <cellStyle name="40% - Accent4 31 2 5 2" xfId="17569" xr:uid="{00000000-0005-0000-0000-0000A7370000}"/>
    <cellStyle name="40% - Accent4 31 2 6" xfId="15575" xr:uid="{00000000-0005-0000-0000-0000A8370000}"/>
    <cellStyle name="40% - Accent4 31 3" xfId="11266" xr:uid="{00000000-0005-0000-0000-0000A9370000}"/>
    <cellStyle name="40% - Accent4 31 3 2" xfId="22554" xr:uid="{00000000-0005-0000-0000-0000AA370000}"/>
    <cellStyle name="40% - Accent4 31 4" xfId="9272" xr:uid="{00000000-0005-0000-0000-0000AB370000}"/>
    <cellStyle name="40% - Accent4 31 4 2" xfId="20560" xr:uid="{00000000-0005-0000-0000-0000AC370000}"/>
    <cellStyle name="40% - Accent4 31 5" xfId="7278" xr:uid="{00000000-0005-0000-0000-0000AD370000}"/>
    <cellStyle name="40% - Accent4 31 5 2" xfId="18566" xr:uid="{00000000-0005-0000-0000-0000AE370000}"/>
    <cellStyle name="40% - Accent4 31 6" xfId="5284" xr:uid="{00000000-0005-0000-0000-0000AF370000}"/>
    <cellStyle name="40% - Accent4 31 6 2" xfId="16572" xr:uid="{00000000-0005-0000-0000-0000B0370000}"/>
    <cellStyle name="40% - Accent4 31 7" xfId="14578" xr:uid="{00000000-0005-0000-0000-0000B1370000}"/>
    <cellStyle name="40% - Accent4 31 8" xfId="13264" xr:uid="{00000000-0005-0000-0000-0000B2370000}"/>
    <cellStyle name="40% - Accent4 32" xfId="1329" xr:uid="{00000000-0005-0000-0000-0000B3370000}"/>
    <cellStyle name="40% - Accent4 32 2" xfId="4285" xr:uid="{00000000-0005-0000-0000-0000B4370000}"/>
    <cellStyle name="40% - Accent4 32 2 2" xfId="12264" xr:uid="{00000000-0005-0000-0000-0000B5370000}"/>
    <cellStyle name="40% - Accent4 32 2 2 2" xfId="23552" xr:uid="{00000000-0005-0000-0000-0000B6370000}"/>
    <cellStyle name="40% - Accent4 32 2 3" xfId="10270" xr:uid="{00000000-0005-0000-0000-0000B7370000}"/>
    <cellStyle name="40% - Accent4 32 2 3 2" xfId="21558" xr:uid="{00000000-0005-0000-0000-0000B8370000}"/>
    <cellStyle name="40% - Accent4 32 2 4" xfId="8276" xr:uid="{00000000-0005-0000-0000-0000B9370000}"/>
    <cellStyle name="40% - Accent4 32 2 4 2" xfId="19564" xr:uid="{00000000-0005-0000-0000-0000BA370000}"/>
    <cellStyle name="40% - Accent4 32 2 5" xfId="6282" xr:uid="{00000000-0005-0000-0000-0000BB370000}"/>
    <cellStyle name="40% - Accent4 32 2 5 2" xfId="17570" xr:uid="{00000000-0005-0000-0000-0000BC370000}"/>
    <cellStyle name="40% - Accent4 32 2 6" xfId="15576" xr:uid="{00000000-0005-0000-0000-0000BD370000}"/>
    <cellStyle name="40% - Accent4 32 3" xfId="11267" xr:uid="{00000000-0005-0000-0000-0000BE370000}"/>
    <cellStyle name="40% - Accent4 32 3 2" xfId="22555" xr:uid="{00000000-0005-0000-0000-0000BF370000}"/>
    <cellStyle name="40% - Accent4 32 4" xfId="9273" xr:uid="{00000000-0005-0000-0000-0000C0370000}"/>
    <cellStyle name="40% - Accent4 32 4 2" xfId="20561" xr:uid="{00000000-0005-0000-0000-0000C1370000}"/>
    <cellStyle name="40% - Accent4 32 5" xfId="7279" xr:uid="{00000000-0005-0000-0000-0000C2370000}"/>
    <cellStyle name="40% - Accent4 32 5 2" xfId="18567" xr:uid="{00000000-0005-0000-0000-0000C3370000}"/>
    <cellStyle name="40% - Accent4 32 6" xfId="5285" xr:uid="{00000000-0005-0000-0000-0000C4370000}"/>
    <cellStyle name="40% - Accent4 32 6 2" xfId="16573" xr:uid="{00000000-0005-0000-0000-0000C5370000}"/>
    <cellStyle name="40% - Accent4 32 7" xfId="14579" xr:uid="{00000000-0005-0000-0000-0000C6370000}"/>
    <cellStyle name="40% - Accent4 32 8" xfId="13265" xr:uid="{00000000-0005-0000-0000-0000C7370000}"/>
    <cellStyle name="40% - Accent4 33" xfId="1330" xr:uid="{00000000-0005-0000-0000-0000C8370000}"/>
    <cellStyle name="40% - Accent4 33 2" xfId="4286" xr:uid="{00000000-0005-0000-0000-0000C9370000}"/>
    <cellStyle name="40% - Accent4 33 2 2" xfId="12265" xr:uid="{00000000-0005-0000-0000-0000CA370000}"/>
    <cellStyle name="40% - Accent4 33 2 2 2" xfId="23553" xr:uid="{00000000-0005-0000-0000-0000CB370000}"/>
    <cellStyle name="40% - Accent4 33 2 3" xfId="10271" xr:uid="{00000000-0005-0000-0000-0000CC370000}"/>
    <cellStyle name="40% - Accent4 33 2 3 2" xfId="21559" xr:uid="{00000000-0005-0000-0000-0000CD370000}"/>
    <cellStyle name="40% - Accent4 33 2 4" xfId="8277" xr:uid="{00000000-0005-0000-0000-0000CE370000}"/>
    <cellStyle name="40% - Accent4 33 2 4 2" xfId="19565" xr:uid="{00000000-0005-0000-0000-0000CF370000}"/>
    <cellStyle name="40% - Accent4 33 2 5" xfId="6283" xr:uid="{00000000-0005-0000-0000-0000D0370000}"/>
    <cellStyle name="40% - Accent4 33 2 5 2" xfId="17571" xr:uid="{00000000-0005-0000-0000-0000D1370000}"/>
    <cellStyle name="40% - Accent4 33 2 6" xfId="15577" xr:uid="{00000000-0005-0000-0000-0000D2370000}"/>
    <cellStyle name="40% - Accent4 33 3" xfId="11268" xr:uid="{00000000-0005-0000-0000-0000D3370000}"/>
    <cellStyle name="40% - Accent4 33 3 2" xfId="22556" xr:uid="{00000000-0005-0000-0000-0000D4370000}"/>
    <cellStyle name="40% - Accent4 33 4" xfId="9274" xr:uid="{00000000-0005-0000-0000-0000D5370000}"/>
    <cellStyle name="40% - Accent4 33 4 2" xfId="20562" xr:uid="{00000000-0005-0000-0000-0000D6370000}"/>
    <cellStyle name="40% - Accent4 33 5" xfId="7280" xr:uid="{00000000-0005-0000-0000-0000D7370000}"/>
    <cellStyle name="40% - Accent4 33 5 2" xfId="18568" xr:uid="{00000000-0005-0000-0000-0000D8370000}"/>
    <cellStyle name="40% - Accent4 33 6" xfId="5286" xr:uid="{00000000-0005-0000-0000-0000D9370000}"/>
    <cellStyle name="40% - Accent4 33 6 2" xfId="16574" xr:uid="{00000000-0005-0000-0000-0000DA370000}"/>
    <cellStyle name="40% - Accent4 33 7" xfId="14580" xr:uid="{00000000-0005-0000-0000-0000DB370000}"/>
    <cellStyle name="40% - Accent4 33 8" xfId="13266" xr:uid="{00000000-0005-0000-0000-0000DC370000}"/>
    <cellStyle name="40% - Accent4 34" xfId="1331" xr:uid="{00000000-0005-0000-0000-0000DD370000}"/>
    <cellStyle name="40% - Accent4 34 2" xfId="4287" xr:uid="{00000000-0005-0000-0000-0000DE370000}"/>
    <cellStyle name="40% - Accent4 34 2 2" xfId="12266" xr:uid="{00000000-0005-0000-0000-0000DF370000}"/>
    <cellStyle name="40% - Accent4 34 2 2 2" xfId="23554" xr:uid="{00000000-0005-0000-0000-0000E0370000}"/>
    <cellStyle name="40% - Accent4 34 2 3" xfId="10272" xr:uid="{00000000-0005-0000-0000-0000E1370000}"/>
    <cellStyle name="40% - Accent4 34 2 3 2" xfId="21560" xr:uid="{00000000-0005-0000-0000-0000E2370000}"/>
    <cellStyle name="40% - Accent4 34 2 4" xfId="8278" xr:uid="{00000000-0005-0000-0000-0000E3370000}"/>
    <cellStyle name="40% - Accent4 34 2 4 2" xfId="19566" xr:uid="{00000000-0005-0000-0000-0000E4370000}"/>
    <cellStyle name="40% - Accent4 34 2 5" xfId="6284" xr:uid="{00000000-0005-0000-0000-0000E5370000}"/>
    <cellStyle name="40% - Accent4 34 2 5 2" xfId="17572" xr:uid="{00000000-0005-0000-0000-0000E6370000}"/>
    <cellStyle name="40% - Accent4 34 2 6" xfId="15578" xr:uid="{00000000-0005-0000-0000-0000E7370000}"/>
    <cellStyle name="40% - Accent4 34 3" xfId="11269" xr:uid="{00000000-0005-0000-0000-0000E8370000}"/>
    <cellStyle name="40% - Accent4 34 3 2" xfId="22557" xr:uid="{00000000-0005-0000-0000-0000E9370000}"/>
    <cellStyle name="40% - Accent4 34 4" xfId="9275" xr:uid="{00000000-0005-0000-0000-0000EA370000}"/>
    <cellStyle name="40% - Accent4 34 4 2" xfId="20563" xr:uid="{00000000-0005-0000-0000-0000EB370000}"/>
    <cellStyle name="40% - Accent4 34 5" xfId="7281" xr:uid="{00000000-0005-0000-0000-0000EC370000}"/>
    <cellStyle name="40% - Accent4 34 5 2" xfId="18569" xr:uid="{00000000-0005-0000-0000-0000ED370000}"/>
    <cellStyle name="40% - Accent4 34 6" xfId="5287" xr:uid="{00000000-0005-0000-0000-0000EE370000}"/>
    <cellStyle name="40% - Accent4 34 6 2" xfId="16575" xr:uid="{00000000-0005-0000-0000-0000EF370000}"/>
    <cellStyle name="40% - Accent4 34 7" xfId="14581" xr:uid="{00000000-0005-0000-0000-0000F0370000}"/>
    <cellStyle name="40% - Accent4 34 8" xfId="13267" xr:uid="{00000000-0005-0000-0000-0000F1370000}"/>
    <cellStyle name="40% - Accent4 35" xfId="1332" xr:uid="{00000000-0005-0000-0000-0000F2370000}"/>
    <cellStyle name="40% - Accent4 35 2" xfId="4288" xr:uid="{00000000-0005-0000-0000-0000F3370000}"/>
    <cellStyle name="40% - Accent4 35 2 2" xfId="12267" xr:uid="{00000000-0005-0000-0000-0000F4370000}"/>
    <cellStyle name="40% - Accent4 35 2 2 2" xfId="23555" xr:uid="{00000000-0005-0000-0000-0000F5370000}"/>
    <cellStyle name="40% - Accent4 35 2 3" xfId="10273" xr:uid="{00000000-0005-0000-0000-0000F6370000}"/>
    <cellStyle name="40% - Accent4 35 2 3 2" xfId="21561" xr:uid="{00000000-0005-0000-0000-0000F7370000}"/>
    <cellStyle name="40% - Accent4 35 2 4" xfId="8279" xr:uid="{00000000-0005-0000-0000-0000F8370000}"/>
    <cellStyle name="40% - Accent4 35 2 4 2" xfId="19567" xr:uid="{00000000-0005-0000-0000-0000F9370000}"/>
    <cellStyle name="40% - Accent4 35 2 5" xfId="6285" xr:uid="{00000000-0005-0000-0000-0000FA370000}"/>
    <cellStyle name="40% - Accent4 35 2 5 2" xfId="17573" xr:uid="{00000000-0005-0000-0000-0000FB370000}"/>
    <cellStyle name="40% - Accent4 35 2 6" xfId="15579" xr:uid="{00000000-0005-0000-0000-0000FC370000}"/>
    <cellStyle name="40% - Accent4 35 3" xfId="11270" xr:uid="{00000000-0005-0000-0000-0000FD370000}"/>
    <cellStyle name="40% - Accent4 35 3 2" xfId="22558" xr:uid="{00000000-0005-0000-0000-0000FE370000}"/>
    <cellStyle name="40% - Accent4 35 4" xfId="9276" xr:uid="{00000000-0005-0000-0000-0000FF370000}"/>
    <cellStyle name="40% - Accent4 35 4 2" xfId="20564" xr:uid="{00000000-0005-0000-0000-000000380000}"/>
    <cellStyle name="40% - Accent4 35 5" xfId="7282" xr:uid="{00000000-0005-0000-0000-000001380000}"/>
    <cellStyle name="40% - Accent4 35 5 2" xfId="18570" xr:uid="{00000000-0005-0000-0000-000002380000}"/>
    <cellStyle name="40% - Accent4 35 6" xfId="5288" xr:uid="{00000000-0005-0000-0000-000003380000}"/>
    <cellStyle name="40% - Accent4 35 6 2" xfId="16576" xr:uid="{00000000-0005-0000-0000-000004380000}"/>
    <cellStyle name="40% - Accent4 35 7" xfId="14582" xr:uid="{00000000-0005-0000-0000-000005380000}"/>
    <cellStyle name="40% - Accent4 35 8" xfId="13268" xr:uid="{00000000-0005-0000-0000-000006380000}"/>
    <cellStyle name="40% - Accent4 36" xfId="1333" xr:uid="{00000000-0005-0000-0000-000007380000}"/>
    <cellStyle name="40% - Accent4 36 2" xfId="4289" xr:uid="{00000000-0005-0000-0000-000008380000}"/>
    <cellStyle name="40% - Accent4 36 2 2" xfId="12268" xr:uid="{00000000-0005-0000-0000-000009380000}"/>
    <cellStyle name="40% - Accent4 36 2 2 2" xfId="23556" xr:uid="{00000000-0005-0000-0000-00000A380000}"/>
    <cellStyle name="40% - Accent4 36 2 3" xfId="10274" xr:uid="{00000000-0005-0000-0000-00000B380000}"/>
    <cellStyle name="40% - Accent4 36 2 3 2" xfId="21562" xr:uid="{00000000-0005-0000-0000-00000C380000}"/>
    <cellStyle name="40% - Accent4 36 2 4" xfId="8280" xr:uid="{00000000-0005-0000-0000-00000D380000}"/>
    <cellStyle name="40% - Accent4 36 2 4 2" xfId="19568" xr:uid="{00000000-0005-0000-0000-00000E380000}"/>
    <cellStyle name="40% - Accent4 36 2 5" xfId="6286" xr:uid="{00000000-0005-0000-0000-00000F380000}"/>
    <cellStyle name="40% - Accent4 36 2 5 2" xfId="17574" xr:uid="{00000000-0005-0000-0000-000010380000}"/>
    <cellStyle name="40% - Accent4 36 2 6" xfId="15580" xr:uid="{00000000-0005-0000-0000-000011380000}"/>
    <cellStyle name="40% - Accent4 36 3" xfId="11271" xr:uid="{00000000-0005-0000-0000-000012380000}"/>
    <cellStyle name="40% - Accent4 36 3 2" xfId="22559" xr:uid="{00000000-0005-0000-0000-000013380000}"/>
    <cellStyle name="40% - Accent4 36 4" xfId="9277" xr:uid="{00000000-0005-0000-0000-000014380000}"/>
    <cellStyle name="40% - Accent4 36 4 2" xfId="20565" xr:uid="{00000000-0005-0000-0000-000015380000}"/>
    <cellStyle name="40% - Accent4 36 5" xfId="7283" xr:uid="{00000000-0005-0000-0000-000016380000}"/>
    <cellStyle name="40% - Accent4 36 5 2" xfId="18571" xr:uid="{00000000-0005-0000-0000-000017380000}"/>
    <cellStyle name="40% - Accent4 36 6" xfId="5289" xr:uid="{00000000-0005-0000-0000-000018380000}"/>
    <cellStyle name="40% - Accent4 36 6 2" xfId="16577" xr:uid="{00000000-0005-0000-0000-000019380000}"/>
    <cellStyle name="40% - Accent4 36 7" xfId="14583" xr:uid="{00000000-0005-0000-0000-00001A380000}"/>
    <cellStyle name="40% - Accent4 36 8" xfId="13269" xr:uid="{00000000-0005-0000-0000-00001B380000}"/>
    <cellStyle name="40% - Accent4 37" xfId="1334" xr:uid="{00000000-0005-0000-0000-00001C380000}"/>
    <cellStyle name="40% - Accent4 37 2" xfId="4290" xr:uid="{00000000-0005-0000-0000-00001D380000}"/>
    <cellStyle name="40% - Accent4 37 2 2" xfId="12269" xr:uid="{00000000-0005-0000-0000-00001E380000}"/>
    <cellStyle name="40% - Accent4 37 2 2 2" xfId="23557" xr:uid="{00000000-0005-0000-0000-00001F380000}"/>
    <cellStyle name="40% - Accent4 37 2 3" xfId="10275" xr:uid="{00000000-0005-0000-0000-000020380000}"/>
    <cellStyle name="40% - Accent4 37 2 3 2" xfId="21563" xr:uid="{00000000-0005-0000-0000-000021380000}"/>
    <cellStyle name="40% - Accent4 37 2 4" xfId="8281" xr:uid="{00000000-0005-0000-0000-000022380000}"/>
    <cellStyle name="40% - Accent4 37 2 4 2" xfId="19569" xr:uid="{00000000-0005-0000-0000-000023380000}"/>
    <cellStyle name="40% - Accent4 37 2 5" xfId="6287" xr:uid="{00000000-0005-0000-0000-000024380000}"/>
    <cellStyle name="40% - Accent4 37 2 5 2" xfId="17575" xr:uid="{00000000-0005-0000-0000-000025380000}"/>
    <cellStyle name="40% - Accent4 37 2 6" xfId="15581" xr:uid="{00000000-0005-0000-0000-000026380000}"/>
    <cellStyle name="40% - Accent4 37 3" xfId="11272" xr:uid="{00000000-0005-0000-0000-000027380000}"/>
    <cellStyle name="40% - Accent4 37 3 2" xfId="22560" xr:uid="{00000000-0005-0000-0000-000028380000}"/>
    <cellStyle name="40% - Accent4 37 4" xfId="9278" xr:uid="{00000000-0005-0000-0000-000029380000}"/>
    <cellStyle name="40% - Accent4 37 4 2" xfId="20566" xr:uid="{00000000-0005-0000-0000-00002A380000}"/>
    <cellStyle name="40% - Accent4 37 5" xfId="7284" xr:uid="{00000000-0005-0000-0000-00002B380000}"/>
    <cellStyle name="40% - Accent4 37 5 2" xfId="18572" xr:uid="{00000000-0005-0000-0000-00002C380000}"/>
    <cellStyle name="40% - Accent4 37 6" xfId="5290" xr:uid="{00000000-0005-0000-0000-00002D380000}"/>
    <cellStyle name="40% - Accent4 37 6 2" xfId="16578" xr:uid="{00000000-0005-0000-0000-00002E380000}"/>
    <cellStyle name="40% - Accent4 37 7" xfId="14584" xr:uid="{00000000-0005-0000-0000-00002F380000}"/>
    <cellStyle name="40% - Accent4 37 8" xfId="13270" xr:uid="{00000000-0005-0000-0000-000030380000}"/>
    <cellStyle name="40% - Accent4 38" xfId="1335" xr:uid="{00000000-0005-0000-0000-000031380000}"/>
    <cellStyle name="40% - Accent4 38 2" xfId="4291" xr:uid="{00000000-0005-0000-0000-000032380000}"/>
    <cellStyle name="40% - Accent4 38 2 2" xfId="12270" xr:uid="{00000000-0005-0000-0000-000033380000}"/>
    <cellStyle name="40% - Accent4 38 2 2 2" xfId="23558" xr:uid="{00000000-0005-0000-0000-000034380000}"/>
    <cellStyle name="40% - Accent4 38 2 3" xfId="10276" xr:uid="{00000000-0005-0000-0000-000035380000}"/>
    <cellStyle name="40% - Accent4 38 2 3 2" xfId="21564" xr:uid="{00000000-0005-0000-0000-000036380000}"/>
    <cellStyle name="40% - Accent4 38 2 4" xfId="8282" xr:uid="{00000000-0005-0000-0000-000037380000}"/>
    <cellStyle name="40% - Accent4 38 2 4 2" xfId="19570" xr:uid="{00000000-0005-0000-0000-000038380000}"/>
    <cellStyle name="40% - Accent4 38 2 5" xfId="6288" xr:uid="{00000000-0005-0000-0000-000039380000}"/>
    <cellStyle name="40% - Accent4 38 2 5 2" xfId="17576" xr:uid="{00000000-0005-0000-0000-00003A380000}"/>
    <cellStyle name="40% - Accent4 38 2 6" xfId="15582" xr:uid="{00000000-0005-0000-0000-00003B380000}"/>
    <cellStyle name="40% - Accent4 38 3" xfId="11273" xr:uid="{00000000-0005-0000-0000-00003C380000}"/>
    <cellStyle name="40% - Accent4 38 3 2" xfId="22561" xr:uid="{00000000-0005-0000-0000-00003D380000}"/>
    <cellStyle name="40% - Accent4 38 4" xfId="9279" xr:uid="{00000000-0005-0000-0000-00003E380000}"/>
    <cellStyle name="40% - Accent4 38 4 2" xfId="20567" xr:uid="{00000000-0005-0000-0000-00003F380000}"/>
    <cellStyle name="40% - Accent4 38 5" xfId="7285" xr:uid="{00000000-0005-0000-0000-000040380000}"/>
    <cellStyle name="40% - Accent4 38 5 2" xfId="18573" xr:uid="{00000000-0005-0000-0000-000041380000}"/>
    <cellStyle name="40% - Accent4 38 6" xfId="5291" xr:uid="{00000000-0005-0000-0000-000042380000}"/>
    <cellStyle name="40% - Accent4 38 6 2" xfId="16579" xr:uid="{00000000-0005-0000-0000-000043380000}"/>
    <cellStyle name="40% - Accent4 38 7" xfId="14585" xr:uid="{00000000-0005-0000-0000-000044380000}"/>
    <cellStyle name="40% - Accent4 38 8" xfId="13271" xr:uid="{00000000-0005-0000-0000-000045380000}"/>
    <cellStyle name="40% - Accent4 39" xfId="1336" xr:uid="{00000000-0005-0000-0000-000046380000}"/>
    <cellStyle name="40% - Accent4 39 2" xfId="4292" xr:uid="{00000000-0005-0000-0000-000047380000}"/>
    <cellStyle name="40% - Accent4 39 2 2" xfId="12271" xr:uid="{00000000-0005-0000-0000-000048380000}"/>
    <cellStyle name="40% - Accent4 39 2 2 2" xfId="23559" xr:uid="{00000000-0005-0000-0000-000049380000}"/>
    <cellStyle name="40% - Accent4 39 2 3" xfId="10277" xr:uid="{00000000-0005-0000-0000-00004A380000}"/>
    <cellStyle name="40% - Accent4 39 2 3 2" xfId="21565" xr:uid="{00000000-0005-0000-0000-00004B380000}"/>
    <cellStyle name="40% - Accent4 39 2 4" xfId="8283" xr:uid="{00000000-0005-0000-0000-00004C380000}"/>
    <cellStyle name="40% - Accent4 39 2 4 2" xfId="19571" xr:uid="{00000000-0005-0000-0000-00004D380000}"/>
    <cellStyle name="40% - Accent4 39 2 5" xfId="6289" xr:uid="{00000000-0005-0000-0000-00004E380000}"/>
    <cellStyle name="40% - Accent4 39 2 5 2" xfId="17577" xr:uid="{00000000-0005-0000-0000-00004F380000}"/>
    <cellStyle name="40% - Accent4 39 2 6" xfId="15583" xr:uid="{00000000-0005-0000-0000-000050380000}"/>
    <cellStyle name="40% - Accent4 39 3" xfId="11274" xr:uid="{00000000-0005-0000-0000-000051380000}"/>
    <cellStyle name="40% - Accent4 39 3 2" xfId="22562" xr:uid="{00000000-0005-0000-0000-000052380000}"/>
    <cellStyle name="40% - Accent4 39 4" xfId="9280" xr:uid="{00000000-0005-0000-0000-000053380000}"/>
    <cellStyle name="40% - Accent4 39 4 2" xfId="20568" xr:uid="{00000000-0005-0000-0000-000054380000}"/>
    <cellStyle name="40% - Accent4 39 5" xfId="7286" xr:uid="{00000000-0005-0000-0000-000055380000}"/>
    <cellStyle name="40% - Accent4 39 5 2" xfId="18574" xr:uid="{00000000-0005-0000-0000-000056380000}"/>
    <cellStyle name="40% - Accent4 39 6" xfId="5292" xr:uid="{00000000-0005-0000-0000-000057380000}"/>
    <cellStyle name="40% - Accent4 39 6 2" xfId="16580" xr:uid="{00000000-0005-0000-0000-000058380000}"/>
    <cellStyle name="40% - Accent4 39 7" xfId="14586" xr:uid="{00000000-0005-0000-0000-000059380000}"/>
    <cellStyle name="40% - Accent4 39 8" xfId="13272" xr:uid="{00000000-0005-0000-0000-00005A380000}"/>
    <cellStyle name="40% - Accent4 4" xfId="1337" xr:uid="{00000000-0005-0000-0000-00005B380000}"/>
    <cellStyle name="40% - Accent4 4 10" xfId="24615" xr:uid="{00000000-0005-0000-0000-00005C380000}"/>
    <cellStyle name="40% - Accent4 4 11" xfId="25005" xr:uid="{00000000-0005-0000-0000-00005D380000}"/>
    <cellStyle name="40% - Accent4 4 2" xfId="4293" xr:uid="{00000000-0005-0000-0000-00005E380000}"/>
    <cellStyle name="40% - Accent4 4 2 2" xfId="12272" xr:uid="{00000000-0005-0000-0000-00005F380000}"/>
    <cellStyle name="40% - Accent4 4 2 2 2" xfId="23560" xr:uid="{00000000-0005-0000-0000-000060380000}"/>
    <cellStyle name="40% - Accent4 4 2 3" xfId="10278" xr:uid="{00000000-0005-0000-0000-000061380000}"/>
    <cellStyle name="40% - Accent4 4 2 3 2" xfId="21566" xr:uid="{00000000-0005-0000-0000-000062380000}"/>
    <cellStyle name="40% - Accent4 4 2 4" xfId="8284" xr:uid="{00000000-0005-0000-0000-000063380000}"/>
    <cellStyle name="40% - Accent4 4 2 4 2" xfId="19572" xr:uid="{00000000-0005-0000-0000-000064380000}"/>
    <cellStyle name="40% - Accent4 4 2 5" xfId="6290" xr:uid="{00000000-0005-0000-0000-000065380000}"/>
    <cellStyle name="40% - Accent4 4 2 5 2" xfId="17578" xr:uid="{00000000-0005-0000-0000-000066380000}"/>
    <cellStyle name="40% - Accent4 4 2 6" xfId="15584" xr:uid="{00000000-0005-0000-0000-000067380000}"/>
    <cellStyle name="40% - Accent4 4 2 7" xfId="24376" xr:uid="{00000000-0005-0000-0000-000068380000}"/>
    <cellStyle name="40% - Accent4 4 2 8" xfId="24840" xr:uid="{00000000-0005-0000-0000-000069380000}"/>
    <cellStyle name="40% - Accent4 4 2 9" xfId="25207" xr:uid="{00000000-0005-0000-0000-00006A380000}"/>
    <cellStyle name="40% - Accent4 4 3" xfId="11275" xr:uid="{00000000-0005-0000-0000-00006B380000}"/>
    <cellStyle name="40% - Accent4 4 3 2" xfId="22563" xr:uid="{00000000-0005-0000-0000-00006C380000}"/>
    <cellStyle name="40% - Accent4 4 4" xfId="9281" xr:uid="{00000000-0005-0000-0000-00006D380000}"/>
    <cellStyle name="40% - Accent4 4 4 2" xfId="20569" xr:uid="{00000000-0005-0000-0000-00006E380000}"/>
    <cellStyle name="40% - Accent4 4 5" xfId="7287" xr:uid="{00000000-0005-0000-0000-00006F380000}"/>
    <cellStyle name="40% - Accent4 4 5 2" xfId="18575" xr:uid="{00000000-0005-0000-0000-000070380000}"/>
    <cellStyle name="40% - Accent4 4 6" xfId="5293" xr:uid="{00000000-0005-0000-0000-000071380000}"/>
    <cellStyle name="40% - Accent4 4 6 2" xfId="16581" xr:uid="{00000000-0005-0000-0000-000072380000}"/>
    <cellStyle name="40% - Accent4 4 7" xfId="14587" xr:uid="{00000000-0005-0000-0000-000073380000}"/>
    <cellStyle name="40% - Accent4 4 8" xfId="13273" xr:uid="{00000000-0005-0000-0000-000074380000}"/>
    <cellStyle name="40% - Accent4 4 9" xfId="23988" xr:uid="{00000000-0005-0000-0000-000075380000}"/>
    <cellStyle name="40% - Accent4 40" xfId="1338" xr:uid="{00000000-0005-0000-0000-000076380000}"/>
    <cellStyle name="40% - Accent4 40 2" xfId="4294" xr:uid="{00000000-0005-0000-0000-000077380000}"/>
    <cellStyle name="40% - Accent4 40 2 2" xfId="12273" xr:uid="{00000000-0005-0000-0000-000078380000}"/>
    <cellStyle name="40% - Accent4 40 2 2 2" xfId="23561" xr:uid="{00000000-0005-0000-0000-000079380000}"/>
    <cellStyle name="40% - Accent4 40 2 3" xfId="10279" xr:uid="{00000000-0005-0000-0000-00007A380000}"/>
    <cellStyle name="40% - Accent4 40 2 3 2" xfId="21567" xr:uid="{00000000-0005-0000-0000-00007B380000}"/>
    <cellStyle name="40% - Accent4 40 2 4" xfId="8285" xr:uid="{00000000-0005-0000-0000-00007C380000}"/>
    <cellStyle name="40% - Accent4 40 2 4 2" xfId="19573" xr:uid="{00000000-0005-0000-0000-00007D380000}"/>
    <cellStyle name="40% - Accent4 40 2 5" xfId="6291" xr:uid="{00000000-0005-0000-0000-00007E380000}"/>
    <cellStyle name="40% - Accent4 40 2 5 2" xfId="17579" xr:uid="{00000000-0005-0000-0000-00007F380000}"/>
    <cellStyle name="40% - Accent4 40 2 6" xfId="15585" xr:uid="{00000000-0005-0000-0000-000080380000}"/>
    <cellStyle name="40% - Accent4 40 3" xfId="11276" xr:uid="{00000000-0005-0000-0000-000081380000}"/>
    <cellStyle name="40% - Accent4 40 3 2" xfId="22564" xr:uid="{00000000-0005-0000-0000-000082380000}"/>
    <cellStyle name="40% - Accent4 40 4" xfId="9282" xr:uid="{00000000-0005-0000-0000-000083380000}"/>
    <cellStyle name="40% - Accent4 40 4 2" xfId="20570" xr:uid="{00000000-0005-0000-0000-000084380000}"/>
    <cellStyle name="40% - Accent4 40 5" xfId="7288" xr:uid="{00000000-0005-0000-0000-000085380000}"/>
    <cellStyle name="40% - Accent4 40 5 2" xfId="18576" xr:uid="{00000000-0005-0000-0000-000086380000}"/>
    <cellStyle name="40% - Accent4 40 6" xfId="5294" xr:uid="{00000000-0005-0000-0000-000087380000}"/>
    <cellStyle name="40% - Accent4 40 6 2" xfId="16582" xr:uid="{00000000-0005-0000-0000-000088380000}"/>
    <cellStyle name="40% - Accent4 40 7" xfId="14588" xr:uid="{00000000-0005-0000-0000-000089380000}"/>
    <cellStyle name="40% - Accent4 40 8" xfId="13274" xr:uid="{00000000-0005-0000-0000-00008A380000}"/>
    <cellStyle name="40% - Accent4 41" xfId="1339" xr:uid="{00000000-0005-0000-0000-00008B380000}"/>
    <cellStyle name="40% - Accent4 41 2" xfId="4295" xr:uid="{00000000-0005-0000-0000-00008C380000}"/>
    <cellStyle name="40% - Accent4 41 2 2" xfId="12274" xr:uid="{00000000-0005-0000-0000-00008D380000}"/>
    <cellStyle name="40% - Accent4 41 2 2 2" xfId="23562" xr:uid="{00000000-0005-0000-0000-00008E380000}"/>
    <cellStyle name="40% - Accent4 41 2 3" xfId="10280" xr:uid="{00000000-0005-0000-0000-00008F380000}"/>
    <cellStyle name="40% - Accent4 41 2 3 2" xfId="21568" xr:uid="{00000000-0005-0000-0000-000090380000}"/>
    <cellStyle name="40% - Accent4 41 2 4" xfId="8286" xr:uid="{00000000-0005-0000-0000-000091380000}"/>
    <cellStyle name="40% - Accent4 41 2 4 2" xfId="19574" xr:uid="{00000000-0005-0000-0000-000092380000}"/>
    <cellStyle name="40% - Accent4 41 2 5" xfId="6292" xr:uid="{00000000-0005-0000-0000-000093380000}"/>
    <cellStyle name="40% - Accent4 41 2 5 2" xfId="17580" xr:uid="{00000000-0005-0000-0000-000094380000}"/>
    <cellStyle name="40% - Accent4 41 2 6" xfId="15586" xr:uid="{00000000-0005-0000-0000-000095380000}"/>
    <cellStyle name="40% - Accent4 41 3" xfId="11277" xr:uid="{00000000-0005-0000-0000-000096380000}"/>
    <cellStyle name="40% - Accent4 41 3 2" xfId="22565" xr:uid="{00000000-0005-0000-0000-000097380000}"/>
    <cellStyle name="40% - Accent4 41 4" xfId="9283" xr:uid="{00000000-0005-0000-0000-000098380000}"/>
    <cellStyle name="40% - Accent4 41 4 2" xfId="20571" xr:uid="{00000000-0005-0000-0000-000099380000}"/>
    <cellStyle name="40% - Accent4 41 5" xfId="7289" xr:uid="{00000000-0005-0000-0000-00009A380000}"/>
    <cellStyle name="40% - Accent4 41 5 2" xfId="18577" xr:uid="{00000000-0005-0000-0000-00009B380000}"/>
    <cellStyle name="40% - Accent4 41 6" xfId="5295" xr:uid="{00000000-0005-0000-0000-00009C380000}"/>
    <cellStyle name="40% - Accent4 41 6 2" xfId="16583" xr:uid="{00000000-0005-0000-0000-00009D380000}"/>
    <cellStyle name="40% - Accent4 41 7" xfId="14589" xr:uid="{00000000-0005-0000-0000-00009E380000}"/>
    <cellStyle name="40% - Accent4 41 8" xfId="13275" xr:uid="{00000000-0005-0000-0000-00009F380000}"/>
    <cellStyle name="40% - Accent4 42" xfId="1340" xr:uid="{00000000-0005-0000-0000-0000A0380000}"/>
    <cellStyle name="40% - Accent4 42 2" xfId="4296" xr:uid="{00000000-0005-0000-0000-0000A1380000}"/>
    <cellStyle name="40% - Accent4 42 2 2" xfId="12275" xr:uid="{00000000-0005-0000-0000-0000A2380000}"/>
    <cellStyle name="40% - Accent4 42 2 2 2" xfId="23563" xr:uid="{00000000-0005-0000-0000-0000A3380000}"/>
    <cellStyle name="40% - Accent4 42 2 3" xfId="10281" xr:uid="{00000000-0005-0000-0000-0000A4380000}"/>
    <cellStyle name="40% - Accent4 42 2 3 2" xfId="21569" xr:uid="{00000000-0005-0000-0000-0000A5380000}"/>
    <cellStyle name="40% - Accent4 42 2 4" xfId="8287" xr:uid="{00000000-0005-0000-0000-0000A6380000}"/>
    <cellStyle name="40% - Accent4 42 2 4 2" xfId="19575" xr:uid="{00000000-0005-0000-0000-0000A7380000}"/>
    <cellStyle name="40% - Accent4 42 2 5" xfId="6293" xr:uid="{00000000-0005-0000-0000-0000A8380000}"/>
    <cellStyle name="40% - Accent4 42 2 5 2" xfId="17581" xr:uid="{00000000-0005-0000-0000-0000A9380000}"/>
    <cellStyle name="40% - Accent4 42 2 6" xfId="15587" xr:uid="{00000000-0005-0000-0000-0000AA380000}"/>
    <cellStyle name="40% - Accent4 42 3" xfId="11278" xr:uid="{00000000-0005-0000-0000-0000AB380000}"/>
    <cellStyle name="40% - Accent4 42 3 2" xfId="22566" xr:uid="{00000000-0005-0000-0000-0000AC380000}"/>
    <cellStyle name="40% - Accent4 42 4" xfId="9284" xr:uid="{00000000-0005-0000-0000-0000AD380000}"/>
    <cellStyle name="40% - Accent4 42 4 2" xfId="20572" xr:uid="{00000000-0005-0000-0000-0000AE380000}"/>
    <cellStyle name="40% - Accent4 42 5" xfId="7290" xr:uid="{00000000-0005-0000-0000-0000AF380000}"/>
    <cellStyle name="40% - Accent4 42 5 2" xfId="18578" xr:uid="{00000000-0005-0000-0000-0000B0380000}"/>
    <cellStyle name="40% - Accent4 42 6" xfId="5296" xr:uid="{00000000-0005-0000-0000-0000B1380000}"/>
    <cellStyle name="40% - Accent4 42 6 2" xfId="16584" xr:uid="{00000000-0005-0000-0000-0000B2380000}"/>
    <cellStyle name="40% - Accent4 42 7" xfId="14590" xr:uid="{00000000-0005-0000-0000-0000B3380000}"/>
    <cellStyle name="40% - Accent4 42 8" xfId="13276" xr:uid="{00000000-0005-0000-0000-0000B4380000}"/>
    <cellStyle name="40% - Accent4 43" xfId="1341" xr:uid="{00000000-0005-0000-0000-0000B5380000}"/>
    <cellStyle name="40% - Accent4 43 2" xfId="4297" xr:uid="{00000000-0005-0000-0000-0000B6380000}"/>
    <cellStyle name="40% - Accent4 43 2 2" xfId="12276" xr:uid="{00000000-0005-0000-0000-0000B7380000}"/>
    <cellStyle name="40% - Accent4 43 2 2 2" xfId="23564" xr:uid="{00000000-0005-0000-0000-0000B8380000}"/>
    <cellStyle name="40% - Accent4 43 2 3" xfId="10282" xr:uid="{00000000-0005-0000-0000-0000B9380000}"/>
    <cellStyle name="40% - Accent4 43 2 3 2" xfId="21570" xr:uid="{00000000-0005-0000-0000-0000BA380000}"/>
    <cellStyle name="40% - Accent4 43 2 4" xfId="8288" xr:uid="{00000000-0005-0000-0000-0000BB380000}"/>
    <cellStyle name="40% - Accent4 43 2 4 2" xfId="19576" xr:uid="{00000000-0005-0000-0000-0000BC380000}"/>
    <cellStyle name="40% - Accent4 43 2 5" xfId="6294" xr:uid="{00000000-0005-0000-0000-0000BD380000}"/>
    <cellStyle name="40% - Accent4 43 2 5 2" xfId="17582" xr:uid="{00000000-0005-0000-0000-0000BE380000}"/>
    <cellStyle name="40% - Accent4 43 2 6" xfId="15588" xr:uid="{00000000-0005-0000-0000-0000BF380000}"/>
    <cellStyle name="40% - Accent4 43 3" xfId="11279" xr:uid="{00000000-0005-0000-0000-0000C0380000}"/>
    <cellStyle name="40% - Accent4 43 3 2" xfId="22567" xr:uid="{00000000-0005-0000-0000-0000C1380000}"/>
    <cellStyle name="40% - Accent4 43 4" xfId="9285" xr:uid="{00000000-0005-0000-0000-0000C2380000}"/>
    <cellStyle name="40% - Accent4 43 4 2" xfId="20573" xr:uid="{00000000-0005-0000-0000-0000C3380000}"/>
    <cellStyle name="40% - Accent4 43 5" xfId="7291" xr:uid="{00000000-0005-0000-0000-0000C4380000}"/>
    <cellStyle name="40% - Accent4 43 5 2" xfId="18579" xr:uid="{00000000-0005-0000-0000-0000C5380000}"/>
    <cellStyle name="40% - Accent4 43 6" xfId="5297" xr:uid="{00000000-0005-0000-0000-0000C6380000}"/>
    <cellStyle name="40% - Accent4 43 6 2" xfId="16585" xr:uid="{00000000-0005-0000-0000-0000C7380000}"/>
    <cellStyle name="40% - Accent4 43 7" xfId="14591" xr:uid="{00000000-0005-0000-0000-0000C8380000}"/>
    <cellStyle name="40% - Accent4 43 8" xfId="13277" xr:uid="{00000000-0005-0000-0000-0000C9380000}"/>
    <cellStyle name="40% - Accent4 44" xfId="1342" xr:uid="{00000000-0005-0000-0000-0000CA380000}"/>
    <cellStyle name="40% - Accent4 44 2" xfId="4298" xr:uid="{00000000-0005-0000-0000-0000CB380000}"/>
    <cellStyle name="40% - Accent4 44 2 2" xfId="12277" xr:uid="{00000000-0005-0000-0000-0000CC380000}"/>
    <cellStyle name="40% - Accent4 44 2 2 2" xfId="23565" xr:uid="{00000000-0005-0000-0000-0000CD380000}"/>
    <cellStyle name="40% - Accent4 44 2 3" xfId="10283" xr:uid="{00000000-0005-0000-0000-0000CE380000}"/>
    <cellStyle name="40% - Accent4 44 2 3 2" xfId="21571" xr:uid="{00000000-0005-0000-0000-0000CF380000}"/>
    <cellStyle name="40% - Accent4 44 2 4" xfId="8289" xr:uid="{00000000-0005-0000-0000-0000D0380000}"/>
    <cellStyle name="40% - Accent4 44 2 4 2" xfId="19577" xr:uid="{00000000-0005-0000-0000-0000D1380000}"/>
    <cellStyle name="40% - Accent4 44 2 5" xfId="6295" xr:uid="{00000000-0005-0000-0000-0000D2380000}"/>
    <cellStyle name="40% - Accent4 44 2 5 2" xfId="17583" xr:uid="{00000000-0005-0000-0000-0000D3380000}"/>
    <cellStyle name="40% - Accent4 44 2 6" xfId="15589" xr:uid="{00000000-0005-0000-0000-0000D4380000}"/>
    <cellStyle name="40% - Accent4 44 3" xfId="11280" xr:uid="{00000000-0005-0000-0000-0000D5380000}"/>
    <cellStyle name="40% - Accent4 44 3 2" xfId="22568" xr:uid="{00000000-0005-0000-0000-0000D6380000}"/>
    <cellStyle name="40% - Accent4 44 4" xfId="9286" xr:uid="{00000000-0005-0000-0000-0000D7380000}"/>
    <cellStyle name="40% - Accent4 44 4 2" xfId="20574" xr:uid="{00000000-0005-0000-0000-0000D8380000}"/>
    <cellStyle name="40% - Accent4 44 5" xfId="7292" xr:uid="{00000000-0005-0000-0000-0000D9380000}"/>
    <cellStyle name="40% - Accent4 44 5 2" xfId="18580" xr:uid="{00000000-0005-0000-0000-0000DA380000}"/>
    <cellStyle name="40% - Accent4 44 6" xfId="5298" xr:uid="{00000000-0005-0000-0000-0000DB380000}"/>
    <cellStyle name="40% - Accent4 44 6 2" xfId="16586" xr:uid="{00000000-0005-0000-0000-0000DC380000}"/>
    <cellStyle name="40% - Accent4 44 7" xfId="14592" xr:uid="{00000000-0005-0000-0000-0000DD380000}"/>
    <cellStyle name="40% - Accent4 44 8" xfId="13278" xr:uid="{00000000-0005-0000-0000-0000DE380000}"/>
    <cellStyle name="40% - Accent4 45" xfId="1343" xr:uid="{00000000-0005-0000-0000-0000DF380000}"/>
    <cellStyle name="40% - Accent4 45 2" xfId="4299" xr:uid="{00000000-0005-0000-0000-0000E0380000}"/>
    <cellStyle name="40% - Accent4 45 2 2" xfId="12278" xr:uid="{00000000-0005-0000-0000-0000E1380000}"/>
    <cellStyle name="40% - Accent4 45 2 2 2" xfId="23566" xr:uid="{00000000-0005-0000-0000-0000E2380000}"/>
    <cellStyle name="40% - Accent4 45 2 3" xfId="10284" xr:uid="{00000000-0005-0000-0000-0000E3380000}"/>
    <cellStyle name="40% - Accent4 45 2 3 2" xfId="21572" xr:uid="{00000000-0005-0000-0000-0000E4380000}"/>
    <cellStyle name="40% - Accent4 45 2 4" xfId="8290" xr:uid="{00000000-0005-0000-0000-0000E5380000}"/>
    <cellStyle name="40% - Accent4 45 2 4 2" xfId="19578" xr:uid="{00000000-0005-0000-0000-0000E6380000}"/>
    <cellStyle name="40% - Accent4 45 2 5" xfId="6296" xr:uid="{00000000-0005-0000-0000-0000E7380000}"/>
    <cellStyle name="40% - Accent4 45 2 5 2" xfId="17584" xr:uid="{00000000-0005-0000-0000-0000E8380000}"/>
    <cellStyle name="40% - Accent4 45 2 6" xfId="15590" xr:uid="{00000000-0005-0000-0000-0000E9380000}"/>
    <cellStyle name="40% - Accent4 45 3" xfId="11281" xr:uid="{00000000-0005-0000-0000-0000EA380000}"/>
    <cellStyle name="40% - Accent4 45 3 2" xfId="22569" xr:uid="{00000000-0005-0000-0000-0000EB380000}"/>
    <cellStyle name="40% - Accent4 45 4" xfId="9287" xr:uid="{00000000-0005-0000-0000-0000EC380000}"/>
    <cellStyle name="40% - Accent4 45 4 2" xfId="20575" xr:uid="{00000000-0005-0000-0000-0000ED380000}"/>
    <cellStyle name="40% - Accent4 45 5" xfId="7293" xr:uid="{00000000-0005-0000-0000-0000EE380000}"/>
    <cellStyle name="40% - Accent4 45 5 2" xfId="18581" xr:uid="{00000000-0005-0000-0000-0000EF380000}"/>
    <cellStyle name="40% - Accent4 45 6" xfId="5299" xr:uid="{00000000-0005-0000-0000-0000F0380000}"/>
    <cellStyle name="40% - Accent4 45 6 2" xfId="16587" xr:uid="{00000000-0005-0000-0000-0000F1380000}"/>
    <cellStyle name="40% - Accent4 45 7" xfId="14593" xr:uid="{00000000-0005-0000-0000-0000F2380000}"/>
    <cellStyle name="40% - Accent4 45 8" xfId="13279" xr:uid="{00000000-0005-0000-0000-0000F3380000}"/>
    <cellStyle name="40% - Accent4 46" xfId="1344" xr:uid="{00000000-0005-0000-0000-0000F4380000}"/>
    <cellStyle name="40% - Accent4 46 2" xfId="4300" xr:uid="{00000000-0005-0000-0000-0000F5380000}"/>
    <cellStyle name="40% - Accent4 46 2 2" xfId="12279" xr:uid="{00000000-0005-0000-0000-0000F6380000}"/>
    <cellStyle name="40% - Accent4 46 2 2 2" xfId="23567" xr:uid="{00000000-0005-0000-0000-0000F7380000}"/>
    <cellStyle name="40% - Accent4 46 2 3" xfId="10285" xr:uid="{00000000-0005-0000-0000-0000F8380000}"/>
    <cellStyle name="40% - Accent4 46 2 3 2" xfId="21573" xr:uid="{00000000-0005-0000-0000-0000F9380000}"/>
    <cellStyle name="40% - Accent4 46 2 4" xfId="8291" xr:uid="{00000000-0005-0000-0000-0000FA380000}"/>
    <cellStyle name="40% - Accent4 46 2 4 2" xfId="19579" xr:uid="{00000000-0005-0000-0000-0000FB380000}"/>
    <cellStyle name="40% - Accent4 46 2 5" xfId="6297" xr:uid="{00000000-0005-0000-0000-0000FC380000}"/>
    <cellStyle name="40% - Accent4 46 2 5 2" xfId="17585" xr:uid="{00000000-0005-0000-0000-0000FD380000}"/>
    <cellStyle name="40% - Accent4 46 2 6" xfId="15591" xr:uid="{00000000-0005-0000-0000-0000FE380000}"/>
    <cellStyle name="40% - Accent4 46 3" xfId="11282" xr:uid="{00000000-0005-0000-0000-0000FF380000}"/>
    <cellStyle name="40% - Accent4 46 3 2" xfId="22570" xr:uid="{00000000-0005-0000-0000-000000390000}"/>
    <cellStyle name="40% - Accent4 46 4" xfId="9288" xr:uid="{00000000-0005-0000-0000-000001390000}"/>
    <cellStyle name="40% - Accent4 46 4 2" xfId="20576" xr:uid="{00000000-0005-0000-0000-000002390000}"/>
    <cellStyle name="40% - Accent4 46 5" xfId="7294" xr:uid="{00000000-0005-0000-0000-000003390000}"/>
    <cellStyle name="40% - Accent4 46 5 2" xfId="18582" xr:uid="{00000000-0005-0000-0000-000004390000}"/>
    <cellStyle name="40% - Accent4 46 6" xfId="5300" xr:uid="{00000000-0005-0000-0000-000005390000}"/>
    <cellStyle name="40% - Accent4 46 6 2" xfId="16588" xr:uid="{00000000-0005-0000-0000-000006390000}"/>
    <cellStyle name="40% - Accent4 46 7" xfId="14594" xr:uid="{00000000-0005-0000-0000-000007390000}"/>
    <cellStyle name="40% - Accent4 46 8" xfId="13280" xr:uid="{00000000-0005-0000-0000-000008390000}"/>
    <cellStyle name="40% - Accent4 47" xfId="1345" xr:uid="{00000000-0005-0000-0000-000009390000}"/>
    <cellStyle name="40% - Accent4 47 2" xfId="4301" xr:uid="{00000000-0005-0000-0000-00000A390000}"/>
    <cellStyle name="40% - Accent4 47 2 2" xfId="12280" xr:uid="{00000000-0005-0000-0000-00000B390000}"/>
    <cellStyle name="40% - Accent4 47 2 2 2" xfId="23568" xr:uid="{00000000-0005-0000-0000-00000C390000}"/>
    <cellStyle name="40% - Accent4 47 2 3" xfId="10286" xr:uid="{00000000-0005-0000-0000-00000D390000}"/>
    <cellStyle name="40% - Accent4 47 2 3 2" xfId="21574" xr:uid="{00000000-0005-0000-0000-00000E390000}"/>
    <cellStyle name="40% - Accent4 47 2 4" xfId="8292" xr:uid="{00000000-0005-0000-0000-00000F390000}"/>
    <cellStyle name="40% - Accent4 47 2 4 2" xfId="19580" xr:uid="{00000000-0005-0000-0000-000010390000}"/>
    <cellStyle name="40% - Accent4 47 2 5" xfId="6298" xr:uid="{00000000-0005-0000-0000-000011390000}"/>
    <cellStyle name="40% - Accent4 47 2 5 2" xfId="17586" xr:uid="{00000000-0005-0000-0000-000012390000}"/>
    <cellStyle name="40% - Accent4 47 2 6" xfId="15592" xr:uid="{00000000-0005-0000-0000-000013390000}"/>
    <cellStyle name="40% - Accent4 47 3" xfId="11283" xr:uid="{00000000-0005-0000-0000-000014390000}"/>
    <cellStyle name="40% - Accent4 47 3 2" xfId="22571" xr:uid="{00000000-0005-0000-0000-000015390000}"/>
    <cellStyle name="40% - Accent4 47 4" xfId="9289" xr:uid="{00000000-0005-0000-0000-000016390000}"/>
    <cellStyle name="40% - Accent4 47 4 2" xfId="20577" xr:uid="{00000000-0005-0000-0000-000017390000}"/>
    <cellStyle name="40% - Accent4 47 5" xfId="7295" xr:uid="{00000000-0005-0000-0000-000018390000}"/>
    <cellStyle name="40% - Accent4 47 5 2" xfId="18583" xr:uid="{00000000-0005-0000-0000-000019390000}"/>
    <cellStyle name="40% - Accent4 47 6" xfId="5301" xr:uid="{00000000-0005-0000-0000-00001A390000}"/>
    <cellStyle name="40% - Accent4 47 6 2" xfId="16589" xr:uid="{00000000-0005-0000-0000-00001B390000}"/>
    <cellStyle name="40% - Accent4 47 7" xfId="14595" xr:uid="{00000000-0005-0000-0000-00001C390000}"/>
    <cellStyle name="40% - Accent4 47 8" xfId="13281" xr:uid="{00000000-0005-0000-0000-00001D390000}"/>
    <cellStyle name="40% - Accent4 48" xfId="1346" xr:uid="{00000000-0005-0000-0000-00001E390000}"/>
    <cellStyle name="40% - Accent4 48 2" xfId="4302" xr:uid="{00000000-0005-0000-0000-00001F390000}"/>
    <cellStyle name="40% - Accent4 48 2 2" xfId="12281" xr:uid="{00000000-0005-0000-0000-000020390000}"/>
    <cellStyle name="40% - Accent4 48 2 2 2" xfId="23569" xr:uid="{00000000-0005-0000-0000-000021390000}"/>
    <cellStyle name="40% - Accent4 48 2 3" xfId="10287" xr:uid="{00000000-0005-0000-0000-000022390000}"/>
    <cellStyle name="40% - Accent4 48 2 3 2" xfId="21575" xr:uid="{00000000-0005-0000-0000-000023390000}"/>
    <cellStyle name="40% - Accent4 48 2 4" xfId="8293" xr:uid="{00000000-0005-0000-0000-000024390000}"/>
    <cellStyle name="40% - Accent4 48 2 4 2" xfId="19581" xr:uid="{00000000-0005-0000-0000-000025390000}"/>
    <cellStyle name="40% - Accent4 48 2 5" xfId="6299" xr:uid="{00000000-0005-0000-0000-000026390000}"/>
    <cellStyle name="40% - Accent4 48 2 5 2" xfId="17587" xr:uid="{00000000-0005-0000-0000-000027390000}"/>
    <cellStyle name="40% - Accent4 48 2 6" xfId="15593" xr:uid="{00000000-0005-0000-0000-000028390000}"/>
    <cellStyle name="40% - Accent4 48 3" xfId="11284" xr:uid="{00000000-0005-0000-0000-000029390000}"/>
    <cellStyle name="40% - Accent4 48 3 2" xfId="22572" xr:uid="{00000000-0005-0000-0000-00002A390000}"/>
    <cellStyle name="40% - Accent4 48 4" xfId="9290" xr:uid="{00000000-0005-0000-0000-00002B390000}"/>
    <cellStyle name="40% - Accent4 48 4 2" xfId="20578" xr:uid="{00000000-0005-0000-0000-00002C390000}"/>
    <cellStyle name="40% - Accent4 48 5" xfId="7296" xr:uid="{00000000-0005-0000-0000-00002D390000}"/>
    <cellStyle name="40% - Accent4 48 5 2" xfId="18584" xr:uid="{00000000-0005-0000-0000-00002E390000}"/>
    <cellStyle name="40% - Accent4 48 6" xfId="5302" xr:uid="{00000000-0005-0000-0000-00002F390000}"/>
    <cellStyle name="40% - Accent4 48 6 2" xfId="16590" xr:uid="{00000000-0005-0000-0000-000030390000}"/>
    <cellStyle name="40% - Accent4 48 7" xfId="14596" xr:uid="{00000000-0005-0000-0000-000031390000}"/>
    <cellStyle name="40% - Accent4 48 8" xfId="13282" xr:uid="{00000000-0005-0000-0000-000032390000}"/>
    <cellStyle name="40% - Accent4 49" xfId="1347" xr:uid="{00000000-0005-0000-0000-000033390000}"/>
    <cellStyle name="40% - Accent4 49 2" xfId="4303" xr:uid="{00000000-0005-0000-0000-000034390000}"/>
    <cellStyle name="40% - Accent4 49 2 2" xfId="12282" xr:uid="{00000000-0005-0000-0000-000035390000}"/>
    <cellStyle name="40% - Accent4 49 2 2 2" xfId="23570" xr:uid="{00000000-0005-0000-0000-000036390000}"/>
    <cellStyle name="40% - Accent4 49 2 3" xfId="10288" xr:uid="{00000000-0005-0000-0000-000037390000}"/>
    <cellStyle name="40% - Accent4 49 2 3 2" xfId="21576" xr:uid="{00000000-0005-0000-0000-000038390000}"/>
    <cellStyle name="40% - Accent4 49 2 4" xfId="8294" xr:uid="{00000000-0005-0000-0000-000039390000}"/>
    <cellStyle name="40% - Accent4 49 2 4 2" xfId="19582" xr:uid="{00000000-0005-0000-0000-00003A390000}"/>
    <cellStyle name="40% - Accent4 49 2 5" xfId="6300" xr:uid="{00000000-0005-0000-0000-00003B390000}"/>
    <cellStyle name="40% - Accent4 49 2 5 2" xfId="17588" xr:uid="{00000000-0005-0000-0000-00003C390000}"/>
    <cellStyle name="40% - Accent4 49 2 6" xfId="15594" xr:uid="{00000000-0005-0000-0000-00003D390000}"/>
    <cellStyle name="40% - Accent4 49 3" xfId="11285" xr:uid="{00000000-0005-0000-0000-00003E390000}"/>
    <cellStyle name="40% - Accent4 49 3 2" xfId="22573" xr:uid="{00000000-0005-0000-0000-00003F390000}"/>
    <cellStyle name="40% - Accent4 49 4" xfId="9291" xr:uid="{00000000-0005-0000-0000-000040390000}"/>
    <cellStyle name="40% - Accent4 49 4 2" xfId="20579" xr:uid="{00000000-0005-0000-0000-000041390000}"/>
    <cellStyle name="40% - Accent4 49 5" xfId="7297" xr:uid="{00000000-0005-0000-0000-000042390000}"/>
    <cellStyle name="40% - Accent4 49 5 2" xfId="18585" xr:uid="{00000000-0005-0000-0000-000043390000}"/>
    <cellStyle name="40% - Accent4 49 6" xfId="5303" xr:uid="{00000000-0005-0000-0000-000044390000}"/>
    <cellStyle name="40% - Accent4 49 6 2" xfId="16591" xr:uid="{00000000-0005-0000-0000-000045390000}"/>
    <cellStyle name="40% - Accent4 49 7" xfId="14597" xr:uid="{00000000-0005-0000-0000-000046390000}"/>
    <cellStyle name="40% - Accent4 49 8" xfId="13283" xr:uid="{00000000-0005-0000-0000-000047390000}"/>
    <cellStyle name="40% - Accent4 5" xfId="1348" xr:uid="{00000000-0005-0000-0000-000048390000}"/>
    <cellStyle name="40% - Accent4 5 10" xfId="24616" xr:uid="{00000000-0005-0000-0000-000049390000}"/>
    <cellStyle name="40% - Accent4 5 11" xfId="25006" xr:uid="{00000000-0005-0000-0000-00004A390000}"/>
    <cellStyle name="40% - Accent4 5 2" xfId="4304" xr:uid="{00000000-0005-0000-0000-00004B390000}"/>
    <cellStyle name="40% - Accent4 5 2 2" xfId="12283" xr:uid="{00000000-0005-0000-0000-00004C390000}"/>
    <cellStyle name="40% - Accent4 5 2 2 2" xfId="23571" xr:uid="{00000000-0005-0000-0000-00004D390000}"/>
    <cellStyle name="40% - Accent4 5 2 3" xfId="10289" xr:uid="{00000000-0005-0000-0000-00004E390000}"/>
    <cellStyle name="40% - Accent4 5 2 3 2" xfId="21577" xr:uid="{00000000-0005-0000-0000-00004F390000}"/>
    <cellStyle name="40% - Accent4 5 2 4" xfId="8295" xr:uid="{00000000-0005-0000-0000-000050390000}"/>
    <cellStyle name="40% - Accent4 5 2 4 2" xfId="19583" xr:uid="{00000000-0005-0000-0000-000051390000}"/>
    <cellStyle name="40% - Accent4 5 2 5" xfId="6301" xr:uid="{00000000-0005-0000-0000-000052390000}"/>
    <cellStyle name="40% - Accent4 5 2 5 2" xfId="17589" xr:uid="{00000000-0005-0000-0000-000053390000}"/>
    <cellStyle name="40% - Accent4 5 2 6" xfId="15595" xr:uid="{00000000-0005-0000-0000-000054390000}"/>
    <cellStyle name="40% - Accent4 5 2 7" xfId="24377" xr:uid="{00000000-0005-0000-0000-000055390000}"/>
    <cellStyle name="40% - Accent4 5 2 8" xfId="24841" xr:uid="{00000000-0005-0000-0000-000056390000}"/>
    <cellStyle name="40% - Accent4 5 2 9" xfId="25208" xr:uid="{00000000-0005-0000-0000-000057390000}"/>
    <cellStyle name="40% - Accent4 5 3" xfId="11286" xr:uid="{00000000-0005-0000-0000-000058390000}"/>
    <cellStyle name="40% - Accent4 5 3 2" xfId="22574" xr:uid="{00000000-0005-0000-0000-000059390000}"/>
    <cellStyle name="40% - Accent4 5 4" xfId="9292" xr:uid="{00000000-0005-0000-0000-00005A390000}"/>
    <cellStyle name="40% - Accent4 5 4 2" xfId="20580" xr:uid="{00000000-0005-0000-0000-00005B390000}"/>
    <cellStyle name="40% - Accent4 5 5" xfId="7298" xr:uid="{00000000-0005-0000-0000-00005C390000}"/>
    <cellStyle name="40% - Accent4 5 5 2" xfId="18586" xr:uid="{00000000-0005-0000-0000-00005D390000}"/>
    <cellStyle name="40% - Accent4 5 6" xfId="5304" xr:uid="{00000000-0005-0000-0000-00005E390000}"/>
    <cellStyle name="40% - Accent4 5 6 2" xfId="16592" xr:uid="{00000000-0005-0000-0000-00005F390000}"/>
    <cellStyle name="40% - Accent4 5 7" xfId="14598" xr:uid="{00000000-0005-0000-0000-000060390000}"/>
    <cellStyle name="40% - Accent4 5 8" xfId="13284" xr:uid="{00000000-0005-0000-0000-000061390000}"/>
    <cellStyle name="40% - Accent4 5 9" xfId="23989" xr:uid="{00000000-0005-0000-0000-000062390000}"/>
    <cellStyle name="40% - Accent4 50" xfId="1349" xr:uid="{00000000-0005-0000-0000-000063390000}"/>
    <cellStyle name="40% - Accent4 50 2" xfId="4305" xr:uid="{00000000-0005-0000-0000-000064390000}"/>
    <cellStyle name="40% - Accent4 50 2 2" xfId="12284" xr:uid="{00000000-0005-0000-0000-000065390000}"/>
    <cellStyle name="40% - Accent4 50 2 2 2" xfId="23572" xr:uid="{00000000-0005-0000-0000-000066390000}"/>
    <cellStyle name="40% - Accent4 50 2 3" xfId="10290" xr:uid="{00000000-0005-0000-0000-000067390000}"/>
    <cellStyle name="40% - Accent4 50 2 3 2" xfId="21578" xr:uid="{00000000-0005-0000-0000-000068390000}"/>
    <cellStyle name="40% - Accent4 50 2 4" xfId="8296" xr:uid="{00000000-0005-0000-0000-000069390000}"/>
    <cellStyle name="40% - Accent4 50 2 4 2" xfId="19584" xr:uid="{00000000-0005-0000-0000-00006A390000}"/>
    <cellStyle name="40% - Accent4 50 2 5" xfId="6302" xr:uid="{00000000-0005-0000-0000-00006B390000}"/>
    <cellStyle name="40% - Accent4 50 2 5 2" xfId="17590" xr:uid="{00000000-0005-0000-0000-00006C390000}"/>
    <cellStyle name="40% - Accent4 50 2 6" xfId="15596" xr:uid="{00000000-0005-0000-0000-00006D390000}"/>
    <cellStyle name="40% - Accent4 50 3" xfId="11287" xr:uid="{00000000-0005-0000-0000-00006E390000}"/>
    <cellStyle name="40% - Accent4 50 3 2" xfId="22575" xr:uid="{00000000-0005-0000-0000-00006F390000}"/>
    <cellStyle name="40% - Accent4 50 4" xfId="9293" xr:uid="{00000000-0005-0000-0000-000070390000}"/>
    <cellStyle name="40% - Accent4 50 4 2" xfId="20581" xr:uid="{00000000-0005-0000-0000-000071390000}"/>
    <cellStyle name="40% - Accent4 50 5" xfId="7299" xr:uid="{00000000-0005-0000-0000-000072390000}"/>
    <cellStyle name="40% - Accent4 50 5 2" xfId="18587" xr:uid="{00000000-0005-0000-0000-000073390000}"/>
    <cellStyle name="40% - Accent4 50 6" xfId="5305" xr:uid="{00000000-0005-0000-0000-000074390000}"/>
    <cellStyle name="40% - Accent4 50 6 2" xfId="16593" xr:uid="{00000000-0005-0000-0000-000075390000}"/>
    <cellStyle name="40% - Accent4 50 7" xfId="14599" xr:uid="{00000000-0005-0000-0000-000076390000}"/>
    <cellStyle name="40% - Accent4 50 8" xfId="13285" xr:uid="{00000000-0005-0000-0000-000077390000}"/>
    <cellStyle name="40% - Accent4 51" xfId="1350" xr:uid="{00000000-0005-0000-0000-000078390000}"/>
    <cellStyle name="40% - Accent4 51 2" xfId="4306" xr:uid="{00000000-0005-0000-0000-000079390000}"/>
    <cellStyle name="40% - Accent4 51 2 2" xfId="12285" xr:uid="{00000000-0005-0000-0000-00007A390000}"/>
    <cellStyle name="40% - Accent4 51 2 2 2" xfId="23573" xr:uid="{00000000-0005-0000-0000-00007B390000}"/>
    <cellStyle name="40% - Accent4 51 2 3" xfId="10291" xr:uid="{00000000-0005-0000-0000-00007C390000}"/>
    <cellStyle name="40% - Accent4 51 2 3 2" xfId="21579" xr:uid="{00000000-0005-0000-0000-00007D390000}"/>
    <cellStyle name="40% - Accent4 51 2 4" xfId="8297" xr:uid="{00000000-0005-0000-0000-00007E390000}"/>
    <cellStyle name="40% - Accent4 51 2 4 2" xfId="19585" xr:uid="{00000000-0005-0000-0000-00007F390000}"/>
    <cellStyle name="40% - Accent4 51 2 5" xfId="6303" xr:uid="{00000000-0005-0000-0000-000080390000}"/>
    <cellStyle name="40% - Accent4 51 2 5 2" xfId="17591" xr:uid="{00000000-0005-0000-0000-000081390000}"/>
    <cellStyle name="40% - Accent4 51 2 6" xfId="15597" xr:uid="{00000000-0005-0000-0000-000082390000}"/>
    <cellStyle name="40% - Accent4 51 3" xfId="11288" xr:uid="{00000000-0005-0000-0000-000083390000}"/>
    <cellStyle name="40% - Accent4 51 3 2" xfId="22576" xr:uid="{00000000-0005-0000-0000-000084390000}"/>
    <cellStyle name="40% - Accent4 51 4" xfId="9294" xr:uid="{00000000-0005-0000-0000-000085390000}"/>
    <cellStyle name="40% - Accent4 51 4 2" xfId="20582" xr:uid="{00000000-0005-0000-0000-000086390000}"/>
    <cellStyle name="40% - Accent4 51 5" xfId="7300" xr:uid="{00000000-0005-0000-0000-000087390000}"/>
    <cellStyle name="40% - Accent4 51 5 2" xfId="18588" xr:uid="{00000000-0005-0000-0000-000088390000}"/>
    <cellStyle name="40% - Accent4 51 6" xfId="5306" xr:uid="{00000000-0005-0000-0000-000089390000}"/>
    <cellStyle name="40% - Accent4 51 6 2" xfId="16594" xr:uid="{00000000-0005-0000-0000-00008A390000}"/>
    <cellStyle name="40% - Accent4 51 7" xfId="14600" xr:uid="{00000000-0005-0000-0000-00008B390000}"/>
    <cellStyle name="40% - Accent4 51 8" xfId="13286" xr:uid="{00000000-0005-0000-0000-00008C390000}"/>
    <cellStyle name="40% - Accent4 52" xfId="1351" xr:uid="{00000000-0005-0000-0000-00008D390000}"/>
    <cellStyle name="40% - Accent4 52 2" xfId="4307" xr:uid="{00000000-0005-0000-0000-00008E390000}"/>
    <cellStyle name="40% - Accent4 52 2 2" xfId="12286" xr:uid="{00000000-0005-0000-0000-00008F390000}"/>
    <cellStyle name="40% - Accent4 52 2 2 2" xfId="23574" xr:uid="{00000000-0005-0000-0000-000090390000}"/>
    <cellStyle name="40% - Accent4 52 2 3" xfId="10292" xr:uid="{00000000-0005-0000-0000-000091390000}"/>
    <cellStyle name="40% - Accent4 52 2 3 2" xfId="21580" xr:uid="{00000000-0005-0000-0000-000092390000}"/>
    <cellStyle name="40% - Accent4 52 2 4" xfId="8298" xr:uid="{00000000-0005-0000-0000-000093390000}"/>
    <cellStyle name="40% - Accent4 52 2 4 2" xfId="19586" xr:uid="{00000000-0005-0000-0000-000094390000}"/>
    <cellStyle name="40% - Accent4 52 2 5" xfId="6304" xr:uid="{00000000-0005-0000-0000-000095390000}"/>
    <cellStyle name="40% - Accent4 52 2 5 2" xfId="17592" xr:uid="{00000000-0005-0000-0000-000096390000}"/>
    <cellStyle name="40% - Accent4 52 2 6" xfId="15598" xr:uid="{00000000-0005-0000-0000-000097390000}"/>
    <cellStyle name="40% - Accent4 52 3" xfId="11289" xr:uid="{00000000-0005-0000-0000-000098390000}"/>
    <cellStyle name="40% - Accent4 52 3 2" xfId="22577" xr:uid="{00000000-0005-0000-0000-000099390000}"/>
    <cellStyle name="40% - Accent4 52 4" xfId="9295" xr:uid="{00000000-0005-0000-0000-00009A390000}"/>
    <cellStyle name="40% - Accent4 52 4 2" xfId="20583" xr:uid="{00000000-0005-0000-0000-00009B390000}"/>
    <cellStyle name="40% - Accent4 52 5" xfId="7301" xr:uid="{00000000-0005-0000-0000-00009C390000}"/>
    <cellStyle name="40% - Accent4 52 5 2" xfId="18589" xr:uid="{00000000-0005-0000-0000-00009D390000}"/>
    <cellStyle name="40% - Accent4 52 6" xfId="5307" xr:uid="{00000000-0005-0000-0000-00009E390000}"/>
    <cellStyle name="40% - Accent4 52 6 2" xfId="16595" xr:uid="{00000000-0005-0000-0000-00009F390000}"/>
    <cellStyle name="40% - Accent4 52 7" xfId="14601" xr:uid="{00000000-0005-0000-0000-0000A0390000}"/>
    <cellStyle name="40% - Accent4 52 8" xfId="13287" xr:uid="{00000000-0005-0000-0000-0000A1390000}"/>
    <cellStyle name="40% - Accent4 53" xfId="1352" xr:uid="{00000000-0005-0000-0000-0000A2390000}"/>
    <cellStyle name="40% - Accent4 53 2" xfId="4308" xr:uid="{00000000-0005-0000-0000-0000A3390000}"/>
    <cellStyle name="40% - Accent4 53 2 2" xfId="12287" xr:uid="{00000000-0005-0000-0000-0000A4390000}"/>
    <cellStyle name="40% - Accent4 53 2 2 2" xfId="23575" xr:uid="{00000000-0005-0000-0000-0000A5390000}"/>
    <cellStyle name="40% - Accent4 53 2 3" xfId="10293" xr:uid="{00000000-0005-0000-0000-0000A6390000}"/>
    <cellStyle name="40% - Accent4 53 2 3 2" xfId="21581" xr:uid="{00000000-0005-0000-0000-0000A7390000}"/>
    <cellStyle name="40% - Accent4 53 2 4" xfId="8299" xr:uid="{00000000-0005-0000-0000-0000A8390000}"/>
    <cellStyle name="40% - Accent4 53 2 4 2" xfId="19587" xr:uid="{00000000-0005-0000-0000-0000A9390000}"/>
    <cellStyle name="40% - Accent4 53 2 5" xfId="6305" xr:uid="{00000000-0005-0000-0000-0000AA390000}"/>
    <cellStyle name="40% - Accent4 53 2 5 2" xfId="17593" xr:uid="{00000000-0005-0000-0000-0000AB390000}"/>
    <cellStyle name="40% - Accent4 53 2 6" xfId="15599" xr:uid="{00000000-0005-0000-0000-0000AC390000}"/>
    <cellStyle name="40% - Accent4 53 3" xfId="11290" xr:uid="{00000000-0005-0000-0000-0000AD390000}"/>
    <cellStyle name="40% - Accent4 53 3 2" xfId="22578" xr:uid="{00000000-0005-0000-0000-0000AE390000}"/>
    <cellStyle name="40% - Accent4 53 4" xfId="9296" xr:uid="{00000000-0005-0000-0000-0000AF390000}"/>
    <cellStyle name="40% - Accent4 53 4 2" xfId="20584" xr:uid="{00000000-0005-0000-0000-0000B0390000}"/>
    <cellStyle name="40% - Accent4 53 5" xfId="7302" xr:uid="{00000000-0005-0000-0000-0000B1390000}"/>
    <cellStyle name="40% - Accent4 53 5 2" xfId="18590" xr:uid="{00000000-0005-0000-0000-0000B2390000}"/>
    <cellStyle name="40% - Accent4 53 6" xfId="5308" xr:uid="{00000000-0005-0000-0000-0000B3390000}"/>
    <cellStyle name="40% - Accent4 53 6 2" xfId="16596" xr:uid="{00000000-0005-0000-0000-0000B4390000}"/>
    <cellStyle name="40% - Accent4 53 7" xfId="14602" xr:uid="{00000000-0005-0000-0000-0000B5390000}"/>
    <cellStyle name="40% - Accent4 53 8" xfId="13288" xr:uid="{00000000-0005-0000-0000-0000B6390000}"/>
    <cellStyle name="40% - Accent4 54" xfId="1353" xr:uid="{00000000-0005-0000-0000-0000B7390000}"/>
    <cellStyle name="40% - Accent4 54 2" xfId="4309" xr:uid="{00000000-0005-0000-0000-0000B8390000}"/>
    <cellStyle name="40% - Accent4 54 2 2" xfId="12288" xr:uid="{00000000-0005-0000-0000-0000B9390000}"/>
    <cellStyle name="40% - Accent4 54 2 2 2" xfId="23576" xr:uid="{00000000-0005-0000-0000-0000BA390000}"/>
    <cellStyle name="40% - Accent4 54 2 3" xfId="10294" xr:uid="{00000000-0005-0000-0000-0000BB390000}"/>
    <cellStyle name="40% - Accent4 54 2 3 2" xfId="21582" xr:uid="{00000000-0005-0000-0000-0000BC390000}"/>
    <cellStyle name="40% - Accent4 54 2 4" xfId="8300" xr:uid="{00000000-0005-0000-0000-0000BD390000}"/>
    <cellStyle name="40% - Accent4 54 2 4 2" xfId="19588" xr:uid="{00000000-0005-0000-0000-0000BE390000}"/>
    <cellStyle name="40% - Accent4 54 2 5" xfId="6306" xr:uid="{00000000-0005-0000-0000-0000BF390000}"/>
    <cellStyle name="40% - Accent4 54 2 5 2" xfId="17594" xr:uid="{00000000-0005-0000-0000-0000C0390000}"/>
    <cellStyle name="40% - Accent4 54 2 6" xfId="15600" xr:uid="{00000000-0005-0000-0000-0000C1390000}"/>
    <cellStyle name="40% - Accent4 54 3" xfId="11291" xr:uid="{00000000-0005-0000-0000-0000C2390000}"/>
    <cellStyle name="40% - Accent4 54 3 2" xfId="22579" xr:uid="{00000000-0005-0000-0000-0000C3390000}"/>
    <cellStyle name="40% - Accent4 54 4" xfId="9297" xr:uid="{00000000-0005-0000-0000-0000C4390000}"/>
    <cellStyle name="40% - Accent4 54 4 2" xfId="20585" xr:uid="{00000000-0005-0000-0000-0000C5390000}"/>
    <cellStyle name="40% - Accent4 54 5" xfId="7303" xr:uid="{00000000-0005-0000-0000-0000C6390000}"/>
    <cellStyle name="40% - Accent4 54 5 2" xfId="18591" xr:uid="{00000000-0005-0000-0000-0000C7390000}"/>
    <cellStyle name="40% - Accent4 54 6" xfId="5309" xr:uid="{00000000-0005-0000-0000-0000C8390000}"/>
    <cellStyle name="40% - Accent4 54 6 2" xfId="16597" xr:uid="{00000000-0005-0000-0000-0000C9390000}"/>
    <cellStyle name="40% - Accent4 54 7" xfId="14603" xr:uid="{00000000-0005-0000-0000-0000CA390000}"/>
    <cellStyle name="40% - Accent4 54 8" xfId="13289" xr:uid="{00000000-0005-0000-0000-0000CB390000}"/>
    <cellStyle name="40% - Accent4 55" xfId="1354" xr:uid="{00000000-0005-0000-0000-0000CC390000}"/>
    <cellStyle name="40% - Accent4 55 2" xfId="4310" xr:uid="{00000000-0005-0000-0000-0000CD390000}"/>
    <cellStyle name="40% - Accent4 55 2 2" xfId="12289" xr:uid="{00000000-0005-0000-0000-0000CE390000}"/>
    <cellStyle name="40% - Accent4 55 2 2 2" xfId="23577" xr:uid="{00000000-0005-0000-0000-0000CF390000}"/>
    <cellStyle name="40% - Accent4 55 2 3" xfId="10295" xr:uid="{00000000-0005-0000-0000-0000D0390000}"/>
    <cellStyle name="40% - Accent4 55 2 3 2" xfId="21583" xr:uid="{00000000-0005-0000-0000-0000D1390000}"/>
    <cellStyle name="40% - Accent4 55 2 4" xfId="8301" xr:uid="{00000000-0005-0000-0000-0000D2390000}"/>
    <cellStyle name="40% - Accent4 55 2 4 2" xfId="19589" xr:uid="{00000000-0005-0000-0000-0000D3390000}"/>
    <cellStyle name="40% - Accent4 55 2 5" xfId="6307" xr:uid="{00000000-0005-0000-0000-0000D4390000}"/>
    <cellStyle name="40% - Accent4 55 2 5 2" xfId="17595" xr:uid="{00000000-0005-0000-0000-0000D5390000}"/>
    <cellStyle name="40% - Accent4 55 2 6" xfId="15601" xr:uid="{00000000-0005-0000-0000-0000D6390000}"/>
    <cellStyle name="40% - Accent4 55 3" xfId="11292" xr:uid="{00000000-0005-0000-0000-0000D7390000}"/>
    <cellStyle name="40% - Accent4 55 3 2" xfId="22580" xr:uid="{00000000-0005-0000-0000-0000D8390000}"/>
    <cellStyle name="40% - Accent4 55 4" xfId="9298" xr:uid="{00000000-0005-0000-0000-0000D9390000}"/>
    <cellStyle name="40% - Accent4 55 4 2" xfId="20586" xr:uid="{00000000-0005-0000-0000-0000DA390000}"/>
    <cellStyle name="40% - Accent4 55 5" xfId="7304" xr:uid="{00000000-0005-0000-0000-0000DB390000}"/>
    <cellStyle name="40% - Accent4 55 5 2" xfId="18592" xr:uid="{00000000-0005-0000-0000-0000DC390000}"/>
    <cellStyle name="40% - Accent4 55 6" xfId="5310" xr:uid="{00000000-0005-0000-0000-0000DD390000}"/>
    <cellStyle name="40% - Accent4 55 6 2" xfId="16598" xr:uid="{00000000-0005-0000-0000-0000DE390000}"/>
    <cellStyle name="40% - Accent4 55 7" xfId="14604" xr:uid="{00000000-0005-0000-0000-0000DF390000}"/>
    <cellStyle name="40% - Accent4 55 8" xfId="13290" xr:uid="{00000000-0005-0000-0000-0000E0390000}"/>
    <cellStyle name="40% - Accent4 56" xfId="1355" xr:uid="{00000000-0005-0000-0000-0000E1390000}"/>
    <cellStyle name="40% - Accent4 56 2" xfId="4311" xr:uid="{00000000-0005-0000-0000-0000E2390000}"/>
    <cellStyle name="40% - Accent4 56 2 2" xfId="12290" xr:uid="{00000000-0005-0000-0000-0000E3390000}"/>
    <cellStyle name="40% - Accent4 56 2 2 2" xfId="23578" xr:uid="{00000000-0005-0000-0000-0000E4390000}"/>
    <cellStyle name="40% - Accent4 56 2 3" xfId="10296" xr:uid="{00000000-0005-0000-0000-0000E5390000}"/>
    <cellStyle name="40% - Accent4 56 2 3 2" xfId="21584" xr:uid="{00000000-0005-0000-0000-0000E6390000}"/>
    <cellStyle name="40% - Accent4 56 2 4" xfId="8302" xr:uid="{00000000-0005-0000-0000-0000E7390000}"/>
    <cellStyle name="40% - Accent4 56 2 4 2" xfId="19590" xr:uid="{00000000-0005-0000-0000-0000E8390000}"/>
    <cellStyle name="40% - Accent4 56 2 5" xfId="6308" xr:uid="{00000000-0005-0000-0000-0000E9390000}"/>
    <cellStyle name="40% - Accent4 56 2 5 2" xfId="17596" xr:uid="{00000000-0005-0000-0000-0000EA390000}"/>
    <cellStyle name="40% - Accent4 56 2 6" xfId="15602" xr:uid="{00000000-0005-0000-0000-0000EB390000}"/>
    <cellStyle name="40% - Accent4 56 3" xfId="11293" xr:uid="{00000000-0005-0000-0000-0000EC390000}"/>
    <cellStyle name="40% - Accent4 56 3 2" xfId="22581" xr:uid="{00000000-0005-0000-0000-0000ED390000}"/>
    <cellStyle name="40% - Accent4 56 4" xfId="9299" xr:uid="{00000000-0005-0000-0000-0000EE390000}"/>
    <cellStyle name="40% - Accent4 56 4 2" xfId="20587" xr:uid="{00000000-0005-0000-0000-0000EF390000}"/>
    <cellStyle name="40% - Accent4 56 5" xfId="7305" xr:uid="{00000000-0005-0000-0000-0000F0390000}"/>
    <cellStyle name="40% - Accent4 56 5 2" xfId="18593" xr:uid="{00000000-0005-0000-0000-0000F1390000}"/>
    <cellStyle name="40% - Accent4 56 6" xfId="5311" xr:uid="{00000000-0005-0000-0000-0000F2390000}"/>
    <cellStyle name="40% - Accent4 56 6 2" xfId="16599" xr:uid="{00000000-0005-0000-0000-0000F3390000}"/>
    <cellStyle name="40% - Accent4 56 7" xfId="14605" xr:uid="{00000000-0005-0000-0000-0000F4390000}"/>
    <cellStyle name="40% - Accent4 56 8" xfId="13291" xr:uid="{00000000-0005-0000-0000-0000F5390000}"/>
    <cellStyle name="40% - Accent4 57" xfId="1356" xr:uid="{00000000-0005-0000-0000-0000F6390000}"/>
    <cellStyle name="40% - Accent4 57 2" xfId="4312" xr:uid="{00000000-0005-0000-0000-0000F7390000}"/>
    <cellStyle name="40% - Accent4 57 2 2" xfId="12291" xr:uid="{00000000-0005-0000-0000-0000F8390000}"/>
    <cellStyle name="40% - Accent4 57 2 2 2" xfId="23579" xr:uid="{00000000-0005-0000-0000-0000F9390000}"/>
    <cellStyle name="40% - Accent4 57 2 3" xfId="10297" xr:uid="{00000000-0005-0000-0000-0000FA390000}"/>
    <cellStyle name="40% - Accent4 57 2 3 2" xfId="21585" xr:uid="{00000000-0005-0000-0000-0000FB390000}"/>
    <cellStyle name="40% - Accent4 57 2 4" xfId="8303" xr:uid="{00000000-0005-0000-0000-0000FC390000}"/>
    <cellStyle name="40% - Accent4 57 2 4 2" xfId="19591" xr:uid="{00000000-0005-0000-0000-0000FD390000}"/>
    <cellStyle name="40% - Accent4 57 2 5" xfId="6309" xr:uid="{00000000-0005-0000-0000-0000FE390000}"/>
    <cellStyle name="40% - Accent4 57 2 5 2" xfId="17597" xr:uid="{00000000-0005-0000-0000-0000FF390000}"/>
    <cellStyle name="40% - Accent4 57 2 6" xfId="15603" xr:uid="{00000000-0005-0000-0000-0000003A0000}"/>
    <cellStyle name="40% - Accent4 57 3" xfId="11294" xr:uid="{00000000-0005-0000-0000-0000013A0000}"/>
    <cellStyle name="40% - Accent4 57 3 2" xfId="22582" xr:uid="{00000000-0005-0000-0000-0000023A0000}"/>
    <cellStyle name="40% - Accent4 57 4" xfId="9300" xr:uid="{00000000-0005-0000-0000-0000033A0000}"/>
    <cellStyle name="40% - Accent4 57 4 2" xfId="20588" xr:uid="{00000000-0005-0000-0000-0000043A0000}"/>
    <cellStyle name="40% - Accent4 57 5" xfId="7306" xr:uid="{00000000-0005-0000-0000-0000053A0000}"/>
    <cellStyle name="40% - Accent4 57 5 2" xfId="18594" xr:uid="{00000000-0005-0000-0000-0000063A0000}"/>
    <cellStyle name="40% - Accent4 57 6" xfId="5312" xr:uid="{00000000-0005-0000-0000-0000073A0000}"/>
    <cellStyle name="40% - Accent4 57 6 2" xfId="16600" xr:uid="{00000000-0005-0000-0000-0000083A0000}"/>
    <cellStyle name="40% - Accent4 57 7" xfId="14606" xr:uid="{00000000-0005-0000-0000-0000093A0000}"/>
    <cellStyle name="40% - Accent4 57 8" xfId="13292" xr:uid="{00000000-0005-0000-0000-00000A3A0000}"/>
    <cellStyle name="40% - Accent4 58" xfId="1357" xr:uid="{00000000-0005-0000-0000-00000B3A0000}"/>
    <cellStyle name="40% - Accent4 58 2" xfId="4313" xr:uid="{00000000-0005-0000-0000-00000C3A0000}"/>
    <cellStyle name="40% - Accent4 58 2 2" xfId="12292" xr:uid="{00000000-0005-0000-0000-00000D3A0000}"/>
    <cellStyle name="40% - Accent4 58 2 2 2" xfId="23580" xr:uid="{00000000-0005-0000-0000-00000E3A0000}"/>
    <cellStyle name="40% - Accent4 58 2 3" xfId="10298" xr:uid="{00000000-0005-0000-0000-00000F3A0000}"/>
    <cellStyle name="40% - Accent4 58 2 3 2" xfId="21586" xr:uid="{00000000-0005-0000-0000-0000103A0000}"/>
    <cellStyle name="40% - Accent4 58 2 4" xfId="8304" xr:uid="{00000000-0005-0000-0000-0000113A0000}"/>
    <cellStyle name="40% - Accent4 58 2 4 2" xfId="19592" xr:uid="{00000000-0005-0000-0000-0000123A0000}"/>
    <cellStyle name="40% - Accent4 58 2 5" xfId="6310" xr:uid="{00000000-0005-0000-0000-0000133A0000}"/>
    <cellStyle name="40% - Accent4 58 2 5 2" xfId="17598" xr:uid="{00000000-0005-0000-0000-0000143A0000}"/>
    <cellStyle name="40% - Accent4 58 2 6" xfId="15604" xr:uid="{00000000-0005-0000-0000-0000153A0000}"/>
    <cellStyle name="40% - Accent4 58 3" xfId="11295" xr:uid="{00000000-0005-0000-0000-0000163A0000}"/>
    <cellStyle name="40% - Accent4 58 3 2" xfId="22583" xr:uid="{00000000-0005-0000-0000-0000173A0000}"/>
    <cellStyle name="40% - Accent4 58 4" xfId="9301" xr:uid="{00000000-0005-0000-0000-0000183A0000}"/>
    <cellStyle name="40% - Accent4 58 4 2" xfId="20589" xr:uid="{00000000-0005-0000-0000-0000193A0000}"/>
    <cellStyle name="40% - Accent4 58 5" xfId="7307" xr:uid="{00000000-0005-0000-0000-00001A3A0000}"/>
    <cellStyle name="40% - Accent4 58 5 2" xfId="18595" xr:uid="{00000000-0005-0000-0000-00001B3A0000}"/>
    <cellStyle name="40% - Accent4 58 6" xfId="5313" xr:uid="{00000000-0005-0000-0000-00001C3A0000}"/>
    <cellStyle name="40% - Accent4 58 6 2" xfId="16601" xr:uid="{00000000-0005-0000-0000-00001D3A0000}"/>
    <cellStyle name="40% - Accent4 58 7" xfId="14607" xr:uid="{00000000-0005-0000-0000-00001E3A0000}"/>
    <cellStyle name="40% - Accent4 58 8" xfId="13293" xr:uid="{00000000-0005-0000-0000-00001F3A0000}"/>
    <cellStyle name="40% - Accent4 59" xfId="1358" xr:uid="{00000000-0005-0000-0000-0000203A0000}"/>
    <cellStyle name="40% - Accent4 59 2" xfId="4314" xr:uid="{00000000-0005-0000-0000-0000213A0000}"/>
    <cellStyle name="40% - Accent4 59 2 2" xfId="12293" xr:uid="{00000000-0005-0000-0000-0000223A0000}"/>
    <cellStyle name="40% - Accent4 59 2 2 2" xfId="23581" xr:uid="{00000000-0005-0000-0000-0000233A0000}"/>
    <cellStyle name="40% - Accent4 59 2 3" xfId="10299" xr:uid="{00000000-0005-0000-0000-0000243A0000}"/>
    <cellStyle name="40% - Accent4 59 2 3 2" xfId="21587" xr:uid="{00000000-0005-0000-0000-0000253A0000}"/>
    <cellStyle name="40% - Accent4 59 2 4" xfId="8305" xr:uid="{00000000-0005-0000-0000-0000263A0000}"/>
    <cellStyle name="40% - Accent4 59 2 4 2" xfId="19593" xr:uid="{00000000-0005-0000-0000-0000273A0000}"/>
    <cellStyle name="40% - Accent4 59 2 5" xfId="6311" xr:uid="{00000000-0005-0000-0000-0000283A0000}"/>
    <cellStyle name="40% - Accent4 59 2 5 2" xfId="17599" xr:uid="{00000000-0005-0000-0000-0000293A0000}"/>
    <cellStyle name="40% - Accent4 59 2 6" xfId="15605" xr:uid="{00000000-0005-0000-0000-00002A3A0000}"/>
    <cellStyle name="40% - Accent4 59 3" xfId="11296" xr:uid="{00000000-0005-0000-0000-00002B3A0000}"/>
    <cellStyle name="40% - Accent4 59 3 2" xfId="22584" xr:uid="{00000000-0005-0000-0000-00002C3A0000}"/>
    <cellStyle name="40% - Accent4 59 4" xfId="9302" xr:uid="{00000000-0005-0000-0000-00002D3A0000}"/>
    <cellStyle name="40% - Accent4 59 4 2" xfId="20590" xr:uid="{00000000-0005-0000-0000-00002E3A0000}"/>
    <cellStyle name="40% - Accent4 59 5" xfId="7308" xr:uid="{00000000-0005-0000-0000-00002F3A0000}"/>
    <cellStyle name="40% - Accent4 59 5 2" xfId="18596" xr:uid="{00000000-0005-0000-0000-0000303A0000}"/>
    <cellStyle name="40% - Accent4 59 6" xfId="5314" xr:uid="{00000000-0005-0000-0000-0000313A0000}"/>
    <cellStyle name="40% - Accent4 59 6 2" xfId="16602" xr:uid="{00000000-0005-0000-0000-0000323A0000}"/>
    <cellStyle name="40% - Accent4 59 7" xfId="14608" xr:uid="{00000000-0005-0000-0000-0000333A0000}"/>
    <cellStyle name="40% - Accent4 59 8" xfId="13294" xr:uid="{00000000-0005-0000-0000-0000343A0000}"/>
    <cellStyle name="40% - Accent4 6" xfId="1359" xr:uid="{00000000-0005-0000-0000-0000353A0000}"/>
    <cellStyle name="40% - Accent4 6 10" xfId="24617" xr:uid="{00000000-0005-0000-0000-0000363A0000}"/>
    <cellStyle name="40% - Accent4 6 11" xfId="25007" xr:uid="{00000000-0005-0000-0000-0000373A0000}"/>
    <cellStyle name="40% - Accent4 6 2" xfId="4315" xr:uid="{00000000-0005-0000-0000-0000383A0000}"/>
    <cellStyle name="40% - Accent4 6 2 2" xfId="12294" xr:uid="{00000000-0005-0000-0000-0000393A0000}"/>
    <cellStyle name="40% - Accent4 6 2 2 2" xfId="23582" xr:uid="{00000000-0005-0000-0000-00003A3A0000}"/>
    <cellStyle name="40% - Accent4 6 2 3" xfId="10300" xr:uid="{00000000-0005-0000-0000-00003B3A0000}"/>
    <cellStyle name="40% - Accent4 6 2 3 2" xfId="21588" xr:uid="{00000000-0005-0000-0000-00003C3A0000}"/>
    <cellStyle name="40% - Accent4 6 2 4" xfId="8306" xr:uid="{00000000-0005-0000-0000-00003D3A0000}"/>
    <cellStyle name="40% - Accent4 6 2 4 2" xfId="19594" xr:uid="{00000000-0005-0000-0000-00003E3A0000}"/>
    <cellStyle name="40% - Accent4 6 2 5" xfId="6312" xr:uid="{00000000-0005-0000-0000-00003F3A0000}"/>
    <cellStyle name="40% - Accent4 6 2 5 2" xfId="17600" xr:uid="{00000000-0005-0000-0000-0000403A0000}"/>
    <cellStyle name="40% - Accent4 6 2 6" xfId="15606" xr:uid="{00000000-0005-0000-0000-0000413A0000}"/>
    <cellStyle name="40% - Accent4 6 2 7" xfId="24378" xr:uid="{00000000-0005-0000-0000-0000423A0000}"/>
    <cellStyle name="40% - Accent4 6 2 8" xfId="24842" xr:uid="{00000000-0005-0000-0000-0000433A0000}"/>
    <cellStyle name="40% - Accent4 6 2 9" xfId="25209" xr:uid="{00000000-0005-0000-0000-0000443A0000}"/>
    <cellStyle name="40% - Accent4 6 3" xfId="11297" xr:uid="{00000000-0005-0000-0000-0000453A0000}"/>
    <cellStyle name="40% - Accent4 6 3 2" xfId="22585" xr:uid="{00000000-0005-0000-0000-0000463A0000}"/>
    <cellStyle name="40% - Accent4 6 4" xfId="9303" xr:uid="{00000000-0005-0000-0000-0000473A0000}"/>
    <cellStyle name="40% - Accent4 6 4 2" xfId="20591" xr:uid="{00000000-0005-0000-0000-0000483A0000}"/>
    <cellStyle name="40% - Accent4 6 5" xfId="7309" xr:uid="{00000000-0005-0000-0000-0000493A0000}"/>
    <cellStyle name="40% - Accent4 6 5 2" xfId="18597" xr:uid="{00000000-0005-0000-0000-00004A3A0000}"/>
    <cellStyle name="40% - Accent4 6 6" xfId="5315" xr:uid="{00000000-0005-0000-0000-00004B3A0000}"/>
    <cellStyle name="40% - Accent4 6 6 2" xfId="16603" xr:uid="{00000000-0005-0000-0000-00004C3A0000}"/>
    <cellStyle name="40% - Accent4 6 7" xfId="14609" xr:uid="{00000000-0005-0000-0000-00004D3A0000}"/>
    <cellStyle name="40% - Accent4 6 8" xfId="13295" xr:uid="{00000000-0005-0000-0000-00004E3A0000}"/>
    <cellStyle name="40% - Accent4 6 9" xfId="23990" xr:uid="{00000000-0005-0000-0000-00004F3A0000}"/>
    <cellStyle name="40% - Accent4 60" xfId="1360" xr:uid="{00000000-0005-0000-0000-0000503A0000}"/>
    <cellStyle name="40% - Accent4 60 2" xfId="4316" xr:uid="{00000000-0005-0000-0000-0000513A0000}"/>
    <cellStyle name="40% - Accent4 60 2 2" xfId="12295" xr:uid="{00000000-0005-0000-0000-0000523A0000}"/>
    <cellStyle name="40% - Accent4 60 2 2 2" xfId="23583" xr:uid="{00000000-0005-0000-0000-0000533A0000}"/>
    <cellStyle name="40% - Accent4 60 2 3" xfId="10301" xr:uid="{00000000-0005-0000-0000-0000543A0000}"/>
    <cellStyle name="40% - Accent4 60 2 3 2" xfId="21589" xr:uid="{00000000-0005-0000-0000-0000553A0000}"/>
    <cellStyle name="40% - Accent4 60 2 4" xfId="8307" xr:uid="{00000000-0005-0000-0000-0000563A0000}"/>
    <cellStyle name="40% - Accent4 60 2 4 2" xfId="19595" xr:uid="{00000000-0005-0000-0000-0000573A0000}"/>
    <cellStyle name="40% - Accent4 60 2 5" xfId="6313" xr:uid="{00000000-0005-0000-0000-0000583A0000}"/>
    <cellStyle name="40% - Accent4 60 2 5 2" xfId="17601" xr:uid="{00000000-0005-0000-0000-0000593A0000}"/>
    <cellStyle name="40% - Accent4 60 2 6" xfId="15607" xr:uid="{00000000-0005-0000-0000-00005A3A0000}"/>
    <cellStyle name="40% - Accent4 60 3" xfId="11298" xr:uid="{00000000-0005-0000-0000-00005B3A0000}"/>
    <cellStyle name="40% - Accent4 60 3 2" xfId="22586" xr:uid="{00000000-0005-0000-0000-00005C3A0000}"/>
    <cellStyle name="40% - Accent4 60 4" xfId="9304" xr:uid="{00000000-0005-0000-0000-00005D3A0000}"/>
    <cellStyle name="40% - Accent4 60 4 2" xfId="20592" xr:uid="{00000000-0005-0000-0000-00005E3A0000}"/>
    <cellStyle name="40% - Accent4 60 5" xfId="7310" xr:uid="{00000000-0005-0000-0000-00005F3A0000}"/>
    <cellStyle name="40% - Accent4 60 5 2" xfId="18598" xr:uid="{00000000-0005-0000-0000-0000603A0000}"/>
    <cellStyle name="40% - Accent4 60 6" xfId="5316" xr:uid="{00000000-0005-0000-0000-0000613A0000}"/>
    <cellStyle name="40% - Accent4 60 6 2" xfId="16604" xr:uid="{00000000-0005-0000-0000-0000623A0000}"/>
    <cellStyle name="40% - Accent4 60 7" xfId="14610" xr:uid="{00000000-0005-0000-0000-0000633A0000}"/>
    <cellStyle name="40% - Accent4 60 8" xfId="13296" xr:uid="{00000000-0005-0000-0000-0000643A0000}"/>
    <cellStyle name="40% - Accent4 61" xfId="1361" xr:uid="{00000000-0005-0000-0000-0000653A0000}"/>
    <cellStyle name="40% - Accent4 61 2" xfId="4317" xr:uid="{00000000-0005-0000-0000-0000663A0000}"/>
    <cellStyle name="40% - Accent4 61 2 2" xfId="12296" xr:uid="{00000000-0005-0000-0000-0000673A0000}"/>
    <cellStyle name="40% - Accent4 61 2 2 2" xfId="23584" xr:uid="{00000000-0005-0000-0000-0000683A0000}"/>
    <cellStyle name="40% - Accent4 61 2 3" xfId="10302" xr:uid="{00000000-0005-0000-0000-0000693A0000}"/>
    <cellStyle name="40% - Accent4 61 2 3 2" xfId="21590" xr:uid="{00000000-0005-0000-0000-00006A3A0000}"/>
    <cellStyle name="40% - Accent4 61 2 4" xfId="8308" xr:uid="{00000000-0005-0000-0000-00006B3A0000}"/>
    <cellStyle name="40% - Accent4 61 2 4 2" xfId="19596" xr:uid="{00000000-0005-0000-0000-00006C3A0000}"/>
    <cellStyle name="40% - Accent4 61 2 5" xfId="6314" xr:uid="{00000000-0005-0000-0000-00006D3A0000}"/>
    <cellStyle name="40% - Accent4 61 2 5 2" xfId="17602" xr:uid="{00000000-0005-0000-0000-00006E3A0000}"/>
    <cellStyle name="40% - Accent4 61 2 6" xfId="15608" xr:uid="{00000000-0005-0000-0000-00006F3A0000}"/>
    <cellStyle name="40% - Accent4 61 3" xfId="11299" xr:uid="{00000000-0005-0000-0000-0000703A0000}"/>
    <cellStyle name="40% - Accent4 61 3 2" xfId="22587" xr:uid="{00000000-0005-0000-0000-0000713A0000}"/>
    <cellStyle name="40% - Accent4 61 4" xfId="9305" xr:uid="{00000000-0005-0000-0000-0000723A0000}"/>
    <cellStyle name="40% - Accent4 61 4 2" xfId="20593" xr:uid="{00000000-0005-0000-0000-0000733A0000}"/>
    <cellStyle name="40% - Accent4 61 5" xfId="7311" xr:uid="{00000000-0005-0000-0000-0000743A0000}"/>
    <cellStyle name="40% - Accent4 61 5 2" xfId="18599" xr:uid="{00000000-0005-0000-0000-0000753A0000}"/>
    <cellStyle name="40% - Accent4 61 6" xfId="5317" xr:uid="{00000000-0005-0000-0000-0000763A0000}"/>
    <cellStyle name="40% - Accent4 61 6 2" xfId="16605" xr:uid="{00000000-0005-0000-0000-0000773A0000}"/>
    <cellStyle name="40% - Accent4 61 7" xfId="14611" xr:uid="{00000000-0005-0000-0000-0000783A0000}"/>
    <cellStyle name="40% - Accent4 61 8" xfId="13297" xr:uid="{00000000-0005-0000-0000-0000793A0000}"/>
    <cellStyle name="40% - Accent4 62" xfId="1362" xr:uid="{00000000-0005-0000-0000-00007A3A0000}"/>
    <cellStyle name="40% - Accent4 62 2" xfId="4318" xr:uid="{00000000-0005-0000-0000-00007B3A0000}"/>
    <cellStyle name="40% - Accent4 62 2 2" xfId="12297" xr:uid="{00000000-0005-0000-0000-00007C3A0000}"/>
    <cellStyle name="40% - Accent4 62 2 2 2" xfId="23585" xr:uid="{00000000-0005-0000-0000-00007D3A0000}"/>
    <cellStyle name="40% - Accent4 62 2 3" xfId="10303" xr:uid="{00000000-0005-0000-0000-00007E3A0000}"/>
    <cellStyle name="40% - Accent4 62 2 3 2" xfId="21591" xr:uid="{00000000-0005-0000-0000-00007F3A0000}"/>
    <cellStyle name="40% - Accent4 62 2 4" xfId="8309" xr:uid="{00000000-0005-0000-0000-0000803A0000}"/>
    <cellStyle name="40% - Accent4 62 2 4 2" xfId="19597" xr:uid="{00000000-0005-0000-0000-0000813A0000}"/>
    <cellStyle name="40% - Accent4 62 2 5" xfId="6315" xr:uid="{00000000-0005-0000-0000-0000823A0000}"/>
    <cellStyle name="40% - Accent4 62 2 5 2" xfId="17603" xr:uid="{00000000-0005-0000-0000-0000833A0000}"/>
    <cellStyle name="40% - Accent4 62 2 6" xfId="15609" xr:uid="{00000000-0005-0000-0000-0000843A0000}"/>
    <cellStyle name="40% - Accent4 62 3" xfId="11300" xr:uid="{00000000-0005-0000-0000-0000853A0000}"/>
    <cellStyle name="40% - Accent4 62 3 2" xfId="22588" xr:uid="{00000000-0005-0000-0000-0000863A0000}"/>
    <cellStyle name="40% - Accent4 62 4" xfId="9306" xr:uid="{00000000-0005-0000-0000-0000873A0000}"/>
    <cellStyle name="40% - Accent4 62 4 2" xfId="20594" xr:uid="{00000000-0005-0000-0000-0000883A0000}"/>
    <cellStyle name="40% - Accent4 62 5" xfId="7312" xr:uid="{00000000-0005-0000-0000-0000893A0000}"/>
    <cellStyle name="40% - Accent4 62 5 2" xfId="18600" xr:uid="{00000000-0005-0000-0000-00008A3A0000}"/>
    <cellStyle name="40% - Accent4 62 6" xfId="5318" xr:uid="{00000000-0005-0000-0000-00008B3A0000}"/>
    <cellStyle name="40% - Accent4 62 6 2" xfId="16606" xr:uid="{00000000-0005-0000-0000-00008C3A0000}"/>
    <cellStyle name="40% - Accent4 62 7" xfId="14612" xr:uid="{00000000-0005-0000-0000-00008D3A0000}"/>
    <cellStyle name="40% - Accent4 62 8" xfId="13298" xr:uid="{00000000-0005-0000-0000-00008E3A0000}"/>
    <cellStyle name="40% - Accent4 63" xfId="1363" xr:uid="{00000000-0005-0000-0000-00008F3A0000}"/>
    <cellStyle name="40% - Accent4 63 2" xfId="4319" xr:uid="{00000000-0005-0000-0000-0000903A0000}"/>
    <cellStyle name="40% - Accent4 63 2 2" xfId="12298" xr:uid="{00000000-0005-0000-0000-0000913A0000}"/>
    <cellStyle name="40% - Accent4 63 2 2 2" xfId="23586" xr:uid="{00000000-0005-0000-0000-0000923A0000}"/>
    <cellStyle name="40% - Accent4 63 2 3" xfId="10304" xr:uid="{00000000-0005-0000-0000-0000933A0000}"/>
    <cellStyle name="40% - Accent4 63 2 3 2" xfId="21592" xr:uid="{00000000-0005-0000-0000-0000943A0000}"/>
    <cellStyle name="40% - Accent4 63 2 4" xfId="8310" xr:uid="{00000000-0005-0000-0000-0000953A0000}"/>
    <cellStyle name="40% - Accent4 63 2 4 2" xfId="19598" xr:uid="{00000000-0005-0000-0000-0000963A0000}"/>
    <cellStyle name="40% - Accent4 63 2 5" xfId="6316" xr:uid="{00000000-0005-0000-0000-0000973A0000}"/>
    <cellStyle name="40% - Accent4 63 2 5 2" xfId="17604" xr:uid="{00000000-0005-0000-0000-0000983A0000}"/>
    <cellStyle name="40% - Accent4 63 2 6" xfId="15610" xr:uid="{00000000-0005-0000-0000-0000993A0000}"/>
    <cellStyle name="40% - Accent4 63 3" xfId="11301" xr:uid="{00000000-0005-0000-0000-00009A3A0000}"/>
    <cellStyle name="40% - Accent4 63 3 2" xfId="22589" xr:uid="{00000000-0005-0000-0000-00009B3A0000}"/>
    <cellStyle name="40% - Accent4 63 4" xfId="9307" xr:uid="{00000000-0005-0000-0000-00009C3A0000}"/>
    <cellStyle name="40% - Accent4 63 4 2" xfId="20595" xr:uid="{00000000-0005-0000-0000-00009D3A0000}"/>
    <cellStyle name="40% - Accent4 63 5" xfId="7313" xr:uid="{00000000-0005-0000-0000-00009E3A0000}"/>
    <cellStyle name="40% - Accent4 63 5 2" xfId="18601" xr:uid="{00000000-0005-0000-0000-00009F3A0000}"/>
    <cellStyle name="40% - Accent4 63 6" xfId="5319" xr:uid="{00000000-0005-0000-0000-0000A03A0000}"/>
    <cellStyle name="40% - Accent4 63 6 2" xfId="16607" xr:uid="{00000000-0005-0000-0000-0000A13A0000}"/>
    <cellStyle name="40% - Accent4 63 7" xfId="14613" xr:uid="{00000000-0005-0000-0000-0000A23A0000}"/>
    <cellStyle name="40% - Accent4 63 8" xfId="13299" xr:uid="{00000000-0005-0000-0000-0000A33A0000}"/>
    <cellStyle name="40% - Accent4 64" xfId="1364" xr:uid="{00000000-0005-0000-0000-0000A43A0000}"/>
    <cellStyle name="40% - Accent4 64 2" xfId="4320" xr:uid="{00000000-0005-0000-0000-0000A53A0000}"/>
    <cellStyle name="40% - Accent4 64 2 2" xfId="12299" xr:uid="{00000000-0005-0000-0000-0000A63A0000}"/>
    <cellStyle name="40% - Accent4 64 2 2 2" xfId="23587" xr:uid="{00000000-0005-0000-0000-0000A73A0000}"/>
    <cellStyle name="40% - Accent4 64 2 3" xfId="10305" xr:uid="{00000000-0005-0000-0000-0000A83A0000}"/>
    <cellStyle name="40% - Accent4 64 2 3 2" xfId="21593" xr:uid="{00000000-0005-0000-0000-0000A93A0000}"/>
    <cellStyle name="40% - Accent4 64 2 4" xfId="8311" xr:uid="{00000000-0005-0000-0000-0000AA3A0000}"/>
    <cellStyle name="40% - Accent4 64 2 4 2" xfId="19599" xr:uid="{00000000-0005-0000-0000-0000AB3A0000}"/>
    <cellStyle name="40% - Accent4 64 2 5" xfId="6317" xr:uid="{00000000-0005-0000-0000-0000AC3A0000}"/>
    <cellStyle name="40% - Accent4 64 2 5 2" xfId="17605" xr:uid="{00000000-0005-0000-0000-0000AD3A0000}"/>
    <cellStyle name="40% - Accent4 64 2 6" xfId="15611" xr:uid="{00000000-0005-0000-0000-0000AE3A0000}"/>
    <cellStyle name="40% - Accent4 64 3" xfId="11302" xr:uid="{00000000-0005-0000-0000-0000AF3A0000}"/>
    <cellStyle name="40% - Accent4 64 3 2" xfId="22590" xr:uid="{00000000-0005-0000-0000-0000B03A0000}"/>
    <cellStyle name="40% - Accent4 64 4" xfId="9308" xr:uid="{00000000-0005-0000-0000-0000B13A0000}"/>
    <cellStyle name="40% - Accent4 64 4 2" xfId="20596" xr:uid="{00000000-0005-0000-0000-0000B23A0000}"/>
    <cellStyle name="40% - Accent4 64 5" xfId="7314" xr:uid="{00000000-0005-0000-0000-0000B33A0000}"/>
    <cellStyle name="40% - Accent4 64 5 2" xfId="18602" xr:uid="{00000000-0005-0000-0000-0000B43A0000}"/>
    <cellStyle name="40% - Accent4 64 6" xfId="5320" xr:uid="{00000000-0005-0000-0000-0000B53A0000}"/>
    <cellStyle name="40% - Accent4 64 6 2" xfId="16608" xr:uid="{00000000-0005-0000-0000-0000B63A0000}"/>
    <cellStyle name="40% - Accent4 64 7" xfId="14614" xr:uid="{00000000-0005-0000-0000-0000B73A0000}"/>
    <cellStyle name="40% - Accent4 64 8" xfId="13300" xr:uid="{00000000-0005-0000-0000-0000B83A0000}"/>
    <cellStyle name="40% - Accent4 65" xfId="1365" xr:uid="{00000000-0005-0000-0000-0000B93A0000}"/>
    <cellStyle name="40% - Accent4 65 2" xfId="4321" xr:uid="{00000000-0005-0000-0000-0000BA3A0000}"/>
    <cellStyle name="40% - Accent4 65 2 2" xfId="12300" xr:uid="{00000000-0005-0000-0000-0000BB3A0000}"/>
    <cellStyle name="40% - Accent4 65 2 2 2" xfId="23588" xr:uid="{00000000-0005-0000-0000-0000BC3A0000}"/>
    <cellStyle name="40% - Accent4 65 2 3" xfId="10306" xr:uid="{00000000-0005-0000-0000-0000BD3A0000}"/>
    <cellStyle name="40% - Accent4 65 2 3 2" xfId="21594" xr:uid="{00000000-0005-0000-0000-0000BE3A0000}"/>
    <cellStyle name="40% - Accent4 65 2 4" xfId="8312" xr:uid="{00000000-0005-0000-0000-0000BF3A0000}"/>
    <cellStyle name="40% - Accent4 65 2 4 2" xfId="19600" xr:uid="{00000000-0005-0000-0000-0000C03A0000}"/>
    <cellStyle name="40% - Accent4 65 2 5" xfId="6318" xr:uid="{00000000-0005-0000-0000-0000C13A0000}"/>
    <cellStyle name="40% - Accent4 65 2 5 2" xfId="17606" xr:uid="{00000000-0005-0000-0000-0000C23A0000}"/>
    <cellStyle name="40% - Accent4 65 2 6" xfId="15612" xr:uid="{00000000-0005-0000-0000-0000C33A0000}"/>
    <cellStyle name="40% - Accent4 65 3" xfId="11303" xr:uid="{00000000-0005-0000-0000-0000C43A0000}"/>
    <cellStyle name="40% - Accent4 65 3 2" xfId="22591" xr:uid="{00000000-0005-0000-0000-0000C53A0000}"/>
    <cellStyle name="40% - Accent4 65 4" xfId="9309" xr:uid="{00000000-0005-0000-0000-0000C63A0000}"/>
    <cellStyle name="40% - Accent4 65 4 2" xfId="20597" xr:uid="{00000000-0005-0000-0000-0000C73A0000}"/>
    <cellStyle name="40% - Accent4 65 5" xfId="7315" xr:uid="{00000000-0005-0000-0000-0000C83A0000}"/>
    <cellStyle name="40% - Accent4 65 5 2" xfId="18603" xr:uid="{00000000-0005-0000-0000-0000C93A0000}"/>
    <cellStyle name="40% - Accent4 65 6" xfId="5321" xr:uid="{00000000-0005-0000-0000-0000CA3A0000}"/>
    <cellStyle name="40% - Accent4 65 6 2" xfId="16609" xr:uid="{00000000-0005-0000-0000-0000CB3A0000}"/>
    <cellStyle name="40% - Accent4 65 7" xfId="14615" xr:uid="{00000000-0005-0000-0000-0000CC3A0000}"/>
    <cellStyle name="40% - Accent4 65 8" xfId="13301" xr:uid="{00000000-0005-0000-0000-0000CD3A0000}"/>
    <cellStyle name="40% - Accent4 66" xfId="1366" xr:uid="{00000000-0005-0000-0000-0000CE3A0000}"/>
    <cellStyle name="40% - Accent4 66 2" xfId="4322" xr:uid="{00000000-0005-0000-0000-0000CF3A0000}"/>
    <cellStyle name="40% - Accent4 66 2 2" xfId="12301" xr:uid="{00000000-0005-0000-0000-0000D03A0000}"/>
    <cellStyle name="40% - Accent4 66 2 2 2" xfId="23589" xr:uid="{00000000-0005-0000-0000-0000D13A0000}"/>
    <cellStyle name="40% - Accent4 66 2 3" xfId="10307" xr:uid="{00000000-0005-0000-0000-0000D23A0000}"/>
    <cellStyle name="40% - Accent4 66 2 3 2" xfId="21595" xr:uid="{00000000-0005-0000-0000-0000D33A0000}"/>
    <cellStyle name="40% - Accent4 66 2 4" xfId="8313" xr:uid="{00000000-0005-0000-0000-0000D43A0000}"/>
    <cellStyle name="40% - Accent4 66 2 4 2" xfId="19601" xr:uid="{00000000-0005-0000-0000-0000D53A0000}"/>
    <cellStyle name="40% - Accent4 66 2 5" xfId="6319" xr:uid="{00000000-0005-0000-0000-0000D63A0000}"/>
    <cellStyle name="40% - Accent4 66 2 5 2" xfId="17607" xr:uid="{00000000-0005-0000-0000-0000D73A0000}"/>
    <cellStyle name="40% - Accent4 66 2 6" xfId="15613" xr:uid="{00000000-0005-0000-0000-0000D83A0000}"/>
    <cellStyle name="40% - Accent4 66 3" xfId="11304" xr:uid="{00000000-0005-0000-0000-0000D93A0000}"/>
    <cellStyle name="40% - Accent4 66 3 2" xfId="22592" xr:uid="{00000000-0005-0000-0000-0000DA3A0000}"/>
    <cellStyle name="40% - Accent4 66 4" xfId="9310" xr:uid="{00000000-0005-0000-0000-0000DB3A0000}"/>
    <cellStyle name="40% - Accent4 66 4 2" xfId="20598" xr:uid="{00000000-0005-0000-0000-0000DC3A0000}"/>
    <cellStyle name="40% - Accent4 66 5" xfId="7316" xr:uid="{00000000-0005-0000-0000-0000DD3A0000}"/>
    <cellStyle name="40% - Accent4 66 5 2" xfId="18604" xr:uid="{00000000-0005-0000-0000-0000DE3A0000}"/>
    <cellStyle name="40% - Accent4 66 6" xfId="5322" xr:uid="{00000000-0005-0000-0000-0000DF3A0000}"/>
    <cellStyle name="40% - Accent4 66 6 2" xfId="16610" xr:uid="{00000000-0005-0000-0000-0000E03A0000}"/>
    <cellStyle name="40% - Accent4 66 7" xfId="14616" xr:uid="{00000000-0005-0000-0000-0000E13A0000}"/>
    <cellStyle name="40% - Accent4 66 8" xfId="13302" xr:uid="{00000000-0005-0000-0000-0000E23A0000}"/>
    <cellStyle name="40% - Accent4 67" xfId="1367" xr:uid="{00000000-0005-0000-0000-0000E33A0000}"/>
    <cellStyle name="40% - Accent4 67 2" xfId="4323" xr:uid="{00000000-0005-0000-0000-0000E43A0000}"/>
    <cellStyle name="40% - Accent4 67 2 2" xfId="12302" xr:uid="{00000000-0005-0000-0000-0000E53A0000}"/>
    <cellStyle name="40% - Accent4 67 2 2 2" xfId="23590" xr:uid="{00000000-0005-0000-0000-0000E63A0000}"/>
    <cellStyle name="40% - Accent4 67 2 3" xfId="10308" xr:uid="{00000000-0005-0000-0000-0000E73A0000}"/>
    <cellStyle name="40% - Accent4 67 2 3 2" xfId="21596" xr:uid="{00000000-0005-0000-0000-0000E83A0000}"/>
    <cellStyle name="40% - Accent4 67 2 4" xfId="8314" xr:uid="{00000000-0005-0000-0000-0000E93A0000}"/>
    <cellStyle name="40% - Accent4 67 2 4 2" xfId="19602" xr:uid="{00000000-0005-0000-0000-0000EA3A0000}"/>
    <cellStyle name="40% - Accent4 67 2 5" xfId="6320" xr:uid="{00000000-0005-0000-0000-0000EB3A0000}"/>
    <cellStyle name="40% - Accent4 67 2 5 2" xfId="17608" xr:uid="{00000000-0005-0000-0000-0000EC3A0000}"/>
    <cellStyle name="40% - Accent4 67 2 6" xfId="15614" xr:uid="{00000000-0005-0000-0000-0000ED3A0000}"/>
    <cellStyle name="40% - Accent4 67 3" xfId="11305" xr:uid="{00000000-0005-0000-0000-0000EE3A0000}"/>
    <cellStyle name="40% - Accent4 67 3 2" xfId="22593" xr:uid="{00000000-0005-0000-0000-0000EF3A0000}"/>
    <cellStyle name="40% - Accent4 67 4" xfId="9311" xr:uid="{00000000-0005-0000-0000-0000F03A0000}"/>
    <cellStyle name="40% - Accent4 67 4 2" xfId="20599" xr:uid="{00000000-0005-0000-0000-0000F13A0000}"/>
    <cellStyle name="40% - Accent4 67 5" xfId="7317" xr:uid="{00000000-0005-0000-0000-0000F23A0000}"/>
    <cellStyle name="40% - Accent4 67 5 2" xfId="18605" xr:uid="{00000000-0005-0000-0000-0000F33A0000}"/>
    <cellStyle name="40% - Accent4 67 6" xfId="5323" xr:uid="{00000000-0005-0000-0000-0000F43A0000}"/>
    <cellStyle name="40% - Accent4 67 6 2" xfId="16611" xr:uid="{00000000-0005-0000-0000-0000F53A0000}"/>
    <cellStyle name="40% - Accent4 67 7" xfId="14617" xr:uid="{00000000-0005-0000-0000-0000F63A0000}"/>
    <cellStyle name="40% - Accent4 67 8" xfId="13303" xr:uid="{00000000-0005-0000-0000-0000F73A0000}"/>
    <cellStyle name="40% - Accent4 68" xfId="1368" xr:uid="{00000000-0005-0000-0000-0000F83A0000}"/>
    <cellStyle name="40% - Accent4 68 2" xfId="4324" xr:uid="{00000000-0005-0000-0000-0000F93A0000}"/>
    <cellStyle name="40% - Accent4 68 2 2" xfId="12303" xr:uid="{00000000-0005-0000-0000-0000FA3A0000}"/>
    <cellStyle name="40% - Accent4 68 2 2 2" xfId="23591" xr:uid="{00000000-0005-0000-0000-0000FB3A0000}"/>
    <cellStyle name="40% - Accent4 68 2 3" xfId="10309" xr:uid="{00000000-0005-0000-0000-0000FC3A0000}"/>
    <cellStyle name="40% - Accent4 68 2 3 2" xfId="21597" xr:uid="{00000000-0005-0000-0000-0000FD3A0000}"/>
    <cellStyle name="40% - Accent4 68 2 4" xfId="8315" xr:uid="{00000000-0005-0000-0000-0000FE3A0000}"/>
    <cellStyle name="40% - Accent4 68 2 4 2" xfId="19603" xr:uid="{00000000-0005-0000-0000-0000FF3A0000}"/>
    <cellStyle name="40% - Accent4 68 2 5" xfId="6321" xr:uid="{00000000-0005-0000-0000-0000003B0000}"/>
    <cellStyle name="40% - Accent4 68 2 5 2" xfId="17609" xr:uid="{00000000-0005-0000-0000-0000013B0000}"/>
    <cellStyle name="40% - Accent4 68 2 6" xfId="15615" xr:uid="{00000000-0005-0000-0000-0000023B0000}"/>
    <cellStyle name="40% - Accent4 68 3" xfId="11306" xr:uid="{00000000-0005-0000-0000-0000033B0000}"/>
    <cellStyle name="40% - Accent4 68 3 2" xfId="22594" xr:uid="{00000000-0005-0000-0000-0000043B0000}"/>
    <cellStyle name="40% - Accent4 68 4" xfId="9312" xr:uid="{00000000-0005-0000-0000-0000053B0000}"/>
    <cellStyle name="40% - Accent4 68 4 2" xfId="20600" xr:uid="{00000000-0005-0000-0000-0000063B0000}"/>
    <cellStyle name="40% - Accent4 68 5" xfId="7318" xr:uid="{00000000-0005-0000-0000-0000073B0000}"/>
    <cellStyle name="40% - Accent4 68 5 2" xfId="18606" xr:uid="{00000000-0005-0000-0000-0000083B0000}"/>
    <cellStyle name="40% - Accent4 68 6" xfId="5324" xr:uid="{00000000-0005-0000-0000-0000093B0000}"/>
    <cellStyle name="40% - Accent4 68 6 2" xfId="16612" xr:uid="{00000000-0005-0000-0000-00000A3B0000}"/>
    <cellStyle name="40% - Accent4 68 7" xfId="14618" xr:uid="{00000000-0005-0000-0000-00000B3B0000}"/>
    <cellStyle name="40% - Accent4 68 8" xfId="13304" xr:uid="{00000000-0005-0000-0000-00000C3B0000}"/>
    <cellStyle name="40% - Accent4 69" xfId="1369" xr:uid="{00000000-0005-0000-0000-00000D3B0000}"/>
    <cellStyle name="40% - Accent4 69 2" xfId="4325" xr:uid="{00000000-0005-0000-0000-00000E3B0000}"/>
    <cellStyle name="40% - Accent4 69 2 2" xfId="12304" xr:uid="{00000000-0005-0000-0000-00000F3B0000}"/>
    <cellStyle name="40% - Accent4 69 2 2 2" xfId="23592" xr:uid="{00000000-0005-0000-0000-0000103B0000}"/>
    <cellStyle name="40% - Accent4 69 2 3" xfId="10310" xr:uid="{00000000-0005-0000-0000-0000113B0000}"/>
    <cellStyle name="40% - Accent4 69 2 3 2" xfId="21598" xr:uid="{00000000-0005-0000-0000-0000123B0000}"/>
    <cellStyle name="40% - Accent4 69 2 4" xfId="8316" xr:uid="{00000000-0005-0000-0000-0000133B0000}"/>
    <cellStyle name="40% - Accent4 69 2 4 2" xfId="19604" xr:uid="{00000000-0005-0000-0000-0000143B0000}"/>
    <cellStyle name="40% - Accent4 69 2 5" xfId="6322" xr:uid="{00000000-0005-0000-0000-0000153B0000}"/>
    <cellStyle name="40% - Accent4 69 2 5 2" xfId="17610" xr:uid="{00000000-0005-0000-0000-0000163B0000}"/>
    <cellStyle name="40% - Accent4 69 2 6" xfId="15616" xr:uid="{00000000-0005-0000-0000-0000173B0000}"/>
    <cellStyle name="40% - Accent4 69 3" xfId="11307" xr:uid="{00000000-0005-0000-0000-0000183B0000}"/>
    <cellStyle name="40% - Accent4 69 3 2" xfId="22595" xr:uid="{00000000-0005-0000-0000-0000193B0000}"/>
    <cellStyle name="40% - Accent4 69 4" xfId="9313" xr:uid="{00000000-0005-0000-0000-00001A3B0000}"/>
    <cellStyle name="40% - Accent4 69 4 2" xfId="20601" xr:uid="{00000000-0005-0000-0000-00001B3B0000}"/>
    <cellStyle name="40% - Accent4 69 5" xfId="7319" xr:uid="{00000000-0005-0000-0000-00001C3B0000}"/>
    <cellStyle name="40% - Accent4 69 5 2" xfId="18607" xr:uid="{00000000-0005-0000-0000-00001D3B0000}"/>
    <cellStyle name="40% - Accent4 69 6" xfId="5325" xr:uid="{00000000-0005-0000-0000-00001E3B0000}"/>
    <cellStyle name="40% - Accent4 69 6 2" xfId="16613" xr:uid="{00000000-0005-0000-0000-00001F3B0000}"/>
    <cellStyle name="40% - Accent4 69 7" xfId="14619" xr:uid="{00000000-0005-0000-0000-0000203B0000}"/>
    <cellStyle name="40% - Accent4 69 8" xfId="13305" xr:uid="{00000000-0005-0000-0000-0000213B0000}"/>
    <cellStyle name="40% - Accent4 7" xfId="1370" xr:uid="{00000000-0005-0000-0000-0000223B0000}"/>
    <cellStyle name="40% - Accent4 7 10" xfId="24618" xr:uid="{00000000-0005-0000-0000-0000233B0000}"/>
    <cellStyle name="40% - Accent4 7 11" xfId="25008" xr:uid="{00000000-0005-0000-0000-0000243B0000}"/>
    <cellStyle name="40% - Accent4 7 2" xfId="4326" xr:uid="{00000000-0005-0000-0000-0000253B0000}"/>
    <cellStyle name="40% - Accent4 7 2 2" xfId="12305" xr:uid="{00000000-0005-0000-0000-0000263B0000}"/>
    <cellStyle name="40% - Accent4 7 2 2 2" xfId="23593" xr:uid="{00000000-0005-0000-0000-0000273B0000}"/>
    <cellStyle name="40% - Accent4 7 2 3" xfId="10311" xr:uid="{00000000-0005-0000-0000-0000283B0000}"/>
    <cellStyle name="40% - Accent4 7 2 3 2" xfId="21599" xr:uid="{00000000-0005-0000-0000-0000293B0000}"/>
    <cellStyle name="40% - Accent4 7 2 4" xfId="8317" xr:uid="{00000000-0005-0000-0000-00002A3B0000}"/>
    <cellStyle name="40% - Accent4 7 2 4 2" xfId="19605" xr:uid="{00000000-0005-0000-0000-00002B3B0000}"/>
    <cellStyle name="40% - Accent4 7 2 5" xfId="6323" xr:uid="{00000000-0005-0000-0000-00002C3B0000}"/>
    <cellStyle name="40% - Accent4 7 2 5 2" xfId="17611" xr:uid="{00000000-0005-0000-0000-00002D3B0000}"/>
    <cellStyle name="40% - Accent4 7 2 6" xfId="15617" xr:uid="{00000000-0005-0000-0000-00002E3B0000}"/>
    <cellStyle name="40% - Accent4 7 2 7" xfId="24379" xr:uid="{00000000-0005-0000-0000-00002F3B0000}"/>
    <cellStyle name="40% - Accent4 7 2 8" xfId="24843" xr:uid="{00000000-0005-0000-0000-0000303B0000}"/>
    <cellStyle name="40% - Accent4 7 2 9" xfId="25210" xr:uid="{00000000-0005-0000-0000-0000313B0000}"/>
    <cellStyle name="40% - Accent4 7 3" xfId="11308" xr:uid="{00000000-0005-0000-0000-0000323B0000}"/>
    <cellStyle name="40% - Accent4 7 3 2" xfId="22596" xr:uid="{00000000-0005-0000-0000-0000333B0000}"/>
    <cellStyle name="40% - Accent4 7 4" xfId="9314" xr:uid="{00000000-0005-0000-0000-0000343B0000}"/>
    <cellStyle name="40% - Accent4 7 4 2" xfId="20602" xr:uid="{00000000-0005-0000-0000-0000353B0000}"/>
    <cellStyle name="40% - Accent4 7 5" xfId="7320" xr:uid="{00000000-0005-0000-0000-0000363B0000}"/>
    <cellStyle name="40% - Accent4 7 5 2" xfId="18608" xr:uid="{00000000-0005-0000-0000-0000373B0000}"/>
    <cellStyle name="40% - Accent4 7 6" xfId="5326" xr:uid="{00000000-0005-0000-0000-0000383B0000}"/>
    <cellStyle name="40% - Accent4 7 6 2" xfId="16614" xr:uid="{00000000-0005-0000-0000-0000393B0000}"/>
    <cellStyle name="40% - Accent4 7 7" xfId="14620" xr:uid="{00000000-0005-0000-0000-00003A3B0000}"/>
    <cellStyle name="40% - Accent4 7 8" xfId="13306" xr:uid="{00000000-0005-0000-0000-00003B3B0000}"/>
    <cellStyle name="40% - Accent4 7 9" xfId="23991" xr:uid="{00000000-0005-0000-0000-00003C3B0000}"/>
    <cellStyle name="40% - Accent4 70" xfId="1371" xr:uid="{00000000-0005-0000-0000-00003D3B0000}"/>
    <cellStyle name="40% - Accent4 70 2" xfId="4327" xr:uid="{00000000-0005-0000-0000-00003E3B0000}"/>
    <cellStyle name="40% - Accent4 70 2 2" xfId="12306" xr:uid="{00000000-0005-0000-0000-00003F3B0000}"/>
    <cellStyle name="40% - Accent4 70 2 2 2" xfId="23594" xr:uid="{00000000-0005-0000-0000-0000403B0000}"/>
    <cellStyle name="40% - Accent4 70 2 3" xfId="10312" xr:uid="{00000000-0005-0000-0000-0000413B0000}"/>
    <cellStyle name="40% - Accent4 70 2 3 2" xfId="21600" xr:uid="{00000000-0005-0000-0000-0000423B0000}"/>
    <cellStyle name="40% - Accent4 70 2 4" xfId="8318" xr:uid="{00000000-0005-0000-0000-0000433B0000}"/>
    <cellStyle name="40% - Accent4 70 2 4 2" xfId="19606" xr:uid="{00000000-0005-0000-0000-0000443B0000}"/>
    <cellStyle name="40% - Accent4 70 2 5" xfId="6324" xr:uid="{00000000-0005-0000-0000-0000453B0000}"/>
    <cellStyle name="40% - Accent4 70 2 5 2" xfId="17612" xr:uid="{00000000-0005-0000-0000-0000463B0000}"/>
    <cellStyle name="40% - Accent4 70 2 6" xfId="15618" xr:uid="{00000000-0005-0000-0000-0000473B0000}"/>
    <cellStyle name="40% - Accent4 70 3" xfId="11309" xr:uid="{00000000-0005-0000-0000-0000483B0000}"/>
    <cellStyle name="40% - Accent4 70 3 2" xfId="22597" xr:uid="{00000000-0005-0000-0000-0000493B0000}"/>
    <cellStyle name="40% - Accent4 70 4" xfId="9315" xr:uid="{00000000-0005-0000-0000-00004A3B0000}"/>
    <cellStyle name="40% - Accent4 70 4 2" xfId="20603" xr:uid="{00000000-0005-0000-0000-00004B3B0000}"/>
    <cellStyle name="40% - Accent4 70 5" xfId="7321" xr:uid="{00000000-0005-0000-0000-00004C3B0000}"/>
    <cellStyle name="40% - Accent4 70 5 2" xfId="18609" xr:uid="{00000000-0005-0000-0000-00004D3B0000}"/>
    <cellStyle name="40% - Accent4 70 6" xfId="5327" xr:uid="{00000000-0005-0000-0000-00004E3B0000}"/>
    <cellStyle name="40% - Accent4 70 6 2" xfId="16615" xr:uid="{00000000-0005-0000-0000-00004F3B0000}"/>
    <cellStyle name="40% - Accent4 70 7" xfId="14621" xr:uid="{00000000-0005-0000-0000-0000503B0000}"/>
    <cellStyle name="40% - Accent4 70 8" xfId="13307" xr:uid="{00000000-0005-0000-0000-0000513B0000}"/>
    <cellStyle name="40% - Accent4 71" xfId="1372" xr:uid="{00000000-0005-0000-0000-0000523B0000}"/>
    <cellStyle name="40% - Accent4 71 2" xfId="4328" xr:uid="{00000000-0005-0000-0000-0000533B0000}"/>
    <cellStyle name="40% - Accent4 71 2 2" xfId="12307" xr:uid="{00000000-0005-0000-0000-0000543B0000}"/>
    <cellStyle name="40% - Accent4 71 2 2 2" xfId="23595" xr:uid="{00000000-0005-0000-0000-0000553B0000}"/>
    <cellStyle name="40% - Accent4 71 2 3" xfId="10313" xr:uid="{00000000-0005-0000-0000-0000563B0000}"/>
    <cellStyle name="40% - Accent4 71 2 3 2" xfId="21601" xr:uid="{00000000-0005-0000-0000-0000573B0000}"/>
    <cellStyle name="40% - Accent4 71 2 4" xfId="8319" xr:uid="{00000000-0005-0000-0000-0000583B0000}"/>
    <cellStyle name="40% - Accent4 71 2 4 2" xfId="19607" xr:uid="{00000000-0005-0000-0000-0000593B0000}"/>
    <cellStyle name="40% - Accent4 71 2 5" xfId="6325" xr:uid="{00000000-0005-0000-0000-00005A3B0000}"/>
    <cellStyle name="40% - Accent4 71 2 5 2" xfId="17613" xr:uid="{00000000-0005-0000-0000-00005B3B0000}"/>
    <cellStyle name="40% - Accent4 71 2 6" xfId="15619" xr:uid="{00000000-0005-0000-0000-00005C3B0000}"/>
    <cellStyle name="40% - Accent4 71 3" xfId="11310" xr:uid="{00000000-0005-0000-0000-00005D3B0000}"/>
    <cellStyle name="40% - Accent4 71 3 2" xfId="22598" xr:uid="{00000000-0005-0000-0000-00005E3B0000}"/>
    <cellStyle name="40% - Accent4 71 4" xfId="9316" xr:uid="{00000000-0005-0000-0000-00005F3B0000}"/>
    <cellStyle name="40% - Accent4 71 4 2" xfId="20604" xr:uid="{00000000-0005-0000-0000-0000603B0000}"/>
    <cellStyle name="40% - Accent4 71 5" xfId="7322" xr:uid="{00000000-0005-0000-0000-0000613B0000}"/>
    <cellStyle name="40% - Accent4 71 5 2" xfId="18610" xr:uid="{00000000-0005-0000-0000-0000623B0000}"/>
    <cellStyle name="40% - Accent4 71 6" xfId="5328" xr:uid="{00000000-0005-0000-0000-0000633B0000}"/>
    <cellStyle name="40% - Accent4 71 6 2" xfId="16616" xr:uid="{00000000-0005-0000-0000-0000643B0000}"/>
    <cellStyle name="40% - Accent4 71 7" xfId="14622" xr:uid="{00000000-0005-0000-0000-0000653B0000}"/>
    <cellStyle name="40% - Accent4 71 8" xfId="13308" xr:uid="{00000000-0005-0000-0000-0000663B0000}"/>
    <cellStyle name="40% - Accent4 72" xfId="1373" xr:uid="{00000000-0005-0000-0000-0000673B0000}"/>
    <cellStyle name="40% - Accent4 72 2" xfId="4329" xr:uid="{00000000-0005-0000-0000-0000683B0000}"/>
    <cellStyle name="40% - Accent4 72 2 2" xfId="12308" xr:uid="{00000000-0005-0000-0000-0000693B0000}"/>
    <cellStyle name="40% - Accent4 72 2 2 2" xfId="23596" xr:uid="{00000000-0005-0000-0000-00006A3B0000}"/>
    <cellStyle name="40% - Accent4 72 2 3" xfId="10314" xr:uid="{00000000-0005-0000-0000-00006B3B0000}"/>
    <cellStyle name="40% - Accent4 72 2 3 2" xfId="21602" xr:uid="{00000000-0005-0000-0000-00006C3B0000}"/>
    <cellStyle name="40% - Accent4 72 2 4" xfId="8320" xr:uid="{00000000-0005-0000-0000-00006D3B0000}"/>
    <cellStyle name="40% - Accent4 72 2 4 2" xfId="19608" xr:uid="{00000000-0005-0000-0000-00006E3B0000}"/>
    <cellStyle name="40% - Accent4 72 2 5" xfId="6326" xr:uid="{00000000-0005-0000-0000-00006F3B0000}"/>
    <cellStyle name="40% - Accent4 72 2 5 2" xfId="17614" xr:uid="{00000000-0005-0000-0000-0000703B0000}"/>
    <cellStyle name="40% - Accent4 72 2 6" xfId="15620" xr:uid="{00000000-0005-0000-0000-0000713B0000}"/>
    <cellStyle name="40% - Accent4 72 3" xfId="11311" xr:uid="{00000000-0005-0000-0000-0000723B0000}"/>
    <cellStyle name="40% - Accent4 72 3 2" xfId="22599" xr:uid="{00000000-0005-0000-0000-0000733B0000}"/>
    <cellStyle name="40% - Accent4 72 4" xfId="9317" xr:uid="{00000000-0005-0000-0000-0000743B0000}"/>
    <cellStyle name="40% - Accent4 72 4 2" xfId="20605" xr:uid="{00000000-0005-0000-0000-0000753B0000}"/>
    <cellStyle name="40% - Accent4 72 5" xfId="7323" xr:uid="{00000000-0005-0000-0000-0000763B0000}"/>
    <cellStyle name="40% - Accent4 72 5 2" xfId="18611" xr:uid="{00000000-0005-0000-0000-0000773B0000}"/>
    <cellStyle name="40% - Accent4 72 6" xfId="5329" xr:uid="{00000000-0005-0000-0000-0000783B0000}"/>
    <cellStyle name="40% - Accent4 72 6 2" xfId="16617" xr:uid="{00000000-0005-0000-0000-0000793B0000}"/>
    <cellStyle name="40% - Accent4 72 7" xfId="14623" xr:uid="{00000000-0005-0000-0000-00007A3B0000}"/>
    <cellStyle name="40% - Accent4 72 8" xfId="13309" xr:uid="{00000000-0005-0000-0000-00007B3B0000}"/>
    <cellStyle name="40% - Accent4 8" xfId="1374" xr:uid="{00000000-0005-0000-0000-00007C3B0000}"/>
    <cellStyle name="40% - Accent4 8 2" xfId="4330" xr:uid="{00000000-0005-0000-0000-00007D3B0000}"/>
    <cellStyle name="40% - Accent4 8 2 2" xfId="12309" xr:uid="{00000000-0005-0000-0000-00007E3B0000}"/>
    <cellStyle name="40% - Accent4 8 2 2 2" xfId="23597" xr:uid="{00000000-0005-0000-0000-00007F3B0000}"/>
    <cellStyle name="40% - Accent4 8 2 3" xfId="10315" xr:uid="{00000000-0005-0000-0000-0000803B0000}"/>
    <cellStyle name="40% - Accent4 8 2 3 2" xfId="21603" xr:uid="{00000000-0005-0000-0000-0000813B0000}"/>
    <cellStyle name="40% - Accent4 8 2 4" xfId="8321" xr:uid="{00000000-0005-0000-0000-0000823B0000}"/>
    <cellStyle name="40% - Accent4 8 2 4 2" xfId="19609" xr:uid="{00000000-0005-0000-0000-0000833B0000}"/>
    <cellStyle name="40% - Accent4 8 2 5" xfId="6327" xr:uid="{00000000-0005-0000-0000-0000843B0000}"/>
    <cellStyle name="40% - Accent4 8 2 5 2" xfId="17615" xr:uid="{00000000-0005-0000-0000-0000853B0000}"/>
    <cellStyle name="40% - Accent4 8 2 6" xfId="15621" xr:uid="{00000000-0005-0000-0000-0000863B0000}"/>
    <cellStyle name="40% - Accent4 8 3" xfId="11312" xr:uid="{00000000-0005-0000-0000-0000873B0000}"/>
    <cellStyle name="40% - Accent4 8 3 2" xfId="22600" xr:uid="{00000000-0005-0000-0000-0000883B0000}"/>
    <cellStyle name="40% - Accent4 8 4" xfId="9318" xr:uid="{00000000-0005-0000-0000-0000893B0000}"/>
    <cellStyle name="40% - Accent4 8 4 2" xfId="20606" xr:uid="{00000000-0005-0000-0000-00008A3B0000}"/>
    <cellStyle name="40% - Accent4 8 5" xfId="7324" xr:uid="{00000000-0005-0000-0000-00008B3B0000}"/>
    <cellStyle name="40% - Accent4 8 5 2" xfId="18612" xr:uid="{00000000-0005-0000-0000-00008C3B0000}"/>
    <cellStyle name="40% - Accent4 8 6" xfId="5330" xr:uid="{00000000-0005-0000-0000-00008D3B0000}"/>
    <cellStyle name="40% - Accent4 8 6 2" xfId="16618" xr:uid="{00000000-0005-0000-0000-00008E3B0000}"/>
    <cellStyle name="40% - Accent4 8 7" xfId="14624" xr:uid="{00000000-0005-0000-0000-00008F3B0000}"/>
    <cellStyle name="40% - Accent4 8 8" xfId="13310" xr:uid="{00000000-0005-0000-0000-0000903B0000}"/>
    <cellStyle name="40% - Accent4 9" xfId="1375" xr:uid="{00000000-0005-0000-0000-0000913B0000}"/>
    <cellStyle name="40% - Accent4 9 2" xfId="4331" xr:uid="{00000000-0005-0000-0000-0000923B0000}"/>
    <cellStyle name="40% - Accent4 9 2 2" xfId="12310" xr:uid="{00000000-0005-0000-0000-0000933B0000}"/>
    <cellStyle name="40% - Accent4 9 2 2 2" xfId="23598" xr:uid="{00000000-0005-0000-0000-0000943B0000}"/>
    <cellStyle name="40% - Accent4 9 2 3" xfId="10316" xr:uid="{00000000-0005-0000-0000-0000953B0000}"/>
    <cellStyle name="40% - Accent4 9 2 3 2" xfId="21604" xr:uid="{00000000-0005-0000-0000-0000963B0000}"/>
    <cellStyle name="40% - Accent4 9 2 4" xfId="8322" xr:uid="{00000000-0005-0000-0000-0000973B0000}"/>
    <cellStyle name="40% - Accent4 9 2 4 2" xfId="19610" xr:uid="{00000000-0005-0000-0000-0000983B0000}"/>
    <cellStyle name="40% - Accent4 9 2 5" xfId="6328" xr:uid="{00000000-0005-0000-0000-0000993B0000}"/>
    <cellStyle name="40% - Accent4 9 2 5 2" xfId="17616" xr:uid="{00000000-0005-0000-0000-00009A3B0000}"/>
    <cellStyle name="40% - Accent4 9 2 6" xfId="15622" xr:uid="{00000000-0005-0000-0000-00009B3B0000}"/>
    <cellStyle name="40% - Accent4 9 3" xfId="11313" xr:uid="{00000000-0005-0000-0000-00009C3B0000}"/>
    <cellStyle name="40% - Accent4 9 3 2" xfId="22601" xr:uid="{00000000-0005-0000-0000-00009D3B0000}"/>
    <cellStyle name="40% - Accent4 9 4" xfId="9319" xr:uid="{00000000-0005-0000-0000-00009E3B0000}"/>
    <cellStyle name="40% - Accent4 9 4 2" xfId="20607" xr:uid="{00000000-0005-0000-0000-00009F3B0000}"/>
    <cellStyle name="40% - Accent4 9 5" xfId="7325" xr:uid="{00000000-0005-0000-0000-0000A03B0000}"/>
    <cellStyle name="40% - Accent4 9 5 2" xfId="18613" xr:uid="{00000000-0005-0000-0000-0000A13B0000}"/>
    <cellStyle name="40% - Accent4 9 6" xfId="5331" xr:uid="{00000000-0005-0000-0000-0000A23B0000}"/>
    <cellStyle name="40% - Accent4 9 6 2" xfId="16619" xr:uid="{00000000-0005-0000-0000-0000A33B0000}"/>
    <cellStyle name="40% - Accent4 9 7" xfId="14625" xr:uid="{00000000-0005-0000-0000-0000A43B0000}"/>
    <cellStyle name="40% - Accent4 9 8" xfId="13311" xr:uid="{00000000-0005-0000-0000-0000A53B0000}"/>
    <cellStyle name="40% - Accent5 10" xfId="1376" xr:uid="{00000000-0005-0000-0000-0000A63B0000}"/>
    <cellStyle name="40% - Accent5 10 2" xfId="4332" xr:uid="{00000000-0005-0000-0000-0000A73B0000}"/>
    <cellStyle name="40% - Accent5 10 2 2" xfId="12311" xr:uid="{00000000-0005-0000-0000-0000A83B0000}"/>
    <cellStyle name="40% - Accent5 10 2 2 2" xfId="23599" xr:uid="{00000000-0005-0000-0000-0000A93B0000}"/>
    <cellStyle name="40% - Accent5 10 2 3" xfId="10317" xr:uid="{00000000-0005-0000-0000-0000AA3B0000}"/>
    <cellStyle name="40% - Accent5 10 2 3 2" xfId="21605" xr:uid="{00000000-0005-0000-0000-0000AB3B0000}"/>
    <cellStyle name="40% - Accent5 10 2 4" xfId="8323" xr:uid="{00000000-0005-0000-0000-0000AC3B0000}"/>
    <cellStyle name="40% - Accent5 10 2 4 2" xfId="19611" xr:uid="{00000000-0005-0000-0000-0000AD3B0000}"/>
    <cellStyle name="40% - Accent5 10 2 5" xfId="6329" xr:uid="{00000000-0005-0000-0000-0000AE3B0000}"/>
    <cellStyle name="40% - Accent5 10 2 5 2" xfId="17617" xr:uid="{00000000-0005-0000-0000-0000AF3B0000}"/>
    <cellStyle name="40% - Accent5 10 2 6" xfId="15623" xr:uid="{00000000-0005-0000-0000-0000B03B0000}"/>
    <cellStyle name="40% - Accent5 10 3" xfId="11314" xr:uid="{00000000-0005-0000-0000-0000B13B0000}"/>
    <cellStyle name="40% - Accent5 10 3 2" xfId="22602" xr:uid="{00000000-0005-0000-0000-0000B23B0000}"/>
    <cellStyle name="40% - Accent5 10 4" xfId="9320" xr:uid="{00000000-0005-0000-0000-0000B33B0000}"/>
    <cellStyle name="40% - Accent5 10 4 2" xfId="20608" xr:uid="{00000000-0005-0000-0000-0000B43B0000}"/>
    <cellStyle name="40% - Accent5 10 5" xfId="7326" xr:uid="{00000000-0005-0000-0000-0000B53B0000}"/>
    <cellStyle name="40% - Accent5 10 5 2" xfId="18614" xr:uid="{00000000-0005-0000-0000-0000B63B0000}"/>
    <cellStyle name="40% - Accent5 10 6" xfId="5332" xr:uid="{00000000-0005-0000-0000-0000B73B0000}"/>
    <cellStyle name="40% - Accent5 10 6 2" xfId="16620" xr:uid="{00000000-0005-0000-0000-0000B83B0000}"/>
    <cellStyle name="40% - Accent5 10 7" xfId="14626" xr:uid="{00000000-0005-0000-0000-0000B93B0000}"/>
    <cellStyle name="40% - Accent5 10 8" xfId="13312" xr:uid="{00000000-0005-0000-0000-0000BA3B0000}"/>
    <cellStyle name="40% - Accent5 11" xfId="1377" xr:uid="{00000000-0005-0000-0000-0000BB3B0000}"/>
    <cellStyle name="40% - Accent5 11 2" xfId="4333" xr:uid="{00000000-0005-0000-0000-0000BC3B0000}"/>
    <cellStyle name="40% - Accent5 11 2 2" xfId="12312" xr:uid="{00000000-0005-0000-0000-0000BD3B0000}"/>
    <cellStyle name="40% - Accent5 11 2 2 2" xfId="23600" xr:uid="{00000000-0005-0000-0000-0000BE3B0000}"/>
    <cellStyle name="40% - Accent5 11 2 3" xfId="10318" xr:uid="{00000000-0005-0000-0000-0000BF3B0000}"/>
    <cellStyle name="40% - Accent5 11 2 3 2" xfId="21606" xr:uid="{00000000-0005-0000-0000-0000C03B0000}"/>
    <cellStyle name="40% - Accent5 11 2 4" xfId="8324" xr:uid="{00000000-0005-0000-0000-0000C13B0000}"/>
    <cellStyle name="40% - Accent5 11 2 4 2" xfId="19612" xr:uid="{00000000-0005-0000-0000-0000C23B0000}"/>
    <cellStyle name="40% - Accent5 11 2 5" xfId="6330" xr:uid="{00000000-0005-0000-0000-0000C33B0000}"/>
    <cellStyle name="40% - Accent5 11 2 5 2" xfId="17618" xr:uid="{00000000-0005-0000-0000-0000C43B0000}"/>
    <cellStyle name="40% - Accent5 11 2 6" xfId="15624" xr:uid="{00000000-0005-0000-0000-0000C53B0000}"/>
    <cellStyle name="40% - Accent5 11 3" xfId="11315" xr:uid="{00000000-0005-0000-0000-0000C63B0000}"/>
    <cellStyle name="40% - Accent5 11 3 2" xfId="22603" xr:uid="{00000000-0005-0000-0000-0000C73B0000}"/>
    <cellStyle name="40% - Accent5 11 4" xfId="9321" xr:uid="{00000000-0005-0000-0000-0000C83B0000}"/>
    <cellStyle name="40% - Accent5 11 4 2" xfId="20609" xr:uid="{00000000-0005-0000-0000-0000C93B0000}"/>
    <cellStyle name="40% - Accent5 11 5" xfId="7327" xr:uid="{00000000-0005-0000-0000-0000CA3B0000}"/>
    <cellStyle name="40% - Accent5 11 5 2" xfId="18615" xr:uid="{00000000-0005-0000-0000-0000CB3B0000}"/>
    <cellStyle name="40% - Accent5 11 6" xfId="5333" xr:uid="{00000000-0005-0000-0000-0000CC3B0000}"/>
    <cellStyle name="40% - Accent5 11 6 2" xfId="16621" xr:uid="{00000000-0005-0000-0000-0000CD3B0000}"/>
    <cellStyle name="40% - Accent5 11 7" xfId="14627" xr:uid="{00000000-0005-0000-0000-0000CE3B0000}"/>
    <cellStyle name="40% - Accent5 11 8" xfId="13313" xr:uid="{00000000-0005-0000-0000-0000CF3B0000}"/>
    <cellStyle name="40% - Accent5 12" xfId="1378" xr:uid="{00000000-0005-0000-0000-0000D03B0000}"/>
    <cellStyle name="40% - Accent5 12 2" xfId="4334" xr:uid="{00000000-0005-0000-0000-0000D13B0000}"/>
    <cellStyle name="40% - Accent5 12 2 2" xfId="12313" xr:uid="{00000000-0005-0000-0000-0000D23B0000}"/>
    <cellStyle name="40% - Accent5 12 2 2 2" xfId="23601" xr:uid="{00000000-0005-0000-0000-0000D33B0000}"/>
    <cellStyle name="40% - Accent5 12 2 3" xfId="10319" xr:uid="{00000000-0005-0000-0000-0000D43B0000}"/>
    <cellStyle name="40% - Accent5 12 2 3 2" xfId="21607" xr:uid="{00000000-0005-0000-0000-0000D53B0000}"/>
    <cellStyle name="40% - Accent5 12 2 4" xfId="8325" xr:uid="{00000000-0005-0000-0000-0000D63B0000}"/>
    <cellStyle name="40% - Accent5 12 2 4 2" xfId="19613" xr:uid="{00000000-0005-0000-0000-0000D73B0000}"/>
    <cellStyle name="40% - Accent5 12 2 5" xfId="6331" xr:uid="{00000000-0005-0000-0000-0000D83B0000}"/>
    <cellStyle name="40% - Accent5 12 2 5 2" xfId="17619" xr:uid="{00000000-0005-0000-0000-0000D93B0000}"/>
    <cellStyle name="40% - Accent5 12 2 6" xfId="15625" xr:uid="{00000000-0005-0000-0000-0000DA3B0000}"/>
    <cellStyle name="40% - Accent5 12 3" xfId="11316" xr:uid="{00000000-0005-0000-0000-0000DB3B0000}"/>
    <cellStyle name="40% - Accent5 12 3 2" xfId="22604" xr:uid="{00000000-0005-0000-0000-0000DC3B0000}"/>
    <cellStyle name="40% - Accent5 12 4" xfId="9322" xr:uid="{00000000-0005-0000-0000-0000DD3B0000}"/>
    <cellStyle name="40% - Accent5 12 4 2" xfId="20610" xr:uid="{00000000-0005-0000-0000-0000DE3B0000}"/>
    <cellStyle name="40% - Accent5 12 5" xfId="7328" xr:uid="{00000000-0005-0000-0000-0000DF3B0000}"/>
    <cellStyle name="40% - Accent5 12 5 2" xfId="18616" xr:uid="{00000000-0005-0000-0000-0000E03B0000}"/>
    <cellStyle name="40% - Accent5 12 6" xfId="5334" xr:uid="{00000000-0005-0000-0000-0000E13B0000}"/>
    <cellStyle name="40% - Accent5 12 6 2" xfId="16622" xr:uid="{00000000-0005-0000-0000-0000E23B0000}"/>
    <cellStyle name="40% - Accent5 12 7" xfId="14628" xr:uid="{00000000-0005-0000-0000-0000E33B0000}"/>
    <cellStyle name="40% - Accent5 12 8" xfId="13314" xr:uid="{00000000-0005-0000-0000-0000E43B0000}"/>
    <cellStyle name="40% - Accent5 13" xfId="1379" xr:uid="{00000000-0005-0000-0000-0000E53B0000}"/>
    <cellStyle name="40% - Accent5 13 2" xfId="4335" xr:uid="{00000000-0005-0000-0000-0000E63B0000}"/>
    <cellStyle name="40% - Accent5 13 2 2" xfId="12314" xr:uid="{00000000-0005-0000-0000-0000E73B0000}"/>
    <cellStyle name="40% - Accent5 13 2 2 2" xfId="23602" xr:uid="{00000000-0005-0000-0000-0000E83B0000}"/>
    <cellStyle name="40% - Accent5 13 2 3" xfId="10320" xr:uid="{00000000-0005-0000-0000-0000E93B0000}"/>
    <cellStyle name="40% - Accent5 13 2 3 2" xfId="21608" xr:uid="{00000000-0005-0000-0000-0000EA3B0000}"/>
    <cellStyle name="40% - Accent5 13 2 4" xfId="8326" xr:uid="{00000000-0005-0000-0000-0000EB3B0000}"/>
    <cellStyle name="40% - Accent5 13 2 4 2" xfId="19614" xr:uid="{00000000-0005-0000-0000-0000EC3B0000}"/>
    <cellStyle name="40% - Accent5 13 2 5" xfId="6332" xr:uid="{00000000-0005-0000-0000-0000ED3B0000}"/>
    <cellStyle name="40% - Accent5 13 2 5 2" xfId="17620" xr:uid="{00000000-0005-0000-0000-0000EE3B0000}"/>
    <cellStyle name="40% - Accent5 13 2 6" xfId="15626" xr:uid="{00000000-0005-0000-0000-0000EF3B0000}"/>
    <cellStyle name="40% - Accent5 13 3" xfId="11317" xr:uid="{00000000-0005-0000-0000-0000F03B0000}"/>
    <cellStyle name="40% - Accent5 13 3 2" xfId="22605" xr:uid="{00000000-0005-0000-0000-0000F13B0000}"/>
    <cellStyle name="40% - Accent5 13 4" xfId="9323" xr:uid="{00000000-0005-0000-0000-0000F23B0000}"/>
    <cellStyle name="40% - Accent5 13 4 2" xfId="20611" xr:uid="{00000000-0005-0000-0000-0000F33B0000}"/>
    <cellStyle name="40% - Accent5 13 5" xfId="7329" xr:uid="{00000000-0005-0000-0000-0000F43B0000}"/>
    <cellStyle name="40% - Accent5 13 5 2" xfId="18617" xr:uid="{00000000-0005-0000-0000-0000F53B0000}"/>
    <cellStyle name="40% - Accent5 13 6" xfId="5335" xr:uid="{00000000-0005-0000-0000-0000F63B0000}"/>
    <cellStyle name="40% - Accent5 13 6 2" xfId="16623" xr:uid="{00000000-0005-0000-0000-0000F73B0000}"/>
    <cellStyle name="40% - Accent5 13 7" xfId="14629" xr:uid="{00000000-0005-0000-0000-0000F83B0000}"/>
    <cellStyle name="40% - Accent5 13 8" xfId="13315" xr:uid="{00000000-0005-0000-0000-0000F93B0000}"/>
    <cellStyle name="40% - Accent5 14" xfId="1380" xr:uid="{00000000-0005-0000-0000-0000FA3B0000}"/>
    <cellStyle name="40% - Accent5 14 2" xfId="4336" xr:uid="{00000000-0005-0000-0000-0000FB3B0000}"/>
    <cellStyle name="40% - Accent5 14 2 2" xfId="12315" xr:uid="{00000000-0005-0000-0000-0000FC3B0000}"/>
    <cellStyle name="40% - Accent5 14 2 2 2" xfId="23603" xr:uid="{00000000-0005-0000-0000-0000FD3B0000}"/>
    <cellStyle name="40% - Accent5 14 2 3" xfId="10321" xr:uid="{00000000-0005-0000-0000-0000FE3B0000}"/>
    <cellStyle name="40% - Accent5 14 2 3 2" xfId="21609" xr:uid="{00000000-0005-0000-0000-0000FF3B0000}"/>
    <cellStyle name="40% - Accent5 14 2 4" xfId="8327" xr:uid="{00000000-0005-0000-0000-0000003C0000}"/>
    <cellStyle name="40% - Accent5 14 2 4 2" xfId="19615" xr:uid="{00000000-0005-0000-0000-0000013C0000}"/>
    <cellStyle name="40% - Accent5 14 2 5" xfId="6333" xr:uid="{00000000-0005-0000-0000-0000023C0000}"/>
    <cellStyle name="40% - Accent5 14 2 5 2" xfId="17621" xr:uid="{00000000-0005-0000-0000-0000033C0000}"/>
    <cellStyle name="40% - Accent5 14 2 6" xfId="15627" xr:uid="{00000000-0005-0000-0000-0000043C0000}"/>
    <cellStyle name="40% - Accent5 14 3" xfId="11318" xr:uid="{00000000-0005-0000-0000-0000053C0000}"/>
    <cellStyle name="40% - Accent5 14 3 2" xfId="22606" xr:uid="{00000000-0005-0000-0000-0000063C0000}"/>
    <cellStyle name="40% - Accent5 14 4" xfId="9324" xr:uid="{00000000-0005-0000-0000-0000073C0000}"/>
    <cellStyle name="40% - Accent5 14 4 2" xfId="20612" xr:uid="{00000000-0005-0000-0000-0000083C0000}"/>
    <cellStyle name="40% - Accent5 14 5" xfId="7330" xr:uid="{00000000-0005-0000-0000-0000093C0000}"/>
    <cellStyle name="40% - Accent5 14 5 2" xfId="18618" xr:uid="{00000000-0005-0000-0000-00000A3C0000}"/>
    <cellStyle name="40% - Accent5 14 6" xfId="5336" xr:uid="{00000000-0005-0000-0000-00000B3C0000}"/>
    <cellStyle name="40% - Accent5 14 6 2" xfId="16624" xr:uid="{00000000-0005-0000-0000-00000C3C0000}"/>
    <cellStyle name="40% - Accent5 14 7" xfId="14630" xr:uid="{00000000-0005-0000-0000-00000D3C0000}"/>
    <cellStyle name="40% - Accent5 14 8" xfId="13316" xr:uid="{00000000-0005-0000-0000-00000E3C0000}"/>
    <cellStyle name="40% - Accent5 15" xfId="1381" xr:uid="{00000000-0005-0000-0000-00000F3C0000}"/>
    <cellStyle name="40% - Accent5 15 2" xfId="4337" xr:uid="{00000000-0005-0000-0000-0000103C0000}"/>
    <cellStyle name="40% - Accent5 15 2 2" xfId="12316" xr:uid="{00000000-0005-0000-0000-0000113C0000}"/>
    <cellStyle name="40% - Accent5 15 2 2 2" xfId="23604" xr:uid="{00000000-0005-0000-0000-0000123C0000}"/>
    <cellStyle name="40% - Accent5 15 2 3" xfId="10322" xr:uid="{00000000-0005-0000-0000-0000133C0000}"/>
    <cellStyle name="40% - Accent5 15 2 3 2" xfId="21610" xr:uid="{00000000-0005-0000-0000-0000143C0000}"/>
    <cellStyle name="40% - Accent5 15 2 4" xfId="8328" xr:uid="{00000000-0005-0000-0000-0000153C0000}"/>
    <cellStyle name="40% - Accent5 15 2 4 2" xfId="19616" xr:uid="{00000000-0005-0000-0000-0000163C0000}"/>
    <cellStyle name="40% - Accent5 15 2 5" xfId="6334" xr:uid="{00000000-0005-0000-0000-0000173C0000}"/>
    <cellStyle name="40% - Accent5 15 2 5 2" xfId="17622" xr:uid="{00000000-0005-0000-0000-0000183C0000}"/>
    <cellStyle name="40% - Accent5 15 2 6" xfId="15628" xr:uid="{00000000-0005-0000-0000-0000193C0000}"/>
    <cellStyle name="40% - Accent5 15 3" xfId="11319" xr:uid="{00000000-0005-0000-0000-00001A3C0000}"/>
    <cellStyle name="40% - Accent5 15 3 2" xfId="22607" xr:uid="{00000000-0005-0000-0000-00001B3C0000}"/>
    <cellStyle name="40% - Accent5 15 4" xfId="9325" xr:uid="{00000000-0005-0000-0000-00001C3C0000}"/>
    <cellStyle name="40% - Accent5 15 4 2" xfId="20613" xr:uid="{00000000-0005-0000-0000-00001D3C0000}"/>
    <cellStyle name="40% - Accent5 15 5" xfId="7331" xr:uid="{00000000-0005-0000-0000-00001E3C0000}"/>
    <cellStyle name="40% - Accent5 15 5 2" xfId="18619" xr:uid="{00000000-0005-0000-0000-00001F3C0000}"/>
    <cellStyle name="40% - Accent5 15 6" xfId="5337" xr:uid="{00000000-0005-0000-0000-0000203C0000}"/>
    <cellStyle name="40% - Accent5 15 6 2" xfId="16625" xr:uid="{00000000-0005-0000-0000-0000213C0000}"/>
    <cellStyle name="40% - Accent5 15 7" xfId="14631" xr:uid="{00000000-0005-0000-0000-0000223C0000}"/>
    <cellStyle name="40% - Accent5 15 8" xfId="13317" xr:uid="{00000000-0005-0000-0000-0000233C0000}"/>
    <cellStyle name="40% - Accent5 16" xfId="1382" xr:uid="{00000000-0005-0000-0000-0000243C0000}"/>
    <cellStyle name="40% - Accent5 16 2" xfId="4338" xr:uid="{00000000-0005-0000-0000-0000253C0000}"/>
    <cellStyle name="40% - Accent5 16 2 2" xfId="12317" xr:uid="{00000000-0005-0000-0000-0000263C0000}"/>
    <cellStyle name="40% - Accent5 16 2 2 2" xfId="23605" xr:uid="{00000000-0005-0000-0000-0000273C0000}"/>
    <cellStyle name="40% - Accent5 16 2 3" xfId="10323" xr:uid="{00000000-0005-0000-0000-0000283C0000}"/>
    <cellStyle name="40% - Accent5 16 2 3 2" xfId="21611" xr:uid="{00000000-0005-0000-0000-0000293C0000}"/>
    <cellStyle name="40% - Accent5 16 2 4" xfId="8329" xr:uid="{00000000-0005-0000-0000-00002A3C0000}"/>
    <cellStyle name="40% - Accent5 16 2 4 2" xfId="19617" xr:uid="{00000000-0005-0000-0000-00002B3C0000}"/>
    <cellStyle name="40% - Accent5 16 2 5" xfId="6335" xr:uid="{00000000-0005-0000-0000-00002C3C0000}"/>
    <cellStyle name="40% - Accent5 16 2 5 2" xfId="17623" xr:uid="{00000000-0005-0000-0000-00002D3C0000}"/>
    <cellStyle name="40% - Accent5 16 2 6" xfId="15629" xr:uid="{00000000-0005-0000-0000-00002E3C0000}"/>
    <cellStyle name="40% - Accent5 16 3" xfId="11320" xr:uid="{00000000-0005-0000-0000-00002F3C0000}"/>
    <cellStyle name="40% - Accent5 16 3 2" xfId="22608" xr:uid="{00000000-0005-0000-0000-0000303C0000}"/>
    <cellStyle name="40% - Accent5 16 4" xfId="9326" xr:uid="{00000000-0005-0000-0000-0000313C0000}"/>
    <cellStyle name="40% - Accent5 16 4 2" xfId="20614" xr:uid="{00000000-0005-0000-0000-0000323C0000}"/>
    <cellStyle name="40% - Accent5 16 5" xfId="7332" xr:uid="{00000000-0005-0000-0000-0000333C0000}"/>
    <cellStyle name="40% - Accent5 16 5 2" xfId="18620" xr:uid="{00000000-0005-0000-0000-0000343C0000}"/>
    <cellStyle name="40% - Accent5 16 6" xfId="5338" xr:uid="{00000000-0005-0000-0000-0000353C0000}"/>
    <cellStyle name="40% - Accent5 16 6 2" xfId="16626" xr:uid="{00000000-0005-0000-0000-0000363C0000}"/>
    <cellStyle name="40% - Accent5 16 7" xfId="14632" xr:uid="{00000000-0005-0000-0000-0000373C0000}"/>
    <cellStyle name="40% - Accent5 16 8" xfId="13318" xr:uid="{00000000-0005-0000-0000-0000383C0000}"/>
    <cellStyle name="40% - Accent5 17" xfId="1383" xr:uid="{00000000-0005-0000-0000-0000393C0000}"/>
    <cellStyle name="40% - Accent5 17 2" xfId="4339" xr:uid="{00000000-0005-0000-0000-00003A3C0000}"/>
    <cellStyle name="40% - Accent5 17 2 2" xfId="12318" xr:uid="{00000000-0005-0000-0000-00003B3C0000}"/>
    <cellStyle name="40% - Accent5 17 2 2 2" xfId="23606" xr:uid="{00000000-0005-0000-0000-00003C3C0000}"/>
    <cellStyle name="40% - Accent5 17 2 3" xfId="10324" xr:uid="{00000000-0005-0000-0000-00003D3C0000}"/>
    <cellStyle name="40% - Accent5 17 2 3 2" xfId="21612" xr:uid="{00000000-0005-0000-0000-00003E3C0000}"/>
    <cellStyle name="40% - Accent5 17 2 4" xfId="8330" xr:uid="{00000000-0005-0000-0000-00003F3C0000}"/>
    <cellStyle name="40% - Accent5 17 2 4 2" xfId="19618" xr:uid="{00000000-0005-0000-0000-0000403C0000}"/>
    <cellStyle name="40% - Accent5 17 2 5" xfId="6336" xr:uid="{00000000-0005-0000-0000-0000413C0000}"/>
    <cellStyle name="40% - Accent5 17 2 5 2" xfId="17624" xr:uid="{00000000-0005-0000-0000-0000423C0000}"/>
    <cellStyle name="40% - Accent5 17 2 6" xfId="15630" xr:uid="{00000000-0005-0000-0000-0000433C0000}"/>
    <cellStyle name="40% - Accent5 17 3" xfId="11321" xr:uid="{00000000-0005-0000-0000-0000443C0000}"/>
    <cellStyle name="40% - Accent5 17 3 2" xfId="22609" xr:uid="{00000000-0005-0000-0000-0000453C0000}"/>
    <cellStyle name="40% - Accent5 17 4" xfId="9327" xr:uid="{00000000-0005-0000-0000-0000463C0000}"/>
    <cellStyle name="40% - Accent5 17 4 2" xfId="20615" xr:uid="{00000000-0005-0000-0000-0000473C0000}"/>
    <cellStyle name="40% - Accent5 17 5" xfId="7333" xr:uid="{00000000-0005-0000-0000-0000483C0000}"/>
    <cellStyle name="40% - Accent5 17 5 2" xfId="18621" xr:uid="{00000000-0005-0000-0000-0000493C0000}"/>
    <cellStyle name="40% - Accent5 17 6" xfId="5339" xr:uid="{00000000-0005-0000-0000-00004A3C0000}"/>
    <cellStyle name="40% - Accent5 17 6 2" xfId="16627" xr:uid="{00000000-0005-0000-0000-00004B3C0000}"/>
    <cellStyle name="40% - Accent5 17 7" xfId="14633" xr:uid="{00000000-0005-0000-0000-00004C3C0000}"/>
    <cellStyle name="40% - Accent5 17 8" xfId="13319" xr:uid="{00000000-0005-0000-0000-00004D3C0000}"/>
    <cellStyle name="40% - Accent5 18" xfId="1384" xr:uid="{00000000-0005-0000-0000-00004E3C0000}"/>
    <cellStyle name="40% - Accent5 18 2" xfId="4340" xr:uid="{00000000-0005-0000-0000-00004F3C0000}"/>
    <cellStyle name="40% - Accent5 18 2 2" xfId="12319" xr:uid="{00000000-0005-0000-0000-0000503C0000}"/>
    <cellStyle name="40% - Accent5 18 2 2 2" xfId="23607" xr:uid="{00000000-0005-0000-0000-0000513C0000}"/>
    <cellStyle name="40% - Accent5 18 2 3" xfId="10325" xr:uid="{00000000-0005-0000-0000-0000523C0000}"/>
    <cellStyle name="40% - Accent5 18 2 3 2" xfId="21613" xr:uid="{00000000-0005-0000-0000-0000533C0000}"/>
    <cellStyle name="40% - Accent5 18 2 4" xfId="8331" xr:uid="{00000000-0005-0000-0000-0000543C0000}"/>
    <cellStyle name="40% - Accent5 18 2 4 2" xfId="19619" xr:uid="{00000000-0005-0000-0000-0000553C0000}"/>
    <cellStyle name="40% - Accent5 18 2 5" xfId="6337" xr:uid="{00000000-0005-0000-0000-0000563C0000}"/>
    <cellStyle name="40% - Accent5 18 2 5 2" xfId="17625" xr:uid="{00000000-0005-0000-0000-0000573C0000}"/>
    <cellStyle name="40% - Accent5 18 2 6" xfId="15631" xr:uid="{00000000-0005-0000-0000-0000583C0000}"/>
    <cellStyle name="40% - Accent5 18 3" xfId="11322" xr:uid="{00000000-0005-0000-0000-0000593C0000}"/>
    <cellStyle name="40% - Accent5 18 3 2" xfId="22610" xr:uid="{00000000-0005-0000-0000-00005A3C0000}"/>
    <cellStyle name="40% - Accent5 18 4" xfId="9328" xr:uid="{00000000-0005-0000-0000-00005B3C0000}"/>
    <cellStyle name="40% - Accent5 18 4 2" xfId="20616" xr:uid="{00000000-0005-0000-0000-00005C3C0000}"/>
    <cellStyle name="40% - Accent5 18 5" xfId="7334" xr:uid="{00000000-0005-0000-0000-00005D3C0000}"/>
    <cellStyle name="40% - Accent5 18 5 2" xfId="18622" xr:uid="{00000000-0005-0000-0000-00005E3C0000}"/>
    <cellStyle name="40% - Accent5 18 6" xfId="5340" xr:uid="{00000000-0005-0000-0000-00005F3C0000}"/>
    <cellStyle name="40% - Accent5 18 6 2" xfId="16628" xr:uid="{00000000-0005-0000-0000-0000603C0000}"/>
    <cellStyle name="40% - Accent5 18 7" xfId="14634" xr:uid="{00000000-0005-0000-0000-0000613C0000}"/>
    <cellStyle name="40% - Accent5 18 8" xfId="13320" xr:uid="{00000000-0005-0000-0000-0000623C0000}"/>
    <cellStyle name="40% - Accent5 19" xfId="1385" xr:uid="{00000000-0005-0000-0000-0000633C0000}"/>
    <cellStyle name="40% - Accent5 19 2" xfId="4341" xr:uid="{00000000-0005-0000-0000-0000643C0000}"/>
    <cellStyle name="40% - Accent5 19 2 2" xfId="12320" xr:uid="{00000000-0005-0000-0000-0000653C0000}"/>
    <cellStyle name="40% - Accent5 19 2 2 2" xfId="23608" xr:uid="{00000000-0005-0000-0000-0000663C0000}"/>
    <cellStyle name="40% - Accent5 19 2 3" xfId="10326" xr:uid="{00000000-0005-0000-0000-0000673C0000}"/>
    <cellStyle name="40% - Accent5 19 2 3 2" xfId="21614" xr:uid="{00000000-0005-0000-0000-0000683C0000}"/>
    <cellStyle name="40% - Accent5 19 2 4" xfId="8332" xr:uid="{00000000-0005-0000-0000-0000693C0000}"/>
    <cellStyle name="40% - Accent5 19 2 4 2" xfId="19620" xr:uid="{00000000-0005-0000-0000-00006A3C0000}"/>
    <cellStyle name="40% - Accent5 19 2 5" xfId="6338" xr:uid="{00000000-0005-0000-0000-00006B3C0000}"/>
    <cellStyle name="40% - Accent5 19 2 5 2" xfId="17626" xr:uid="{00000000-0005-0000-0000-00006C3C0000}"/>
    <cellStyle name="40% - Accent5 19 2 6" xfId="15632" xr:uid="{00000000-0005-0000-0000-00006D3C0000}"/>
    <cellStyle name="40% - Accent5 19 3" xfId="11323" xr:uid="{00000000-0005-0000-0000-00006E3C0000}"/>
    <cellStyle name="40% - Accent5 19 3 2" xfId="22611" xr:uid="{00000000-0005-0000-0000-00006F3C0000}"/>
    <cellStyle name="40% - Accent5 19 4" xfId="9329" xr:uid="{00000000-0005-0000-0000-0000703C0000}"/>
    <cellStyle name="40% - Accent5 19 4 2" xfId="20617" xr:uid="{00000000-0005-0000-0000-0000713C0000}"/>
    <cellStyle name="40% - Accent5 19 5" xfId="7335" xr:uid="{00000000-0005-0000-0000-0000723C0000}"/>
    <cellStyle name="40% - Accent5 19 5 2" xfId="18623" xr:uid="{00000000-0005-0000-0000-0000733C0000}"/>
    <cellStyle name="40% - Accent5 19 6" xfId="5341" xr:uid="{00000000-0005-0000-0000-0000743C0000}"/>
    <cellStyle name="40% - Accent5 19 6 2" xfId="16629" xr:uid="{00000000-0005-0000-0000-0000753C0000}"/>
    <cellStyle name="40% - Accent5 19 7" xfId="14635" xr:uid="{00000000-0005-0000-0000-0000763C0000}"/>
    <cellStyle name="40% - Accent5 19 8" xfId="13321" xr:uid="{00000000-0005-0000-0000-0000773C0000}"/>
    <cellStyle name="40% - Accent5 2" xfId="1386" xr:uid="{00000000-0005-0000-0000-0000783C0000}"/>
    <cellStyle name="40% - Accent5 2 10" xfId="24619" xr:uid="{00000000-0005-0000-0000-0000793C0000}"/>
    <cellStyle name="40% - Accent5 2 11" xfId="25009" xr:uid="{00000000-0005-0000-0000-00007A3C0000}"/>
    <cellStyle name="40% - Accent5 2 2" xfId="4342" xr:uid="{00000000-0005-0000-0000-00007B3C0000}"/>
    <cellStyle name="40% - Accent5 2 2 2" xfId="12321" xr:uid="{00000000-0005-0000-0000-00007C3C0000}"/>
    <cellStyle name="40% - Accent5 2 2 2 2" xfId="23609" xr:uid="{00000000-0005-0000-0000-00007D3C0000}"/>
    <cellStyle name="40% - Accent5 2 2 3" xfId="10327" xr:uid="{00000000-0005-0000-0000-00007E3C0000}"/>
    <cellStyle name="40% - Accent5 2 2 3 2" xfId="21615" xr:uid="{00000000-0005-0000-0000-00007F3C0000}"/>
    <cellStyle name="40% - Accent5 2 2 4" xfId="8333" xr:uid="{00000000-0005-0000-0000-0000803C0000}"/>
    <cellStyle name="40% - Accent5 2 2 4 2" xfId="19621" xr:uid="{00000000-0005-0000-0000-0000813C0000}"/>
    <cellStyle name="40% - Accent5 2 2 5" xfId="6339" xr:uid="{00000000-0005-0000-0000-0000823C0000}"/>
    <cellStyle name="40% - Accent5 2 2 5 2" xfId="17627" xr:uid="{00000000-0005-0000-0000-0000833C0000}"/>
    <cellStyle name="40% - Accent5 2 2 6" xfId="15633" xr:uid="{00000000-0005-0000-0000-0000843C0000}"/>
    <cellStyle name="40% - Accent5 2 2 7" xfId="24380" xr:uid="{00000000-0005-0000-0000-0000853C0000}"/>
    <cellStyle name="40% - Accent5 2 2 8" xfId="24844" xr:uid="{00000000-0005-0000-0000-0000863C0000}"/>
    <cellStyle name="40% - Accent5 2 2 9" xfId="25211" xr:uid="{00000000-0005-0000-0000-0000873C0000}"/>
    <cellStyle name="40% - Accent5 2 3" xfId="11324" xr:uid="{00000000-0005-0000-0000-0000883C0000}"/>
    <cellStyle name="40% - Accent5 2 3 2" xfId="22612" xr:uid="{00000000-0005-0000-0000-0000893C0000}"/>
    <cellStyle name="40% - Accent5 2 4" xfId="9330" xr:uid="{00000000-0005-0000-0000-00008A3C0000}"/>
    <cellStyle name="40% - Accent5 2 4 2" xfId="20618" xr:uid="{00000000-0005-0000-0000-00008B3C0000}"/>
    <cellStyle name="40% - Accent5 2 5" xfId="7336" xr:uid="{00000000-0005-0000-0000-00008C3C0000}"/>
    <cellStyle name="40% - Accent5 2 5 2" xfId="18624" xr:uid="{00000000-0005-0000-0000-00008D3C0000}"/>
    <cellStyle name="40% - Accent5 2 6" xfId="5342" xr:uid="{00000000-0005-0000-0000-00008E3C0000}"/>
    <cellStyle name="40% - Accent5 2 6 2" xfId="16630" xr:uid="{00000000-0005-0000-0000-00008F3C0000}"/>
    <cellStyle name="40% - Accent5 2 7" xfId="14636" xr:uid="{00000000-0005-0000-0000-0000903C0000}"/>
    <cellStyle name="40% - Accent5 2 8" xfId="13322" xr:uid="{00000000-0005-0000-0000-0000913C0000}"/>
    <cellStyle name="40% - Accent5 2 9" xfId="23992" xr:uid="{00000000-0005-0000-0000-0000923C0000}"/>
    <cellStyle name="40% - Accent5 20" xfId="1387" xr:uid="{00000000-0005-0000-0000-0000933C0000}"/>
    <cellStyle name="40% - Accent5 20 2" xfId="4343" xr:uid="{00000000-0005-0000-0000-0000943C0000}"/>
    <cellStyle name="40% - Accent5 20 2 2" xfId="12322" xr:uid="{00000000-0005-0000-0000-0000953C0000}"/>
    <cellStyle name="40% - Accent5 20 2 2 2" xfId="23610" xr:uid="{00000000-0005-0000-0000-0000963C0000}"/>
    <cellStyle name="40% - Accent5 20 2 3" xfId="10328" xr:uid="{00000000-0005-0000-0000-0000973C0000}"/>
    <cellStyle name="40% - Accent5 20 2 3 2" xfId="21616" xr:uid="{00000000-0005-0000-0000-0000983C0000}"/>
    <cellStyle name="40% - Accent5 20 2 4" xfId="8334" xr:uid="{00000000-0005-0000-0000-0000993C0000}"/>
    <cellStyle name="40% - Accent5 20 2 4 2" xfId="19622" xr:uid="{00000000-0005-0000-0000-00009A3C0000}"/>
    <cellStyle name="40% - Accent5 20 2 5" xfId="6340" xr:uid="{00000000-0005-0000-0000-00009B3C0000}"/>
    <cellStyle name="40% - Accent5 20 2 5 2" xfId="17628" xr:uid="{00000000-0005-0000-0000-00009C3C0000}"/>
    <cellStyle name="40% - Accent5 20 2 6" xfId="15634" xr:uid="{00000000-0005-0000-0000-00009D3C0000}"/>
    <cellStyle name="40% - Accent5 20 3" xfId="11325" xr:uid="{00000000-0005-0000-0000-00009E3C0000}"/>
    <cellStyle name="40% - Accent5 20 3 2" xfId="22613" xr:uid="{00000000-0005-0000-0000-00009F3C0000}"/>
    <cellStyle name="40% - Accent5 20 4" xfId="9331" xr:uid="{00000000-0005-0000-0000-0000A03C0000}"/>
    <cellStyle name="40% - Accent5 20 4 2" xfId="20619" xr:uid="{00000000-0005-0000-0000-0000A13C0000}"/>
    <cellStyle name="40% - Accent5 20 5" xfId="7337" xr:uid="{00000000-0005-0000-0000-0000A23C0000}"/>
    <cellStyle name="40% - Accent5 20 5 2" xfId="18625" xr:uid="{00000000-0005-0000-0000-0000A33C0000}"/>
    <cellStyle name="40% - Accent5 20 6" xfId="5343" xr:uid="{00000000-0005-0000-0000-0000A43C0000}"/>
    <cellStyle name="40% - Accent5 20 6 2" xfId="16631" xr:uid="{00000000-0005-0000-0000-0000A53C0000}"/>
    <cellStyle name="40% - Accent5 20 7" xfId="14637" xr:uid="{00000000-0005-0000-0000-0000A63C0000}"/>
    <cellStyle name="40% - Accent5 20 8" xfId="13323" xr:uid="{00000000-0005-0000-0000-0000A73C0000}"/>
    <cellStyle name="40% - Accent5 21" xfId="1388" xr:uid="{00000000-0005-0000-0000-0000A83C0000}"/>
    <cellStyle name="40% - Accent5 21 2" xfId="4344" xr:uid="{00000000-0005-0000-0000-0000A93C0000}"/>
    <cellStyle name="40% - Accent5 21 2 2" xfId="12323" xr:uid="{00000000-0005-0000-0000-0000AA3C0000}"/>
    <cellStyle name="40% - Accent5 21 2 2 2" xfId="23611" xr:uid="{00000000-0005-0000-0000-0000AB3C0000}"/>
    <cellStyle name="40% - Accent5 21 2 3" xfId="10329" xr:uid="{00000000-0005-0000-0000-0000AC3C0000}"/>
    <cellStyle name="40% - Accent5 21 2 3 2" xfId="21617" xr:uid="{00000000-0005-0000-0000-0000AD3C0000}"/>
    <cellStyle name="40% - Accent5 21 2 4" xfId="8335" xr:uid="{00000000-0005-0000-0000-0000AE3C0000}"/>
    <cellStyle name="40% - Accent5 21 2 4 2" xfId="19623" xr:uid="{00000000-0005-0000-0000-0000AF3C0000}"/>
    <cellStyle name="40% - Accent5 21 2 5" xfId="6341" xr:uid="{00000000-0005-0000-0000-0000B03C0000}"/>
    <cellStyle name="40% - Accent5 21 2 5 2" xfId="17629" xr:uid="{00000000-0005-0000-0000-0000B13C0000}"/>
    <cellStyle name="40% - Accent5 21 2 6" xfId="15635" xr:uid="{00000000-0005-0000-0000-0000B23C0000}"/>
    <cellStyle name="40% - Accent5 21 3" xfId="11326" xr:uid="{00000000-0005-0000-0000-0000B33C0000}"/>
    <cellStyle name="40% - Accent5 21 3 2" xfId="22614" xr:uid="{00000000-0005-0000-0000-0000B43C0000}"/>
    <cellStyle name="40% - Accent5 21 4" xfId="9332" xr:uid="{00000000-0005-0000-0000-0000B53C0000}"/>
    <cellStyle name="40% - Accent5 21 4 2" xfId="20620" xr:uid="{00000000-0005-0000-0000-0000B63C0000}"/>
    <cellStyle name="40% - Accent5 21 5" xfId="7338" xr:uid="{00000000-0005-0000-0000-0000B73C0000}"/>
    <cellStyle name="40% - Accent5 21 5 2" xfId="18626" xr:uid="{00000000-0005-0000-0000-0000B83C0000}"/>
    <cellStyle name="40% - Accent5 21 6" xfId="5344" xr:uid="{00000000-0005-0000-0000-0000B93C0000}"/>
    <cellStyle name="40% - Accent5 21 6 2" xfId="16632" xr:uid="{00000000-0005-0000-0000-0000BA3C0000}"/>
    <cellStyle name="40% - Accent5 21 7" xfId="14638" xr:uid="{00000000-0005-0000-0000-0000BB3C0000}"/>
    <cellStyle name="40% - Accent5 21 8" xfId="13324" xr:uid="{00000000-0005-0000-0000-0000BC3C0000}"/>
    <cellStyle name="40% - Accent5 22" xfId="1389" xr:uid="{00000000-0005-0000-0000-0000BD3C0000}"/>
    <cellStyle name="40% - Accent5 22 2" xfId="4345" xr:uid="{00000000-0005-0000-0000-0000BE3C0000}"/>
    <cellStyle name="40% - Accent5 22 2 2" xfId="12324" xr:uid="{00000000-0005-0000-0000-0000BF3C0000}"/>
    <cellStyle name="40% - Accent5 22 2 2 2" xfId="23612" xr:uid="{00000000-0005-0000-0000-0000C03C0000}"/>
    <cellStyle name="40% - Accent5 22 2 3" xfId="10330" xr:uid="{00000000-0005-0000-0000-0000C13C0000}"/>
    <cellStyle name="40% - Accent5 22 2 3 2" xfId="21618" xr:uid="{00000000-0005-0000-0000-0000C23C0000}"/>
    <cellStyle name="40% - Accent5 22 2 4" xfId="8336" xr:uid="{00000000-0005-0000-0000-0000C33C0000}"/>
    <cellStyle name="40% - Accent5 22 2 4 2" xfId="19624" xr:uid="{00000000-0005-0000-0000-0000C43C0000}"/>
    <cellStyle name="40% - Accent5 22 2 5" xfId="6342" xr:uid="{00000000-0005-0000-0000-0000C53C0000}"/>
    <cellStyle name="40% - Accent5 22 2 5 2" xfId="17630" xr:uid="{00000000-0005-0000-0000-0000C63C0000}"/>
    <cellStyle name="40% - Accent5 22 2 6" xfId="15636" xr:uid="{00000000-0005-0000-0000-0000C73C0000}"/>
    <cellStyle name="40% - Accent5 22 3" xfId="11327" xr:uid="{00000000-0005-0000-0000-0000C83C0000}"/>
    <cellStyle name="40% - Accent5 22 3 2" xfId="22615" xr:uid="{00000000-0005-0000-0000-0000C93C0000}"/>
    <cellStyle name="40% - Accent5 22 4" xfId="9333" xr:uid="{00000000-0005-0000-0000-0000CA3C0000}"/>
    <cellStyle name="40% - Accent5 22 4 2" xfId="20621" xr:uid="{00000000-0005-0000-0000-0000CB3C0000}"/>
    <cellStyle name="40% - Accent5 22 5" xfId="7339" xr:uid="{00000000-0005-0000-0000-0000CC3C0000}"/>
    <cellStyle name="40% - Accent5 22 5 2" xfId="18627" xr:uid="{00000000-0005-0000-0000-0000CD3C0000}"/>
    <cellStyle name="40% - Accent5 22 6" xfId="5345" xr:uid="{00000000-0005-0000-0000-0000CE3C0000}"/>
    <cellStyle name="40% - Accent5 22 6 2" xfId="16633" xr:uid="{00000000-0005-0000-0000-0000CF3C0000}"/>
    <cellStyle name="40% - Accent5 22 7" xfId="14639" xr:uid="{00000000-0005-0000-0000-0000D03C0000}"/>
    <cellStyle name="40% - Accent5 22 8" xfId="13325" xr:uid="{00000000-0005-0000-0000-0000D13C0000}"/>
    <cellStyle name="40% - Accent5 23" xfId="1390" xr:uid="{00000000-0005-0000-0000-0000D23C0000}"/>
    <cellStyle name="40% - Accent5 23 2" xfId="4346" xr:uid="{00000000-0005-0000-0000-0000D33C0000}"/>
    <cellStyle name="40% - Accent5 23 2 2" xfId="12325" xr:uid="{00000000-0005-0000-0000-0000D43C0000}"/>
    <cellStyle name="40% - Accent5 23 2 2 2" xfId="23613" xr:uid="{00000000-0005-0000-0000-0000D53C0000}"/>
    <cellStyle name="40% - Accent5 23 2 3" xfId="10331" xr:uid="{00000000-0005-0000-0000-0000D63C0000}"/>
    <cellStyle name="40% - Accent5 23 2 3 2" xfId="21619" xr:uid="{00000000-0005-0000-0000-0000D73C0000}"/>
    <cellStyle name="40% - Accent5 23 2 4" xfId="8337" xr:uid="{00000000-0005-0000-0000-0000D83C0000}"/>
    <cellStyle name="40% - Accent5 23 2 4 2" xfId="19625" xr:uid="{00000000-0005-0000-0000-0000D93C0000}"/>
    <cellStyle name="40% - Accent5 23 2 5" xfId="6343" xr:uid="{00000000-0005-0000-0000-0000DA3C0000}"/>
    <cellStyle name="40% - Accent5 23 2 5 2" xfId="17631" xr:uid="{00000000-0005-0000-0000-0000DB3C0000}"/>
    <cellStyle name="40% - Accent5 23 2 6" xfId="15637" xr:uid="{00000000-0005-0000-0000-0000DC3C0000}"/>
    <cellStyle name="40% - Accent5 23 3" xfId="11328" xr:uid="{00000000-0005-0000-0000-0000DD3C0000}"/>
    <cellStyle name="40% - Accent5 23 3 2" xfId="22616" xr:uid="{00000000-0005-0000-0000-0000DE3C0000}"/>
    <cellStyle name="40% - Accent5 23 4" xfId="9334" xr:uid="{00000000-0005-0000-0000-0000DF3C0000}"/>
    <cellStyle name="40% - Accent5 23 4 2" xfId="20622" xr:uid="{00000000-0005-0000-0000-0000E03C0000}"/>
    <cellStyle name="40% - Accent5 23 5" xfId="7340" xr:uid="{00000000-0005-0000-0000-0000E13C0000}"/>
    <cellStyle name="40% - Accent5 23 5 2" xfId="18628" xr:uid="{00000000-0005-0000-0000-0000E23C0000}"/>
    <cellStyle name="40% - Accent5 23 6" xfId="5346" xr:uid="{00000000-0005-0000-0000-0000E33C0000}"/>
    <cellStyle name="40% - Accent5 23 6 2" xfId="16634" xr:uid="{00000000-0005-0000-0000-0000E43C0000}"/>
    <cellStyle name="40% - Accent5 23 7" xfId="14640" xr:uid="{00000000-0005-0000-0000-0000E53C0000}"/>
    <cellStyle name="40% - Accent5 23 8" xfId="13326" xr:uid="{00000000-0005-0000-0000-0000E63C0000}"/>
    <cellStyle name="40% - Accent5 24" xfId="1391" xr:uid="{00000000-0005-0000-0000-0000E73C0000}"/>
    <cellStyle name="40% - Accent5 24 2" xfId="4347" xr:uid="{00000000-0005-0000-0000-0000E83C0000}"/>
    <cellStyle name="40% - Accent5 24 2 2" xfId="12326" xr:uid="{00000000-0005-0000-0000-0000E93C0000}"/>
    <cellStyle name="40% - Accent5 24 2 2 2" xfId="23614" xr:uid="{00000000-0005-0000-0000-0000EA3C0000}"/>
    <cellStyle name="40% - Accent5 24 2 3" xfId="10332" xr:uid="{00000000-0005-0000-0000-0000EB3C0000}"/>
    <cellStyle name="40% - Accent5 24 2 3 2" xfId="21620" xr:uid="{00000000-0005-0000-0000-0000EC3C0000}"/>
    <cellStyle name="40% - Accent5 24 2 4" xfId="8338" xr:uid="{00000000-0005-0000-0000-0000ED3C0000}"/>
    <cellStyle name="40% - Accent5 24 2 4 2" xfId="19626" xr:uid="{00000000-0005-0000-0000-0000EE3C0000}"/>
    <cellStyle name="40% - Accent5 24 2 5" xfId="6344" xr:uid="{00000000-0005-0000-0000-0000EF3C0000}"/>
    <cellStyle name="40% - Accent5 24 2 5 2" xfId="17632" xr:uid="{00000000-0005-0000-0000-0000F03C0000}"/>
    <cellStyle name="40% - Accent5 24 2 6" xfId="15638" xr:uid="{00000000-0005-0000-0000-0000F13C0000}"/>
    <cellStyle name="40% - Accent5 24 3" xfId="11329" xr:uid="{00000000-0005-0000-0000-0000F23C0000}"/>
    <cellStyle name="40% - Accent5 24 3 2" xfId="22617" xr:uid="{00000000-0005-0000-0000-0000F33C0000}"/>
    <cellStyle name="40% - Accent5 24 4" xfId="9335" xr:uid="{00000000-0005-0000-0000-0000F43C0000}"/>
    <cellStyle name="40% - Accent5 24 4 2" xfId="20623" xr:uid="{00000000-0005-0000-0000-0000F53C0000}"/>
    <cellStyle name="40% - Accent5 24 5" xfId="7341" xr:uid="{00000000-0005-0000-0000-0000F63C0000}"/>
    <cellStyle name="40% - Accent5 24 5 2" xfId="18629" xr:uid="{00000000-0005-0000-0000-0000F73C0000}"/>
    <cellStyle name="40% - Accent5 24 6" xfId="5347" xr:uid="{00000000-0005-0000-0000-0000F83C0000}"/>
    <cellStyle name="40% - Accent5 24 6 2" xfId="16635" xr:uid="{00000000-0005-0000-0000-0000F93C0000}"/>
    <cellStyle name="40% - Accent5 24 7" xfId="14641" xr:uid="{00000000-0005-0000-0000-0000FA3C0000}"/>
    <cellStyle name="40% - Accent5 24 8" xfId="13327" xr:uid="{00000000-0005-0000-0000-0000FB3C0000}"/>
    <cellStyle name="40% - Accent5 25" xfId="1392" xr:uid="{00000000-0005-0000-0000-0000FC3C0000}"/>
    <cellStyle name="40% - Accent5 25 2" xfId="4348" xr:uid="{00000000-0005-0000-0000-0000FD3C0000}"/>
    <cellStyle name="40% - Accent5 25 2 2" xfId="12327" xr:uid="{00000000-0005-0000-0000-0000FE3C0000}"/>
    <cellStyle name="40% - Accent5 25 2 2 2" xfId="23615" xr:uid="{00000000-0005-0000-0000-0000FF3C0000}"/>
    <cellStyle name="40% - Accent5 25 2 3" xfId="10333" xr:uid="{00000000-0005-0000-0000-0000003D0000}"/>
    <cellStyle name="40% - Accent5 25 2 3 2" xfId="21621" xr:uid="{00000000-0005-0000-0000-0000013D0000}"/>
    <cellStyle name="40% - Accent5 25 2 4" xfId="8339" xr:uid="{00000000-0005-0000-0000-0000023D0000}"/>
    <cellStyle name="40% - Accent5 25 2 4 2" xfId="19627" xr:uid="{00000000-0005-0000-0000-0000033D0000}"/>
    <cellStyle name="40% - Accent5 25 2 5" xfId="6345" xr:uid="{00000000-0005-0000-0000-0000043D0000}"/>
    <cellStyle name="40% - Accent5 25 2 5 2" xfId="17633" xr:uid="{00000000-0005-0000-0000-0000053D0000}"/>
    <cellStyle name="40% - Accent5 25 2 6" xfId="15639" xr:uid="{00000000-0005-0000-0000-0000063D0000}"/>
    <cellStyle name="40% - Accent5 25 3" xfId="11330" xr:uid="{00000000-0005-0000-0000-0000073D0000}"/>
    <cellStyle name="40% - Accent5 25 3 2" xfId="22618" xr:uid="{00000000-0005-0000-0000-0000083D0000}"/>
    <cellStyle name="40% - Accent5 25 4" xfId="9336" xr:uid="{00000000-0005-0000-0000-0000093D0000}"/>
    <cellStyle name="40% - Accent5 25 4 2" xfId="20624" xr:uid="{00000000-0005-0000-0000-00000A3D0000}"/>
    <cellStyle name="40% - Accent5 25 5" xfId="7342" xr:uid="{00000000-0005-0000-0000-00000B3D0000}"/>
    <cellStyle name="40% - Accent5 25 5 2" xfId="18630" xr:uid="{00000000-0005-0000-0000-00000C3D0000}"/>
    <cellStyle name="40% - Accent5 25 6" xfId="5348" xr:uid="{00000000-0005-0000-0000-00000D3D0000}"/>
    <cellStyle name="40% - Accent5 25 6 2" xfId="16636" xr:uid="{00000000-0005-0000-0000-00000E3D0000}"/>
    <cellStyle name="40% - Accent5 25 7" xfId="14642" xr:uid="{00000000-0005-0000-0000-00000F3D0000}"/>
    <cellStyle name="40% - Accent5 25 8" xfId="13328" xr:uid="{00000000-0005-0000-0000-0000103D0000}"/>
    <cellStyle name="40% - Accent5 26" xfId="1393" xr:uid="{00000000-0005-0000-0000-0000113D0000}"/>
    <cellStyle name="40% - Accent5 26 2" xfId="4349" xr:uid="{00000000-0005-0000-0000-0000123D0000}"/>
    <cellStyle name="40% - Accent5 26 2 2" xfId="12328" xr:uid="{00000000-0005-0000-0000-0000133D0000}"/>
    <cellStyle name="40% - Accent5 26 2 2 2" xfId="23616" xr:uid="{00000000-0005-0000-0000-0000143D0000}"/>
    <cellStyle name="40% - Accent5 26 2 3" xfId="10334" xr:uid="{00000000-0005-0000-0000-0000153D0000}"/>
    <cellStyle name="40% - Accent5 26 2 3 2" xfId="21622" xr:uid="{00000000-0005-0000-0000-0000163D0000}"/>
    <cellStyle name="40% - Accent5 26 2 4" xfId="8340" xr:uid="{00000000-0005-0000-0000-0000173D0000}"/>
    <cellStyle name="40% - Accent5 26 2 4 2" xfId="19628" xr:uid="{00000000-0005-0000-0000-0000183D0000}"/>
    <cellStyle name="40% - Accent5 26 2 5" xfId="6346" xr:uid="{00000000-0005-0000-0000-0000193D0000}"/>
    <cellStyle name="40% - Accent5 26 2 5 2" xfId="17634" xr:uid="{00000000-0005-0000-0000-00001A3D0000}"/>
    <cellStyle name="40% - Accent5 26 2 6" xfId="15640" xr:uid="{00000000-0005-0000-0000-00001B3D0000}"/>
    <cellStyle name="40% - Accent5 26 3" xfId="11331" xr:uid="{00000000-0005-0000-0000-00001C3D0000}"/>
    <cellStyle name="40% - Accent5 26 3 2" xfId="22619" xr:uid="{00000000-0005-0000-0000-00001D3D0000}"/>
    <cellStyle name="40% - Accent5 26 4" xfId="9337" xr:uid="{00000000-0005-0000-0000-00001E3D0000}"/>
    <cellStyle name="40% - Accent5 26 4 2" xfId="20625" xr:uid="{00000000-0005-0000-0000-00001F3D0000}"/>
    <cellStyle name="40% - Accent5 26 5" xfId="7343" xr:uid="{00000000-0005-0000-0000-0000203D0000}"/>
    <cellStyle name="40% - Accent5 26 5 2" xfId="18631" xr:uid="{00000000-0005-0000-0000-0000213D0000}"/>
    <cellStyle name="40% - Accent5 26 6" xfId="5349" xr:uid="{00000000-0005-0000-0000-0000223D0000}"/>
    <cellStyle name="40% - Accent5 26 6 2" xfId="16637" xr:uid="{00000000-0005-0000-0000-0000233D0000}"/>
    <cellStyle name="40% - Accent5 26 7" xfId="14643" xr:uid="{00000000-0005-0000-0000-0000243D0000}"/>
    <cellStyle name="40% - Accent5 26 8" xfId="13329" xr:uid="{00000000-0005-0000-0000-0000253D0000}"/>
    <cellStyle name="40% - Accent5 27" xfId="1394" xr:uid="{00000000-0005-0000-0000-0000263D0000}"/>
    <cellStyle name="40% - Accent5 27 2" xfId="4350" xr:uid="{00000000-0005-0000-0000-0000273D0000}"/>
    <cellStyle name="40% - Accent5 27 2 2" xfId="12329" xr:uid="{00000000-0005-0000-0000-0000283D0000}"/>
    <cellStyle name="40% - Accent5 27 2 2 2" xfId="23617" xr:uid="{00000000-0005-0000-0000-0000293D0000}"/>
    <cellStyle name="40% - Accent5 27 2 3" xfId="10335" xr:uid="{00000000-0005-0000-0000-00002A3D0000}"/>
    <cellStyle name="40% - Accent5 27 2 3 2" xfId="21623" xr:uid="{00000000-0005-0000-0000-00002B3D0000}"/>
    <cellStyle name="40% - Accent5 27 2 4" xfId="8341" xr:uid="{00000000-0005-0000-0000-00002C3D0000}"/>
    <cellStyle name="40% - Accent5 27 2 4 2" xfId="19629" xr:uid="{00000000-0005-0000-0000-00002D3D0000}"/>
    <cellStyle name="40% - Accent5 27 2 5" xfId="6347" xr:uid="{00000000-0005-0000-0000-00002E3D0000}"/>
    <cellStyle name="40% - Accent5 27 2 5 2" xfId="17635" xr:uid="{00000000-0005-0000-0000-00002F3D0000}"/>
    <cellStyle name="40% - Accent5 27 2 6" xfId="15641" xr:uid="{00000000-0005-0000-0000-0000303D0000}"/>
    <cellStyle name="40% - Accent5 27 3" xfId="11332" xr:uid="{00000000-0005-0000-0000-0000313D0000}"/>
    <cellStyle name="40% - Accent5 27 3 2" xfId="22620" xr:uid="{00000000-0005-0000-0000-0000323D0000}"/>
    <cellStyle name="40% - Accent5 27 4" xfId="9338" xr:uid="{00000000-0005-0000-0000-0000333D0000}"/>
    <cellStyle name="40% - Accent5 27 4 2" xfId="20626" xr:uid="{00000000-0005-0000-0000-0000343D0000}"/>
    <cellStyle name="40% - Accent5 27 5" xfId="7344" xr:uid="{00000000-0005-0000-0000-0000353D0000}"/>
    <cellStyle name="40% - Accent5 27 5 2" xfId="18632" xr:uid="{00000000-0005-0000-0000-0000363D0000}"/>
    <cellStyle name="40% - Accent5 27 6" xfId="5350" xr:uid="{00000000-0005-0000-0000-0000373D0000}"/>
    <cellStyle name="40% - Accent5 27 6 2" xfId="16638" xr:uid="{00000000-0005-0000-0000-0000383D0000}"/>
    <cellStyle name="40% - Accent5 27 7" xfId="14644" xr:uid="{00000000-0005-0000-0000-0000393D0000}"/>
    <cellStyle name="40% - Accent5 27 8" xfId="13330" xr:uid="{00000000-0005-0000-0000-00003A3D0000}"/>
    <cellStyle name="40% - Accent5 28" xfId="1395" xr:uid="{00000000-0005-0000-0000-00003B3D0000}"/>
    <cellStyle name="40% - Accent5 28 2" xfId="4351" xr:uid="{00000000-0005-0000-0000-00003C3D0000}"/>
    <cellStyle name="40% - Accent5 28 2 2" xfId="12330" xr:uid="{00000000-0005-0000-0000-00003D3D0000}"/>
    <cellStyle name="40% - Accent5 28 2 2 2" xfId="23618" xr:uid="{00000000-0005-0000-0000-00003E3D0000}"/>
    <cellStyle name="40% - Accent5 28 2 3" xfId="10336" xr:uid="{00000000-0005-0000-0000-00003F3D0000}"/>
    <cellStyle name="40% - Accent5 28 2 3 2" xfId="21624" xr:uid="{00000000-0005-0000-0000-0000403D0000}"/>
    <cellStyle name="40% - Accent5 28 2 4" xfId="8342" xr:uid="{00000000-0005-0000-0000-0000413D0000}"/>
    <cellStyle name="40% - Accent5 28 2 4 2" xfId="19630" xr:uid="{00000000-0005-0000-0000-0000423D0000}"/>
    <cellStyle name="40% - Accent5 28 2 5" xfId="6348" xr:uid="{00000000-0005-0000-0000-0000433D0000}"/>
    <cellStyle name="40% - Accent5 28 2 5 2" xfId="17636" xr:uid="{00000000-0005-0000-0000-0000443D0000}"/>
    <cellStyle name="40% - Accent5 28 2 6" xfId="15642" xr:uid="{00000000-0005-0000-0000-0000453D0000}"/>
    <cellStyle name="40% - Accent5 28 3" xfId="11333" xr:uid="{00000000-0005-0000-0000-0000463D0000}"/>
    <cellStyle name="40% - Accent5 28 3 2" xfId="22621" xr:uid="{00000000-0005-0000-0000-0000473D0000}"/>
    <cellStyle name="40% - Accent5 28 4" xfId="9339" xr:uid="{00000000-0005-0000-0000-0000483D0000}"/>
    <cellStyle name="40% - Accent5 28 4 2" xfId="20627" xr:uid="{00000000-0005-0000-0000-0000493D0000}"/>
    <cellStyle name="40% - Accent5 28 5" xfId="7345" xr:uid="{00000000-0005-0000-0000-00004A3D0000}"/>
    <cellStyle name="40% - Accent5 28 5 2" xfId="18633" xr:uid="{00000000-0005-0000-0000-00004B3D0000}"/>
    <cellStyle name="40% - Accent5 28 6" xfId="5351" xr:uid="{00000000-0005-0000-0000-00004C3D0000}"/>
    <cellStyle name="40% - Accent5 28 6 2" xfId="16639" xr:uid="{00000000-0005-0000-0000-00004D3D0000}"/>
    <cellStyle name="40% - Accent5 28 7" xfId="14645" xr:uid="{00000000-0005-0000-0000-00004E3D0000}"/>
    <cellStyle name="40% - Accent5 28 8" xfId="13331" xr:uid="{00000000-0005-0000-0000-00004F3D0000}"/>
    <cellStyle name="40% - Accent5 29" xfId="1396" xr:uid="{00000000-0005-0000-0000-0000503D0000}"/>
    <cellStyle name="40% - Accent5 29 2" xfId="4352" xr:uid="{00000000-0005-0000-0000-0000513D0000}"/>
    <cellStyle name="40% - Accent5 29 2 2" xfId="12331" xr:uid="{00000000-0005-0000-0000-0000523D0000}"/>
    <cellStyle name="40% - Accent5 29 2 2 2" xfId="23619" xr:uid="{00000000-0005-0000-0000-0000533D0000}"/>
    <cellStyle name="40% - Accent5 29 2 3" xfId="10337" xr:uid="{00000000-0005-0000-0000-0000543D0000}"/>
    <cellStyle name="40% - Accent5 29 2 3 2" xfId="21625" xr:uid="{00000000-0005-0000-0000-0000553D0000}"/>
    <cellStyle name="40% - Accent5 29 2 4" xfId="8343" xr:uid="{00000000-0005-0000-0000-0000563D0000}"/>
    <cellStyle name="40% - Accent5 29 2 4 2" xfId="19631" xr:uid="{00000000-0005-0000-0000-0000573D0000}"/>
    <cellStyle name="40% - Accent5 29 2 5" xfId="6349" xr:uid="{00000000-0005-0000-0000-0000583D0000}"/>
    <cellStyle name="40% - Accent5 29 2 5 2" xfId="17637" xr:uid="{00000000-0005-0000-0000-0000593D0000}"/>
    <cellStyle name="40% - Accent5 29 2 6" xfId="15643" xr:uid="{00000000-0005-0000-0000-00005A3D0000}"/>
    <cellStyle name="40% - Accent5 29 3" xfId="11334" xr:uid="{00000000-0005-0000-0000-00005B3D0000}"/>
    <cellStyle name="40% - Accent5 29 3 2" xfId="22622" xr:uid="{00000000-0005-0000-0000-00005C3D0000}"/>
    <cellStyle name="40% - Accent5 29 4" xfId="9340" xr:uid="{00000000-0005-0000-0000-00005D3D0000}"/>
    <cellStyle name="40% - Accent5 29 4 2" xfId="20628" xr:uid="{00000000-0005-0000-0000-00005E3D0000}"/>
    <cellStyle name="40% - Accent5 29 5" xfId="7346" xr:uid="{00000000-0005-0000-0000-00005F3D0000}"/>
    <cellStyle name="40% - Accent5 29 5 2" xfId="18634" xr:uid="{00000000-0005-0000-0000-0000603D0000}"/>
    <cellStyle name="40% - Accent5 29 6" xfId="5352" xr:uid="{00000000-0005-0000-0000-0000613D0000}"/>
    <cellStyle name="40% - Accent5 29 6 2" xfId="16640" xr:uid="{00000000-0005-0000-0000-0000623D0000}"/>
    <cellStyle name="40% - Accent5 29 7" xfId="14646" xr:uid="{00000000-0005-0000-0000-0000633D0000}"/>
    <cellStyle name="40% - Accent5 29 8" xfId="13332" xr:uid="{00000000-0005-0000-0000-0000643D0000}"/>
    <cellStyle name="40% - Accent5 3" xfId="1397" xr:uid="{00000000-0005-0000-0000-0000653D0000}"/>
    <cellStyle name="40% - Accent5 3 10" xfId="24620" xr:uid="{00000000-0005-0000-0000-0000663D0000}"/>
    <cellStyle name="40% - Accent5 3 11" xfId="25010" xr:uid="{00000000-0005-0000-0000-0000673D0000}"/>
    <cellStyle name="40% - Accent5 3 2" xfId="4353" xr:uid="{00000000-0005-0000-0000-0000683D0000}"/>
    <cellStyle name="40% - Accent5 3 2 2" xfId="12332" xr:uid="{00000000-0005-0000-0000-0000693D0000}"/>
    <cellStyle name="40% - Accent5 3 2 2 2" xfId="23620" xr:uid="{00000000-0005-0000-0000-00006A3D0000}"/>
    <cellStyle name="40% - Accent5 3 2 3" xfId="10338" xr:uid="{00000000-0005-0000-0000-00006B3D0000}"/>
    <cellStyle name="40% - Accent5 3 2 3 2" xfId="21626" xr:uid="{00000000-0005-0000-0000-00006C3D0000}"/>
    <cellStyle name="40% - Accent5 3 2 4" xfId="8344" xr:uid="{00000000-0005-0000-0000-00006D3D0000}"/>
    <cellStyle name="40% - Accent5 3 2 4 2" xfId="19632" xr:uid="{00000000-0005-0000-0000-00006E3D0000}"/>
    <cellStyle name="40% - Accent5 3 2 5" xfId="6350" xr:uid="{00000000-0005-0000-0000-00006F3D0000}"/>
    <cellStyle name="40% - Accent5 3 2 5 2" xfId="17638" xr:uid="{00000000-0005-0000-0000-0000703D0000}"/>
    <cellStyle name="40% - Accent5 3 2 6" xfId="15644" xr:uid="{00000000-0005-0000-0000-0000713D0000}"/>
    <cellStyle name="40% - Accent5 3 2 7" xfId="24381" xr:uid="{00000000-0005-0000-0000-0000723D0000}"/>
    <cellStyle name="40% - Accent5 3 2 8" xfId="24845" xr:uid="{00000000-0005-0000-0000-0000733D0000}"/>
    <cellStyle name="40% - Accent5 3 2 9" xfId="25212" xr:uid="{00000000-0005-0000-0000-0000743D0000}"/>
    <cellStyle name="40% - Accent5 3 3" xfId="11335" xr:uid="{00000000-0005-0000-0000-0000753D0000}"/>
    <cellStyle name="40% - Accent5 3 3 2" xfId="22623" xr:uid="{00000000-0005-0000-0000-0000763D0000}"/>
    <cellStyle name="40% - Accent5 3 4" xfId="9341" xr:uid="{00000000-0005-0000-0000-0000773D0000}"/>
    <cellStyle name="40% - Accent5 3 4 2" xfId="20629" xr:uid="{00000000-0005-0000-0000-0000783D0000}"/>
    <cellStyle name="40% - Accent5 3 5" xfId="7347" xr:uid="{00000000-0005-0000-0000-0000793D0000}"/>
    <cellStyle name="40% - Accent5 3 5 2" xfId="18635" xr:uid="{00000000-0005-0000-0000-00007A3D0000}"/>
    <cellStyle name="40% - Accent5 3 6" xfId="5353" xr:uid="{00000000-0005-0000-0000-00007B3D0000}"/>
    <cellStyle name="40% - Accent5 3 6 2" xfId="16641" xr:uid="{00000000-0005-0000-0000-00007C3D0000}"/>
    <cellStyle name="40% - Accent5 3 7" xfId="14647" xr:uid="{00000000-0005-0000-0000-00007D3D0000}"/>
    <cellStyle name="40% - Accent5 3 8" xfId="13333" xr:uid="{00000000-0005-0000-0000-00007E3D0000}"/>
    <cellStyle name="40% - Accent5 3 9" xfId="23993" xr:uid="{00000000-0005-0000-0000-00007F3D0000}"/>
    <cellStyle name="40% - Accent5 30" xfId="1398" xr:uid="{00000000-0005-0000-0000-0000803D0000}"/>
    <cellStyle name="40% - Accent5 30 2" xfId="4354" xr:uid="{00000000-0005-0000-0000-0000813D0000}"/>
    <cellStyle name="40% - Accent5 30 2 2" xfId="12333" xr:uid="{00000000-0005-0000-0000-0000823D0000}"/>
    <cellStyle name="40% - Accent5 30 2 2 2" xfId="23621" xr:uid="{00000000-0005-0000-0000-0000833D0000}"/>
    <cellStyle name="40% - Accent5 30 2 3" xfId="10339" xr:uid="{00000000-0005-0000-0000-0000843D0000}"/>
    <cellStyle name="40% - Accent5 30 2 3 2" xfId="21627" xr:uid="{00000000-0005-0000-0000-0000853D0000}"/>
    <cellStyle name="40% - Accent5 30 2 4" xfId="8345" xr:uid="{00000000-0005-0000-0000-0000863D0000}"/>
    <cellStyle name="40% - Accent5 30 2 4 2" xfId="19633" xr:uid="{00000000-0005-0000-0000-0000873D0000}"/>
    <cellStyle name="40% - Accent5 30 2 5" xfId="6351" xr:uid="{00000000-0005-0000-0000-0000883D0000}"/>
    <cellStyle name="40% - Accent5 30 2 5 2" xfId="17639" xr:uid="{00000000-0005-0000-0000-0000893D0000}"/>
    <cellStyle name="40% - Accent5 30 2 6" xfId="15645" xr:uid="{00000000-0005-0000-0000-00008A3D0000}"/>
    <cellStyle name="40% - Accent5 30 3" xfId="11336" xr:uid="{00000000-0005-0000-0000-00008B3D0000}"/>
    <cellStyle name="40% - Accent5 30 3 2" xfId="22624" xr:uid="{00000000-0005-0000-0000-00008C3D0000}"/>
    <cellStyle name="40% - Accent5 30 4" xfId="9342" xr:uid="{00000000-0005-0000-0000-00008D3D0000}"/>
    <cellStyle name="40% - Accent5 30 4 2" xfId="20630" xr:uid="{00000000-0005-0000-0000-00008E3D0000}"/>
    <cellStyle name="40% - Accent5 30 5" xfId="7348" xr:uid="{00000000-0005-0000-0000-00008F3D0000}"/>
    <cellStyle name="40% - Accent5 30 5 2" xfId="18636" xr:uid="{00000000-0005-0000-0000-0000903D0000}"/>
    <cellStyle name="40% - Accent5 30 6" xfId="5354" xr:uid="{00000000-0005-0000-0000-0000913D0000}"/>
    <cellStyle name="40% - Accent5 30 6 2" xfId="16642" xr:uid="{00000000-0005-0000-0000-0000923D0000}"/>
    <cellStyle name="40% - Accent5 30 7" xfId="14648" xr:uid="{00000000-0005-0000-0000-0000933D0000}"/>
    <cellStyle name="40% - Accent5 30 8" xfId="13334" xr:uid="{00000000-0005-0000-0000-0000943D0000}"/>
    <cellStyle name="40% - Accent5 31" xfId="1399" xr:uid="{00000000-0005-0000-0000-0000953D0000}"/>
    <cellStyle name="40% - Accent5 31 2" xfId="4355" xr:uid="{00000000-0005-0000-0000-0000963D0000}"/>
    <cellStyle name="40% - Accent5 31 2 2" xfId="12334" xr:uid="{00000000-0005-0000-0000-0000973D0000}"/>
    <cellStyle name="40% - Accent5 31 2 2 2" xfId="23622" xr:uid="{00000000-0005-0000-0000-0000983D0000}"/>
    <cellStyle name="40% - Accent5 31 2 3" xfId="10340" xr:uid="{00000000-0005-0000-0000-0000993D0000}"/>
    <cellStyle name="40% - Accent5 31 2 3 2" xfId="21628" xr:uid="{00000000-0005-0000-0000-00009A3D0000}"/>
    <cellStyle name="40% - Accent5 31 2 4" xfId="8346" xr:uid="{00000000-0005-0000-0000-00009B3D0000}"/>
    <cellStyle name="40% - Accent5 31 2 4 2" xfId="19634" xr:uid="{00000000-0005-0000-0000-00009C3D0000}"/>
    <cellStyle name="40% - Accent5 31 2 5" xfId="6352" xr:uid="{00000000-0005-0000-0000-00009D3D0000}"/>
    <cellStyle name="40% - Accent5 31 2 5 2" xfId="17640" xr:uid="{00000000-0005-0000-0000-00009E3D0000}"/>
    <cellStyle name="40% - Accent5 31 2 6" xfId="15646" xr:uid="{00000000-0005-0000-0000-00009F3D0000}"/>
    <cellStyle name="40% - Accent5 31 3" xfId="11337" xr:uid="{00000000-0005-0000-0000-0000A03D0000}"/>
    <cellStyle name="40% - Accent5 31 3 2" xfId="22625" xr:uid="{00000000-0005-0000-0000-0000A13D0000}"/>
    <cellStyle name="40% - Accent5 31 4" xfId="9343" xr:uid="{00000000-0005-0000-0000-0000A23D0000}"/>
    <cellStyle name="40% - Accent5 31 4 2" xfId="20631" xr:uid="{00000000-0005-0000-0000-0000A33D0000}"/>
    <cellStyle name="40% - Accent5 31 5" xfId="7349" xr:uid="{00000000-0005-0000-0000-0000A43D0000}"/>
    <cellStyle name="40% - Accent5 31 5 2" xfId="18637" xr:uid="{00000000-0005-0000-0000-0000A53D0000}"/>
    <cellStyle name="40% - Accent5 31 6" xfId="5355" xr:uid="{00000000-0005-0000-0000-0000A63D0000}"/>
    <cellStyle name="40% - Accent5 31 6 2" xfId="16643" xr:uid="{00000000-0005-0000-0000-0000A73D0000}"/>
    <cellStyle name="40% - Accent5 31 7" xfId="14649" xr:uid="{00000000-0005-0000-0000-0000A83D0000}"/>
    <cellStyle name="40% - Accent5 31 8" xfId="13335" xr:uid="{00000000-0005-0000-0000-0000A93D0000}"/>
    <cellStyle name="40% - Accent5 32" xfId="1400" xr:uid="{00000000-0005-0000-0000-0000AA3D0000}"/>
    <cellStyle name="40% - Accent5 32 2" xfId="4356" xr:uid="{00000000-0005-0000-0000-0000AB3D0000}"/>
    <cellStyle name="40% - Accent5 32 2 2" xfId="12335" xr:uid="{00000000-0005-0000-0000-0000AC3D0000}"/>
    <cellStyle name="40% - Accent5 32 2 2 2" xfId="23623" xr:uid="{00000000-0005-0000-0000-0000AD3D0000}"/>
    <cellStyle name="40% - Accent5 32 2 3" xfId="10341" xr:uid="{00000000-0005-0000-0000-0000AE3D0000}"/>
    <cellStyle name="40% - Accent5 32 2 3 2" xfId="21629" xr:uid="{00000000-0005-0000-0000-0000AF3D0000}"/>
    <cellStyle name="40% - Accent5 32 2 4" xfId="8347" xr:uid="{00000000-0005-0000-0000-0000B03D0000}"/>
    <cellStyle name="40% - Accent5 32 2 4 2" xfId="19635" xr:uid="{00000000-0005-0000-0000-0000B13D0000}"/>
    <cellStyle name="40% - Accent5 32 2 5" xfId="6353" xr:uid="{00000000-0005-0000-0000-0000B23D0000}"/>
    <cellStyle name="40% - Accent5 32 2 5 2" xfId="17641" xr:uid="{00000000-0005-0000-0000-0000B33D0000}"/>
    <cellStyle name="40% - Accent5 32 2 6" xfId="15647" xr:uid="{00000000-0005-0000-0000-0000B43D0000}"/>
    <cellStyle name="40% - Accent5 32 3" xfId="11338" xr:uid="{00000000-0005-0000-0000-0000B53D0000}"/>
    <cellStyle name="40% - Accent5 32 3 2" xfId="22626" xr:uid="{00000000-0005-0000-0000-0000B63D0000}"/>
    <cellStyle name="40% - Accent5 32 4" xfId="9344" xr:uid="{00000000-0005-0000-0000-0000B73D0000}"/>
    <cellStyle name="40% - Accent5 32 4 2" xfId="20632" xr:uid="{00000000-0005-0000-0000-0000B83D0000}"/>
    <cellStyle name="40% - Accent5 32 5" xfId="7350" xr:uid="{00000000-0005-0000-0000-0000B93D0000}"/>
    <cellStyle name="40% - Accent5 32 5 2" xfId="18638" xr:uid="{00000000-0005-0000-0000-0000BA3D0000}"/>
    <cellStyle name="40% - Accent5 32 6" xfId="5356" xr:uid="{00000000-0005-0000-0000-0000BB3D0000}"/>
    <cellStyle name="40% - Accent5 32 6 2" xfId="16644" xr:uid="{00000000-0005-0000-0000-0000BC3D0000}"/>
    <cellStyle name="40% - Accent5 32 7" xfId="14650" xr:uid="{00000000-0005-0000-0000-0000BD3D0000}"/>
    <cellStyle name="40% - Accent5 32 8" xfId="13336" xr:uid="{00000000-0005-0000-0000-0000BE3D0000}"/>
    <cellStyle name="40% - Accent5 33" xfId="1401" xr:uid="{00000000-0005-0000-0000-0000BF3D0000}"/>
    <cellStyle name="40% - Accent5 33 2" xfId="4357" xr:uid="{00000000-0005-0000-0000-0000C03D0000}"/>
    <cellStyle name="40% - Accent5 33 2 2" xfId="12336" xr:uid="{00000000-0005-0000-0000-0000C13D0000}"/>
    <cellStyle name="40% - Accent5 33 2 2 2" xfId="23624" xr:uid="{00000000-0005-0000-0000-0000C23D0000}"/>
    <cellStyle name="40% - Accent5 33 2 3" xfId="10342" xr:uid="{00000000-0005-0000-0000-0000C33D0000}"/>
    <cellStyle name="40% - Accent5 33 2 3 2" xfId="21630" xr:uid="{00000000-0005-0000-0000-0000C43D0000}"/>
    <cellStyle name="40% - Accent5 33 2 4" xfId="8348" xr:uid="{00000000-0005-0000-0000-0000C53D0000}"/>
    <cellStyle name="40% - Accent5 33 2 4 2" xfId="19636" xr:uid="{00000000-0005-0000-0000-0000C63D0000}"/>
    <cellStyle name="40% - Accent5 33 2 5" xfId="6354" xr:uid="{00000000-0005-0000-0000-0000C73D0000}"/>
    <cellStyle name="40% - Accent5 33 2 5 2" xfId="17642" xr:uid="{00000000-0005-0000-0000-0000C83D0000}"/>
    <cellStyle name="40% - Accent5 33 2 6" xfId="15648" xr:uid="{00000000-0005-0000-0000-0000C93D0000}"/>
    <cellStyle name="40% - Accent5 33 3" xfId="11339" xr:uid="{00000000-0005-0000-0000-0000CA3D0000}"/>
    <cellStyle name="40% - Accent5 33 3 2" xfId="22627" xr:uid="{00000000-0005-0000-0000-0000CB3D0000}"/>
    <cellStyle name="40% - Accent5 33 4" xfId="9345" xr:uid="{00000000-0005-0000-0000-0000CC3D0000}"/>
    <cellStyle name="40% - Accent5 33 4 2" xfId="20633" xr:uid="{00000000-0005-0000-0000-0000CD3D0000}"/>
    <cellStyle name="40% - Accent5 33 5" xfId="7351" xr:uid="{00000000-0005-0000-0000-0000CE3D0000}"/>
    <cellStyle name="40% - Accent5 33 5 2" xfId="18639" xr:uid="{00000000-0005-0000-0000-0000CF3D0000}"/>
    <cellStyle name="40% - Accent5 33 6" xfId="5357" xr:uid="{00000000-0005-0000-0000-0000D03D0000}"/>
    <cellStyle name="40% - Accent5 33 6 2" xfId="16645" xr:uid="{00000000-0005-0000-0000-0000D13D0000}"/>
    <cellStyle name="40% - Accent5 33 7" xfId="14651" xr:uid="{00000000-0005-0000-0000-0000D23D0000}"/>
    <cellStyle name="40% - Accent5 33 8" xfId="13337" xr:uid="{00000000-0005-0000-0000-0000D33D0000}"/>
    <cellStyle name="40% - Accent5 34" xfId="1402" xr:uid="{00000000-0005-0000-0000-0000D43D0000}"/>
    <cellStyle name="40% - Accent5 34 2" xfId="4358" xr:uid="{00000000-0005-0000-0000-0000D53D0000}"/>
    <cellStyle name="40% - Accent5 34 2 2" xfId="12337" xr:uid="{00000000-0005-0000-0000-0000D63D0000}"/>
    <cellStyle name="40% - Accent5 34 2 2 2" xfId="23625" xr:uid="{00000000-0005-0000-0000-0000D73D0000}"/>
    <cellStyle name="40% - Accent5 34 2 3" xfId="10343" xr:uid="{00000000-0005-0000-0000-0000D83D0000}"/>
    <cellStyle name="40% - Accent5 34 2 3 2" xfId="21631" xr:uid="{00000000-0005-0000-0000-0000D93D0000}"/>
    <cellStyle name="40% - Accent5 34 2 4" xfId="8349" xr:uid="{00000000-0005-0000-0000-0000DA3D0000}"/>
    <cellStyle name="40% - Accent5 34 2 4 2" xfId="19637" xr:uid="{00000000-0005-0000-0000-0000DB3D0000}"/>
    <cellStyle name="40% - Accent5 34 2 5" xfId="6355" xr:uid="{00000000-0005-0000-0000-0000DC3D0000}"/>
    <cellStyle name="40% - Accent5 34 2 5 2" xfId="17643" xr:uid="{00000000-0005-0000-0000-0000DD3D0000}"/>
    <cellStyle name="40% - Accent5 34 2 6" xfId="15649" xr:uid="{00000000-0005-0000-0000-0000DE3D0000}"/>
    <cellStyle name="40% - Accent5 34 3" xfId="11340" xr:uid="{00000000-0005-0000-0000-0000DF3D0000}"/>
    <cellStyle name="40% - Accent5 34 3 2" xfId="22628" xr:uid="{00000000-0005-0000-0000-0000E03D0000}"/>
    <cellStyle name="40% - Accent5 34 4" xfId="9346" xr:uid="{00000000-0005-0000-0000-0000E13D0000}"/>
    <cellStyle name="40% - Accent5 34 4 2" xfId="20634" xr:uid="{00000000-0005-0000-0000-0000E23D0000}"/>
    <cellStyle name="40% - Accent5 34 5" xfId="7352" xr:uid="{00000000-0005-0000-0000-0000E33D0000}"/>
    <cellStyle name="40% - Accent5 34 5 2" xfId="18640" xr:uid="{00000000-0005-0000-0000-0000E43D0000}"/>
    <cellStyle name="40% - Accent5 34 6" xfId="5358" xr:uid="{00000000-0005-0000-0000-0000E53D0000}"/>
    <cellStyle name="40% - Accent5 34 6 2" xfId="16646" xr:uid="{00000000-0005-0000-0000-0000E63D0000}"/>
    <cellStyle name="40% - Accent5 34 7" xfId="14652" xr:uid="{00000000-0005-0000-0000-0000E73D0000}"/>
    <cellStyle name="40% - Accent5 34 8" xfId="13338" xr:uid="{00000000-0005-0000-0000-0000E83D0000}"/>
    <cellStyle name="40% - Accent5 35" xfId="1403" xr:uid="{00000000-0005-0000-0000-0000E93D0000}"/>
    <cellStyle name="40% - Accent5 35 2" xfId="4359" xr:uid="{00000000-0005-0000-0000-0000EA3D0000}"/>
    <cellStyle name="40% - Accent5 35 2 2" xfId="12338" xr:uid="{00000000-0005-0000-0000-0000EB3D0000}"/>
    <cellStyle name="40% - Accent5 35 2 2 2" xfId="23626" xr:uid="{00000000-0005-0000-0000-0000EC3D0000}"/>
    <cellStyle name="40% - Accent5 35 2 3" xfId="10344" xr:uid="{00000000-0005-0000-0000-0000ED3D0000}"/>
    <cellStyle name="40% - Accent5 35 2 3 2" xfId="21632" xr:uid="{00000000-0005-0000-0000-0000EE3D0000}"/>
    <cellStyle name="40% - Accent5 35 2 4" xfId="8350" xr:uid="{00000000-0005-0000-0000-0000EF3D0000}"/>
    <cellStyle name="40% - Accent5 35 2 4 2" xfId="19638" xr:uid="{00000000-0005-0000-0000-0000F03D0000}"/>
    <cellStyle name="40% - Accent5 35 2 5" xfId="6356" xr:uid="{00000000-0005-0000-0000-0000F13D0000}"/>
    <cellStyle name="40% - Accent5 35 2 5 2" xfId="17644" xr:uid="{00000000-0005-0000-0000-0000F23D0000}"/>
    <cellStyle name="40% - Accent5 35 2 6" xfId="15650" xr:uid="{00000000-0005-0000-0000-0000F33D0000}"/>
    <cellStyle name="40% - Accent5 35 3" xfId="11341" xr:uid="{00000000-0005-0000-0000-0000F43D0000}"/>
    <cellStyle name="40% - Accent5 35 3 2" xfId="22629" xr:uid="{00000000-0005-0000-0000-0000F53D0000}"/>
    <cellStyle name="40% - Accent5 35 4" xfId="9347" xr:uid="{00000000-0005-0000-0000-0000F63D0000}"/>
    <cellStyle name="40% - Accent5 35 4 2" xfId="20635" xr:uid="{00000000-0005-0000-0000-0000F73D0000}"/>
    <cellStyle name="40% - Accent5 35 5" xfId="7353" xr:uid="{00000000-0005-0000-0000-0000F83D0000}"/>
    <cellStyle name="40% - Accent5 35 5 2" xfId="18641" xr:uid="{00000000-0005-0000-0000-0000F93D0000}"/>
    <cellStyle name="40% - Accent5 35 6" xfId="5359" xr:uid="{00000000-0005-0000-0000-0000FA3D0000}"/>
    <cellStyle name="40% - Accent5 35 6 2" xfId="16647" xr:uid="{00000000-0005-0000-0000-0000FB3D0000}"/>
    <cellStyle name="40% - Accent5 35 7" xfId="14653" xr:uid="{00000000-0005-0000-0000-0000FC3D0000}"/>
    <cellStyle name="40% - Accent5 35 8" xfId="13339" xr:uid="{00000000-0005-0000-0000-0000FD3D0000}"/>
    <cellStyle name="40% - Accent5 36" xfId="1404" xr:uid="{00000000-0005-0000-0000-0000FE3D0000}"/>
    <cellStyle name="40% - Accent5 36 2" xfId="4360" xr:uid="{00000000-0005-0000-0000-0000FF3D0000}"/>
    <cellStyle name="40% - Accent5 36 2 2" xfId="12339" xr:uid="{00000000-0005-0000-0000-0000003E0000}"/>
    <cellStyle name="40% - Accent5 36 2 2 2" xfId="23627" xr:uid="{00000000-0005-0000-0000-0000013E0000}"/>
    <cellStyle name="40% - Accent5 36 2 3" xfId="10345" xr:uid="{00000000-0005-0000-0000-0000023E0000}"/>
    <cellStyle name="40% - Accent5 36 2 3 2" xfId="21633" xr:uid="{00000000-0005-0000-0000-0000033E0000}"/>
    <cellStyle name="40% - Accent5 36 2 4" xfId="8351" xr:uid="{00000000-0005-0000-0000-0000043E0000}"/>
    <cellStyle name="40% - Accent5 36 2 4 2" xfId="19639" xr:uid="{00000000-0005-0000-0000-0000053E0000}"/>
    <cellStyle name="40% - Accent5 36 2 5" xfId="6357" xr:uid="{00000000-0005-0000-0000-0000063E0000}"/>
    <cellStyle name="40% - Accent5 36 2 5 2" xfId="17645" xr:uid="{00000000-0005-0000-0000-0000073E0000}"/>
    <cellStyle name="40% - Accent5 36 2 6" xfId="15651" xr:uid="{00000000-0005-0000-0000-0000083E0000}"/>
    <cellStyle name="40% - Accent5 36 3" xfId="11342" xr:uid="{00000000-0005-0000-0000-0000093E0000}"/>
    <cellStyle name="40% - Accent5 36 3 2" xfId="22630" xr:uid="{00000000-0005-0000-0000-00000A3E0000}"/>
    <cellStyle name="40% - Accent5 36 4" xfId="9348" xr:uid="{00000000-0005-0000-0000-00000B3E0000}"/>
    <cellStyle name="40% - Accent5 36 4 2" xfId="20636" xr:uid="{00000000-0005-0000-0000-00000C3E0000}"/>
    <cellStyle name="40% - Accent5 36 5" xfId="7354" xr:uid="{00000000-0005-0000-0000-00000D3E0000}"/>
    <cellStyle name="40% - Accent5 36 5 2" xfId="18642" xr:uid="{00000000-0005-0000-0000-00000E3E0000}"/>
    <cellStyle name="40% - Accent5 36 6" xfId="5360" xr:uid="{00000000-0005-0000-0000-00000F3E0000}"/>
    <cellStyle name="40% - Accent5 36 6 2" xfId="16648" xr:uid="{00000000-0005-0000-0000-0000103E0000}"/>
    <cellStyle name="40% - Accent5 36 7" xfId="14654" xr:uid="{00000000-0005-0000-0000-0000113E0000}"/>
    <cellStyle name="40% - Accent5 36 8" xfId="13340" xr:uid="{00000000-0005-0000-0000-0000123E0000}"/>
    <cellStyle name="40% - Accent5 37" xfId="1405" xr:uid="{00000000-0005-0000-0000-0000133E0000}"/>
    <cellStyle name="40% - Accent5 37 2" xfId="4361" xr:uid="{00000000-0005-0000-0000-0000143E0000}"/>
    <cellStyle name="40% - Accent5 37 2 2" xfId="12340" xr:uid="{00000000-0005-0000-0000-0000153E0000}"/>
    <cellStyle name="40% - Accent5 37 2 2 2" xfId="23628" xr:uid="{00000000-0005-0000-0000-0000163E0000}"/>
    <cellStyle name="40% - Accent5 37 2 3" xfId="10346" xr:uid="{00000000-0005-0000-0000-0000173E0000}"/>
    <cellStyle name="40% - Accent5 37 2 3 2" xfId="21634" xr:uid="{00000000-0005-0000-0000-0000183E0000}"/>
    <cellStyle name="40% - Accent5 37 2 4" xfId="8352" xr:uid="{00000000-0005-0000-0000-0000193E0000}"/>
    <cellStyle name="40% - Accent5 37 2 4 2" xfId="19640" xr:uid="{00000000-0005-0000-0000-00001A3E0000}"/>
    <cellStyle name="40% - Accent5 37 2 5" xfId="6358" xr:uid="{00000000-0005-0000-0000-00001B3E0000}"/>
    <cellStyle name="40% - Accent5 37 2 5 2" xfId="17646" xr:uid="{00000000-0005-0000-0000-00001C3E0000}"/>
    <cellStyle name="40% - Accent5 37 2 6" xfId="15652" xr:uid="{00000000-0005-0000-0000-00001D3E0000}"/>
    <cellStyle name="40% - Accent5 37 3" xfId="11343" xr:uid="{00000000-0005-0000-0000-00001E3E0000}"/>
    <cellStyle name="40% - Accent5 37 3 2" xfId="22631" xr:uid="{00000000-0005-0000-0000-00001F3E0000}"/>
    <cellStyle name="40% - Accent5 37 4" xfId="9349" xr:uid="{00000000-0005-0000-0000-0000203E0000}"/>
    <cellStyle name="40% - Accent5 37 4 2" xfId="20637" xr:uid="{00000000-0005-0000-0000-0000213E0000}"/>
    <cellStyle name="40% - Accent5 37 5" xfId="7355" xr:uid="{00000000-0005-0000-0000-0000223E0000}"/>
    <cellStyle name="40% - Accent5 37 5 2" xfId="18643" xr:uid="{00000000-0005-0000-0000-0000233E0000}"/>
    <cellStyle name="40% - Accent5 37 6" xfId="5361" xr:uid="{00000000-0005-0000-0000-0000243E0000}"/>
    <cellStyle name="40% - Accent5 37 6 2" xfId="16649" xr:uid="{00000000-0005-0000-0000-0000253E0000}"/>
    <cellStyle name="40% - Accent5 37 7" xfId="14655" xr:uid="{00000000-0005-0000-0000-0000263E0000}"/>
    <cellStyle name="40% - Accent5 37 8" xfId="13341" xr:uid="{00000000-0005-0000-0000-0000273E0000}"/>
    <cellStyle name="40% - Accent5 38" xfId="1406" xr:uid="{00000000-0005-0000-0000-0000283E0000}"/>
    <cellStyle name="40% - Accent5 38 2" xfId="4362" xr:uid="{00000000-0005-0000-0000-0000293E0000}"/>
    <cellStyle name="40% - Accent5 38 2 2" xfId="12341" xr:uid="{00000000-0005-0000-0000-00002A3E0000}"/>
    <cellStyle name="40% - Accent5 38 2 2 2" xfId="23629" xr:uid="{00000000-0005-0000-0000-00002B3E0000}"/>
    <cellStyle name="40% - Accent5 38 2 3" xfId="10347" xr:uid="{00000000-0005-0000-0000-00002C3E0000}"/>
    <cellStyle name="40% - Accent5 38 2 3 2" xfId="21635" xr:uid="{00000000-0005-0000-0000-00002D3E0000}"/>
    <cellStyle name="40% - Accent5 38 2 4" xfId="8353" xr:uid="{00000000-0005-0000-0000-00002E3E0000}"/>
    <cellStyle name="40% - Accent5 38 2 4 2" xfId="19641" xr:uid="{00000000-0005-0000-0000-00002F3E0000}"/>
    <cellStyle name="40% - Accent5 38 2 5" xfId="6359" xr:uid="{00000000-0005-0000-0000-0000303E0000}"/>
    <cellStyle name="40% - Accent5 38 2 5 2" xfId="17647" xr:uid="{00000000-0005-0000-0000-0000313E0000}"/>
    <cellStyle name="40% - Accent5 38 2 6" xfId="15653" xr:uid="{00000000-0005-0000-0000-0000323E0000}"/>
    <cellStyle name="40% - Accent5 38 3" xfId="11344" xr:uid="{00000000-0005-0000-0000-0000333E0000}"/>
    <cellStyle name="40% - Accent5 38 3 2" xfId="22632" xr:uid="{00000000-0005-0000-0000-0000343E0000}"/>
    <cellStyle name="40% - Accent5 38 4" xfId="9350" xr:uid="{00000000-0005-0000-0000-0000353E0000}"/>
    <cellStyle name="40% - Accent5 38 4 2" xfId="20638" xr:uid="{00000000-0005-0000-0000-0000363E0000}"/>
    <cellStyle name="40% - Accent5 38 5" xfId="7356" xr:uid="{00000000-0005-0000-0000-0000373E0000}"/>
    <cellStyle name="40% - Accent5 38 5 2" xfId="18644" xr:uid="{00000000-0005-0000-0000-0000383E0000}"/>
    <cellStyle name="40% - Accent5 38 6" xfId="5362" xr:uid="{00000000-0005-0000-0000-0000393E0000}"/>
    <cellStyle name="40% - Accent5 38 6 2" xfId="16650" xr:uid="{00000000-0005-0000-0000-00003A3E0000}"/>
    <cellStyle name="40% - Accent5 38 7" xfId="14656" xr:uid="{00000000-0005-0000-0000-00003B3E0000}"/>
    <cellStyle name="40% - Accent5 38 8" xfId="13342" xr:uid="{00000000-0005-0000-0000-00003C3E0000}"/>
    <cellStyle name="40% - Accent5 39" xfId="1407" xr:uid="{00000000-0005-0000-0000-00003D3E0000}"/>
    <cellStyle name="40% - Accent5 39 2" xfId="4363" xr:uid="{00000000-0005-0000-0000-00003E3E0000}"/>
    <cellStyle name="40% - Accent5 39 2 2" xfId="12342" xr:uid="{00000000-0005-0000-0000-00003F3E0000}"/>
    <cellStyle name="40% - Accent5 39 2 2 2" xfId="23630" xr:uid="{00000000-0005-0000-0000-0000403E0000}"/>
    <cellStyle name="40% - Accent5 39 2 3" xfId="10348" xr:uid="{00000000-0005-0000-0000-0000413E0000}"/>
    <cellStyle name="40% - Accent5 39 2 3 2" xfId="21636" xr:uid="{00000000-0005-0000-0000-0000423E0000}"/>
    <cellStyle name="40% - Accent5 39 2 4" xfId="8354" xr:uid="{00000000-0005-0000-0000-0000433E0000}"/>
    <cellStyle name="40% - Accent5 39 2 4 2" xfId="19642" xr:uid="{00000000-0005-0000-0000-0000443E0000}"/>
    <cellStyle name="40% - Accent5 39 2 5" xfId="6360" xr:uid="{00000000-0005-0000-0000-0000453E0000}"/>
    <cellStyle name="40% - Accent5 39 2 5 2" xfId="17648" xr:uid="{00000000-0005-0000-0000-0000463E0000}"/>
    <cellStyle name="40% - Accent5 39 2 6" xfId="15654" xr:uid="{00000000-0005-0000-0000-0000473E0000}"/>
    <cellStyle name="40% - Accent5 39 3" xfId="11345" xr:uid="{00000000-0005-0000-0000-0000483E0000}"/>
    <cellStyle name="40% - Accent5 39 3 2" xfId="22633" xr:uid="{00000000-0005-0000-0000-0000493E0000}"/>
    <cellStyle name="40% - Accent5 39 4" xfId="9351" xr:uid="{00000000-0005-0000-0000-00004A3E0000}"/>
    <cellStyle name="40% - Accent5 39 4 2" xfId="20639" xr:uid="{00000000-0005-0000-0000-00004B3E0000}"/>
    <cellStyle name="40% - Accent5 39 5" xfId="7357" xr:uid="{00000000-0005-0000-0000-00004C3E0000}"/>
    <cellStyle name="40% - Accent5 39 5 2" xfId="18645" xr:uid="{00000000-0005-0000-0000-00004D3E0000}"/>
    <cellStyle name="40% - Accent5 39 6" xfId="5363" xr:uid="{00000000-0005-0000-0000-00004E3E0000}"/>
    <cellStyle name="40% - Accent5 39 6 2" xfId="16651" xr:uid="{00000000-0005-0000-0000-00004F3E0000}"/>
    <cellStyle name="40% - Accent5 39 7" xfId="14657" xr:uid="{00000000-0005-0000-0000-0000503E0000}"/>
    <cellStyle name="40% - Accent5 39 8" xfId="13343" xr:uid="{00000000-0005-0000-0000-0000513E0000}"/>
    <cellStyle name="40% - Accent5 4" xfId="1408" xr:uid="{00000000-0005-0000-0000-0000523E0000}"/>
    <cellStyle name="40% - Accent5 4 10" xfId="24621" xr:uid="{00000000-0005-0000-0000-0000533E0000}"/>
    <cellStyle name="40% - Accent5 4 11" xfId="25011" xr:uid="{00000000-0005-0000-0000-0000543E0000}"/>
    <cellStyle name="40% - Accent5 4 2" xfId="4364" xr:uid="{00000000-0005-0000-0000-0000553E0000}"/>
    <cellStyle name="40% - Accent5 4 2 2" xfId="12343" xr:uid="{00000000-0005-0000-0000-0000563E0000}"/>
    <cellStyle name="40% - Accent5 4 2 2 2" xfId="23631" xr:uid="{00000000-0005-0000-0000-0000573E0000}"/>
    <cellStyle name="40% - Accent5 4 2 3" xfId="10349" xr:uid="{00000000-0005-0000-0000-0000583E0000}"/>
    <cellStyle name="40% - Accent5 4 2 3 2" xfId="21637" xr:uid="{00000000-0005-0000-0000-0000593E0000}"/>
    <cellStyle name="40% - Accent5 4 2 4" xfId="8355" xr:uid="{00000000-0005-0000-0000-00005A3E0000}"/>
    <cellStyle name="40% - Accent5 4 2 4 2" xfId="19643" xr:uid="{00000000-0005-0000-0000-00005B3E0000}"/>
    <cellStyle name="40% - Accent5 4 2 5" xfId="6361" xr:uid="{00000000-0005-0000-0000-00005C3E0000}"/>
    <cellStyle name="40% - Accent5 4 2 5 2" xfId="17649" xr:uid="{00000000-0005-0000-0000-00005D3E0000}"/>
    <cellStyle name="40% - Accent5 4 2 6" xfId="15655" xr:uid="{00000000-0005-0000-0000-00005E3E0000}"/>
    <cellStyle name="40% - Accent5 4 2 7" xfId="24382" xr:uid="{00000000-0005-0000-0000-00005F3E0000}"/>
    <cellStyle name="40% - Accent5 4 2 8" xfId="24846" xr:uid="{00000000-0005-0000-0000-0000603E0000}"/>
    <cellStyle name="40% - Accent5 4 2 9" xfId="25213" xr:uid="{00000000-0005-0000-0000-0000613E0000}"/>
    <cellStyle name="40% - Accent5 4 3" xfId="11346" xr:uid="{00000000-0005-0000-0000-0000623E0000}"/>
    <cellStyle name="40% - Accent5 4 3 2" xfId="22634" xr:uid="{00000000-0005-0000-0000-0000633E0000}"/>
    <cellStyle name="40% - Accent5 4 4" xfId="9352" xr:uid="{00000000-0005-0000-0000-0000643E0000}"/>
    <cellStyle name="40% - Accent5 4 4 2" xfId="20640" xr:uid="{00000000-0005-0000-0000-0000653E0000}"/>
    <cellStyle name="40% - Accent5 4 5" xfId="7358" xr:uid="{00000000-0005-0000-0000-0000663E0000}"/>
    <cellStyle name="40% - Accent5 4 5 2" xfId="18646" xr:uid="{00000000-0005-0000-0000-0000673E0000}"/>
    <cellStyle name="40% - Accent5 4 6" xfId="5364" xr:uid="{00000000-0005-0000-0000-0000683E0000}"/>
    <cellStyle name="40% - Accent5 4 6 2" xfId="16652" xr:uid="{00000000-0005-0000-0000-0000693E0000}"/>
    <cellStyle name="40% - Accent5 4 7" xfId="14658" xr:uid="{00000000-0005-0000-0000-00006A3E0000}"/>
    <cellStyle name="40% - Accent5 4 8" xfId="13344" xr:uid="{00000000-0005-0000-0000-00006B3E0000}"/>
    <cellStyle name="40% - Accent5 4 9" xfId="23994" xr:uid="{00000000-0005-0000-0000-00006C3E0000}"/>
    <cellStyle name="40% - Accent5 40" xfId="1409" xr:uid="{00000000-0005-0000-0000-00006D3E0000}"/>
    <cellStyle name="40% - Accent5 40 2" xfId="4365" xr:uid="{00000000-0005-0000-0000-00006E3E0000}"/>
    <cellStyle name="40% - Accent5 40 2 2" xfId="12344" xr:uid="{00000000-0005-0000-0000-00006F3E0000}"/>
    <cellStyle name="40% - Accent5 40 2 2 2" xfId="23632" xr:uid="{00000000-0005-0000-0000-0000703E0000}"/>
    <cellStyle name="40% - Accent5 40 2 3" xfId="10350" xr:uid="{00000000-0005-0000-0000-0000713E0000}"/>
    <cellStyle name="40% - Accent5 40 2 3 2" xfId="21638" xr:uid="{00000000-0005-0000-0000-0000723E0000}"/>
    <cellStyle name="40% - Accent5 40 2 4" xfId="8356" xr:uid="{00000000-0005-0000-0000-0000733E0000}"/>
    <cellStyle name="40% - Accent5 40 2 4 2" xfId="19644" xr:uid="{00000000-0005-0000-0000-0000743E0000}"/>
    <cellStyle name="40% - Accent5 40 2 5" xfId="6362" xr:uid="{00000000-0005-0000-0000-0000753E0000}"/>
    <cellStyle name="40% - Accent5 40 2 5 2" xfId="17650" xr:uid="{00000000-0005-0000-0000-0000763E0000}"/>
    <cellStyle name="40% - Accent5 40 2 6" xfId="15656" xr:uid="{00000000-0005-0000-0000-0000773E0000}"/>
    <cellStyle name="40% - Accent5 40 3" xfId="11347" xr:uid="{00000000-0005-0000-0000-0000783E0000}"/>
    <cellStyle name="40% - Accent5 40 3 2" xfId="22635" xr:uid="{00000000-0005-0000-0000-0000793E0000}"/>
    <cellStyle name="40% - Accent5 40 4" xfId="9353" xr:uid="{00000000-0005-0000-0000-00007A3E0000}"/>
    <cellStyle name="40% - Accent5 40 4 2" xfId="20641" xr:uid="{00000000-0005-0000-0000-00007B3E0000}"/>
    <cellStyle name="40% - Accent5 40 5" xfId="7359" xr:uid="{00000000-0005-0000-0000-00007C3E0000}"/>
    <cellStyle name="40% - Accent5 40 5 2" xfId="18647" xr:uid="{00000000-0005-0000-0000-00007D3E0000}"/>
    <cellStyle name="40% - Accent5 40 6" xfId="5365" xr:uid="{00000000-0005-0000-0000-00007E3E0000}"/>
    <cellStyle name="40% - Accent5 40 6 2" xfId="16653" xr:uid="{00000000-0005-0000-0000-00007F3E0000}"/>
    <cellStyle name="40% - Accent5 40 7" xfId="14659" xr:uid="{00000000-0005-0000-0000-0000803E0000}"/>
    <cellStyle name="40% - Accent5 40 8" xfId="13345" xr:uid="{00000000-0005-0000-0000-0000813E0000}"/>
    <cellStyle name="40% - Accent5 41" xfId="1410" xr:uid="{00000000-0005-0000-0000-0000823E0000}"/>
    <cellStyle name="40% - Accent5 41 2" xfId="4366" xr:uid="{00000000-0005-0000-0000-0000833E0000}"/>
    <cellStyle name="40% - Accent5 41 2 2" xfId="12345" xr:uid="{00000000-0005-0000-0000-0000843E0000}"/>
    <cellStyle name="40% - Accent5 41 2 2 2" xfId="23633" xr:uid="{00000000-0005-0000-0000-0000853E0000}"/>
    <cellStyle name="40% - Accent5 41 2 3" xfId="10351" xr:uid="{00000000-0005-0000-0000-0000863E0000}"/>
    <cellStyle name="40% - Accent5 41 2 3 2" xfId="21639" xr:uid="{00000000-0005-0000-0000-0000873E0000}"/>
    <cellStyle name="40% - Accent5 41 2 4" xfId="8357" xr:uid="{00000000-0005-0000-0000-0000883E0000}"/>
    <cellStyle name="40% - Accent5 41 2 4 2" xfId="19645" xr:uid="{00000000-0005-0000-0000-0000893E0000}"/>
    <cellStyle name="40% - Accent5 41 2 5" xfId="6363" xr:uid="{00000000-0005-0000-0000-00008A3E0000}"/>
    <cellStyle name="40% - Accent5 41 2 5 2" xfId="17651" xr:uid="{00000000-0005-0000-0000-00008B3E0000}"/>
    <cellStyle name="40% - Accent5 41 2 6" xfId="15657" xr:uid="{00000000-0005-0000-0000-00008C3E0000}"/>
    <cellStyle name="40% - Accent5 41 3" xfId="11348" xr:uid="{00000000-0005-0000-0000-00008D3E0000}"/>
    <cellStyle name="40% - Accent5 41 3 2" xfId="22636" xr:uid="{00000000-0005-0000-0000-00008E3E0000}"/>
    <cellStyle name="40% - Accent5 41 4" xfId="9354" xr:uid="{00000000-0005-0000-0000-00008F3E0000}"/>
    <cellStyle name="40% - Accent5 41 4 2" xfId="20642" xr:uid="{00000000-0005-0000-0000-0000903E0000}"/>
    <cellStyle name="40% - Accent5 41 5" xfId="7360" xr:uid="{00000000-0005-0000-0000-0000913E0000}"/>
    <cellStyle name="40% - Accent5 41 5 2" xfId="18648" xr:uid="{00000000-0005-0000-0000-0000923E0000}"/>
    <cellStyle name="40% - Accent5 41 6" xfId="5366" xr:uid="{00000000-0005-0000-0000-0000933E0000}"/>
    <cellStyle name="40% - Accent5 41 6 2" xfId="16654" xr:uid="{00000000-0005-0000-0000-0000943E0000}"/>
    <cellStyle name="40% - Accent5 41 7" xfId="14660" xr:uid="{00000000-0005-0000-0000-0000953E0000}"/>
    <cellStyle name="40% - Accent5 41 8" xfId="13346" xr:uid="{00000000-0005-0000-0000-0000963E0000}"/>
    <cellStyle name="40% - Accent5 42" xfId="1411" xr:uid="{00000000-0005-0000-0000-0000973E0000}"/>
    <cellStyle name="40% - Accent5 42 2" xfId="4367" xr:uid="{00000000-0005-0000-0000-0000983E0000}"/>
    <cellStyle name="40% - Accent5 42 2 2" xfId="12346" xr:uid="{00000000-0005-0000-0000-0000993E0000}"/>
    <cellStyle name="40% - Accent5 42 2 2 2" xfId="23634" xr:uid="{00000000-0005-0000-0000-00009A3E0000}"/>
    <cellStyle name="40% - Accent5 42 2 3" xfId="10352" xr:uid="{00000000-0005-0000-0000-00009B3E0000}"/>
    <cellStyle name="40% - Accent5 42 2 3 2" xfId="21640" xr:uid="{00000000-0005-0000-0000-00009C3E0000}"/>
    <cellStyle name="40% - Accent5 42 2 4" xfId="8358" xr:uid="{00000000-0005-0000-0000-00009D3E0000}"/>
    <cellStyle name="40% - Accent5 42 2 4 2" xfId="19646" xr:uid="{00000000-0005-0000-0000-00009E3E0000}"/>
    <cellStyle name="40% - Accent5 42 2 5" xfId="6364" xr:uid="{00000000-0005-0000-0000-00009F3E0000}"/>
    <cellStyle name="40% - Accent5 42 2 5 2" xfId="17652" xr:uid="{00000000-0005-0000-0000-0000A03E0000}"/>
    <cellStyle name="40% - Accent5 42 2 6" xfId="15658" xr:uid="{00000000-0005-0000-0000-0000A13E0000}"/>
    <cellStyle name="40% - Accent5 42 3" xfId="11349" xr:uid="{00000000-0005-0000-0000-0000A23E0000}"/>
    <cellStyle name="40% - Accent5 42 3 2" xfId="22637" xr:uid="{00000000-0005-0000-0000-0000A33E0000}"/>
    <cellStyle name="40% - Accent5 42 4" xfId="9355" xr:uid="{00000000-0005-0000-0000-0000A43E0000}"/>
    <cellStyle name="40% - Accent5 42 4 2" xfId="20643" xr:uid="{00000000-0005-0000-0000-0000A53E0000}"/>
    <cellStyle name="40% - Accent5 42 5" xfId="7361" xr:uid="{00000000-0005-0000-0000-0000A63E0000}"/>
    <cellStyle name="40% - Accent5 42 5 2" xfId="18649" xr:uid="{00000000-0005-0000-0000-0000A73E0000}"/>
    <cellStyle name="40% - Accent5 42 6" xfId="5367" xr:uid="{00000000-0005-0000-0000-0000A83E0000}"/>
    <cellStyle name="40% - Accent5 42 6 2" xfId="16655" xr:uid="{00000000-0005-0000-0000-0000A93E0000}"/>
    <cellStyle name="40% - Accent5 42 7" xfId="14661" xr:uid="{00000000-0005-0000-0000-0000AA3E0000}"/>
    <cellStyle name="40% - Accent5 42 8" xfId="13347" xr:uid="{00000000-0005-0000-0000-0000AB3E0000}"/>
    <cellStyle name="40% - Accent5 43" xfId="1412" xr:uid="{00000000-0005-0000-0000-0000AC3E0000}"/>
    <cellStyle name="40% - Accent5 43 2" xfId="4368" xr:uid="{00000000-0005-0000-0000-0000AD3E0000}"/>
    <cellStyle name="40% - Accent5 43 2 2" xfId="12347" xr:uid="{00000000-0005-0000-0000-0000AE3E0000}"/>
    <cellStyle name="40% - Accent5 43 2 2 2" xfId="23635" xr:uid="{00000000-0005-0000-0000-0000AF3E0000}"/>
    <cellStyle name="40% - Accent5 43 2 3" xfId="10353" xr:uid="{00000000-0005-0000-0000-0000B03E0000}"/>
    <cellStyle name="40% - Accent5 43 2 3 2" xfId="21641" xr:uid="{00000000-0005-0000-0000-0000B13E0000}"/>
    <cellStyle name="40% - Accent5 43 2 4" xfId="8359" xr:uid="{00000000-0005-0000-0000-0000B23E0000}"/>
    <cellStyle name="40% - Accent5 43 2 4 2" xfId="19647" xr:uid="{00000000-0005-0000-0000-0000B33E0000}"/>
    <cellStyle name="40% - Accent5 43 2 5" xfId="6365" xr:uid="{00000000-0005-0000-0000-0000B43E0000}"/>
    <cellStyle name="40% - Accent5 43 2 5 2" xfId="17653" xr:uid="{00000000-0005-0000-0000-0000B53E0000}"/>
    <cellStyle name="40% - Accent5 43 2 6" xfId="15659" xr:uid="{00000000-0005-0000-0000-0000B63E0000}"/>
    <cellStyle name="40% - Accent5 43 3" xfId="11350" xr:uid="{00000000-0005-0000-0000-0000B73E0000}"/>
    <cellStyle name="40% - Accent5 43 3 2" xfId="22638" xr:uid="{00000000-0005-0000-0000-0000B83E0000}"/>
    <cellStyle name="40% - Accent5 43 4" xfId="9356" xr:uid="{00000000-0005-0000-0000-0000B93E0000}"/>
    <cellStyle name="40% - Accent5 43 4 2" xfId="20644" xr:uid="{00000000-0005-0000-0000-0000BA3E0000}"/>
    <cellStyle name="40% - Accent5 43 5" xfId="7362" xr:uid="{00000000-0005-0000-0000-0000BB3E0000}"/>
    <cellStyle name="40% - Accent5 43 5 2" xfId="18650" xr:uid="{00000000-0005-0000-0000-0000BC3E0000}"/>
    <cellStyle name="40% - Accent5 43 6" xfId="5368" xr:uid="{00000000-0005-0000-0000-0000BD3E0000}"/>
    <cellStyle name="40% - Accent5 43 6 2" xfId="16656" xr:uid="{00000000-0005-0000-0000-0000BE3E0000}"/>
    <cellStyle name="40% - Accent5 43 7" xfId="14662" xr:uid="{00000000-0005-0000-0000-0000BF3E0000}"/>
    <cellStyle name="40% - Accent5 43 8" xfId="13348" xr:uid="{00000000-0005-0000-0000-0000C03E0000}"/>
    <cellStyle name="40% - Accent5 44" xfId="1413" xr:uid="{00000000-0005-0000-0000-0000C13E0000}"/>
    <cellStyle name="40% - Accent5 44 2" xfId="4369" xr:uid="{00000000-0005-0000-0000-0000C23E0000}"/>
    <cellStyle name="40% - Accent5 44 2 2" xfId="12348" xr:uid="{00000000-0005-0000-0000-0000C33E0000}"/>
    <cellStyle name="40% - Accent5 44 2 2 2" xfId="23636" xr:uid="{00000000-0005-0000-0000-0000C43E0000}"/>
    <cellStyle name="40% - Accent5 44 2 3" xfId="10354" xr:uid="{00000000-0005-0000-0000-0000C53E0000}"/>
    <cellStyle name="40% - Accent5 44 2 3 2" xfId="21642" xr:uid="{00000000-0005-0000-0000-0000C63E0000}"/>
    <cellStyle name="40% - Accent5 44 2 4" xfId="8360" xr:uid="{00000000-0005-0000-0000-0000C73E0000}"/>
    <cellStyle name="40% - Accent5 44 2 4 2" xfId="19648" xr:uid="{00000000-0005-0000-0000-0000C83E0000}"/>
    <cellStyle name="40% - Accent5 44 2 5" xfId="6366" xr:uid="{00000000-0005-0000-0000-0000C93E0000}"/>
    <cellStyle name="40% - Accent5 44 2 5 2" xfId="17654" xr:uid="{00000000-0005-0000-0000-0000CA3E0000}"/>
    <cellStyle name="40% - Accent5 44 2 6" xfId="15660" xr:uid="{00000000-0005-0000-0000-0000CB3E0000}"/>
    <cellStyle name="40% - Accent5 44 3" xfId="11351" xr:uid="{00000000-0005-0000-0000-0000CC3E0000}"/>
    <cellStyle name="40% - Accent5 44 3 2" xfId="22639" xr:uid="{00000000-0005-0000-0000-0000CD3E0000}"/>
    <cellStyle name="40% - Accent5 44 4" xfId="9357" xr:uid="{00000000-0005-0000-0000-0000CE3E0000}"/>
    <cellStyle name="40% - Accent5 44 4 2" xfId="20645" xr:uid="{00000000-0005-0000-0000-0000CF3E0000}"/>
    <cellStyle name="40% - Accent5 44 5" xfId="7363" xr:uid="{00000000-0005-0000-0000-0000D03E0000}"/>
    <cellStyle name="40% - Accent5 44 5 2" xfId="18651" xr:uid="{00000000-0005-0000-0000-0000D13E0000}"/>
    <cellStyle name="40% - Accent5 44 6" xfId="5369" xr:uid="{00000000-0005-0000-0000-0000D23E0000}"/>
    <cellStyle name="40% - Accent5 44 6 2" xfId="16657" xr:uid="{00000000-0005-0000-0000-0000D33E0000}"/>
    <cellStyle name="40% - Accent5 44 7" xfId="14663" xr:uid="{00000000-0005-0000-0000-0000D43E0000}"/>
    <cellStyle name="40% - Accent5 44 8" xfId="13349" xr:uid="{00000000-0005-0000-0000-0000D53E0000}"/>
    <cellStyle name="40% - Accent5 45" xfId="1414" xr:uid="{00000000-0005-0000-0000-0000D63E0000}"/>
    <cellStyle name="40% - Accent5 45 2" xfId="4370" xr:uid="{00000000-0005-0000-0000-0000D73E0000}"/>
    <cellStyle name="40% - Accent5 45 2 2" xfId="12349" xr:uid="{00000000-0005-0000-0000-0000D83E0000}"/>
    <cellStyle name="40% - Accent5 45 2 2 2" xfId="23637" xr:uid="{00000000-0005-0000-0000-0000D93E0000}"/>
    <cellStyle name="40% - Accent5 45 2 3" xfId="10355" xr:uid="{00000000-0005-0000-0000-0000DA3E0000}"/>
    <cellStyle name="40% - Accent5 45 2 3 2" xfId="21643" xr:uid="{00000000-0005-0000-0000-0000DB3E0000}"/>
    <cellStyle name="40% - Accent5 45 2 4" xfId="8361" xr:uid="{00000000-0005-0000-0000-0000DC3E0000}"/>
    <cellStyle name="40% - Accent5 45 2 4 2" xfId="19649" xr:uid="{00000000-0005-0000-0000-0000DD3E0000}"/>
    <cellStyle name="40% - Accent5 45 2 5" xfId="6367" xr:uid="{00000000-0005-0000-0000-0000DE3E0000}"/>
    <cellStyle name="40% - Accent5 45 2 5 2" xfId="17655" xr:uid="{00000000-0005-0000-0000-0000DF3E0000}"/>
    <cellStyle name="40% - Accent5 45 2 6" xfId="15661" xr:uid="{00000000-0005-0000-0000-0000E03E0000}"/>
    <cellStyle name="40% - Accent5 45 3" xfId="11352" xr:uid="{00000000-0005-0000-0000-0000E13E0000}"/>
    <cellStyle name="40% - Accent5 45 3 2" xfId="22640" xr:uid="{00000000-0005-0000-0000-0000E23E0000}"/>
    <cellStyle name="40% - Accent5 45 4" xfId="9358" xr:uid="{00000000-0005-0000-0000-0000E33E0000}"/>
    <cellStyle name="40% - Accent5 45 4 2" xfId="20646" xr:uid="{00000000-0005-0000-0000-0000E43E0000}"/>
    <cellStyle name="40% - Accent5 45 5" xfId="7364" xr:uid="{00000000-0005-0000-0000-0000E53E0000}"/>
    <cellStyle name="40% - Accent5 45 5 2" xfId="18652" xr:uid="{00000000-0005-0000-0000-0000E63E0000}"/>
    <cellStyle name="40% - Accent5 45 6" xfId="5370" xr:uid="{00000000-0005-0000-0000-0000E73E0000}"/>
    <cellStyle name="40% - Accent5 45 6 2" xfId="16658" xr:uid="{00000000-0005-0000-0000-0000E83E0000}"/>
    <cellStyle name="40% - Accent5 45 7" xfId="14664" xr:uid="{00000000-0005-0000-0000-0000E93E0000}"/>
    <cellStyle name="40% - Accent5 45 8" xfId="13350" xr:uid="{00000000-0005-0000-0000-0000EA3E0000}"/>
    <cellStyle name="40% - Accent5 46" xfId="1415" xr:uid="{00000000-0005-0000-0000-0000EB3E0000}"/>
    <cellStyle name="40% - Accent5 46 2" xfId="4371" xr:uid="{00000000-0005-0000-0000-0000EC3E0000}"/>
    <cellStyle name="40% - Accent5 46 2 2" xfId="12350" xr:uid="{00000000-0005-0000-0000-0000ED3E0000}"/>
    <cellStyle name="40% - Accent5 46 2 2 2" xfId="23638" xr:uid="{00000000-0005-0000-0000-0000EE3E0000}"/>
    <cellStyle name="40% - Accent5 46 2 3" xfId="10356" xr:uid="{00000000-0005-0000-0000-0000EF3E0000}"/>
    <cellStyle name="40% - Accent5 46 2 3 2" xfId="21644" xr:uid="{00000000-0005-0000-0000-0000F03E0000}"/>
    <cellStyle name="40% - Accent5 46 2 4" xfId="8362" xr:uid="{00000000-0005-0000-0000-0000F13E0000}"/>
    <cellStyle name="40% - Accent5 46 2 4 2" xfId="19650" xr:uid="{00000000-0005-0000-0000-0000F23E0000}"/>
    <cellStyle name="40% - Accent5 46 2 5" xfId="6368" xr:uid="{00000000-0005-0000-0000-0000F33E0000}"/>
    <cellStyle name="40% - Accent5 46 2 5 2" xfId="17656" xr:uid="{00000000-0005-0000-0000-0000F43E0000}"/>
    <cellStyle name="40% - Accent5 46 2 6" xfId="15662" xr:uid="{00000000-0005-0000-0000-0000F53E0000}"/>
    <cellStyle name="40% - Accent5 46 3" xfId="11353" xr:uid="{00000000-0005-0000-0000-0000F63E0000}"/>
    <cellStyle name="40% - Accent5 46 3 2" xfId="22641" xr:uid="{00000000-0005-0000-0000-0000F73E0000}"/>
    <cellStyle name="40% - Accent5 46 4" xfId="9359" xr:uid="{00000000-0005-0000-0000-0000F83E0000}"/>
    <cellStyle name="40% - Accent5 46 4 2" xfId="20647" xr:uid="{00000000-0005-0000-0000-0000F93E0000}"/>
    <cellStyle name="40% - Accent5 46 5" xfId="7365" xr:uid="{00000000-0005-0000-0000-0000FA3E0000}"/>
    <cellStyle name="40% - Accent5 46 5 2" xfId="18653" xr:uid="{00000000-0005-0000-0000-0000FB3E0000}"/>
    <cellStyle name="40% - Accent5 46 6" xfId="5371" xr:uid="{00000000-0005-0000-0000-0000FC3E0000}"/>
    <cellStyle name="40% - Accent5 46 6 2" xfId="16659" xr:uid="{00000000-0005-0000-0000-0000FD3E0000}"/>
    <cellStyle name="40% - Accent5 46 7" xfId="14665" xr:uid="{00000000-0005-0000-0000-0000FE3E0000}"/>
    <cellStyle name="40% - Accent5 46 8" xfId="13351" xr:uid="{00000000-0005-0000-0000-0000FF3E0000}"/>
    <cellStyle name="40% - Accent5 47" xfId="1416" xr:uid="{00000000-0005-0000-0000-0000003F0000}"/>
    <cellStyle name="40% - Accent5 47 2" xfId="4372" xr:uid="{00000000-0005-0000-0000-0000013F0000}"/>
    <cellStyle name="40% - Accent5 47 2 2" xfId="12351" xr:uid="{00000000-0005-0000-0000-0000023F0000}"/>
    <cellStyle name="40% - Accent5 47 2 2 2" xfId="23639" xr:uid="{00000000-0005-0000-0000-0000033F0000}"/>
    <cellStyle name="40% - Accent5 47 2 3" xfId="10357" xr:uid="{00000000-0005-0000-0000-0000043F0000}"/>
    <cellStyle name="40% - Accent5 47 2 3 2" xfId="21645" xr:uid="{00000000-0005-0000-0000-0000053F0000}"/>
    <cellStyle name="40% - Accent5 47 2 4" xfId="8363" xr:uid="{00000000-0005-0000-0000-0000063F0000}"/>
    <cellStyle name="40% - Accent5 47 2 4 2" xfId="19651" xr:uid="{00000000-0005-0000-0000-0000073F0000}"/>
    <cellStyle name="40% - Accent5 47 2 5" xfId="6369" xr:uid="{00000000-0005-0000-0000-0000083F0000}"/>
    <cellStyle name="40% - Accent5 47 2 5 2" xfId="17657" xr:uid="{00000000-0005-0000-0000-0000093F0000}"/>
    <cellStyle name="40% - Accent5 47 2 6" xfId="15663" xr:uid="{00000000-0005-0000-0000-00000A3F0000}"/>
    <cellStyle name="40% - Accent5 47 3" xfId="11354" xr:uid="{00000000-0005-0000-0000-00000B3F0000}"/>
    <cellStyle name="40% - Accent5 47 3 2" xfId="22642" xr:uid="{00000000-0005-0000-0000-00000C3F0000}"/>
    <cellStyle name="40% - Accent5 47 4" xfId="9360" xr:uid="{00000000-0005-0000-0000-00000D3F0000}"/>
    <cellStyle name="40% - Accent5 47 4 2" xfId="20648" xr:uid="{00000000-0005-0000-0000-00000E3F0000}"/>
    <cellStyle name="40% - Accent5 47 5" xfId="7366" xr:uid="{00000000-0005-0000-0000-00000F3F0000}"/>
    <cellStyle name="40% - Accent5 47 5 2" xfId="18654" xr:uid="{00000000-0005-0000-0000-0000103F0000}"/>
    <cellStyle name="40% - Accent5 47 6" xfId="5372" xr:uid="{00000000-0005-0000-0000-0000113F0000}"/>
    <cellStyle name="40% - Accent5 47 6 2" xfId="16660" xr:uid="{00000000-0005-0000-0000-0000123F0000}"/>
    <cellStyle name="40% - Accent5 47 7" xfId="14666" xr:uid="{00000000-0005-0000-0000-0000133F0000}"/>
    <cellStyle name="40% - Accent5 47 8" xfId="13352" xr:uid="{00000000-0005-0000-0000-0000143F0000}"/>
    <cellStyle name="40% - Accent5 48" xfId="1417" xr:uid="{00000000-0005-0000-0000-0000153F0000}"/>
    <cellStyle name="40% - Accent5 48 2" xfId="4373" xr:uid="{00000000-0005-0000-0000-0000163F0000}"/>
    <cellStyle name="40% - Accent5 48 2 2" xfId="12352" xr:uid="{00000000-0005-0000-0000-0000173F0000}"/>
    <cellStyle name="40% - Accent5 48 2 2 2" xfId="23640" xr:uid="{00000000-0005-0000-0000-0000183F0000}"/>
    <cellStyle name="40% - Accent5 48 2 3" xfId="10358" xr:uid="{00000000-0005-0000-0000-0000193F0000}"/>
    <cellStyle name="40% - Accent5 48 2 3 2" xfId="21646" xr:uid="{00000000-0005-0000-0000-00001A3F0000}"/>
    <cellStyle name="40% - Accent5 48 2 4" xfId="8364" xr:uid="{00000000-0005-0000-0000-00001B3F0000}"/>
    <cellStyle name="40% - Accent5 48 2 4 2" xfId="19652" xr:uid="{00000000-0005-0000-0000-00001C3F0000}"/>
    <cellStyle name="40% - Accent5 48 2 5" xfId="6370" xr:uid="{00000000-0005-0000-0000-00001D3F0000}"/>
    <cellStyle name="40% - Accent5 48 2 5 2" xfId="17658" xr:uid="{00000000-0005-0000-0000-00001E3F0000}"/>
    <cellStyle name="40% - Accent5 48 2 6" xfId="15664" xr:uid="{00000000-0005-0000-0000-00001F3F0000}"/>
    <cellStyle name="40% - Accent5 48 3" xfId="11355" xr:uid="{00000000-0005-0000-0000-0000203F0000}"/>
    <cellStyle name="40% - Accent5 48 3 2" xfId="22643" xr:uid="{00000000-0005-0000-0000-0000213F0000}"/>
    <cellStyle name="40% - Accent5 48 4" xfId="9361" xr:uid="{00000000-0005-0000-0000-0000223F0000}"/>
    <cellStyle name="40% - Accent5 48 4 2" xfId="20649" xr:uid="{00000000-0005-0000-0000-0000233F0000}"/>
    <cellStyle name="40% - Accent5 48 5" xfId="7367" xr:uid="{00000000-0005-0000-0000-0000243F0000}"/>
    <cellStyle name="40% - Accent5 48 5 2" xfId="18655" xr:uid="{00000000-0005-0000-0000-0000253F0000}"/>
    <cellStyle name="40% - Accent5 48 6" xfId="5373" xr:uid="{00000000-0005-0000-0000-0000263F0000}"/>
    <cellStyle name="40% - Accent5 48 6 2" xfId="16661" xr:uid="{00000000-0005-0000-0000-0000273F0000}"/>
    <cellStyle name="40% - Accent5 48 7" xfId="14667" xr:uid="{00000000-0005-0000-0000-0000283F0000}"/>
    <cellStyle name="40% - Accent5 48 8" xfId="13353" xr:uid="{00000000-0005-0000-0000-0000293F0000}"/>
    <cellStyle name="40% - Accent5 49" xfId="1418" xr:uid="{00000000-0005-0000-0000-00002A3F0000}"/>
    <cellStyle name="40% - Accent5 49 2" xfId="4374" xr:uid="{00000000-0005-0000-0000-00002B3F0000}"/>
    <cellStyle name="40% - Accent5 49 2 2" xfId="12353" xr:uid="{00000000-0005-0000-0000-00002C3F0000}"/>
    <cellStyle name="40% - Accent5 49 2 2 2" xfId="23641" xr:uid="{00000000-0005-0000-0000-00002D3F0000}"/>
    <cellStyle name="40% - Accent5 49 2 3" xfId="10359" xr:uid="{00000000-0005-0000-0000-00002E3F0000}"/>
    <cellStyle name="40% - Accent5 49 2 3 2" xfId="21647" xr:uid="{00000000-0005-0000-0000-00002F3F0000}"/>
    <cellStyle name="40% - Accent5 49 2 4" xfId="8365" xr:uid="{00000000-0005-0000-0000-0000303F0000}"/>
    <cellStyle name="40% - Accent5 49 2 4 2" xfId="19653" xr:uid="{00000000-0005-0000-0000-0000313F0000}"/>
    <cellStyle name="40% - Accent5 49 2 5" xfId="6371" xr:uid="{00000000-0005-0000-0000-0000323F0000}"/>
    <cellStyle name="40% - Accent5 49 2 5 2" xfId="17659" xr:uid="{00000000-0005-0000-0000-0000333F0000}"/>
    <cellStyle name="40% - Accent5 49 2 6" xfId="15665" xr:uid="{00000000-0005-0000-0000-0000343F0000}"/>
    <cellStyle name="40% - Accent5 49 3" xfId="11356" xr:uid="{00000000-0005-0000-0000-0000353F0000}"/>
    <cellStyle name="40% - Accent5 49 3 2" xfId="22644" xr:uid="{00000000-0005-0000-0000-0000363F0000}"/>
    <cellStyle name="40% - Accent5 49 4" xfId="9362" xr:uid="{00000000-0005-0000-0000-0000373F0000}"/>
    <cellStyle name="40% - Accent5 49 4 2" xfId="20650" xr:uid="{00000000-0005-0000-0000-0000383F0000}"/>
    <cellStyle name="40% - Accent5 49 5" xfId="7368" xr:uid="{00000000-0005-0000-0000-0000393F0000}"/>
    <cellStyle name="40% - Accent5 49 5 2" xfId="18656" xr:uid="{00000000-0005-0000-0000-00003A3F0000}"/>
    <cellStyle name="40% - Accent5 49 6" xfId="5374" xr:uid="{00000000-0005-0000-0000-00003B3F0000}"/>
    <cellStyle name="40% - Accent5 49 6 2" xfId="16662" xr:uid="{00000000-0005-0000-0000-00003C3F0000}"/>
    <cellStyle name="40% - Accent5 49 7" xfId="14668" xr:uid="{00000000-0005-0000-0000-00003D3F0000}"/>
    <cellStyle name="40% - Accent5 49 8" xfId="13354" xr:uid="{00000000-0005-0000-0000-00003E3F0000}"/>
    <cellStyle name="40% - Accent5 5" xfId="1419" xr:uid="{00000000-0005-0000-0000-00003F3F0000}"/>
    <cellStyle name="40% - Accent5 5 10" xfId="24622" xr:uid="{00000000-0005-0000-0000-0000403F0000}"/>
    <cellStyle name="40% - Accent5 5 11" xfId="25012" xr:uid="{00000000-0005-0000-0000-0000413F0000}"/>
    <cellStyle name="40% - Accent5 5 2" xfId="4375" xr:uid="{00000000-0005-0000-0000-0000423F0000}"/>
    <cellStyle name="40% - Accent5 5 2 2" xfId="12354" xr:uid="{00000000-0005-0000-0000-0000433F0000}"/>
    <cellStyle name="40% - Accent5 5 2 2 2" xfId="23642" xr:uid="{00000000-0005-0000-0000-0000443F0000}"/>
    <cellStyle name="40% - Accent5 5 2 3" xfId="10360" xr:uid="{00000000-0005-0000-0000-0000453F0000}"/>
    <cellStyle name="40% - Accent5 5 2 3 2" xfId="21648" xr:uid="{00000000-0005-0000-0000-0000463F0000}"/>
    <cellStyle name="40% - Accent5 5 2 4" xfId="8366" xr:uid="{00000000-0005-0000-0000-0000473F0000}"/>
    <cellStyle name="40% - Accent5 5 2 4 2" xfId="19654" xr:uid="{00000000-0005-0000-0000-0000483F0000}"/>
    <cellStyle name="40% - Accent5 5 2 5" xfId="6372" xr:uid="{00000000-0005-0000-0000-0000493F0000}"/>
    <cellStyle name="40% - Accent5 5 2 5 2" xfId="17660" xr:uid="{00000000-0005-0000-0000-00004A3F0000}"/>
    <cellStyle name="40% - Accent5 5 2 6" xfId="15666" xr:uid="{00000000-0005-0000-0000-00004B3F0000}"/>
    <cellStyle name="40% - Accent5 5 2 7" xfId="24383" xr:uid="{00000000-0005-0000-0000-00004C3F0000}"/>
    <cellStyle name="40% - Accent5 5 2 8" xfId="24847" xr:uid="{00000000-0005-0000-0000-00004D3F0000}"/>
    <cellStyle name="40% - Accent5 5 2 9" xfId="25214" xr:uid="{00000000-0005-0000-0000-00004E3F0000}"/>
    <cellStyle name="40% - Accent5 5 3" xfId="11357" xr:uid="{00000000-0005-0000-0000-00004F3F0000}"/>
    <cellStyle name="40% - Accent5 5 3 2" xfId="22645" xr:uid="{00000000-0005-0000-0000-0000503F0000}"/>
    <cellStyle name="40% - Accent5 5 4" xfId="9363" xr:uid="{00000000-0005-0000-0000-0000513F0000}"/>
    <cellStyle name="40% - Accent5 5 4 2" xfId="20651" xr:uid="{00000000-0005-0000-0000-0000523F0000}"/>
    <cellStyle name="40% - Accent5 5 5" xfId="7369" xr:uid="{00000000-0005-0000-0000-0000533F0000}"/>
    <cellStyle name="40% - Accent5 5 5 2" xfId="18657" xr:uid="{00000000-0005-0000-0000-0000543F0000}"/>
    <cellStyle name="40% - Accent5 5 6" xfId="5375" xr:uid="{00000000-0005-0000-0000-0000553F0000}"/>
    <cellStyle name="40% - Accent5 5 6 2" xfId="16663" xr:uid="{00000000-0005-0000-0000-0000563F0000}"/>
    <cellStyle name="40% - Accent5 5 7" xfId="14669" xr:uid="{00000000-0005-0000-0000-0000573F0000}"/>
    <cellStyle name="40% - Accent5 5 8" xfId="13355" xr:uid="{00000000-0005-0000-0000-0000583F0000}"/>
    <cellStyle name="40% - Accent5 5 9" xfId="23995" xr:uid="{00000000-0005-0000-0000-0000593F0000}"/>
    <cellStyle name="40% - Accent5 50" xfId="1420" xr:uid="{00000000-0005-0000-0000-00005A3F0000}"/>
    <cellStyle name="40% - Accent5 50 2" xfId="4376" xr:uid="{00000000-0005-0000-0000-00005B3F0000}"/>
    <cellStyle name="40% - Accent5 50 2 2" xfId="12355" xr:uid="{00000000-0005-0000-0000-00005C3F0000}"/>
    <cellStyle name="40% - Accent5 50 2 2 2" xfId="23643" xr:uid="{00000000-0005-0000-0000-00005D3F0000}"/>
    <cellStyle name="40% - Accent5 50 2 3" xfId="10361" xr:uid="{00000000-0005-0000-0000-00005E3F0000}"/>
    <cellStyle name="40% - Accent5 50 2 3 2" xfId="21649" xr:uid="{00000000-0005-0000-0000-00005F3F0000}"/>
    <cellStyle name="40% - Accent5 50 2 4" xfId="8367" xr:uid="{00000000-0005-0000-0000-0000603F0000}"/>
    <cellStyle name="40% - Accent5 50 2 4 2" xfId="19655" xr:uid="{00000000-0005-0000-0000-0000613F0000}"/>
    <cellStyle name="40% - Accent5 50 2 5" xfId="6373" xr:uid="{00000000-0005-0000-0000-0000623F0000}"/>
    <cellStyle name="40% - Accent5 50 2 5 2" xfId="17661" xr:uid="{00000000-0005-0000-0000-0000633F0000}"/>
    <cellStyle name="40% - Accent5 50 2 6" xfId="15667" xr:uid="{00000000-0005-0000-0000-0000643F0000}"/>
    <cellStyle name="40% - Accent5 50 3" xfId="11358" xr:uid="{00000000-0005-0000-0000-0000653F0000}"/>
    <cellStyle name="40% - Accent5 50 3 2" xfId="22646" xr:uid="{00000000-0005-0000-0000-0000663F0000}"/>
    <cellStyle name="40% - Accent5 50 4" xfId="9364" xr:uid="{00000000-0005-0000-0000-0000673F0000}"/>
    <cellStyle name="40% - Accent5 50 4 2" xfId="20652" xr:uid="{00000000-0005-0000-0000-0000683F0000}"/>
    <cellStyle name="40% - Accent5 50 5" xfId="7370" xr:uid="{00000000-0005-0000-0000-0000693F0000}"/>
    <cellStyle name="40% - Accent5 50 5 2" xfId="18658" xr:uid="{00000000-0005-0000-0000-00006A3F0000}"/>
    <cellStyle name="40% - Accent5 50 6" xfId="5376" xr:uid="{00000000-0005-0000-0000-00006B3F0000}"/>
    <cellStyle name="40% - Accent5 50 6 2" xfId="16664" xr:uid="{00000000-0005-0000-0000-00006C3F0000}"/>
    <cellStyle name="40% - Accent5 50 7" xfId="14670" xr:uid="{00000000-0005-0000-0000-00006D3F0000}"/>
    <cellStyle name="40% - Accent5 50 8" xfId="13356" xr:uid="{00000000-0005-0000-0000-00006E3F0000}"/>
    <cellStyle name="40% - Accent5 51" xfId="1421" xr:uid="{00000000-0005-0000-0000-00006F3F0000}"/>
    <cellStyle name="40% - Accent5 51 2" xfId="4377" xr:uid="{00000000-0005-0000-0000-0000703F0000}"/>
    <cellStyle name="40% - Accent5 51 2 2" xfId="12356" xr:uid="{00000000-0005-0000-0000-0000713F0000}"/>
    <cellStyle name="40% - Accent5 51 2 2 2" xfId="23644" xr:uid="{00000000-0005-0000-0000-0000723F0000}"/>
    <cellStyle name="40% - Accent5 51 2 3" xfId="10362" xr:uid="{00000000-0005-0000-0000-0000733F0000}"/>
    <cellStyle name="40% - Accent5 51 2 3 2" xfId="21650" xr:uid="{00000000-0005-0000-0000-0000743F0000}"/>
    <cellStyle name="40% - Accent5 51 2 4" xfId="8368" xr:uid="{00000000-0005-0000-0000-0000753F0000}"/>
    <cellStyle name="40% - Accent5 51 2 4 2" xfId="19656" xr:uid="{00000000-0005-0000-0000-0000763F0000}"/>
    <cellStyle name="40% - Accent5 51 2 5" xfId="6374" xr:uid="{00000000-0005-0000-0000-0000773F0000}"/>
    <cellStyle name="40% - Accent5 51 2 5 2" xfId="17662" xr:uid="{00000000-0005-0000-0000-0000783F0000}"/>
    <cellStyle name="40% - Accent5 51 2 6" xfId="15668" xr:uid="{00000000-0005-0000-0000-0000793F0000}"/>
    <cellStyle name="40% - Accent5 51 3" xfId="11359" xr:uid="{00000000-0005-0000-0000-00007A3F0000}"/>
    <cellStyle name="40% - Accent5 51 3 2" xfId="22647" xr:uid="{00000000-0005-0000-0000-00007B3F0000}"/>
    <cellStyle name="40% - Accent5 51 4" xfId="9365" xr:uid="{00000000-0005-0000-0000-00007C3F0000}"/>
    <cellStyle name="40% - Accent5 51 4 2" xfId="20653" xr:uid="{00000000-0005-0000-0000-00007D3F0000}"/>
    <cellStyle name="40% - Accent5 51 5" xfId="7371" xr:uid="{00000000-0005-0000-0000-00007E3F0000}"/>
    <cellStyle name="40% - Accent5 51 5 2" xfId="18659" xr:uid="{00000000-0005-0000-0000-00007F3F0000}"/>
    <cellStyle name="40% - Accent5 51 6" xfId="5377" xr:uid="{00000000-0005-0000-0000-0000803F0000}"/>
    <cellStyle name="40% - Accent5 51 6 2" xfId="16665" xr:uid="{00000000-0005-0000-0000-0000813F0000}"/>
    <cellStyle name="40% - Accent5 51 7" xfId="14671" xr:uid="{00000000-0005-0000-0000-0000823F0000}"/>
    <cellStyle name="40% - Accent5 51 8" xfId="13357" xr:uid="{00000000-0005-0000-0000-0000833F0000}"/>
    <cellStyle name="40% - Accent5 52" xfId="1422" xr:uid="{00000000-0005-0000-0000-0000843F0000}"/>
    <cellStyle name="40% - Accent5 52 2" xfId="4378" xr:uid="{00000000-0005-0000-0000-0000853F0000}"/>
    <cellStyle name="40% - Accent5 52 2 2" xfId="12357" xr:uid="{00000000-0005-0000-0000-0000863F0000}"/>
    <cellStyle name="40% - Accent5 52 2 2 2" xfId="23645" xr:uid="{00000000-0005-0000-0000-0000873F0000}"/>
    <cellStyle name="40% - Accent5 52 2 3" xfId="10363" xr:uid="{00000000-0005-0000-0000-0000883F0000}"/>
    <cellStyle name="40% - Accent5 52 2 3 2" xfId="21651" xr:uid="{00000000-0005-0000-0000-0000893F0000}"/>
    <cellStyle name="40% - Accent5 52 2 4" xfId="8369" xr:uid="{00000000-0005-0000-0000-00008A3F0000}"/>
    <cellStyle name="40% - Accent5 52 2 4 2" xfId="19657" xr:uid="{00000000-0005-0000-0000-00008B3F0000}"/>
    <cellStyle name="40% - Accent5 52 2 5" xfId="6375" xr:uid="{00000000-0005-0000-0000-00008C3F0000}"/>
    <cellStyle name="40% - Accent5 52 2 5 2" xfId="17663" xr:uid="{00000000-0005-0000-0000-00008D3F0000}"/>
    <cellStyle name="40% - Accent5 52 2 6" xfId="15669" xr:uid="{00000000-0005-0000-0000-00008E3F0000}"/>
    <cellStyle name="40% - Accent5 52 3" xfId="11360" xr:uid="{00000000-0005-0000-0000-00008F3F0000}"/>
    <cellStyle name="40% - Accent5 52 3 2" xfId="22648" xr:uid="{00000000-0005-0000-0000-0000903F0000}"/>
    <cellStyle name="40% - Accent5 52 4" xfId="9366" xr:uid="{00000000-0005-0000-0000-0000913F0000}"/>
    <cellStyle name="40% - Accent5 52 4 2" xfId="20654" xr:uid="{00000000-0005-0000-0000-0000923F0000}"/>
    <cellStyle name="40% - Accent5 52 5" xfId="7372" xr:uid="{00000000-0005-0000-0000-0000933F0000}"/>
    <cellStyle name="40% - Accent5 52 5 2" xfId="18660" xr:uid="{00000000-0005-0000-0000-0000943F0000}"/>
    <cellStyle name="40% - Accent5 52 6" xfId="5378" xr:uid="{00000000-0005-0000-0000-0000953F0000}"/>
    <cellStyle name="40% - Accent5 52 6 2" xfId="16666" xr:uid="{00000000-0005-0000-0000-0000963F0000}"/>
    <cellStyle name="40% - Accent5 52 7" xfId="14672" xr:uid="{00000000-0005-0000-0000-0000973F0000}"/>
    <cellStyle name="40% - Accent5 52 8" xfId="13358" xr:uid="{00000000-0005-0000-0000-0000983F0000}"/>
    <cellStyle name="40% - Accent5 53" xfId="1423" xr:uid="{00000000-0005-0000-0000-0000993F0000}"/>
    <cellStyle name="40% - Accent5 53 2" xfId="4379" xr:uid="{00000000-0005-0000-0000-00009A3F0000}"/>
    <cellStyle name="40% - Accent5 53 2 2" xfId="12358" xr:uid="{00000000-0005-0000-0000-00009B3F0000}"/>
    <cellStyle name="40% - Accent5 53 2 2 2" xfId="23646" xr:uid="{00000000-0005-0000-0000-00009C3F0000}"/>
    <cellStyle name="40% - Accent5 53 2 3" xfId="10364" xr:uid="{00000000-0005-0000-0000-00009D3F0000}"/>
    <cellStyle name="40% - Accent5 53 2 3 2" xfId="21652" xr:uid="{00000000-0005-0000-0000-00009E3F0000}"/>
    <cellStyle name="40% - Accent5 53 2 4" xfId="8370" xr:uid="{00000000-0005-0000-0000-00009F3F0000}"/>
    <cellStyle name="40% - Accent5 53 2 4 2" xfId="19658" xr:uid="{00000000-0005-0000-0000-0000A03F0000}"/>
    <cellStyle name="40% - Accent5 53 2 5" xfId="6376" xr:uid="{00000000-0005-0000-0000-0000A13F0000}"/>
    <cellStyle name="40% - Accent5 53 2 5 2" xfId="17664" xr:uid="{00000000-0005-0000-0000-0000A23F0000}"/>
    <cellStyle name="40% - Accent5 53 2 6" xfId="15670" xr:uid="{00000000-0005-0000-0000-0000A33F0000}"/>
    <cellStyle name="40% - Accent5 53 3" xfId="11361" xr:uid="{00000000-0005-0000-0000-0000A43F0000}"/>
    <cellStyle name="40% - Accent5 53 3 2" xfId="22649" xr:uid="{00000000-0005-0000-0000-0000A53F0000}"/>
    <cellStyle name="40% - Accent5 53 4" xfId="9367" xr:uid="{00000000-0005-0000-0000-0000A63F0000}"/>
    <cellStyle name="40% - Accent5 53 4 2" xfId="20655" xr:uid="{00000000-0005-0000-0000-0000A73F0000}"/>
    <cellStyle name="40% - Accent5 53 5" xfId="7373" xr:uid="{00000000-0005-0000-0000-0000A83F0000}"/>
    <cellStyle name="40% - Accent5 53 5 2" xfId="18661" xr:uid="{00000000-0005-0000-0000-0000A93F0000}"/>
    <cellStyle name="40% - Accent5 53 6" xfId="5379" xr:uid="{00000000-0005-0000-0000-0000AA3F0000}"/>
    <cellStyle name="40% - Accent5 53 6 2" xfId="16667" xr:uid="{00000000-0005-0000-0000-0000AB3F0000}"/>
    <cellStyle name="40% - Accent5 53 7" xfId="14673" xr:uid="{00000000-0005-0000-0000-0000AC3F0000}"/>
    <cellStyle name="40% - Accent5 53 8" xfId="13359" xr:uid="{00000000-0005-0000-0000-0000AD3F0000}"/>
    <cellStyle name="40% - Accent5 54" xfId="1424" xr:uid="{00000000-0005-0000-0000-0000AE3F0000}"/>
    <cellStyle name="40% - Accent5 54 2" xfId="4380" xr:uid="{00000000-0005-0000-0000-0000AF3F0000}"/>
    <cellStyle name="40% - Accent5 54 2 2" xfId="12359" xr:uid="{00000000-0005-0000-0000-0000B03F0000}"/>
    <cellStyle name="40% - Accent5 54 2 2 2" xfId="23647" xr:uid="{00000000-0005-0000-0000-0000B13F0000}"/>
    <cellStyle name="40% - Accent5 54 2 3" xfId="10365" xr:uid="{00000000-0005-0000-0000-0000B23F0000}"/>
    <cellStyle name="40% - Accent5 54 2 3 2" xfId="21653" xr:uid="{00000000-0005-0000-0000-0000B33F0000}"/>
    <cellStyle name="40% - Accent5 54 2 4" xfId="8371" xr:uid="{00000000-0005-0000-0000-0000B43F0000}"/>
    <cellStyle name="40% - Accent5 54 2 4 2" xfId="19659" xr:uid="{00000000-0005-0000-0000-0000B53F0000}"/>
    <cellStyle name="40% - Accent5 54 2 5" xfId="6377" xr:uid="{00000000-0005-0000-0000-0000B63F0000}"/>
    <cellStyle name="40% - Accent5 54 2 5 2" xfId="17665" xr:uid="{00000000-0005-0000-0000-0000B73F0000}"/>
    <cellStyle name="40% - Accent5 54 2 6" xfId="15671" xr:uid="{00000000-0005-0000-0000-0000B83F0000}"/>
    <cellStyle name="40% - Accent5 54 3" xfId="11362" xr:uid="{00000000-0005-0000-0000-0000B93F0000}"/>
    <cellStyle name="40% - Accent5 54 3 2" xfId="22650" xr:uid="{00000000-0005-0000-0000-0000BA3F0000}"/>
    <cellStyle name="40% - Accent5 54 4" xfId="9368" xr:uid="{00000000-0005-0000-0000-0000BB3F0000}"/>
    <cellStyle name="40% - Accent5 54 4 2" xfId="20656" xr:uid="{00000000-0005-0000-0000-0000BC3F0000}"/>
    <cellStyle name="40% - Accent5 54 5" xfId="7374" xr:uid="{00000000-0005-0000-0000-0000BD3F0000}"/>
    <cellStyle name="40% - Accent5 54 5 2" xfId="18662" xr:uid="{00000000-0005-0000-0000-0000BE3F0000}"/>
    <cellStyle name="40% - Accent5 54 6" xfId="5380" xr:uid="{00000000-0005-0000-0000-0000BF3F0000}"/>
    <cellStyle name="40% - Accent5 54 6 2" xfId="16668" xr:uid="{00000000-0005-0000-0000-0000C03F0000}"/>
    <cellStyle name="40% - Accent5 54 7" xfId="14674" xr:uid="{00000000-0005-0000-0000-0000C13F0000}"/>
    <cellStyle name="40% - Accent5 54 8" xfId="13360" xr:uid="{00000000-0005-0000-0000-0000C23F0000}"/>
    <cellStyle name="40% - Accent5 55" xfId="1425" xr:uid="{00000000-0005-0000-0000-0000C33F0000}"/>
    <cellStyle name="40% - Accent5 55 2" xfId="4381" xr:uid="{00000000-0005-0000-0000-0000C43F0000}"/>
    <cellStyle name="40% - Accent5 55 2 2" xfId="12360" xr:uid="{00000000-0005-0000-0000-0000C53F0000}"/>
    <cellStyle name="40% - Accent5 55 2 2 2" xfId="23648" xr:uid="{00000000-0005-0000-0000-0000C63F0000}"/>
    <cellStyle name="40% - Accent5 55 2 3" xfId="10366" xr:uid="{00000000-0005-0000-0000-0000C73F0000}"/>
    <cellStyle name="40% - Accent5 55 2 3 2" xfId="21654" xr:uid="{00000000-0005-0000-0000-0000C83F0000}"/>
    <cellStyle name="40% - Accent5 55 2 4" xfId="8372" xr:uid="{00000000-0005-0000-0000-0000C93F0000}"/>
    <cellStyle name="40% - Accent5 55 2 4 2" xfId="19660" xr:uid="{00000000-0005-0000-0000-0000CA3F0000}"/>
    <cellStyle name="40% - Accent5 55 2 5" xfId="6378" xr:uid="{00000000-0005-0000-0000-0000CB3F0000}"/>
    <cellStyle name="40% - Accent5 55 2 5 2" xfId="17666" xr:uid="{00000000-0005-0000-0000-0000CC3F0000}"/>
    <cellStyle name="40% - Accent5 55 2 6" xfId="15672" xr:uid="{00000000-0005-0000-0000-0000CD3F0000}"/>
    <cellStyle name="40% - Accent5 55 3" xfId="11363" xr:uid="{00000000-0005-0000-0000-0000CE3F0000}"/>
    <cellStyle name="40% - Accent5 55 3 2" xfId="22651" xr:uid="{00000000-0005-0000-0000-0000CF3F0000}"/>
    <cellStyle name="40% - Accent5 55 4" xfId="9369" xr:uid="{00000000-0005-0000-0000-0000D03F0000}"/>
    <cellStyle name="40% - Accent5 55 4 2" xfId="20657" xr:uid="{00000000-0005-0000-0000-0000D13F0000}"/>
    <cellStyle name="40% - Accent5 55 5" xfId="7375" xr:uid="{00000000-0005-0000-0000-0000D23F0000}"/>
    <cellStyle name="40% - Accent5 55 5 2" xfId="18663" xr:uid="{00000000-0005-0000-0000-0000D33F0000}"/>
    <cellStyle name="40% - Accent5 55 6" xfId="5381" xr:uid="{00000000-0005-0000-0000-0000D43F0000}"/>
    <cellStyle name="40% - Accent5 55 6 2" xfId="16669" xr:uid="{00000000-0005-0000-0000-0000D53F0000}"/>
    <cellStyle name="40% - Accent5 55 7" xfId="14675" xr:uid="{00000000-0005-0000-0000-0000D63F0000}"/>
    <cellStyle name="40% - Accent5 55 8" xfId="13361" xr:uid="{00000000-0005-0000-0000-0000D73F0000}"/>
    <cellStyle name="40% - Accent5 56" xfId="1426" xr:uid="{00000000-0005-0000-0000-0000D83F0000}"/>
    <cellStyle name="40% - Accent5 56 2" xfId="4382" xr:uid="{00000000-0005-0000-0000-0000D93F0000}"/>
    <cellStyle name="40% - Accent5 56 2 2" xfId="12361" xr:uid="{00000000-0005-0000-0000-0000DA3F0000}"/>
    <cellStyle name="40% - Accent5 56 2 2 2" xfId="23649" xr:uid="{00000000-0005-0000-0000-0000DB3F0000}"/>
    <cellStyle name="40% - Accent5 56 2 3" xfId="10367" xr:uid="{00000000-0005-0000-0000-0000DC3F0000}"/>
    <cellStyle name="40% - Accent5 56 2 3 2" xfId="21655" xr:uid="{00000000-0005-0000-0000-0000DD3F0000}"/>
    <cellStyle name="40% - Accent5 56 2 4" xfId="8373" xr:uid="{00000000-0005-0000-0000-0000DE3F0000}"/>
    <cellStyle name="40% - Accent5 56 2 4 2" xfId="19661" xr:uid="{00000000-0005-0000-0000-0000DF3F0000}"/>
    <cellStyle name="40% - Accent5 56 2 5" xfId="6379" xr:uid="{00000000-0005-0000-0000-0000E03F0000}"/>
    <cellStyle name="40% - Accent5 56 2 5 2" xfId="17667" xr:uid="{00000000-0005-0000-0000-0000E13F0000}"/>
    <cellStyle name="40% - Accent5 56 2 6" xfId="15673" xr:uid="{00000000-0005-0000-0000-0000E23F0000}"/>
    <cellStyle name="40% - Accent5 56 3" xfId="11364" xr:uid="{00000000-0005-0000-0000-0000E33F0000}"/>
    <cellStyle name="40% - Accent5 56 3 2" xfId="22652" xr:uid="{00000000-0005-0000-0000-0000E43F0000}"/>
    <cellStyle name="40% - Accent5 56 4" xfId="9370" xr:uid="{00000000-0005-0000-0000-0000E53F0000}"/>
    <cellStyle name="40% - Accent5 56 4 2" xfId="20658" xr:uid="{00000000-0005-0000-0000-0000E63F0000}"/>
    <cellStyle name="40% - Accent5 56 5" xfId="7376" xr:uid="{00000000-0005-0000-0000-0000E73F0000}"/>
    <cellStyle name="40% - Accent5 56 5 2" xfId="18664" xr:uid="{00000000-0005-0000-0000-0000E83F0000}"/>
    <cellStyle name="40% - Accent5 56 6" xfId="5382" xr:uid="{00000000-0005-0000-0000-0000E93F0000}"/>
    <cellStyle name="40% - Accent5 56 6 2" xfId="16670" xr:uid="{00000000-0005-0000-0000-0000EA3F0000}"/>
    <cellStyle name="40% - Accent5 56 7" xfId="14676" xr:uid="{00000000-0005-0000-0000-0000EB3F0000}"/>
    <cellStyle name="40% - Accent5 56 8" xfId="13362" xr:uid="{00000000-0005-0000-0000-0000EC3F0000}"/>
    <cellStyle name="40% - Accent5 57" xfId="1427" xr:uid="{00000000-0005-0000-0000-0000ED3F0000}"/>
    <cellStyle name="40% - Accent5 57 2" xfId="4383" xr:uid="{00000000-0005-0000-0000-0000EE3F0000}"/>
    <cellStyle name="40% - Accent5 57 2 2" xfId="12362" xr:uid="{00000000-0005-0000-0000-0000EF3F0000}"/>
    <cellStyle name="40% - Accent5 57 2 2 2" xfId="23650" xr:uid="{00000000-0005-0000-0000-0000F03F0000}"/>
    <cellStyle name="40% - Accent5 57 2 3" xfId="10368" xr:uid="{00000000-0005-0000-0000-0000F13F0000}"/>
    <cellStyle name="40% - Accent5 57 2 3 2" xfId="21656" xr:uid="{00000000-0005-0000-0000-0000F23F0000}"/>
    <cellStyle name="40% - Accent5 57 2 4" xfId="8374" xr:uid="{00000000-0005-0000-0000-0000F33F0000}"/>
    <cellStyle name="40% - Accent5 57 2 4 2" xfId="19662" xr:uid="{00000000-0005-0000-0000-0000F43F0000}"/>
    <cellStyle name="40% - Accent5 57 2 5" xfId="6380" xr:uid="{00000000-0005-0000-0000-0000F53F0000}"/>
    <cellStyle name="40% - Accent5 57 2 5 2" xfId="17668" xr:uid="{00000000-0005-0000-0000-0000F63F0000}"/>
    <cellStyle name="40% - Accent5 57 2 6" xfId="15674" xr:uid="{00000000-0005-0000-0000-0000F73F0000}"/>
    <cellStyle name="40% - Accent5 57 3" xfId="11365" xr:uid="{00000000-0005-0000-0000-0000F83F0000}"/>
    <cellStyle name="40% - Accent5 57 3 2" xfId="22653" xr:uid="{00000000-0005-0000-0000-0000F93F0000}"/>
    <cellStyle name="40% - Accent5 57 4" xfId="9371" xr:uid="{00000000-0005-0000-0000-0000FA3F0000}"/>
    <cellStyle name="40% - Accent5 57 4 2" xfId="20659" xr:uid="{00000000-0005-0000-0000-0000FB3F0000}"/>
    <cellStyle name="40% - Accent5 57 5" xfId="7377" xr:uid="{00000000-0005-0000-0000-0000FC3F0000}"/>
    <cellStyle name="40% - Accent5 57 5 2" xfId="18665" xr:uid="{00000000-0005-0000-0000-0000FD3F0000}"/>
    <cellStyle name="40% - Accent5 57 6" xfId="5383" xr:uid="{00000000-0005-0000-0000-0000FE3F0000}"/>
    <cellStyle name="40% - Accent5 57 6 2" xfId="16671" xr:uid="{00000000-0005-0000-0000-0000FF3F0000}"/>
    <cellStyle name="40% - Accent5 57 7" xfId="14677" xr:uid="{00000000-0005-0000-0000-000000400000}"/>
    <cellStyle name="40% - Accent5 57 8" xfId="13363" xr:uid="{00000000-0005-0000-0000-000001400000}"/>
    <cellStyle name="40% - Accent5 58" xfId="1428" xr:uid="{00000000-0005-0000-0000-000002400000}"/>
    <cellStyle name="40% - Accent5 58 2" xfId="4384" xr:uid="{00000000-0005-0000-0000-000003400000}"/>
    <cellStyle name="40% - Accent5 58 2 2" xfId="12363" xr:uid="{00000000-0005-0000-0000-000004400000}"/>
    <cellStyle name="40% - Accent5 58 2 2 2" xfId="23651" xr:uid="{00000000-0005-0000-0000-000005400000}"/>
    <cellStyle name="40% - Accent5 58 2 3" xfId="10369" xr:uid="{00000000-0005-0000-0000-000006400000}"/>
    <cellStyle name="40% - Accent5 58 2 3 2" xfId="21657" xr:uid="{00000000-0005-0000-0000-000007400000}"/>
    <cellStyle name="40% - Accent5 58 2 4" xfId="8375" xr:uid="{00000000-0005-0000-0000-000008400000}"/>
    <cellStyle name="40% - Accent5 58 2 4 2" xfId="19663" xr:uid="{00000000-0005-0000-0000-000009400000}"/>
    <cellStyle name="40% - Accent5 58 2 5" xfId="6381" xr:uid="{00000000-0005-0000-0000-00000A400000}"/>
    <cellStyle name="40% - Accent5 58 2 5 2" xfId="17669" xr:uid="{00000000-0005-0000-0000-00000B400000}"/>
    <cellStyle name="40% - Accent5 58 2 6" xfId="15675" xr:uid="{00000000-0005-0000-0000-00000C400000}"/>
    <cellStyle name="40% - Accent5 58 3" xfId="11366" xr:uid="{00000000-0005-0000-0000-00000D400000}"/>
    <cellStyle name="40% - Accent5 58 3 2" xfId="22654" xr:uid="{00000000-0005-0000-0000-00000E400000}"/>
    <cellStyle name="40% - Accent5 58 4" xfId="9372" xr:uid="{00000000-0005-0000-0000-00000F400000}"/>
    <cellStyle name="40% - Accent5 58 4 2" xfId="20660" xr:uid="{00000000-0005-0000-0000-000010400000}"/>
    <cellStyle name="40% - Accent5 58 5" xfId="7378" xr:uid="{00000000-0005-0000-0000-000011400000}"/>
    <cellStyle name="40% - Accent5 58 5 2" xfId="18666" xr:uid="{00000000-0005-0000-0000-000012400000}"/>
    <cellStyle name="40% - Accent5 58 6" xfId="5384" xr:uid="{00000000-0005-0000-0000-000013400000}"/>
    <cellStyle name="40% - Accent5 58 6 2" xfId="16672" xr:uid="{00000000-0005-0000-0000-000014400000}"/>
    <cellStyle name="40% - Accent5 58 7" xfId="14678" xr:uid="{00000000-0005-0000-0000-000015400000}"/>
    <cellStyle name="40% - Accent5 58 8" xfId="13364" xr:uid="{00000000-0005-0000-0000-000016400000}"/>
    <cellStyle name="40% - Accent5 59" xfId="1429" xr:uid="{00000000-0005-0000-0000-000017400000}"/>
    <cellStyle name="40% - Accent5 59 2" xfId="4385" xr:uid="{00000000-0005-0000-0000-000018400000}"/>
    <cellStyle name="40% - Accent5 59 2 2" xfId="12364" xr:uid="{00000000-0005-0000-0000-000019400000}"/>
    <cellStyle name="40% - Accent5 59 2 2 2" xfId="23652" xr:uid="{00000000-0005-0000-0000-00001A400000}"/>
    <cellStyle name="40% - Accent5 59 2 3" xfId="10370" xr:uid="{00000000-0005-0000-0000-00001B400000}"/>
    <cellStyle name="40% - Accent5 59 2 3 2" xfId="21658" xr:uid="{00000000-0005-0000-0000-00001C400000}"/>
    <cellStyle name="40% - Accent5 59 2 4" xfId="8376" xr:uid="{00000000-0005-0000-0000-00001D400000}"/>
    <cellStyle name="40% - Accent5 59 2 4 2" xfId="19664" xr:uid="{00000000-0005-0000-0000-00001E400000}"/>
    <cellStyle name="40% - Accent5 59 2 5" xfId="6382" xr:uid="{00000000-0005-0000-0000-00001F400000}"/>
    <cellStyle name="40% - Accent5 59 2 5 2" xfId="17670" xr:uid="{00000000-0005-0000-0000-000020400000}"/>
    <cellStyle name="40% - Accent5 59 2 6" xfId="15676" xr:uid="{00000000-0005-0000-0000-000021400000}"/>
    <cellStyle name="40% - Accent5 59 3" xfId="11367" xr:uid="{00000000-0005-0000-0000-000022400000}"/>
    <cellStyle name="40% - Accent5 59 3 2" xfId="22655" xr:uid="{00000000-0005-0000-0000-000023400000}"/>
    <cellStyle name="40% - Accent5 59 4" xfId="9373" xr:uid="{00000000-0005-0000-0000-000024400000}"/>
    <cellStyle name="40% - Accent5 59 4 2" xfId="20661" xr:uid="{00000000-0005-0000-0000-000025400000}"/>
    <cellStyle name="40% - Accent5 59 5" xfId="7379" xr:uid="{00000000-0005-0000-0000-000026400000}"/>
    <cellStyle name="40% - Accent5 59 5 2" xfId="18667" xr:uid="{00000000-0005-0000-0000-000027400000}"/>
    <cellStyle name="40% - Accent5 59 6" xfId="5385" xr:uid="{00000000-0005-0000-0000-000028400000}"/>
    <cellStyle name="40% - Accent5 59 6 2" xfId="16673" xr:uid="{00000000-0005-0000-0000-000029400000}"/>
    <cellStyle name="40% - Accent5 59 7" xfId="14679" xr:uid="{00000000-0005-0000-0000-00002A400000}"/>
    <cellStyle name="40% - Accent5 59 8" xfId="13365" xr:uid="{00000000-0005-0000-0000-00002B400000}"/>
    <cellStyle name="40% - Accent5 6" xfId="1430" xr:uid="{00000000-0005-0000-0000-00002C400000}"/>
    <cellStyle name="40% - Accent5 6 10" xfId="24623" xr:uid="{00000000-0005-0000-0000-00002D400000}"/>
    <cellStyle name="40% - Accent5 6 11" xfId="25013" xr:uid="{00000000-0005-0000-0000-00002E400000}"/>
    <cellStyle name="40% - Accent5 6 2" xfId="4386" xr:uid="{00000000-0005-0000-0000-00002F400000}"/>
    <cellStyle name="40% - Accent5 6 2 2" xfId="12365" xr:uid="{00000000-0005-0000-0000-000030400000}"/>
    <cellStyle name="40% - Accent5 6 2 2 2" xfId="23653" xr:uid="{00000000-0005-0000-0000-000031400000}"/>
    <cellStyle name="40% - Accent5 6 2 3" xfId="10371" xr:uid="{00000000-0005-0000-0000-000032400000}"/>
    <cellStyle name="40% - Accent5 6 2 3 2" xfId="21659" xr:uid="{00000000-0005-0000-0000-000033400000}"/>
    <cellStyle name="40% - Accent5 6 2 4" xfId="8377" xr:uid="{00000000-0005-0000-0000-000034400000}"/>
    <cellStyle name="40% - Accent5 6 2 4 2" xfId="19665" xr:uid="{00000000-0005-0000-0000-000035400000}"/>
    <cellStyle name="40% - Accent5 6 2 5" xfId="6383" xr:uid="{00000000-0005-0000-0000-000036400000}"/>
    <cellStyle name="40% - Accent5 6 2 5 2" xfId="17671" xr:uid="{00000000-0005-0000-0000-000037400000}"/>
    <cellStyle name="40% - Accent5 6 2 6" xfId="15677" xr:uid="{00000000-0005-0000-0000-000038400000}"/>
    <cellStyle name="40% - Accent5 6 2 7" xfId="24384" xr:uid="{00000000-0005-0000-0000-000039400000}"/>
    <cellStyle name="40% - Accent5 6 2 8" xfId="24848" xr:uid="{00000000-0005-0000-0000-00003A400000}"/>
    <cellStyle name="40% - Accent5 6 2 9" xfId="25215" xr:uid="{00000000-0005-0000-0000-00003B400000}"/>
    <cellStyle name="40% - Accent5 6 3" xfId="11368" xr:uid="{00000000-0005-0000-0000-00003C400000}"/>
    <cellStyle name="40% - Accent5 6 3 2" xfId="22656" xr:uid="{00000000-0005-0000-0000-00003D400000}"/>
    <cellStyle name="40% - Accent5 6 4" xfId="9374" xr:uid="{00000000-0005-0000-0000-00003E400000}"/>
    <cellStyle name="40% - Accent5 6 4 2" xfId="20662" xr:uid="{00000000-0005-0000-0000-00003F400000}"/>
    <cellStyle name="40% - Accent5 6 5" xfId="7380" xr:uid="{00000000-0005-0000-0000-000040400000}"/>
    <cellStyle name="40% - Accent5 6 5 2" xfId="18668" xr:uid="{00000000-0005-0000-0000-000041400000}"/>
    <cellStyle name="40% - Accent5 6 6" xfId="5386" xr:uid="{00000000-0005-0000-0000-000042400000}"/>
    <cellStyle name="40% - Accent5 6 6 2" xfId="16674" xr:uid="{00000000-0005-0000-0000-000043400000}"/>
    <cellStyle name="40% - Accent5 6 7" xfId="14680" xr:uid="{00000000-0005-0000-0000-000044400000}"/>
    <cellStyle name="40% - Accent5 6 8" xfId="13366" xr:uid="{00000000-0005-0000-0000-000045400000}"/>
    <cellStyle name="40% - Accent5 6 9" xfId="23996" xr:uid="{00000000-0005-0000-0000-000046400000}"/>
    <cellStyle name="40% - Accent5 60" xfId="1431" xr:uid="{00000000-0005-0000-0000-000047400000}"/>
    <cellStyle name="40% - Accent5 60 2" xfId="4387" xr:uid="{00000000-0005-0000-0000-000048400000}"/>
    <cellStyle name="40% - Accent5 60 2 2" xfId="12366" xr:uid="{00000000-0005-0000-0000-000049400000}"/>
    <cellStyle name="40% - Accent5 60 2 2 2" xfId="23654" xr:uid="{00000000-0005-0000-0000-00004A400000}"/>
    <cellStyle name="40% - Accent5 60 2 3" xfId="10372" xr:uid="{00000000-0005-0000-0000-00004B400000}"/>
    <cellStyle name="40% - Accent5 60 2 3 2" xfId="21660" xr:uid="{00000000-0005-0000-0000-00004C400000}"/>
    <cellStyle name="40% - Accent5 60 2 4" xfId="8378" xr:uid="{00000000-0005-0000-0000-00004D400000}"/>
    <cellStyle name="40% - Accent5 60 2 4 2" xfId="19666" xr:uid="{00000000-0005-0000-0000-00004E400000}"/>
    <cellStyle name="40% - Accent5 60 2 5" xfId="6384" xr:uid="{00000000-0005-0000-0000-00004F400000}"/>
    <cellStyle name="40% - Accent5 60 2 5 2" xfId="17672" xr:uid="{00000000-0005-0000-0000-000050400000}"/>
    <cellStyle name="40% - Accent5 60 2 6" xfId="15678" xr:uid="{00000000-0005-0000-0000-000051400000}"/>
    <cellStyle name="40% - Accent5 60 3" xfId="11369" xr:uid="{00000000-0005-0000-0000-000052400000}"/>
    <cellStyle name="40% - Accent5 60 3 2" xfId="22657" xr:uid="{00000000-0005-0000-0000-000053400000}"/>
    <cellStyle name="40% - Accent5 60 4" xfId="9375" xr:uid="{00000000-0005-0000-0000-000054400000}"/>
    <cellStyle name="40% - Accent5 60 4 2" xfId="20663" xr:uid="{00000000-0005-0000-0000-000055400000}"/>
    <cellStyle name="40% - Accent5 60 5" xfId="7381" xr:uid="{00000000-0005-0000-0000-000056400000}"/>
    <cellStyle name="40% - Accent5 60 5 2" xfId="18669" xr:uid="{00000000-0005-0000-0000-000057400000}"/>
    <cellStyle name="40% - Accent5 60 6" xfId="5387" xr:uid="{00000000-0005-0000-0000-000058400000}"/>
    <cellStyle name="40% - Accent5 60 6 2" xfId="16675" xr:uid="{00000000-0005-0000-0000-000059400000}"/>
    <cellStyle name="40% - Accent5 60 7" xfId="14681" xr:uid="{00000000-0005-0000-0000-00005A400000}"/>
    <cellStyle name="40% - Accent5 60 8" xfId="13367" xr:uid="{00000000-0005-0000-0000-00005B400000}"/>
    <cellStyle name="40% - Accent5 61" xfId="1432" xr:uid="{00000000-0005-0000-0000-00005C400000}"/>
    <cellStyle name="40% - Accent5 61 2" xfId="4388" xr:uid="{00000000-0005-0000-0000-00005D400000}"/>
    <cellStyle name="40% - Accent5 61 2 2" xfId="12367" xr:uid="{00000000-0005-0000-0000-00005E400000}"/>
    <cellStyle name="40% - Accent5 61 2 2 2" xfId="23655" xr:uid="{00000000-0005-0000-0000-00005F400000}"/>
    <cellStyle name="40% - Accent5 61 2 3" xfId="10373" xr:uid="{00000000-0005-0000-0000-000060400000}"/>
    <cellStyle name="40% - Accent5 61 2 3 2" xfId="21661" xr:uid="{00000000-0005-0000-0000-000061400000}"/>
    <cellStyle name="40% - Accent5 61 2 4" xfId="8379" xr:uid="{00000000-0005-0000-0000-000062400000}"/>
    <cellStyle name="40% - Accent5 61 2 4 2" xfId="19667" xr:uid="{00000000-0005-0000-0000-000063400000}"/>
    <cellStyle name="40% - Accent5 61 2 5" xfId="6385" xr:uid="{00000000-0005-0000-0000-000064400000}"/>
    <cellStyle name="40% - Accent5 61 2 5 2" xfId="17673" xr:uid="{00000000-0005-0000-0000-000065400000}"/>
    <cellStyle name="40% - Accent5 61 2 6" xfId="15679" xr:uid="{00000000-0005-0000-0000-000066400000}"/>
    <cellStyle name="40% - Accent5 61 3" xfId="11370" xr:uid="{00000000-0005-0000-0000-000067400000}"/>
    <cellStyle name="40% - Accent5 61 3 2" xfId="22658" xr:uid="{00000000-0005-0000-0000-000068400000}"/>
    <cellStyle name="40% - Accent5 61 4" xfId="9376" xr:uid="{00000000-0005-0000-0000-000069400000}"/>
    <cellStyle name="40% - Accent5 61 4 2" xfId="20664" xr:uid="{00000000-0005-0000-0000-00006A400000}"/>
    <cellStyle name="40% - Accent5 61 5" xfId="7382" xr:uid="{00000000-0005-0000-0000-00006B400000}"/>
    <cellStyle name="40% - Accent5 61 5 2" xfId="18670" xr:uid="{00000000-0005-0000-0000-00006C400000}"/>
    <cellStyle name="40% - Accent5 61 6" xfId="5388" xr:uid="{00000000-0005-0000-0000-00006D400000}"/>
    <cellStyle name="40% - Accent5 61 6 2" xfId="16676" xr:uid="{00000000-0005-0000-0000-00006E400000}"/>
    <cellStyle name="40% - Accent5 61 7" xfId="14682" xr:uid="{00000000-0005-0000-0000-00006F400000}"/>
    <cellStyle name="40% - Accent5 61 8" xfId="13368" xr:uid="{00000000-0005-0000-0000-000070400000}"/>
    <cellStyle name="40% - Accent5 62" xfId="1433" xr:uid="{00000000-0005-0000-0000-000071400000}"/>
    <cellStyle name="40% - Accent5 62 2" xfId="4389" xr:uid="{00000000-0005-0000-0000-000072400000}"/>
    <cellStyle name="40% - Accent5 62 2 2" xfId="12368" xr:uid="{00000000-0005-0000-0000-000073400000}"/>
    <cellStyle name="40% - Accent5 62 2 2 2" xfId="23656" xr:uid="{00000000-0005-0000-0000-000074400000}"/>
    <cellStyle name="40% - Accent5 62 2 3" xfId="10374" xr:uid="{00000000-0005-0000-0000-000075400000}"/>
    <cellStyle name="40% - Accent5 62 2 3 2" xfId="21662" xr:uid="{00000000-0005-0000-0000-000076400000}"/>
    <cellStyle name="40% - Accent5 62 2 4" xfId="8380" xr:uid="{00000000-0005-0000-0000-000077400000}"/>
    <cellStyle name="40% - Accent5 62 2 4 2" xfId="19668" xr:uid="{00000000-0005-0000-0000-000078400000}"/>
    <cellStyle name="40% - Accent5 62 2 5" xfId="6386" xr:uid="{00000000-0005-0000-0000-000079400000}"/>
    <cellStyle name="40% - Accent5 62 2 5 2" xfId="17674" xr:uid="{00000000-0005-0000-0000-00007A400000}"/>
    <cellStyle name="40% - Accent5 62 2 6" xfId="15680" xr:uid="{00000000-0005-0000-0000-00007B400000}"/>
    <cellStyle name="40% - Accent5 62 3" xfId="11371" xr:uid="{00000000-0005-0000-0000-00007C400000}"/>
    <cellStyle name="40% - Accent5 62 3 2" xfId="22659" xr:uid="{00000000-0005-0000-0000-00007D400000}"/>
    <cellStyle name="40% - Accent5 62 4" xfId="9377" xr:uid="{00000000-0005-0000-0000-00007E400000}"/>
    <cellStyle name="40% - Accent5 62 4 2" xfId="20665" xr:uid="{00000000-0005-0000-0000-00007F400000}"/>
    <cellStyle name="40% - Accent5 62 5" xfId="7383" xr:uid="{00000000-0005-0000-0000-000080400000}"/>
    <cellStyle name="40% - Accent5 62 5 2" xfId="18671" xr:uid="{00000000-0005-0000-0000-000081400000}"/>
    <cellStyle name="40% - Accent5 62 6" xfId="5389" xr:uid="{00000000-0005-0000-0000-000082400000}"/>
    <cellStyle name="40% - Accent5 62 6 2" xfId="16677" xr:uid="{00000000-0005-0000-0000-000083400000}"/>
    <cellStyle name="40% - Accent5 62 7" xfId="14683" xr:uid="{00000000-0005-0000-0000-000084400000}"/>
    <cellStyle name="40% - Accent5 62 8" xfId="13369" xr:uid="{00000000-0005-0000-0000-000085400000}"/>
    <cellStyle name="40% - Accent5 63" xfId="1434" xr:uid="{00000000-0005-0000-0000-000086400000}"/>
    <cellStyle name="40% - Accent5 63 2" xfId="4390" xr:uid="{00000000-0005-0000-0000-000087400000}"/>
    <cellStyle name="40% - Accent5 63 2 2" xfId="12369" xr:uid="{00000000-0005-0000-0000-000088400000}"/>
    <cellStyle name="40% - Accent5 63 2 2 2" xfId="23657" xr:uid="{00000000-0005-0000-0000-000089400000}"/>
    <cellStyle name="40% - Accent5 63 2 3" xfId="10375" xr:uid="{00000000-0005-0000-0000-00008A400000}"/>
    <cellStyle name="40% - Accent5 63 2 3 2" xfId="21663" xr:uid="{00000000-0005-0000-0000-00008B400000}"/>
    <cellStyle name="40% - Accent5 63 2 4" xfId="8381" xr:uid="{00000000-0005-0000-0000-00008C400000}"/>
    <cellStyle name="40% - Accent5 63 2 4 2" xfId="19669" xr:uid="{00000000-0005-0000-0000-00008D400000}"/>
    <cellStyle name="40% - Accent5 63 2 5" xfId="6387" xr:uid="{00000000-0005-0000-0000-00008E400000}"/>
    <cellStyle name="40% - Accent5 63 2 5 2" xfId="17675" xr:uid="{00000000-0005-0000-0000-00008F400000}"/>
    <cellStyle name="40% - Accent5 63 2 6" xfId="15681" xr:uid="{00000000-0005-0000-0000-000090400000}"/>
    <cellStyle name="40% - Accent5 63 3" xfId="11372" xr:uid="{00000000-0005-0000-0000-000091400000}"/>
    <cellStyle name="40% - Accent5 63 3 2" xfId="22660" xr:uid="{00000000-0005-0000-0000-000092400000}"/>
    <cellStyle name="40% - Accent5 63 4" xfId="9378" xr:uid="{00000000-0005-0000-0000-000093400000}"/>
    <cellStyle name="40% - Accent5 63 4 2" xfId="20666" xr:uid="{00000000-0005-0000-0000-000094400000}"/>
    <cellStyle name="40% - Accent5 63 5" xfId="7384" xr:uid="{00000000-0005-0000-0000-000095400000}"/>
    <cellStyle name="40% - Accent5 63 5 2" xfId="18672" xr:uid="{00000000-0005-0000-0000-000096400000}"/>
    <cellStyle name="40% - Accent5 63 6" xfId="5390" xr:uid="{00000000-0005-0000-0000-000097400000}"/>
    <cellStyle name="40% - Accent5 63 6 2" xfId="16678" xr:uid="{00000000-0005-0000-0000-000098400000}"/>
    <cellStyle name="40% - Accent5 63 7" xfId="14684" xr:uid="{00000000-0005-0000-0000-000099400000}"/>
    <cellStyle name="40% - Accent5 63 8" xfId="13370" xr:uid="{00000000-0005-0000-0000-00009A400000}"/>
    <cellStyle name="40% - Accent5 64" xfId="1435" xr:uid="{00000000-0005-0000-0000-00009B400000}"/>
    <cellStyle name="40% - Accent5 64 2" xfId="4391" xr:uid="{00000000-0005-0000-0000-00009C400000}"/>
    <cellStyle name="40% - Accent5 64 2 2" xfId="12370" xr:uid="{00000000-0005-0000-0000-00009D400000}"/>
    <cellStyle name="40% - Accent5 64 2 2 2" xfId="23658" xr:uid="{00000000-0005-0000-0000-00009E400000}"/>
    <cellStyle name="40% - Accent5 64 2 3" xfId="10376" xr:uid="{00000000-0005-0000-0000-00009F400000}"/>
    <cellStyle name="40% - Accent5 64 2 3 2" xfId="21664" xr:uid="{00000000-0005-0000-0000-0000A0400000}"/>
    <cellStyle name="40% - Accent5 64 2 4" xfId="8382" xr:uid="{00000000-0005-0000-0000-0000A1400000}"/>
    <cellStyle name="40% - Accent5 64 2 4 2" xfId="19670" xr:uid="{00000000-0005-0000-0000-0000A2400000}"/>
    <cellStyle name="40% - Accent5 64 2 5" xfId="6388" xr:uid="{00000000-0005-0000-0000-0000A3400000}"/>
    <cellStyle name="40% - Accent5 64 2 5 2" xfId="17676" xr:uid="{00000000-0005-0000-0000-0000A4400000}"/>
    <cellStyle name="40% - Accent5 64 2 6" xfId="15682" xr:uid="{00000000-0005-0000-0000-0000A5400000}"/>
    <cellStyle name="40% - Accent5 64 3" xfId="11373" xr:uid="{00000000-0005-0000-0000-0000A6400000}"/>
    <cellStyle name="40% - Accent5 64 3 2" xfId="22661" xr:uid="{00000000-0005-0000-0000-0000A7400000}"/>
    <cellStyle name="40% - Accent5 64 4" xfId="9379" xr:uid="{00000000-0005-0000-0000-0000A8400000}"/>
    <cellStyle name="40% - Accent5 64 4 2" xfId="20667" xr:uid="{00000000-0005-0000-0000-0000A9400000}"/>
    <cellStyle name="40% - Accent5 64 5" xfId="7385" xr:uid="{00000000-0005-0000-0000-0000AA400000}"/>
    <cellStyle name="40% - Accent5 64 5 2" xfId="18673" xr:uid="{00000000-0005-0000-0000-0000AB400000}"/>
    <cellStyle name="40% - Accent5 64 6" xfId="5391" xr:uid="{00000000-0005-0000-0000-0000AC400000}"/>
    <cellStyle name="40% - Accent5 64 6 2" xfId="16679" xr:uid="{00000000-0005-0000-0000-0000AD400000}"/>
    <cellStyle name="40% - Accent5 64 7" xfId="14685" xr:uid="{00000000-0005-0000-0000-0000AE400000}"/>
    <cellStyle name="40% - Accent5 64 8" xfId="13371" xr:uid="{00000000-0005-0000-0000-0000AF400000}"/>
    <cellStyle name="40% - Accent5 65" xfId="1436" xr:uid="{00000000-0005-0000-0000-0000B0400000}"/>
    <cellStyle name="40% - Accent5 65 2" xfId="4392" xr:uid="{00000000-0005-0000-0000-0000B1400000}"/>
    <cellStyle name="40% - Accent5 65 2 2" xfId="12371" xr:uid="{00000000-0005-0000-0000-0000B2400000}"/>
    <cellStyle name="40% - Accent5 65 2 2 2" xfId="23659" xr:uid="{00000000-0005-0000-0000-0000B3400000}"/>
    <cellStyle name="40% - Accent5 65 2 3" xfId="10377" xr:uid="{00000000-0005-0000-0000-0000B4400000}"/>
    <cellStyle name="40% - Accent5 65 2 3 2" xfId="21665" xr:uid="{00000000-0005-0000-0000-0000B5400000}"/>
    <cellStyle name="40% - Accent5 65 2 4" xfId="8383" xr:uid="{00000000-0005-0000-0000-0000B6400000}"/>
    <cellStyle name="40% - Accent5 65 2 4 2" xfId="19671" xr:uid="{00000000-0005-0000-0000-0000B7400000}"/>
    <cellStyle name="40% - Accent5 65 2 5" xfId="6389" xr:uid="{00000000-0005-0000-0000-0000B8400000}"/>
    <cellStyle name="40% - Accent5 65 2 5 2" xfId="17677" xr:uid="{00000000-0005-0000-0000-0000B9400000}"/>
    <cellStyle name="40% - Accent5 65 2 6" xfId="15683" xr:uid="{00000000-0005-0000-0000-0000BA400000}"/>
    <cellStyle name="40% - Accent5 65 3" xfId="11374" xr:uid="{00000000-0005-0000-0000-0000BB400000}"/>
    <cellStyle name="40% - Accent5 65 3 2" xfId="22662" xr:uid="{00000000-0005-0000-0000-0000BC400000}"/>
    <cellStyle name="40% - Accent5 65 4" xfId="9380" xr:uid="{00000000-0005-0000-0000-0000BD400000}"/>
    <cellStyle name="40% - Accent5 65 4 2" xfId="20668" xr:uid="{00000000-0005-0000-0000-0000BE400000}"/>
    <cellStyle name="40% - Accent5 65 5" xfId="7386" xr:uid="{00000000-0005-0000-0000-0000BF400000}"/>
    <cellStyle name="40% - Accent5 65 5 2" xfId="18674" xr:uid="{00000000-0005-0000-0000-0000C0400000}"/>
    <cellStyle name="40% - Accent5 65 6" xfId="5392" xr:uid="{00000000-0005-0000-0000-0000C1400000}"/>
    <cellStyle name="40% - Accent5 65 6 2" xfId="16680" xr:uid="{00000000-0005-0000-0000-0000C2400000}"/>
    <cellStyle name="40% - Accent5 65 7" xfId="14686" xr:uid="{00000000-0005-0000-0000-0000C3400000}"/>
    <cellStyle name="40% - Accent5 65 8" xfId="13372" xr:uid="{00000000-0005-0000-0000-0000C4400000}"/>
    <cellStyle name="40% - Accent5 66" xfId="1437" xr:uid="{00000000-0005-0000-0000-0000C5400000}"/>
    <cellStyle name="40% - Accent5 66 2" xfId="4393" xr:uid="{00000000-0005-0000-0000-0000C6400000}"/>
    <cellStyle name="40% - Accent5 66 2 2" xfId="12372" xr:uid="{00000000-0005-0000-0000-0000C7400000}"/>
    <cellStyle name="40% - Accent5 66 2 2 2" xfId="23660" xr:uid="{00000000-0005-0000-0000-0000C8400000}"/>
    <cellStyle name="40% - Accent5 66 2 3" xfId="10378" xr:uid="{00000000-0005-0000-0000-0000C9400000}"/>
    <cellStyle name="40% - Accent5 66 2 3 2" xfId="21666" xr:uid="{00000000-0005-0000-0000-0000CA400000}"/>
    <cellStyle name="40% - Accent5 66 2 4" xfId="8384" xr:uid="{00000000-0005-0000-0000-0000CB400000}"/>
    <cellStyle name="40% - Accent5 66 2 4 2" xfId="19672" xr:uid="{00000000-0005-0000-0000-0000CC400000}"/>
    <cellStyle name="40% - Accent5 66 2 5" xfId="6390" xr:uid="{00000000-0005-0000-0000-0000CD400000}"/>
    <cellStyle name="40% - Accent5 66 2 5 2" xfId="17678" xr:uid="{00000000-0005-0000-0000-0000CE400000}"/>
    <cellStyle name="40% - Accent5 66 2 6" xfId="15684" xr:uid="{00000000-0005-0000-0000-0000CF400000}"/>
    <cellStyle name="40% - Accent5 66 3" xfId="11375" xr:uid="{00000000-0005-0000-0000-0000D0400000}"/>
    <cellStyle name="40% - Accent5 66 3 2" xfId="22663" xr:uid="{00000000-0005-0000-0000-0000D1400000}"/>
    <cellStyle name="40% - Accent5 66 4" xfId="9381" xr:uid="{00000000-0005-0000-0000-0000D2400000}"/>
    <cellStyle name="40% - Accent5 66 4 2" xfId="20669" xr:uid="{00000000-0005-0000-0000-0000D3400000}"/>
    <cellStyle name="40% - Accent5 66 5" xfId="7387" xr:uid="{00000000-0005-0000-0000-0000D4400000}"/>
    <cellStyle name="40% - Accent5 66 5 2" xfId="18675" xr:uid="{00000000-0005-0000-0000-0000D5400000}"/>
    <cellStyle name="40% - Accent5 66 6" xfId="5393" xr:uid="{00000000-0005-0000-0000-0000D6400000}"/>
    <cellStyle name="40% - Accent5 66 6 2" xfId="16681" xr:uid="{00000000-0005-0000-0000-0000D7400000}"/>
    <cellStyle name="40% - Accent5 66 7" xfId="14687" xr:uid="{00000000-0005-0000-0000-0000D8400000}"/>
    <cellStyle name="40% - Accent5 66 8" xfId="13373" xr:uid="{00000000-0005-0000-0000-0000D9400000}"/>
    <cellStyle name="40% - Accent5 67" xfId="1438" xr:uid="{00000000-0005-0000-0000-0000DA400000}"/>
    <cellStyle name="40% - Accent5 67 2" xfId="4394" xr:uid="{00000000-0005-0000-0000-0000DB400000}"/>
    <cellStyle name="40% - Accent5 67 2 2" xfId="12373" xr:uid="{00000000-0005-0000-0000-0000DC400000}"/>
    <cellStyle name="40% - Accent5 67 2 2 2" xfId="23661" xr:uid="{00000000-0005-0000-0000-0000DD400000}"/>
    <cellStyle name="40% - Accent5 67 2 3" xfId="10379" xr:uid="{00000000-0005-0000-0000-0000DE400000}"/>
    <cellStyle name="40% - Accent5 67 2 3 2" xfId="21667" xr:uid="{00000000-0005-0000-0000-0000DF400000}"/>
    <cellStyle name="40% - Accent5 67 2 4" xfId="8385" xr:uid="{00000000-0005-0000-0000-0000E0400000}"/>
    <cellStyle name="40% - Accent5 67 2 4 2" xfId="19673" xr:uid="{00000000-0005-0000-0000-0000E1400000}"/>
    <cellStyle name="40% - Accent5 67 2 5" xfId="6391" xr:uid="{00000000-0005-0000-0000-0000E2400000}"/>
    <cellStyle name="40% - Accent5 67 2 5 2" xfId="17679" xr:uid="{00000000-0005-0000-0000-0000E3400000}"/>
    <cellStyle name="40% - Accent5 67 2 6" xfId="15685" xr:uid="{00000000-0005-0000-0000-0000E4400000}"/>
    <cellStyle name="40% - Accent5 67 3" xfId="11376" xr:uid="{00000000-0005-0000-0000-0000E5400000}"/>
    <cellStyle name="40% - Accent5 67 3 2" xfId="22664" xr:uid="{00000000-0005-0000-0000-0000E6400000}"/>
    <cellStyle name="40% - Accent5 67 4" xfId="9382" xr:uid="{00000000-0005-0000-0000-0000E7400000}"/>
    <cellStyle name="40% - Accent5 67 4 2" xfId="20670" xr:uid="{00000000-0005-0000-0000-0000E8400000}"/>
    <cellStyle name="40% - Accent5 67 5" xfId="7388" xr:uid="{00000000-0005-0000-0000-0000E9400000}"/>
    <cellStyle name="40% - Accent5 67 5 2" xfId="18676" xr:uid="{00000000-0005-0000-0000-0000EA400000}"/>
    <cellStyle name="40% - Accent5 67 6" xfId="5394" xr:uid="{00000000-0005-0000-0000-0000EB400000}"/>
    <cellStyle name="40% - Accent5 67 6 2" xfId="16682" xr:uid="{00000000-0005-0000-0000-0000EC400000}"/>
    <cellStyle name="40% - Accent5 67 7" xfId="14688" xr:uid="{00000000-0005-0000-0000-0000ED400000}"/>
    <cellStyle name="40% - Accent5 67 8" xfId="13374" xr:uid="{00000000-0005-0000-0000-0000EE400000}"/>
    <cellStyle name="40% - Accent5 68" xfId="1439" xr:uid="{00000000-0005-0000-0000-0000EF400000}"/>
    <cellStyle name="40% - Accent5 68 2" xfId="4395" xr:uid="{00000000-0005-0000-0000-0000F0400000}"/>
    <cellStyle name="40% - Accent5 68 2 2" xfId="12374" xr:uid="{00000000-0005-0000-0000-0000F1400000}"/>
    <cellStyle name="40% - Accent5 68 2 2 2" xfId="23662" xr:uid="{00000000-0005-0000-0000-0000F2400000}"/>
    <cellStyle name="40% - Accent5 68 2 3" xfId="10380" xr:uid="{00000000-0005-0000-0000-0000F3400000}"/>
    <cellStyle name="40% - Accent5 68 2 3 2" xfId="21668" xr:uid="{00000000-0005-0000-0000-0000F4400000}"/>
    <cellStyle name="40% - Accent5 68 2 4" xfId="8386" xr:uid="{00000000-0005-0000-0000-0000F5400000}"/>
    <cellStyle name="40% - Accent5 68 2 4 2" xfId="19674" xr:uid="{00000000-0005-0000-0000-0000F6400000}"/>
    <cellStyle name="40% - Accent5 68 2 5" xfId="6392" xr:uid="{00000000-0005-0000-0000-0000F7400000}"/>
    <cellStyle name="40% - Accent5 68 2 5 2" xfId="17680" xr:uid="{00000000-0005-0000-0000-0000F8400000}"/>
    <cellStyle name="40% - Accent5 68 2 6" xfId="15686" xr:uid="{00000000-0005-0000-0000-0000F9400000}"/>
    <cellStyle name="40% - Accent5 68 3" xfId="11377" xr:uid="{00000000-0005-0000-0000-0000FA400000}"/>
    <cellStyle name="40% - Accent5 68 3 2" xfId="22665" xr:uid="{00000000-0005-0000-0000-0000FB400000}"/>
    <cellStyle name="40% - Accent5 68 4" xfId="9383" xr:uid="{00000000-0005-0000-0000-0000FC400000}"/>
    <cellStyle name="40% - Accent5 68 4 2" xfId="20671" xr:uid="{00000000-0005-0000-0000-0000FD400000}"/>
    <cellStyle name="40% - Accent5 68 5" xfId="7389" xr:uid="{00000000-0005-0000-0000-0000FE400000}"/>
    <cellStyle name="40% - Accent5 68 5 2" xfId="18677" xr:uid="{00000000-0005-0000-0000-0000FF400000}"/>
    <cellStyle name="40% - Accent5 68 6" xfId="5395" xr:uid="{00000000-0005-0000-0000-000000410000}"/>
    <cellStyle name="40% - Accent5 68 6 2" xfId="16683" xr:uid="{00000000-0005-0000-0000-000001410000}"/>
    <cellStyle name="40% - Accent5 68 7" xfId="14689" xr:uid="{00000000-0005-0000-0000-000002410000}"/>
    <cellStyle name="40% - Accent5 68 8" xfId="13375" xr:uid="{00000000-0005-0000-0000-000003410000}"/>
    <cellStyle name="40% - Accent5 69" xfId="1440" xr:uid="{00000000-0005-0000-0000-000004410000}"/>
    <cellStyle name="40% - Accent5 69 2" xfId="4396" xr:uid="{00000000-0005-0000-0000-000005410000}"/>
    <cellStyle name="40% - Accent5 69 2 2" xfId="12375" xr:uid="{00000000-0005-0000-0000-000006410000}"/>
    <cellStyle name="40% - Accent5 69 2 2 2" xfId="23663" xr:uid="{00000000-0005-0000-0000-000007410000}"/>
    <cellStyle name="40% - Accent5 69 2 3" xfId="10381" xr:uid="{00000000-0005-0000-0000-000008410000}"/>
    <cellStyle name="40% - Accent5 69 2 3 2" xfId="21669" xr:uid="{00000000-0005-0000-0000-000009410000}"/>
    <cellStyle name="40% - Accent5 69 2 4" xfId="8387" xr:uid="{00000000-0005-0000-0000-00000A410000}"/>
    <cellStyle name="40% - Accent5 69 2 4 2" xfId="19675" xr:uid="{00000000-0005-0000-0000-00000B410000}"/>
    <cellStyle name="40% - Accent5 69 2 5" xfId="6393" xr:uid="{00000000-0005-0000-0000-00000C410000}"/>
    <cellStyle name="40% - Accent5 69 2 5 2" xfId="17681" xr:uid="{00000000-0005-0000-0000-00000D410000}"/>
    <cellStyle name="40% - Accent5 69 2 6" xfId="15687" xr:uid="{00000000-0005-0000-0000-00000E410000}"/>
    <cellStyle name="40% - Accent5 69 3" xfId="11378" xr:uid="{00000000-0005-0000-0000-00000F410000}"/>
    <cellStyle name="40% - Accent5 69 3 2" xfId="22666" xr:uid="{00000000-0005-0000-0000-000010410000}"/>
    <cellStyle name="40% - Accent5 69 4" xfId="9384" xr:uid="{00000000-0005-0000-0000-000011410000}"/>
    <cellStyle name="40% - Accent5 69 4 2" xfId="20672" xr:uid="{00000000-0005-0000-0000-000012410000}"/>
    <cellStyle name="40% - Accent5 69 5" xfId="7390" xr:uid="{00000000-0005-0000-0000-000013410000}"/>
    <cellStyle name="40% - Accent5 69 5 2" xfId="18678" xr:uid="{00000000-0005-0000-0000-000014410000}"/>
    <cellStyle name="40% - Accent5 69 6" xfId="5396" xr:uid="{00000000-0005-0000-0000-000015410000}"/>
    <cellStyle name="40% - Accent5 69 6 2" xfId="16684" xr:uid="{00000000-0005-0000-0000-000016410000}"/>
    <cellStyle name="40% - Accent5 69 7" xfId="14690" xr:uid="{00000000-0005-0000-0000-000017410000}"/>
    <cellStyle name="40% - Accent5 69 8" xfId="13376" xr:uid="{00000000-0005-0000-0000-000018410000}"/>
    <cellStyle name="40% - Accent5 7" xfId="1441" xr:uid="{00000000-0005-0000-0000-000019410000}"/>
    <cellStyle name="40% - Accent5 7 10" xfId="24624" xr:uid="{00000000-0005-0000-0000-00001A410000}"/>
    <cellStyle name="40% - Accent5 7 11" xfId="25014" xr:uid="{00000000-0005-0000-0000-00001B410000}"/>
    <cellStyle name="40% - Accent5 7 2" xfId="4397" xr:uid="{00000000-0005-0000-0000-00001C410000}"/>
    <cellStyle name="40% - Accent5 7 2 2" xfId="12376" xr:uid="{00000000-0005-0000-0000-00001D410000}"/>
    <cellStyle name="40% - Accent5 7 2 2 2" xfId="23664" xr:uid="{00000000-0005-0000-0000-00001E410000}"/>
    <cellStyle name="40% - Accent5 7 2 3" xfId="10382" xr:uid="{00000000-0005-0000-0000-00001F410000}"/>
    <cellStyle name="40% - Accent5 7 2 3 2" xfId="21670" xr:uid="{00000000-0005-0000-0000-000020410000}"/>
    <cellStyle name="40% - Accent5 7 2 4" xfId="8388" xr:uid="{00000000-0005-0000-0000-000021410000}"/>
    <cellStyle name="40% - Accent5 7 2 4 2" xfId="19676" xr:uid="{00000000-0005-0000-0000-000022410000}"/>
    <cellStyle name="40% - Accent5 7 2 5" xfId="6394" xr:uid="{00000000-0005-0000-0000-000023410000}"/>
    <cellStyle name="40% - Accent5 7 2 5 2" xfId="17682" xr:uid="{00000000-0005-0000-0000-000024410000}"/>
    <cellStyle name="40% - Accent5 7 2 6" xfId="15688" xr:uid="{00000000-0005-0000-0000-000025410000}"/>
    <cellStyle name="40% - Accent5 7 2 7" xfId="24385" xr:uid="{00000000-0005-0000-0000-000026410000}"/>
    <cellStyle name="40% - Accent5 7 2 8" xfId="24849" xr:uid="{00000000-0005-0000-0000-000027410000}"/>
    <cellStyle name="40% - Accent5 7 2 9" xfId="25216" xr:uid="{00000000-0005-0000-0000-000028410000}"/>
    <cellStyle name="40% - Accent5 7 3" xfId="11379" xr:uid="{00000000-0005-0000-0000-000029410000}"/>
    <cellStyle name="40% - Accent5 7 3 2" xfId="22667" xr:uid="{00000000-0005-0000-0000-00002A410000}"/>
    <cellStyle name="40% - Accent5 7 4" xfId="9385" xr:uid="{00000000-0005-0000-0000-00002B410000}"/>
    <cellStyle name="40% - Accent5 7 4 2" xfId="20673" xr:uid="{00000000-0005-0000-0000-00002C410000}"/>
    <cellStyle name="40% - Accent5 7 5" xfId="7391" xr:uid="{00000000-0005-0000-0000-00002D410000}"/>
    <cellStyle name="40% - Accent5 7 5 2" xfId="18679" xr:uid="{00000000-0005-0000-0000-00002E410000}"/>
    <cellStyle name="40% - Accent5 7 6" xfId="5397" xr:uid="{00000000-0005-0000-0000-00002F410000}"/>
    <cellStyle name="40% - Accent5 7 6 2" xfId="16685" xr:uid="{00000000-0005-0000-0000-000030410000}"/>
    <cellStyle name="40% - Accent5 7 7" xfId="14691" xr:uid="{00000000-0005-0000-0000-000031410000}"/>
    <cellStyle name="40% - Accent5 7 8" xfId="13377" xr:uid="{00000000-0005-0000-0000-000032410000}"/>
    <cellStyle name="40% - Accent5 7 9" xfId="23997" xr:uid="{00000000-0005-0000-0000-000033410000}"/>
    <cellStyle name="40% - Accent5 70" xfId="1442" xr:uid="{00000000-0005-0000-0000-000034410000}"/>
    <cellStyle name="40% - Accent5 70 2" xfId="4398" xr:uid="{00000000-0005-0000-0000-000035410000}"/>
    <cellStyle name="40% - Accent5 70 2 2" xfId="12377" xr:uid="{00000000-0005-0000-0000-000036410000}"/>
    <cellStyle name="40% - Accent5 70 2 2 2" xfId="23665" xr:uid="{00000000-0005-0000-0000-000037410000}"/>
    <cellStyle name="40% - Accent5 70 2 3" xfId="10383" xr:uid="{00000000-0005-0000-0000-000038410000}"/>
    <cellStyle name="40% - Accent5 70 2 3 2" xfId="21671" xr:uid="{00000000-0005-0000-0000-000039410000}"/>
    <cellStyle name="40% - Accent5 70 2 4" xfId="8389" xr:uid="{00000000-0005-0000-0000-00003A410000}"/>
    <cellStyle name="40% - Accent5 70 2 4 2" xfId="19677" xr:uid="{00000000-0005-0000-0000-00003B410000}"/>
    <cellStyle name="40% - Accent5 70 2 5" xfId="6395" xr:uid="{00000000-0005-0000-0000-00003C410000}"/>
    <cellStyle name="40% - Accent5 70 2 5 2" xfId="17683" xr:uid="{00000000-0005-0000-0000-00003D410000}"/>
    <cellStyle name="40% - Accent5 70 2 6" xfId="15689" xr:uid="{00000000-0005-0000-0000-00003E410000}"/>
    <cellStyle name="40% - Accent5 70 3" xfId="11380" xr:uid="{00000000-0005-0000-0000-00003F410000}"/>
    <cellStyle name="40% - Accent5 70 3 2" xfId="22668" xr:uid="{00000000-0005-0000-0000-000040410000}"/>
    <cellStyle name="40% - Accent5 70 4" xfId="9386" xr:uid="{00000000-0005-0000-0000-000041410000}"/>
    <cellStyle name="40% - Accent5 70 4 2" xfId="20674" xr:uid="{00000000-0005-0000-0000-000042410000}"/>
    <cellStyle name="40% - Accent5 70 5" xfId="7392" xr:uid="{00000000-0005-0000-0000-000043410000}"/>
    <cellStyle name="40% - Accent5 70 5 2" xfId="18680" xr:uid="{00000000-0005-0000-0000-000044410000}"/>
    <cellStyle name="40% - Accent5 70 6" xfId="5398" xr:uid="{00000000-0005-0000-0000-000045410000}"/>
    <cellStyle name="40% - Accent5 70 6 2" xfId="16686" xr:uid="{00000000-0005-0000-0000-000046410000}"/>
    <cellStyle name="40% - Accent5 70 7" xfId="14692" xr:uid="{00000000-0005-0000-0000-000047410000}"/>
    <cellStyle name="40% - Accent5 70 8" xfId="13378" xr:uid="{00000000-0005-0000-0000-000048410000}"/>
    <cellStyle name="40% - Accent5 71" xfId="1443" xr:uid="{00000000-0005-0000-0000-000049410000}"/>
    <cellStyle name="40% - Accent5 71 2" xfId="4399" xr:uid="{00000000-0005-0000-0000-00004A410000}"/>
    <cellStyle name="40% - Accent5 71 2 2" xfId="12378" xr:uid="{00000000-0005-0000-0000-00004B410000}"/>
    <cellStyle name="40% - Accent5 71 2 2 2" xfId="23666" xr:uid="{00000000-0005-0000-0000-00004C410000}"/>
    <cellStyle name="40% - Accent5 71 2 3" xfId="10384" xr:uid="{00000000-0005-0000-0000-00004D410000}"/>
    <cellStyle name="40% - Accent5 71 2 3 2" xfId="21672" xr:uid="{00000000-0005-0000-0000-00004E410000}"/>
    <cellStyle name="40% - Accent5 71 2 4" xfId="8390" xr:uid="{00000000-0005-0000-0000-00004F410000}"/>
    <cellStyle name="40% - Accent5 71 2 4 2" xfId="19678" xr:uid="{00000000-0005-0000-0000-000050410000}"/>
    <cellStyle name="40% - Accent5 71 2 5" xfId="6396" xr:uid="{00000000-0005-0000-0000-000051410000}"/>
    <cellStyle name="40% - Accent5 71 2 5 2" xfId="17684" xr:uid="{00000000-0005-0000-0000-000052410000}"/>
    <cellStyle name="40% - Accent5 71 2 6" xfId="15690" xr:uid="{00000000-0005-0000-0000-000053410000}"/>
    <cellStyle name="40% - Accent5 71 3" xfId="11381" xr:uid="{00000000-0005-0000-0000-000054410000}"/>
    <cellStyle name="40% - Accent5 71 3 2" xfId="22669" xr:uid="{00000000-0005-0000-0000-000055410000}"/>
    <cellStyle name="40% - Accent5 71 4" xfId="9387" xr:uid="{00000000-0005-0000-0000-000056410000}"/>
    <cellStyle name="40% - Accent5 71 4 2" xfId="20675" xr:uid="{00000000-0005-0000-0000-000057410000}"/>
    <cellStyle name="40% - Accent5 71 5" xfId="7393" xr:uid="{00000000-0005-0000-0000-000058410000}"/>
    <cellStyle name="40% - Accent5 71 5 2" xfId="18681" xr:uid="{00000000-0005-0000-0000-000059410000}"/>
    <cellStyle name="40% - Accent5 71 6" xfId="5399" xr:uid="{00000000-0005-0000-0000-00005A410000}"/>
    <cellStyle name="40% - Accent5 71 6 2" xfId="16687" xr:uid="{00000000-0005-0000-0000-00005B410000}"/>
    <cellStyle name="40% - Accent5 71 7" xfId="14693" xr:uid="{00000000-0005-0000-0000-00005C410000}"/>
    <cellStyle name="40% - Accent5 71 8" xfId="13379" xr:uid="{00000000-0005-0000-0000-00005D410000}"/>
    <cellStyle name="40% - Accent5 72" xfId="1444" xr:uid="{00000000-0005-0000-0000-00005E410000}"/>
    <cellStyle name="40% - Accent5 72 2" xfId="4400" xr:uid="{00000000-0005-0000-0000-00005F410000}"/>
    <cellStyle name="40% - Accent5 72 2 2" xfId="12379" xr:uid="{00000000-0005-0000-0000-000060410000}"/>
    <cellStyle name="40% - Accent5 72 2 2 2" xfId="23667" xr:uid="{00000000-0005-0000-0000-000061410000}"/>
    <cellStyle name="40% - Accent5 72 2 3" xfId="10385" xr:uid="{00000000-0005-0000-0000-000062410000}"/>
    <cellStyle name="40% - Accent5 72 2 3 2" xfId="21673" xr:uid="{00000000-0005-0000-0000-000063410000}"/>
    <cellStyle name="40% - Accent5 72 2 4" xfId="8391" xr:uid="{00000000-0005-0000-0000-000064410000}"/>
    <cellStyle name="40% - Accent5 72 2 4 2" xfId="19679" xr:uid="{00000000-0005-0000-0000-000065410000}"/>
    <cellStyle name="40% - Accent5 72 2 5" xfId="6397" xr:uid="{00000000-0005-0000-0000-000066410000}"/>
    <cellStyle name="40% - Accent5 72 2 5 2" xfId="17685" xr:uid="{00000000-0005-0000-0000-000067410000}"/>
    <cellStyle name="40% - Accent5 72 2 6" xfId="15691" xr:uid="{00000000-0005-0000-0000-000068410000}"/>
    <cellStyle name="40% - Accent5 72 3" xfId="11382" xr:uid="{00000000-0005-0000-0000-000069410000}"/>
    <cellStyle name="40% - Accent5 72 3 2" xfId="22670" xr:uid="{00000000-0005-0000-0000-00006A410000}"/>
    <cellStyle name="40% - Accent5 72 4" xfId="9388" xr:uid="{00000000-0005-0000-0000-00006B410000}"/>
    <cellStyle name="40% - Accent5 72 4 2" xfId="20676" xr:uid="{00000000-0005-0000-0000-00006C410000}"/>
    <cellStyle name="40% - Accent5 72 5" xfId="7394" xr:uid="{00000000-0005-0000-0000-00006D410000}"/>
    <cellStyle name="40% - Accent5 72 5 2" xfId="18682" xr:uid="{00000000-0005-0000-0000-00006E410000}"/>
    <cellStyle name="40% - Accent5 72 6" xfId="5400" xr:uid="{00000000-0005-0000-0000-00006F410000}"/>
    <cellStyle name="40% - Accent5 72 6 2" xfId="16688" xr:uid="{00000000-0005-0000-0000-000070410000}"/>
    <cellStyle name="40% - Accent5 72 7" xfId="14694" xr:uid="{00000000-0005-0000-0000-000071410000}"/>
    <cellStyle name="40% - Accent5 72 8" xfId="13380" xr:uid="{00000000-0005-0000-0000-000072410000}"/>
    <cellStyle name="40% - Accent5 8" xfId="1445" xr:uid="{00000000-0005-0000-0000-000073410000}"/>
    <cellStyle name="40% - Accent5 8 2" xfId="4401" xr:uid="{00000000-0005-0000-0000-000074410000}"/>
    <cellStyle name="40% - Accent5 8 2 2" xfId="12380" xr:uid="{00000000-0005-0000-0000-000075410000}"/>
    <cellStyle name="40% - Accent5 8 2 2 2" xfId="23668" xr:uid="{00000000-0005-0000-0000-000076410000}"/>
    <cellStyle name="40% - Accent5 8 2 3" xfId="10386" xr:uid="{00000000-0005-0000-0000-000077410000}"/>
    <cellStyle name="40% - Accent5 8 2 3 2" xfId="21674" xr:uid="{00000000-0005-0000-0000-000078410000}"/>
    <cellStyle name="40% - Accent5 8 2 4" xfId="8392" xr:uid="{00000000-0005-0000-0000-000079410000}"/>
    <cellStyle name="40% - Accent5 8 2 4 2" xfId="19680" xr:uid="{00000000-0005-0000-0000-00007A410000}"/>
    <cellStyle name="40% - Accent5 8 2 5" xfId="6398" xr:uid="{00000000-0005-0000-0000-00007B410000}"/>
    <cellStyle name="40% - Accent5 8 2 5 2" xfId="17686" xr:uid="{00000000-0005-0000-0000-00007C410000}"/>
    <cellStyle name="40% - Accent5 8 2 6" xfId="15692" xr:uid="{00000000-0005-0000-0000-00007D410000}"/>
    <cellStyle name="40% - Accent5 8 3" xfId="11383" xr:uid="{00000000-0005-0000-0000-00007E410000}"/>
    <cellStyle name="40% - Accent5 8 3 2" xfId="22671" xr:uid="{00000000-0005-0000-0000-00007F410000}"/>
    <cellStyle name="40% - Accent5 8 4" xfId="9389" xr:uid="{00000000-0005-0000-0000-000080410000}"/>
    <cellStyle name="40% - Accent5 8 4 2" xfId="20677" xr:uid="{00000000-0005-0000-0000-000081410000}"/>
    <cellStyle name="40% - Accent5 8 5" xfId="7395" xr:uid="{00000000-0005-0000-0000-000082410000}"/>
    <cellStyle name="40% - Accent5 8 5 2" xfId="18683" xr:uid="{00000000-0005-0000-0000-000083410000}"/>
    <cellStyle name="40% - Accent5 8 6" xfId="5401" xr:uid="{00000000-0005-0000-0000-000084410000}"/>
    <cellStyle name="40% - Accent5 8 6 2" xfId="16689" xr:uid="{00000000-0005-0000-0000-000085410000}"/>
    <cellStyle name="40% - Accent5 8 7" xfId="14695" xr:uid="{00000000-0005-0000-0000-000086410000}"/>
    <cellStyle name="40% - Accent5 8 8" xfId="13381" xr:uid="{00000000-0005-0000-0000-000087410000}"/>
    <cellStyle name="40% - Accent5 9" xfId="1446" xr:uid="{00000000-0005-0000-0000-000088410000}"/>
    <cellStyle name="40% - Accent5 9 2" xfId="4402" xr:uid="{00000000-0005-0000-0000-000089410000}"/>
    <cellStyle name="40% - Accent5 9 2 2" xfId="12381" xr:uid="{00000000-0005-0000-0000-00008A410000}"/>
    <cellStyle name="40% - Accent5 9 2 2 2" xfId="23669" xr:uid="{00000000-0005-0000-0000-00008B410000}"/>
    <cellStyle name="40% - Accent5 9 2 3" xfId="10387" xr:uid="{00000000-0005-0000-0000-00008C410000}"/>
    <cellStyle name="40% - Accent5 9 2 3 2" xfId="21675" xr:uid="{00000000-0005-0000-0000-00008D410000}"/>
    <cellStyle name="40% - Accent5 9 2 4" xfId="8393" xr:uid="{00000000-0005-0000-0000-00008E410000}"/>
    <cellStyle name="40% - Accent5 9 2 4 2" xfId="19681" xr:uid="{00000000-0005-0000-0000-00008F410000}"/>
    <cellStyle name="40% - Accent5 9 2 5" xfId="6399" xr:uid="{00000000-0005-0000-0000-000090410000}"/>
    <cellStyle name="40% - Accent5 9 2 5 2" xfId="17687" xr:uid="{00000000-0005-0000-0000-000091410000}"/>
    <cellStyle name="40% - Accent5 9 2 6" xfId="15693" xr:uid="{00000000-0005-0000-0000-000092410000}"/>
    <cellStyle name="40% - Accent5 9 3" xfId="11384" xr:uid="{00000000-0005-0000-0000-000093410000}"/>
    <cellStyle name="40% - Accent5 9 3 2" xfId="22672" xr:uid="{00000000-0005-0000-0000-000094410000}"/>
    <cellStyle name="40% - Accent5 9 4" xfId="9390" xr:uid="{00000000-0005-0000-0000-000095410000}"/>
    <cellStyle name="40% - Accent5 9 4 2" xfId="20678" xr:uid="{00000000-0005-0000-0000-000096410000}"/>
    <cellStyle name="40% - Accent5 9 5" xfId="7396" xr:uid="{00000000-0005-0000-0000-000097410000}"/>
    <cellStyle name="40% - Accent5 9 5 2" xfId="18684" xr:uid="{00000000-0005-0000-0000-000098410000}"/>
    <cellStyle name="40% - Accent5 9 6" xfId="5402" xr:uid="{00000000-0005-0000-0000-000099410000}"/>
    <cellStyle name="40% - Accent5 9 6 2" xfId="16690" xr:uid="{00000000-0005-0000-0000-00009A410000}"/>
    <cellStyle name="40% - Accent5 9 7" xfId="14696" xr:uid="{00000000-0005-0000-0000-00009B410000}"/>
    <cellStyle name="40% - Accent5 9 8" xfId="13382" xr:uid="{00000000-0005-0000-0000-00009C410000}"/>
    <cellStyle name="40% - Accent6 10" xfId="1447" xr:uid="{00000000-0005-0000-0000-00009D410000}"/>
    <cellStyle name="40% - Accent6 10 2" xfId="4403" xr:uid="{00000000-0005-0000-0000-00009E410000}"/>
    <cellStyle name="40% - Accent6 10 2 2" xfId="12382" xr:uid="{00000000-0005-0000-0000-00009F410000}"/>
    <cellStyle name="40% - Accent6 10 2 2 2" xfId="23670" xr:uid="{00000000-0005-0000-0000-0000A0410000}"/>
    <cellStyle name="40% - Accent6 10 2 3" xfId="10388" xr:uid="{00000000-0005-0000-0000-0000A1410000}"/>
    <cellStyle name="40% - Accent6 10 2 3 2" xfId="21676" xr:uid="{00000000-0005-0000-0000-0000A2410000}"/>
    <cellStyle name="40% - Accent6 10 2 4" xfId="8394" xr:uid="{00000000-0005-0000-0000-0000A3410000}"/>
    <cellStyle name="40% - Accent6 10 2 4 2" xfId="19682" xr:uid="{00000000-0005-0000-0000-0000A4410000}"/>
    <cellStyle name="40% - Accent6 10 2 5" xfId="6400" xr:uid="{00000000-0005-0000-0000-0000A5410000}"/>
    <cellStyle name="40% - Accent6 10 2 5 2" xfId="17688" xr:uid="{00000000-0005-0000-0000-0000A6410000}"/>
    <cellStyle name="40% - Accent6 10 2 6" xfId="15694" xr:uid="{00000000-0005-0000-0000-0000A7410000}"/>
    <cellStyle name="40% - Accent6 10 3" xfId="11385" xr:uid="{00000000-0005-0000-0000-0000A8410000}"/>
    <cellStyle name="40% - Accent6 10 3 2" xfId="22673" xr:uid="{00000000-0005-0000-0000-0000A9410000}"/>
    <cellStyle name="40% - Accent6 10 4" xfId="9391" xr:uid="{00000000-0005-0000-0000-0000AA410000}"/>
    <cellStyle name="40% - Accent6 10 4 2" xfId="20679" xr:uid="{00000000-0005-0000-0000-0000AB410000}"/>
    <cellStyle name="40% - Accent6 10 5" xfId="7397" xr:uid="{00000000-0005-0000-0000-0000AC410000}"/>
    <cellStyle name="40% - Accent6 10 5 2" xfId="18685" xr:uid="{00000000-0005-0000-0000-0000AD410000}"/>
    <cellStyle name="40% - Accent6 10 6" xfId="5403" xr:uid="{00000000-0005-0000-0000-0000AE410000}"/>
    <cellStyle name="40% - Accent6 10 6 2" xfId="16691" xr:uid="{00000000-0005-0000-0000-0000AF410000}"/>
    <cellStyle name="40% - Accent6 10 7" xfId="14697" xr:uid="{00000000-0005-0000-0000-0000B0410000}"/>
    <cellStyle name="40% - Accent6 10 8" xfId="13383" xr:uid="{00000000-0005-0000-0000-0000B1410000}"/>
    <cellStyle name="40% - Accent6 11" xfId="1448" xr:uid="{00000000-0005-0000-0000-0000B2410000}"/>
    <cellStyle name="40% - Accent6 11 2" xfId="4404" xr:uid="{00000000-0005-0000-0000-0000B3410000}"/>
    <cellStyle name="40% - Accent6 11 2 2" xfId="12383" xr:uid="{00000000-0005-0000-0000-0000B4410000}"/>
    <cellStyle name="40% - Accent6 11 2 2 2" xfId="23671" xr:uid="{00000000-0005-0000-0000-0000B5410000}"/>
    <cellStyle name="40% - Accent6 11 2 3" xfId="10389" xr:uid="{00000000-0005-0000-0000-0000B6410000}"/>
    <cellStyle name="40% - Accent6 11 2 3 2" xfId="21677" xr:uid="{00000000-0005-0000-0000-0000B7410000}"/>
    <cellStyle name="40% - Accent6 11 2 4" xfId="8395" xr:uid="{00000000-0005-0000-0000-0000B8410000}"/>
    <cellStyle name="40% - Accent6 11 2 4 2" xfId="19683" xr:uid="{00000000-0005-0000-0000-0000B9410000}"/>
    <cellStyle name="40% - Accent6 11 2 5" xfId="6401" xr:uid="{00000000-0005-0000-0000-0000BA410000}"/>
    <cellStyle name="40% - Accent6 11 2 5 2" xfId="17689" xr:uid="{00000000-0005-0000-0000-0000BB410000}"/>
    <cellStyle name="40% - Accent6 11 2 6" xfId="15695" xr:uid="{00000000-0005-0000-0000-0000BC410000}"/>
    <cellStyle name="40% - Accent6 11 3" xfId="11386" xr:uid="{00000000-0005-0000-0000-0000BD410000}"/>
    <cellStyle name="40% - Accent6 11 3 2" xfId="22674" xr:uid="{00000000-0005-0000-0000-0000BE410000}"/>
    <cellStyle name="40% - Accent6 11 4" xfId="9392" xr:uid="{00000000-0005-0000-0000-0000BF410000}"/>
    <cellStyle name="40% - Accent6 11 4 2" xfId="20680" xr:uid="{00000000-0005-0000-0000-0000C0410000}"/>
    <cellStyle name="40% - Accent6 11 5" xfId="7398" xr:uid="{00000000-0005-0000-0000-0000C1410000}"/>
    <cellStyle name="40% - Accent6 11 5 2" xfId="18686" xr:uid="{00000000-0005-0000-0000-0000C2410000}"/>
    <cellStyle name="40% - Accent6 11 6" xfId="5404" xr:uid="{00000000-0005-0000-0000-0000C3410000}"/>
    <cellStyle name="40% - Accent6 11 6 2" xfId="16692" xr:uid="{00000000-0005-0000-0000-0000C4410000}"/>
    <cellStyle name="40% - Accent6 11 7" xfId="14698" xr:uid="{00000000-0005-0000-0000-0000C5410000}"/>
    <cellStyle name="40% - Accent6 11 8" xfId="13384" xr:uid="{00000000-0005-0000-0000-0000C6410000}"/>
    <cellStyle name="40% - Accent6 12" xfId="1449" xr:uid="{00000000-0005-0000-0000-0000C7410000}"/>
    <cellStyle name="40% - Accent6 12 2" xfId="4405" xr:uid="{00000000-0005-0000-0000-0000C8410000}"/>
    <cellStyle name="40% - Accent6 12 2 2" xfId="12384" xr:uid="{00000000-0005-0000-0000-0000C9410000}"/>
    <cellStyle name="40% - Accent6 12 2 2 2" xfId="23672" xr:uid="{00000000-0005-0000-0000-0000CA410000}"/>
    <cellStyle name="40% - Accent6 12 2 3" xfId="10390" xr:uid="{00000000-0005-0000-0000-0000CB410000}"/>
    <cellStyle name="40% - Accent6 12 2 3 2" xfId="21678" xr:uid="{00000000-0005-0000-0000-0000CC410000}"/>
    <cellStyle name="40% - Accent6 12 2 4" xfId="8396" xr:uid="{00000000-0005-0000-0000-0000CD410000}"/>
    <cellStyle name="40% - Accent6 12 2 4 2" xfId="19684" xr:uid="{00000000-0005-0000-0000-0000CE410000}"/>
    <cellStyle name="40% - Accent6 12 2 5" xfId="6402" xr:uid="{00000000-0005-0000-0000-0000CF410000}"/>
    <cellStyle name="40% - Accent6 12 2 5 2" xfId="17690" xr:uid="{00000000-0005-0000-0000-0000D0410000}"/>
    <cellStyle name="40% - Accent6 12 2 6" xfId="15696" xr:uid="{00000000-0005-0000-0000-0000D1410000}"/>
    <cellStyle name="40% - Accent6 12 3" xfId="11387" xr:uid="{00000000-0005-0000-0000-0000D2410000}"/>
    <cellStyle name="40% - Accent6 12 3 2" xfId="22675" xr:uid="{00000000-0005-0000-0000-0000D3410000}"/>
    <cellStyle name="40% - Accent6 12 4" xfId="9393" xr:uid="{00000000-0005-0000-0000-0000D4410000}"/>
    <cellStyle name="40% - Accent6 12 4 2" xfId="20681" xr:uid="{00000000-0005-0000-0000-0000D5410000}"/>
    <cellStyle name="40% - Accent6 12 5" xfId="7399" xr:uid="{00000000-0005-0000-0000-0000D6410000}"/>
    <cellStyle name="40% - Accent6 12 5 2" xfId="18687" xr:uid="{00000000-0005-0000-0000-0000D7410000}"/>
    <cellStyle name="40% - Accent6 12 6" xfId="5405" xr:uid="{00000000-0005-0000-0000-0000D8410000}"/>
    <cellStyle name="40% - Accent6 12 6 2" xfId="16693" xr:uid="{00000000-0005-0000-0000-0000D9410000}"/>
    <cellStyle name="40% - Accent6 12 7" xfId="14699" xr:uid="{00000000-0005-0000-0000-0000DA410000}"/>
    <cellStyle name="40% - Accent6 12 8" xfId="13385" xr:uid="{00000000-0005-0000-0000-0000DB410000}"/>
    <cellStyle name="40% - Accent6 13" xfId="1450" xr:uid="{00000000-0005-0000-0000-0000DC410000}"/>
    <cellStyle name="40% - Accent6 13 2" xfId="4406" xr:uid="{00000000-0005-0000-0000-0000DD410000}"/>
    <cellStyle name="40% - Accent6 13 2 2" xfId="12385" xr:uid="{00000000-0005-0000-0000-0000DE410000}"/>
    <cellStyle name="40% - Accent6 13 2 2 2" xfId="23673" xr:uid="{00000000-0005-0000-0000-0000DF410000}"/>
    <cellStyle name="40% - Accent6 13 2 3" xfId="10391" xr:uid="{00000000-0005-0000-0000-0000E0410000}"/>
    <cellStyle name="40% - Accent6 13 2 3 2" xfId="21679" xr:uid="{00000000-0005-0000-0000-0000E1410000}"/>
    <cellStyle name="40% - Accent6 13 2 4" xfId="8397" xr:uid="{00000000-0005-0000-0000-0000E2410000}"/>
    <cellStyle name="40% - Accent6 13 2 4 2" xfId="19685" xr:uid="{00000000-0005-0000-0000-0000E3410000}"/>
    <cellStyle name="40% - Accent6 13 2 5" xfId="6403" xr:uid="{00000000-0005-0000-0000-0000E4410000}"/>
    <cellStyle name="40% - Accent6 13 2 5 2" xfId="17691" xr:uid="{00000000-0005-0000-0000-0000E5410000}"/>
    <cellStyle name="40% - Accent6 13 2 6" xfId="15697" xr:uid="{00000000-0005-0000-0000-0000E6410000}"/>
    <cellStyle name="40% - Accent6 13 3" xfId="11388" xr:uid="{00000000-0005-0000-0000-0000E7410000}"/>
    <cellStyle name="40% - Accent6 13 3 2" xfId="22676" xr:uid="{00000000-0005-0000-0000-0000E8410000}"/>
    <cellStyle name="40% - Accent6 13 4" xfId="9394" xr:uid="{00000000-0005-0000-0000-0000E9410000}"/>
    <cellStyle name="40% - Accent6 13 4 2" xfId="20682" xr:uid="{00000000-0005-0000-0000-0000EA410000}"/>
    <cellStyle name="40% - Accent6 13 5" xfId="7400" xr:uid="{00000000-0005-0000-0000-0000EB410000}"/>
    <cellStyle name="40% - Accent6 13 5 2" xfId="18688" xr:uid="{00000000-0005-0000-0000-0000EC410000}"/>
    <cellStyle name="40% - Accent6 13 6" xfId="5406" xr:uid="{00000000-0005-0000-0000-0000ED410000}"/>
    <cellStyle name="40% - Accent6 13 6 2" xfId="16694" xr:uid="{00000000-0005-0000-0000-0000EE410000}"/>
    <cellStyle name="40% - Accent6 13 7" xfId="14700" xr:uid="{00000000-0005-0000-0000-0000EF410000}"/>
    <cellStyle name="40% - Accent6 13 8" xfId="13386" xr:uid="{00000000-0005-0000-0000-0000F0410000}"/>
    <cellStyle name="40% - Accent6 14" xfId="1451" xr:uid="{00000000-0005-0000-0000-0000F1410000}"/>
    <cellStyle name="40% - Accent6 14 2" xfId="4407" xr:uid="{00000000-0005-0000-0000-0000F2410000}"/>
    <cellStyle name="40% - Accent6 14 2 2" xfId="12386" xr:uid="{00000000-0005-0000-0000-0000F3410000}"/>
    <cellStyle name="40% - Accent6 14 2 2 2" xfId="23674" xr:uid="{00000000-0005-0000-0000-0000F4410000}"/>
    <cellStyle name="40% - Accent6 14 2 3" xfId="10392" xr:uid="{00000000-0005-0000-0000-0000F5410000}"/>
    <cellStyle name="40% - Accent6 14 2 3 2" xfId="21680" xr:uid="{00000000-0005-0000-0000-0000F6410000}"/>
    <cellStyle name="40% - Accent6 14 2 4" xfId="8398" xr:uid="{00000000-0005-0000-0000-0000F7410000}"/>
    <cellStyle name="40% - Accent6 14 2 4 2" xfId="19686" xr:uid="{00000000-0005-0000-0000-0000F8410000}"/>
    <cellStyle name="40% - Accent6 14 2 5" xfId="6404" xr:uid="{00000000-0005-0000-0000-0000F9410000}"/>
    <cellStyle name="40% - Accent6 14 2 5 2" xfId="17692" xr:uid="{00000000-0005-0000-0000-0000FA410000}"/>
    <cellStyle name="40% - Accent6 14 2 6" xfId="15698" xr:uid="{00000000-0005-0000-0000-0000FB410000}"/>
    <cellStyle name="40% - Accent6 14 3" xfId="11389" xr:uid="{00000000-0005-0000-0000-0000FC410000}"/>
    <cellStyle name="40% - Accent6 14 3 2" xfId="22677" xr:uid="{00000000-0005-0000-0000-0000FD410000}"/>
    <cellStyle name="40% - Accent6 14 4" xfId="9395" xr:uid="{00000000-0005-0000-0000-0000FE410000}"/>
    <cellStyle name="40% - Accent6 14 4 2" xfId="20683" xr:uid="{00000000-0005-0000-0000-0000FF410000}"/>
    <cellStyle name="40% - Accent6 14 5" xfId="7401" xr:uid="{00000000-0005-0000-0000-000000420000}"/>
    <cellStyle name="40% - Accent6 14 5 2" xfId="18689" xr:uid="{00000000-0005-0000-0000-000001420000}"/>
    <cellStyle name="40% - Accent6 14 6" xfId="5407" xr:uid="{00000000-0005-0000-0000-000002420000}"/>
    <cellStyle name="40% - Accent6 14 6 2" xfId="16695" xr:uid="{00000000-0005-0000-0000-000003420000}"/>
    <cellStyle name="40% - Accent6 14 7" xfId="14701" xr:uid="{00000000-0005-0000-0000-000004420000}"/>
    <cellStyle name="40% - Accent6 14 8" xfId="13387" xr:uid="{00000000-0005-0000-0000-000005420000}"/>
    <cellStyle name="40% - Accent6 15" xfId="1452" xr:uid="{00000000-0005-0000-0000-000006420000}"/>
    <cellStyle name="40% - Accent6 15 2" xfId="4408" xr:uid="{00000000-0005-0000-0000-000007420000}"/>
    <cellStyle name="40% - Accent6 15 2 2" xfId="12387" xr:uid="{00000000-0005-0000-0000-000008420000}"/>
    <cellStyle name="40% - Accent6 15 2 2 2" xfId="23675" xr:uid="{00000000-0005-0000-0000-000009420000}"/>
    <cellStyle name="40% - Accent6 15 2 3" xfId="10393" xr:uid="{00000000-0005-0000-0000-00000A420000}"/>
    <cellStyle name="40% - Accent6 15 2 3 2" xfId="21681" xr:uid="{00000000-0005-0000-0000-00000B420000}"/>
    <cellStyle name="40% - Accent6 15 2 4" xfId="8399" xr:uid="{00000000-0005-0000-0000-00000C420000}"/>
    <cellStyle name="40% - Accent6 15 2 4 2" xfId="19687" xr:uid="{00000000-0005-0000-0000-00000D420000}"/>
    <cellStyle name="40% - Accent6 15 2 5" xfId="6405" xr:uid="{00000000-0005-0000-0000-00000E420000}"/>
    <cellStyle name="40% - Accent6 15 2 5 2" xfId="17693" xr:uid="{00000000-0005-0000-0000-00000F420000}"/>
    <cellStyle name="40% - Accent6 15 2 6" xfId="15699" xr:uid="{00000000-0005-0000-0000-000010420000}"/>
    <cellStyle name="40% - Accent6 15 3" xfId="11390" xr:uid="{00000000-0005-0000-0000-000011420000}"/>
    <cellStyle name="40% - Accent6 15 3 2" xfId="22678" xr:uid="{00000000-0005-0000-0000-000012420000}"/>
    <cellStyle name="40% - Accent6 15 4" xfId="9396" xr:uid="{00000000-0005-0000-0000-000013420000}"/>
    <cellStyle name="40% - Accent6 15 4 2" xfId="20684" xr:uid="{00000000-0005-0000-0000-000014420000}"/>
    <cellStyle name="40% - Accent6 15 5" xfId="7402" xr:uid="{00000000-0005-0000-0000-000015420000}"/>
    <cellStyle name="40% - Accent6 15 5 2" xfId="18690" xr:uid="{00000000-0005-0000-0000-000016420000}"/>
    <cellStyle name="40% - Accent6 15 6" xfId="5408" xr:uid="{00000000-0005-0000-0000-000017420000}"/>
    <cellStyle name="40% - Accent6 15 6 2" xfId="16696" xr:uid="{00000000-0005-0000-0000-000018420000}"/>
    <cellStyle name="40% - Accent6 15 7" xfId="14702" xr:uid="{00000000-0005-0000-0000-000019420000}"/>
    <cellStyle name="40% - Accent6 15 8" xfId="13388" xr:uid="{00000000-0005-0000-0000-00001A420000}"/>
    <cellStyle name="40% - Accent6 16" xfId="1453" xr:uid="{00000000-0005-0000-0000-00001B420000}"/>
    <cellStyle name="40% - Accent6 16 2" xfId="4409" xr:uid="{00000000-0005-0000-0000-00001C420000}"/>
    <cellStyle name="40% - Accent6 16 2 2" xfId="12388" xr:uid="{00000000-0005-0000-0000-00001D420000}"/>
    <cellStyle name="40% - Accent6 16 2 2 2" xfId="23676" xr:uid="{00000000-0005-0000-0000-00001E420000}"/>
    <cellStyle name="40% - Accent6 16 2 3" xfId="10394" xr:uid="{00000000-0005-0000-0000-00001F420000}"/>
    <cellStyle name="40% - Accent6 16 2 3 2" xfId="21682" xr:uid="{00000000-0005-0000-0000-000020420000}"/>
    <cellStyle name="40% - Accent6 16 2 4" xfId="8400" xr:uid="{00000000-0005-0000-0000-000021420000}"/>
    <cellStyle name="40% - Accent6 16 2 4 2" xfId="19688" xr:uid="{00000000-0005-0000-0000-000022420000}"/>
    <cellStyle name="40% - Accent6 16 2 5" xfId="6406" xr:uid="{00000000-0005-0000-0000-000023420000}"/>
    <cellStyle name="40% - Accent6 16 2 5 2" xfId="17694" xr:uid="{00000000-0005-0000-0000-000024420000}"/>
    <cellStyle name="40% - Accent6 16 2 6" xfId="15700" xr:uid="{00000000-0005-0000-0000-000025420000}"/>
    <cellStyle name="40% - Accent6 16 3" xfId="11391" xr:uid="{00000000-0005-0000-0000-000026420000}"/>
    <cellStyle name="40% - Accent6 16 3 2" xfId="22679" xr:uid="{00000000-0005-0000-0000-000027420000}"/>
    <cellStyle name="40% - Accent6 16 4" xfId="9397" xr:uid="{00000000-0005-0000-0000-000028420000}"/>
    <cellStyle name="40% - Accent6 16 4 2" xfId="20685" xr:uid="{00000000-0005-0000-0000-000029420000}"/>
    <cellStyle name="40% - Accent6 16 5" xfId="7403" xr:uid="{00000000-0005-0000-0000-00002A420000}"/>
    <cellStyle name="40% - Accent6 16 5 2" xfId="18691" xr:uid="{00000000-0005-0000-0000-00002B420000}"/>
    <cellStyle name="40% - Accent6 16 6" xfId="5409" xr:uid="{00000000-0005-0000-0000-00002C420000}"/>
    <cellStyle name="40% - Accent6 16 6 2" xfId="16697" xr:uid="{00000000-0005-0000-0000-00002D420000}"/>
    <cellStyle name="40% - Accent6 16 7" xfId="14703" xr:uid="{00000000-0005-0000-0000-00002E420000}"/>
    <cellStyle name="40% - Accent6 16 8" xfId="13389" xr:uid="{00000000-0005-0000-0000-00002F420000}"/>
    <cellStyle name="40% - Accent6 17" xfId="1454" xr:uid="{00000000-0005-0000-0000-000030420000}"/>
    <cellStyle name="40% - Accent6 17 2" xfId="4410" xr:uid="{00000000-0005-0000-0000-000031420000}"/>
    <cellStyle name="40% - Accent6 17 2 2" xfId="12389" xr:uid="{00000000-0005-0000-0000-000032420000}"/>
    <cellStyle name="40% - Accent6 17 2 2 2" xfId="23677" xr:uid="{00000000-0005-0000-0000-000033420000}"/>
    <cellStyle name="40% - Accent6 17 2 3" xfId="10395" xr:uid="{00000000-0005-0000-0000-000034420000}"/>
    <cellStyle name="40% - Accent6 17 2 3 2" xfId="21683" xr:uid="{00000000-0005-0000-0000-000035420000}"/>
    <cellStyle name="40% - Accent6 17 2 4" xfId="8401" xr:uid="{00000000-0005-0000-0000-000036420000}"/>
    <cellStyle name="40% - Accent6 17 2 4 2" xfId="19689" xr:uid="{00000000-0005-0000-0000-000037420000}"/>
    <cellStyle name="40% - Accent6 17 2 5" xfId="6407" xr:uid="{00000000-0005-0000-0000-000038420000}"/>
    <cellStyle name="40% - Accent6 17 2 5 2" xfId="17695" xr:uid="{00000000-0005-0000-0000-000039420000}"/>
    <cellStyle name="40% - Accent6 17 2 6" xfId="15701" xr:uid="{00000000-0005-0000-0000-00003A420000}"/>
    <cellStyle name="40% - Accent6 17 3" xfId="11392" xr:uid="{00000000-0005-0000-0000-00003B420000}"/>
    <cellStyle name="40% - Accent6 17 3 2" xfId="22680" xr:uid="{00000000-0005-0000-0000-00003C420000}"/>
    <cellStyle name="40% - Accent6 17 4" xfId="9398" xr:uid="{00000000-0005-0000-0000-00003D420000}"/>
    <cellStyle name="40% - Accent6 17 4 2" xfId="20686" xr:uid="{00000000-0005-0000-0000-00003E420000}"/>
    <cellStyle name="40% - Accent6 17 5" xfId="7404" xr:uid="{00000000-0005-0000-0000-00003F420000}"/>
    <cellStyle name="40% - Accent6 17 5 2" xfId="18692" xr:uid="{00000000-0005-0000-0000-000040420000}"/>
    <cellStyle name="40% - Accent6 17 6" xfId="5410" xr:uid="{00000000-0005-0000-0000-000041420000}"/>
    <cellStyle name="40% - Accent6 17 6 2" xfId="16698" xr:uid="{00000000-0005-0000-0000-000042420000}"/>
    <cellStyle name="40% - Accent6 17 7" xfId="14704" xr:uid="{00000000-0005-0000-0000-000043420000}"/>
    <cellStyle name="40% - Accent6 17 8" xfId="13390" xr:uid="{00000000-0005-0000-0000-000044420000}"/>
    <cellStyle name="40% - Accent6 18" xfId="1455" xr:uid="{00000000-0005-0000-0000-000045420000}"/>
    <cellStyle name="40% - Accent6 18 2" xfId="4411" xr:uid="{00000000-0005-0000-0000-000046420000}"/>
    <cellStyle name="40% - Accent6 18 2 2" xfId="12390" xr:uid="{00000000-0005-0000-0000-000047420000}"/>
    <cellStyle name="40% - Accent6 18 2 2 2" xfId="23678" xr:uid="{00000000-0005-0000-0000-000048420000}"/>
    <cellStyle name="40% - Accent6 18 2 3" xfId="10396" xr:uid="{00000000-0005-0000-0000-000049420000}"/>
    <cellStyle name="40% - Accent6 18 2 3 2" xfId="21684" xr:uid="{00000000-0005-0000-0000-00004A420000}"/>
    <cellStyle name="40% - Accent6 18 2 4" xfId="8402" xr:uid="{00000000-0005-0000-0000-00004B420000}"/>
    <cellStyle name="40% - Accent6 18 2 4 2" xfId="19690" xr:uid="{00000000-0005-0000-0000-00004C420000}"/>
    <cellStyle name="40% - Accent6 18 2 5" xfId="6408" xr:uid="{00000000-0005-0000-0000-00004D420000}"/>
    <cellStyle name="40% - Accent6 18 2 5 2" xfId="17696" xr:uid="{00000000-0005-0000-0000-00004E420000}"/>
    <cellStyle name="40% - Accent6 18 2 6" xfId="15702" xr:uid="{00000000-0005-0000-0000-00004F420000}"/>
    <cellStyle name="40% - Accent6 18 3" xfId="11393" xr:uid="{00000000-0005-0000-0000-000050420000}"/>
    <cellStyle name="40% - Accent6 18 3 2" xfId="22681" xr:uid="{00000000-0005-0000-0000-000051420000}"/>
    <cellStyle name="40% - Accent6 18 4" xfId="9399" xr:uid="{00000000-0005-0000-0000-000052420000}"/>
    <cellStyle name="40% - Accent6 18 4 2" xfId="20687" xr:uid="{00000000-0005-0000-0000-000053420000}"/>
    <cellStyle name="40% - Accent6 18 5" xfId="7405" xr:uid="{00000000-0005-0000-0000-000054420000}"/>
    <cellStyle name="40% - Accent6 18 5 2" xfId="18693" xr:uid="{00000000-0005-0000-0000-000055420000}"/>
    <cellStyle name="40% - Accent6 18 6" xfId="5411" xr:uid="{00000000-0005-0000-0000-000056420000}"/>
    <cellStyle name="40% - Accent6 18 6 2" xfId="16699" xr:uid="{00000000-0005-0000-0000-000057420000}"/>
    <cellStyle name="40% - Accent6 18 7" xfId="14705" xr:uid="{00000000-0005-0000-0000-000058420000}"/>
    <cellStyle name="40% - Accent6 18 8" xfId="13391" xr:uid="{00000000-0005-0000-0000-000059420000}"/>
    <cellStyle name="40% - Accent6 19" xfId="1456" xr:uid="{00000000-0005-0000-0000-00005A420000}"/>
    <cellStyle name="40% - Accent6 19 2" xfId="4412" xr:uid="{00000000-0005-0000-0000-00005B420000}"/>
    <cellStyle name="40% - Accent6 19 2 2" xfId="12391" xr:uid="{00000000-0005-0000-0000-00005C420000}"/>
    <cellStyle name="40% - Accent6 19 2 2 2" xfId="23679" xr:uid="{00000000-0005-0000-0000-00005D420000}"/>
    <cellStyle name="40% - Accent6 19 2 3" xfId="10397" xr:uid="{00000000-0005-0000-0000-00005E420000}"/>
    <cellStyle name="40% - Accent6 19 2 3 2" xfId="21685" xr:uid="{00000000-0005-0000-0000-00005F420000}"/>
    <cellStyle name="40% - Accent6 19 2 4" xfId="8403" xr:uid="{00000000-0005-0000-0000-000060420000}"/>
    <cellStyle name="40% - Accent6 19 2 4 2" xfId="19691" xr:uid="{00000000-0005-0000-0000-000061420000}"/>
    <cellStyle name="40% - Accent6 19 2 5" xfId="6409" xr:uid="{00000000-0005-0000-0000-000062420000}"/>
    <cellStyle name="40% - Accent6 19 2 5 2" xfId="17697" xr:uid="{00000000-0005-0000-0000-000063420000}"/>
    <cellStyle name="40% - Accent6 19 2 6" xfId="15703" xr:uid="{00000000-0005-0000-0000-000064420000}"/>
    <cellStyle name="40% - Accent6 19 3" xfId="11394" xr:uid="{00000000-0005-0000-0000-000065420000}"/>
    <cellStyle name="40% - Accent6 19 3 2" xfId="22682" xr:uid="{00000000-0005-0000-0000-000066420000}"/>
    <cellStyle name="40% - Accent6 19 4" xfId="9400" xr:uid="{00000000-0005-0000-0000-000067420000}"/>
    <cellStyle name="40% - Accent6 19 4 2" xfId="20688" xr:uid="{00000000-0005-0000-0000-000068420000}"/>
    <cellStyle name="40% - Accent6 19 5" xfId="7406" xr:uid="{00000000-0005-0000-0000-000069420000}"/>
    <cellStyle name="40% - Accent6 19 5 2" xfId="18694" xr:uid="{00000000-0005-0000-0000-00006A420000}"/>
    <cellStyle name="40% - Accent6 19 6" xfId="5412" xr:uid="{00000000-0005-0000-0000-00006B420000}"/>
    <cellStyle name="40% - Accent6 19 6 2" xfId="16700" xr:uid="{00000000-0005-0000-0000-00006C420000}"/>
    <cellStyle name="40% - Accent6 19 7" xfId="14706" xr:uid="{00000000-0005-0000-0000-00006D420000}"/>
    <cellStyle name="40% - Accent6 19 8" xfId="13392" xr:uid="{00000000-0005-0000-0000-00006E420000}"/>
    <cellStyle name="40% - Accent6 2" xfId="1457" xr:uid="{00000000-0005-0000-0000-00006F420000}"/>
    <cellStyle name="40% - Accent6 2 10" xfId="24625" xr:uid="{00000000-0005-0000-0000-000070420000}"/>
    <cellStyle name="40% - Accent6 2 11" xfId="25015" xr:uid="{00000000-0005-0000-0000-000071420000}"/>
    <cellStyle name="40% - Accent6 2 2" xfId="4413" xr:uid="{00000000-0005-0000-0000-000072420000}"/>
    <cellStyle name="40% - Accent6 2 2 2" xfId="12392" xr:uid="{00000000-0005-0000-0000-000073420000}"/>
    <cellStyle name="40% - Accent6 2 2 2 2" xfId="23680" xr:uid="{00000000-0005-0000-0000-000074420000}"/>
    <cellStyle name="40% - Accent6 2 2 3" xfId="10398" xr:uid="{00000000-0005-0000-0000-000075420000}"/>
    <cellStyle name="40% - Accent6 2 2 3 2" xfId="21686" xr:uid="{00000000-0005-0000-0000-000076420000}"/>
    <cellStyle name="40% - Accent6 2 2 4" xfId="8404" xr:uid="{00000000-0005-0000-0000-000077420000}"/>
    <cellStyle name="40% - Accent6 2 2 4 2" xfId="19692" xr:uid="{00000000-0005-0000-0000-000078420000}"/>
    <cellStyle name="40% - Accent6 2 2 5" xfId="6410" xr:uid="{00000000-0005-0000-0000-000079420000}"/>
    <cellStyle name="40% - Accent6 2 2 5 2" xfId="17698" xr:uid="{00000000-0005-0000-0000-00007A420000}"/>
    <cellStyle name="40% - Accent6 2 2 6" xfId="15704" xr:uid="{00000000-0005-0000-0000-00007B420000}"/>
    <cellStyle name="40% - Accent6 2 2 7" xfId="24386" xr:uid="{00000000-0005-0000-0000-00007C420000}"/>
    <cellStyle name="40% - Accent6 2 2 8" xfId="24850" xr:uid="{00000000-0005-0000-0000-00007D420000}"/>
    <cellStyle name="40% - Accent6 2 2 9" xfId="25217" xr:uid="{00000000-0005-0000-0000-00007E420000}"/>
    <cellStyle name="40% - Accent6 2 3" xfId="11395" xr:uid="{00000000-0005-0000-0000-00007F420000}"/>
    <cellStyle name="40% - Accent6 2 3 2" xfId="22683" xr:uid="{00000000-0005-0000-0000-000080420000}"/>
    <cellStyle name="40% - Accent6 2 4" xfId="9401" xr:uid="{00000000-0005-0000-0000-000081420000}"/>
    <cellStyle name="40% - Accent6 2 4 2" xfId="20689" xr:uid="{00000000-0005-0000-0000-000082420000}"/>
    <cellStyle name="40% - Accent6 2 5" xfId="7407" xr:uid="{00000000-0005-0000-0000-000083420000}"/>
    <cellStyle name="40% - Accent6 2 5 2" xfId="18695" xr:uid="{00000000-0005-0000-0000-000084420000}"/>
    <cellStyle name="40% - Accent6 2 6" xfId="5413" xr:uid="{00000000-0005-0000-0000-000085420000}"/>
    <cellStyle name="40% - Accent6 2 6 2" xfId="16701" xr:uid="{00000000-0005-0000-0000-000086420000}"/>
    <cellStyle name="40% - Accent6 2 7" xfId="14707" xr:uid="{00000000-0005-0000-0000-000087420000}"/>
    <cellStyle name="40% - Accent6 2 8" xfId="13393" xr:uid="{00000000-0005-0000-0000-000088420000}"/>
    <cellStyle name="40% - Accent6 2 9" xfId="23998" xr:uid="{00000000-0005-0000-0000-000089420000}"/>
    <cellStyle name="40% - Accent6 20" xfId="1458" xr:uid="{00000000-0005-0000-0000-00008A420000}"/>
    <cellStyle name="40% - Accent6 20 2" xfId="4414" xr:uid="{00000000-0005-0000-0000-00008B420000}"/>
    <cellStyle name="40% - Accent6 20 2 2" xfId="12393" xr:uid="{00000000-0005-0000-0000-00008C420000}"/>
    <cellStyle name="40% - Accent6 20 2 2 2" xfId="23681" xr:uid="{00000000-0005-0000-0000-00008D420000}"/>
    <cellStyle name="40% - Accent6 20 2 3" xfId="10399" xr:uid="{00000000-0005-0000-0000-00008E420000}"/>
    <cellStyle name="40% - Accent6 20 2 3 2" xfId="21687" xr:uid="{00000000-0005-0000-0000-00008F420000}"/>
    <cellStyle name="40% - Accent6 20 2 4" xfId="8405" xr:uid="{00000000-0005-0000-0000-000090420000}"/>
    <cellStyle name="40% - Accent6 20 2 4 2" xfId="19693" xr:uid="{00000000-0005-0000-0000-000091420000}"/>
    <cellStyle name="40% - Accent6 20 2 5" xfId="6411" xr:uid="{00000000-0005-0000-0000-000092420000}"/>
    <cellStyle name="40% - Accent6 20 2 5 2" xfId="17699" xr:uid="{00000000-0005-0000-0000-000093420000}"/>
    <cellStyle name="40% - Accent6 20 2 6" xfId="15705" xr:uid="{00000000-0005-0000-0000-000094420000}"/>
    <cellStyle name="40% - Accent6 20 3" xfId="11396" xr:uid="{00000000-0005-0000-0000-000095420000}"/>
    <cellStyle name="40% - Accent6 20 3 2" xfId="22684" xr:uid="{00000000-0005-0000-0000-000096420000}"/>
    <cellStyle name="40% - Accent6 20 4" xfId="9402" xr:uid="{00000000-0005-0000-0000-000097420000}"/>
    <cellStyle name="40% - Accent6 20 4 2" xfId="20690" xr:uid="{00000000-0005-0000-0000-000098420000}"/>
    <cellStyle name="40% - Accent6 20 5" xfId="7408" xr:uid="{00000000-0005-0000-0000-000099420000}"/>
    <cellStyle name="40% - Accent6 20 5 2" xfId="18696" xr:uid="{00000000-0005-0000-0000-00009A420000}"/>
    <cellStyle name="40% - Accent6 20 6" xfId="5414" xr:uid="{00000000-0005-0000-0000-00009B420000}"/>
    <cellStyle name="40% - Accent6 20 6 2" xfId="16702" xr:uid="{00000000-0005-0000-0000-00009C420000}"/>
    <cellStyle name="40% - Accent6 20 7" xfId="14708" xr:uid="{00000000-0005-0000-0000-00009D420000}"/>
    <cellStyle name="40% - Accent6 20 8" xfId="13394" xr:uid="{00000000-0005-0000-0000-00009E420000}"/>
    <cellStyle name="40% - Accent6 21" xfId="1459" xr:uid="{00000000-0005-0000-0000-00009F420000}"/>
    <cellStyle name="40% - Accent6 21 2" xfId="4415" xr:uid="{00000000-0005-0000-0000-0000A0420000}"/>
    <cellStyle name="40% - Accent6 21 2 2" xfId="12394" xr:uid="{00000000-0005-0000-0000-0000A1420000}"/>
    <cellStyle name="40% - Accent6 21 2 2 2" xfId="23682" xr:uid="{00000000-0005-0000-0000-0000A2420000}"/>
    <cellStyle name="40% - Accent6 21 2 3" xfId="10400" xr:uid="{00000000-0005-0000-0000-0000A3420000}"/>
    <cellStyle name="40% - Accent6 21 2 3 2" xfId="21688" xr:uid="{00000000-0005-0000-0000-0000A4420000}"/>
    <cellStyle name="40% - Accent6 21 2 4" xfId="8406" xr:uid="{00000000-0005-0000-0000-0000A5420000}"/>
    <cellStyle name="40% - Accent6 21 2 4 2" xfId="19694" xr:uid="{00000000-0005-0000-0000-0000A6420000}"/>
    <cellStyle name="40% - Accent6 21 2 5" xfId="6412" xr:uid="{00000000-0005-0000-0000-0000A7420000}"/>
    <cellStyle name="40% - Accent6 21 2 5 2" xfId="17700" xr:uid="{00000000-0005-0000-0000-0000A8420000}"/>
    <cellStyle name="40% - Accent6 21 2 6" xfId="15706" xr:uid="{00000000-0005-0000-0000-0000A9420000}"/>
    <cellStyle name="40% - Accent6 21 3" xfId="11397" xr:uid="{00000000-0005-0000-0000-0000AA420000}"/>
    <cellStyle name="40% - Accent6 21 3 2" xfId="22685" xr:uid="{00000000-0005-0000-0000-0000AB420000}"/>
    <cellStyle name="40% - Accent6 21 4" xfId="9403" xr:uid="{00000000-0005-0000-0000-0000AC420000}"/>
    <cellStyle name="40% - Accent6 21 4 2" xfId="20691" xr:uid="{00000000-0005-0000-0000-0000AD420000}"/>
    <cellStyle name="40% - Accent6 21 5" xfId="7409" xr:uid="{00000000-0005-0000-0000-0000AE420000}"/>
    <cellStyle name="40% - Accent6 21 5 2" xfId="18697" xr:uid="{00000000-0005-0000-0000-0000AF420000}"/>
    <cellStyle name="40% - Accent6 21 6" xfId="5415" xr:uid="{00000000-0005-0000-0000-0000B0420000}"/>
    <cellStyle name="40% - Accent6 21 6 2" xfId="16703" xr:uid="{00000000-0005-0000-0000-0000B1420000}"/>
    <cellStyle name="40% - Accent6 21 7" xfId="14709" xr:uid="{00000000-0005-0000-0000-0000B2420000}"/>
    <cellStyle name="40% - Accent6 21 8" xfId="13395" xr:uid="{00000000-0005-0000-0000-0000B3420000}"/>
    <cellStyle name="40% - Accent6 22" xfId="1460" xr:uid="{00000000-0005-0000-0000-0000B4420000}"/>
    <cellStyle name="40% - Accent6 22 2" xfId="4416" xr:uid="{00000000-0005-0000-0000-0000B5420000}"/>
    <cellStyle name="40% - Accent6 22 2 2" xfId="12395" xr:uid="{00000000-0005-0000-0000-0000B6420000}"/>
    <cellStyle name="40% - Accent6 22 2 2 2" xfId="23683" xr:uid="{00000000-0005-0000-0000-0000B7420000}"/>
    <cellStyle name="40% - Accent6 22 2 3" xfId="10401" xr:uid="{00000000-0005-0000-0000-0000B8420000}"/>
    <cellStyle name="40% - Accent6 22 2 3 2" xfId="21689" xr:uid="{00000000-0005-0000-0000-0000B9420000}"/>
    <cellStyle name="40% - Accent6 22 2 4" xfId="8407" xr:uid="{00000000-0005-0000-0000-0000BA420000}"/>
    <cellStyle name="40% - Accent6 22 2 4 2" xfId="19695" xr:uid="{00000000-0005-0000-0000-0000BB420000}"/>
    <cellStyle name="40% - Accent6 22 2 5" xfId="6413" xr:uid="{00000000-0005-0000-0000-0000BC420000}"/>
    <cellStyle name="40% - Accent6 22 2 5 2" xfId="17701" xr:uid="{00000000-0005-0000-0000-0000BD420000}"/>
    <cellStyle name="40% - Accent6 22 2 6" xfId="15707" xr:uid="{00000000-0005-0000-0000-0000BE420000}"/>
    <cellStyle name="40% - Accent6 22 3" xfId="11398" xr:uid="{00000000-0005-0000-0000-0000BF420000}"/>
    <cellStyle name="40% - Accent6 22 3 2" xfId="22686" xr:uid="{00000000-0005-0000-0000-0000C0420000}"/>
    <cellStyle name="40% - Accent6 22 4" xfId="9404" xr:uid="{00000000-0005-0000-0000-0000C1420000}"/>
    <cellStyle name="40% - Accent6 22 4 2" xfId="20692" xr:uid="{00000000-0005-0000-0000-0000C2420000}"/>
    <cellStyle name="40% - Accent6 22 5" xfId="7410" xr:uid="{00000000-0005-0000-0000-0000C3420000}"/>
    <cellStyle name="40% - Accent6 22 5 2" xfId="18698" xr:uid="{00000000-0005-0000-0000-0000C4420000}"/>
    <cellStyle name="40% - Accent6 22 6" xfId="5416" xr:uid="{00000000-0005-0000-0000-0000C5420000}"/>
    <cellStyle name="40% - Accent6 22 6 2" xfId="16704" xr:uid="{00000000-0005-0000-0000-0000C6420000}"/>
    <cellStyle name="40% - Accent6 22 7" xfId="14710" xr:uid="{00000000-0005-0000-0000-0000C7420000}"/>
    <cellStyle name="40% - Accent6 22 8" xfId="13396" xr:uid="{00000000-0005-0000-0000-0000C8420000}"/>
    <cellStyle name="40% - Accent6 23" xfId="1461" xr:uid="{00000000-0005-0000-0000-0000C9420000}"/>
    <cellStyle name="40% - Accent6 23 2" xfId="4417" xr:uid="{00000000-0005-0000-0000-0000CA420000}"/>
    <cellStyle name="40% - Accent6 23 2 2" xfId="12396" xr:uid="{00000000-0005-0000-0000-0000CB420000}"/>
    <cellStyle name="40% - Accent6 23 2 2 2" xfId="23684" xr:uid="{00000000-0005-0000-0000-0000CC420000}"/>
    <cellStyle name="40% - Accent6 23 2 3" xfId="10402" xr:uid="{00000000-0005-0000-0000-0000CD420000}"/>
    <cellStyle name="40% - Accent6 23 2 3 2" xfId="21690" xr:uid="{00000000-0005-0000-0000-0000CE420000}"/>
    <cellStyle name="40% - Accent6 23 2 4" xfId="8408" xr:uid="{00000000-0005-0000-0000-0000CF420000}"/>
    <cellStyle name="40% - Accent6 23 2 4 2" xfId="19696" xr:uid="{00000000-0005-0000-0000-0000D0420000}"/>
    <cellStyle name="40% - Accent6 23 2 5" xfId="6414" xr:uid="{00000000-0005-0000-0000-0000D1420000}"/>
    <cellStyle name="40% - Accent6 23 2 5 2" xfId="17702" xr:uid="{00000000-0005-0000-0000-0000D2420000}"/>
    <cellStyle name="40% - Accent6 23 2 6" xfId="15708" xr:uid="{00000000-0005-0000-0000-0000D3420000}"/>
    <cellStyle name="40% - Accent6 23 3" xfId="11399" xr:uid="{00000000-0005-0000-0000-0000D4420000}"/>
    <cellStyle name="40% - Accent6 23 3 2" xfId="22687" xr:uid="{00000000-0005-0000-0000-0000D5420000}"/>
    <cellStyle name="40% - Accent6 23 4" xfId="9405" xr:uid="{00000000-0005-0000-0000-0000D6420000}"/>
    <cellStyle name="40% - Accent6 23 4 2" xfId="20693" xr:uid="{00000000-0005-0000-0000-0000D7420000}"/>
    <cellStyle name="40% - Accent6 23 5" xfId="7411" xr:uid="{00000000-0005-0000-0000-0000D8420000}"/>
    <cellStyle name="40% - Accent6 23 5 2" xfId="18699" xr:uid="{00000000-0005-0000-0000-0000D9420000}"/>
    <cellStyle name="40% - Accent6 23 6" xfId="5417" xr:uid="{00000000-0005-0000-0000-0000DA420000}"/>
    <cellStyle name="40% - Accent6 23 6 2" xfId="16705" xr:uid="{00000000-0005-0000-0000-0000DB420000}"/>
    <cellStyle name="40% - Accent6 23 7" xfId="14711" xr:uid="{00000000-0005-0000-0000-0000DC420000}"/>
    <cellStyle name="40% - Accent6 23 8" xfId="13397" xr:uid="{00000000-0005-0000-0000-0000DD420000}"/>
    <cellStyle name="40% - Accent6 24" xfId="1462" xr:uid="{00000000-0005-0000-0000-0000DE420000}"/>
    <cellStyle name="40% - Accent6 24 2" xfId="4418" xr:uid="{00000000-0005-0000-0000-0000DF420000}"/>
    <cellStyle name="40% - Accent6 24 2 2" xfId="12397" xr:uid="{00000000-0005-0000-0000-0000E0420000}"/>
    <cellStyle name="40% - Accent6 24 2 2 2" xfId="23685" xr:uid="{00000000-0005-0000-0000-0000E1420000}"/>
    <cellStyle name="40% - Accent6 24 2 3" xfId="10403" xr:uid="{00000000-0005-0000-0000-0000E2420000}"/>
    <cellStyle name="40% - Accent6 24 2 3 2" xfId="21691" xr:uid="{00000000-0005-0000-0000-0000E3420000}"/>
    <cellStyle name="40% - Accent6 24 2 4" xfId="8409" xr:uid="{00000000-0005-0000-0000-0000E4420000}"/>
    <cellStyle name="40% - Accent6 24 2 4 2" xfId="19697" xr:uid="{00000000-0005-0000-0000-0000E5420000}"/>
    <cellStyle name="40% - Accent6 24 2 5" xfId="6415" xr:uid="{00000000-0005-0000-0000-0000E6420000}"/>
    <cellStyle name="40% - Accent6 24 2 5 2" xfId="17703" xr:uid="{00000000-0005-0000-0000-0000E7420000}"/>
    <cellStyle name="40% - Accent6 24 2 6" xfId="15709" xr:uid="{00000000-0005-0000-0000-0000E8420000}"/>
    <cellStyle name="40% - Accent6 24 3" xfId="11400" xr:uid="{00000000-0005-0000-0000-0000E9420000}"/>
    <cellStyle name="40% - Accent6 24 3 2" xfId="22688" xr:uid="{00000000-0005-0000-0000-0000EA420000}"/>
    <cellStyle name="40% - Accent6 24 4" xfId="9406" xr:uid="{00000000-0005-0000-0000-0000EB420000}"/>
    <cellStyle name="40% - Accent6 24 4 2" xfId="20694" xr:uid="{00000000-0005-0000-0000-0000EC420000}"/>
    <cellStyle name="40% - Accent6 24 5" xfId="7412" xr:uid="{00000000-0005-0000-0000-0000ED420000}"/>
    <cellStyle name="40% - Accent6 24 5 2" xfId="18700" xr:uid="{00000000-0005-0000-0000-0000EE420000}"/>
    <cellStyle name="40% - Accent6 24 6" xfId="5418" xr:uid="{00000000-0005-0000-0000-0000EF420000}"/>
    <cellStyle name="40% - Accent6 24 6 2" xfId="16706" xr:uid="{00000000-0005-0000-0000-0000F0420000}"/>
    <cellStyle name="40% - Accent6 24 7" xfId="14712" xr:uid="{00000000-0005-0000-0000-0000F1420000}"/>
    <cellStyle name="40% - Accent6 24 8" xfId="13398" xr:uid="{00000000-0005-0000-0000-0000F2420000}"/>
    <cellStyle name="40% - Accent6 25" xfId="1463" xr:uid="{00000000-0005-0000-0000-0000F3420000}"/>
    <cellStyle name="40% - Accent6 25 2" xfId="4419" xr:uid="{00000000-0005-0000-0000-0000F4420000}"/>
    <cellStyle name="40% - Accent6 25 2 2" xfId="12398" xr:uid="{00000000-0005-0000-0000-0000F5420000}"/>
    <cellStyle name="40% - Accent6 25 2 2 2" xfId="23686" xr:uid="{00000000-0005-0000-0000-0000F6420000}"/>
    <cellStyle name="40% - Accent6 25 2 3" xfId="10404" xr:uid="{00000000-0005-0000-0000-0000F7420000}"/>
    <cellStyle name="40% - Accent6 25 2 3 2" xfId="21692" xr:uid="{00000000-0005-0000-0000-0000F8420000}"/>
    <cellStyle name="40% - Accent6 25 2 4" xfId="8410" xr:uid="{00000000-0005-0000-0000-0000F9420000}"/>
    <cellStyle name="40% - Accent6 25 2 4 2" xfId="19698" xr:uid="{00000000-0005-0000-0000-0000FA420000}"/>
    <cellStyle name="40% - Accent6 25 2 5" xfId="6416" xr:uid="{00000000-0005-0000-0000-0000FB420000}"/>
    <cellStyle name="40% - Accent6 25 2 5 2" xfId="17704" xr:uid="{00000000-0005-0000-0000-0000FC420000}"/>
    <cellStyle name="40% - Accent6 25 2 6" xfId="15710" xr:uid="{00000000-0005-0000-0000-0000FD420000}"/>
    <cellStyle name="40% - Accent6 25 3" xfId="11401" xr:uid="{00000000-0005-0000-0000-0000FE420000}"/>
    <cellStyle name="40% - Accent6 25 3 2" xfId="22689" xr:uid="{00000000-0005-0000-0000-0000FF420000}"/>
    <cellStyle name="40% - Accent6 25 4" xfId="9407" xr:uid="{00000000-0005-0000-0000-000000430000}"/>
    <cellStyle name="40% - Accent6 25 4 2" xfId="20695" xr:uid="{00000000-0005-0000-0000-000001430000}"/>
    <cellStyle name="40% - Accent6 25 5" xfId="7413" xr:uid="{00000000-0005-0000-0000-000002430000}"/>
    <cellStyle name="40% - Accent6 25 5 2" xfId="18701" xr:uid="{00000000-0005-0000-0000-000003430000}"/>
    <cellStyle name="40% - Accent6 25 6" xfId="5419" xr:uid="{00000000-0005-0000-0000-000004430000}"/>
    <cellStyle name="40% - Accent6 25 6 2" xfId="16707" xr:uid="{00000000-0005-0000-0000-000005430000}"/>
    <cellStyle name="40% - Accent6 25 7" xfId="14713" xr:uid="{00000000-0005-0000-0000-000006430000}"/>
    <cellStyle name="40% - Accent6 25 8" xfId="13399" xr:uid="{00000000-0005-0000-0000-000007430000}"/>
    <cellStyle name="40% - Accent6 26" xfId="1464" xr:uid="{00000000-0005-0000-0000-000008430000}"/>
    <cellStyle name="40% - Accent6 26 2" xfId="4420" xr:uid="{00000000-0005-0000-0000-000009430000}"/>
    <cellStyle name="40% - Accent6 26 2 2" xfId="12399" xr:uid="{00000000-0005-0000-0000-00000A430000}"/>
    <cellStyle name="40% - Accent6 26 2 2 2" xfId="23687" xr:uid="{00000000-0005-0000-0000-00000B430000}"/>
    <cellStyle name="40% - Accent6 26 2 3" xfId="10405" xr:uid="{00000000-0005-0000-0000-00000C430000}"/>
    <cellStyle name="40% - Accent6 26 2 3 2" xfId="21693" xr:uid="{00000000-0005-0000-0000-00000D430000}"/>
    <cellStyle name="40% - Accent6 26 2 4" xfId="8411" xr:uid="{00000000-0005-0000-0000-00000E430000}"/>
    <cellStyle name="40% - Accent6 26 2 4 2" xfId="19699" xr:uid="{00000000-0005-0000-0000-00000F430000}"/>
    <cellStyle name="40% - Accent6 26 2 5" xfId="6417" xr:uid="{00000000-0005-0000-0000-000010430000}"/>
    <cellStyle name="40% - Accent6 26 2 5 2" xfId="17705" xr:uid="{00000000-0005-0000-0000-000011430000}"/>
    <cellStyle name="40% - Accent6 26 2 6" xfId="15711" xr:uid="{00000000-0005-0000-0000-000012430000}"/>
    <cellStyle name="40% - Accent6 26 3" xfId="11402" xr:uid="{00000000-0005-0000-0000-000013430000}"/>
    <cellStyle name="40% - Accent6 26 3 2" xfId="22690" xr:uid="{00000000-0005-0000-0000-000014430000}"/>
    <cellStyle name="40% - Accent6 26 4" xfId="9408" xr:uid="{00000000-0005-0000-0000-000015430000}"/>
    <cellStyle name="40% - Accent6 26 4 2" xfId="20696" xr:uid="{00000000-0005-0000-0000-000016430000}"/>
    <cellStyle name="40% - Accent6 26 5" xfId="7414" xr:uid="{00000000-0005-0000-0000-000017430000}"/>
    <cellStyle name="40% - Accent6 26 5 2" xfId="18702" xr:uid="{00000000-0005-0000-0000-000018430000}"/>
    <cellStyle name="40% - Accent6 26 6" xfId="5420" xr:uid="{00000000-0005-0000-0000-000019430000}"/>
    <cellStyle name="40% - Accent6 26 6 2" xfId="16708" xr:uid="{00000000-0005-0000-0000-00001A430000}"/>
    <cellStyle name="40% - Accent6 26 7" xfId="14714" xr:uid="{00000000-0005-0000-0000-00001B430000}"/>
    <cellStyle name="40% - Accent6 26 8" xfId="13400" xr:uid="{00000000-0005-0000-0000-00001C430000}"/>
    <cellStyle name="40% - Accent6 27" xfId="1465" xr:uid="{00000000-0005-0000-0000-00001D430000}"/>
    <cellStyle name="40% - Accent6 27 2" xfId="4421" xr:uid="{00000000-0005-0000-0000-00001E430000}"/>
    <cellStyle name="40% - Accent6 27 2 2" xfId="12400" xr:uid="{00000000-0005-0000-0000-00001F430000}"/>
    <cellStyle name="40% - Accent6 27 2 2 2" xfId="23688" xr:uid="{00000000-0005-0000-0000-000020430000}"/>
    <cellStyle name="40% - Accent6 27 2 3" xfId="10406" xr:uid="{00000000-0005-0000-0000-000021430000}"/>
    <cellStyle name="40% - Accent6 27 2 3 2" xfId="21694" xr:uid="{00000000-0005-0000-0000-000022430000}"/>
    <cellStyle name="40% - Accent6 27 2 4" xfId="8412" xr:uid="{00000000-0005-0000-0000-000023430000}"/>
    <cellStyle name="40% - Accent6 27 2 4 2" xfId="19700" xr:uid="{00000000-0005-0000-0000-000024430000}"/>
    <cellStyle name="40% - Accent6 27 2 5" xfId="6418" xr:uid="{00000000-0005-0000-0000-000025430000}"/>
    <cellStyle name="40% - Accent6 27 2 5 2" xfId="17706" xr:uid="{00000000-0005-0000-0000-000026430000}"/>
    <cellStyle name="40% - Accent6 27 2 6" xfId="15712" xr:uid="{00000000-0005-0000-0000-000027430000}"/>
    <cellStyle name="40% - Accent6 27 3" xfId="11403" xr:uid="{00000000-0005-0000-0000-000028430000}"/>
    <cellStyle name="40% - Accent6 27 3 2" xfId="22691" xr:uid="{00000000-0005-0000-0000-000029430000}"/>
    <cellStyle name="40% - Accent6 27 4" xfId="9409" xr:uid="{00000000-0005-0000-0000-00002A430000}"/>
    <cellStyle name="40% - Accent6 27 4 2" xfId="20697" xr:uid="{00000000-0005-0000-0000-00002B430000}"/>
    <cellStyle name="40% - Accent6 27 5" xfId="7415" xr:uid="{00000000-0005-0000-0000-00002C430000}"/>
    <cellStyle name="40% - Accent6 27 5 2" xfId="18703" xr:uid="{00000000-0005-0000-0000-00002D430000}"/>
    <cellStyle name="40% - Accent6 27 6" xfId="5421" xr:uid="{00000000-0005-0000-0000-00002E430000}"/>
    <cellStyle name="40% - Accent6 27 6 2" xfId="16709" xr:uid="{00000000-0005-0000-0000-00002F430000}"/>
    <cellStyle name="40% - Accent6 27 7" xfId="14715" xr:uid="{00000000-0005-0000-0000-000030430000}"/>
    <cellStyle name="40% - Accent6 27 8" xfId="13401" xr:uid="{00000000-0005-0000-0000-000031430000}"/>
    <cellStyle name="40% - Accent6 28" xfId="1466" xr:uid="{00000000-0005-0000-0000-000032430000}"/>
    <cellStyle name="40% - Accent6 28 2" xfId="4422" xr:uid="{00000000-0005-0000-0000-000033430000}"/>
    <cellStyle name="40% - Accent6 28 2 2" xfId="12401" xr:uid="{00000000-0005-0000-0000-000034430000}"/>
    <cellStyle name="40% - Accent6 28 2 2 2" xfId="23689" xr:uid="{00000000-0005-0000-0000-000035430000}"/>
    <cellStyle name="40% - Accent6 28 2 3" xfId="10407" xr:uid="{00000000-0005-0000-0000-000036430000}"/>
    <cellStyle name="40% - Accent6 28 2 3 2" xfId="21695" xr:uid="{00000000-0005-0000-0000-000037430000}"/>
    <cellStyle name="40% - Accent6 28 2 4" xfId="8413" xr:uid="{00000000-0005-0000-0000-000038430000}"/>
    <cellStyle name="40% - Accent6 28 2 4 2" xfId="19701" xr:uid="{00000000-0005-0000-0000-000039430000}"/>
    <cellStyle name="40% - Accent6 28 2 5" xfId="6419" xr:uid="{00000000-0005-0000-0000-00003A430000}"/>
    <cellStyle name="40% - Accent6 28 2 5 2" xfId="17707" xr:uid="{00000000-0005-0000-0000-00003B430000}"/>
    <cellStyle name="40% - Accent6 28 2 6" xfId="15713" xr:uid="{00000000-0005-0000-0000-00003C430000}"/>
    <cellStyle name="40% - Accent6 28 3" xfId="11404" xr:uid="{00000000-0005-0000-0000-00003D430000}"/>
    <cellStyle name="40% - Accent6 28 3 2" xfId="22692" xr:uid="{00000000-0005-0000-0000-00003E430000}"/>
    <cellStyle name="40% - Accent6 28 4" xfId="9410" xr:uid="{00000000-0005-0000-0000-00003F430000}"/>
    <cellStyle name="40% - Accent6 28 4 2" xfId="20698" xr:uid="{00000000-0005-0000-0000-000040430000}"/>
    <cellStyle name="40% - Accent6 28 5" xfId="7416" xr:uid="{00000000-0005-0000-0000-000041430000}"/>
    <cellStyle name="40% - Accent6 28 5 2" xfId="18704" xr:uid="{00000000-0005-0000-0000-000042430000}"/>
    <cellStyle name="40% - Accent6 28 6" xfId="5422" xr:uid="{00000000-0005-0000-0000-000043430000}"/>
    <cellStyle name="40% - Accent6 28 6 2" xfId="16710" xr:uid="{00000000-0005-0000-0000-000044430000}"/>
    <cellStyle name="40% - Accent6 28 7" xfId="14716" xr:uid="{00000000-0005-0000-0000-000045430000}"/>
    <cellStyle name="40% - Accent6 28 8" xfId="13402" xr:uid="{00000000-0005-0000-0000-000046430000}"/>
    <cellStyle name="40% - Accent6 29" xfId="1467" xr:uid="{00000000-0005-0000-0000-000047430000}"/>
    <cellStyle name="40% - Accent6 29 2" xfId="4423" xr:uid="{00000000-0005-0000-0000-000048430000}"/>
    <cellStyle name="40% - Accent6 29 2 2" xfId="12402" xr:uid="{00000000-0005-0000-0000-000049430000}"/>
    <cellStyle name="40% - Accent6 29 2 2 2" xfId="23690" xr:uid="{00000000-0005-0000-0000-00004A430000}"/>
    <cellStyle name="40% - Accent6 29 2 3" xfId="10408" xr:uid="{00000000-0005-0000-0000-00004B430000}"/>
    <cellStyle name="40% - Accent6 29 2 3 2" xfId="21696" xr:uid="{00000000-0005-0000-0000-00004C430000}"/>
    <cellStyle name="40% - Accent6 29 2 4" xfId="8414" xr:uid="{00000000-0005-0000-0000-00004D430000}"/>
    <cellStyle name="40% - Accent6 29 2 4 2" xfId="19702" xr:uid="{00000000-0005-0000-0000-00004E430000}"/>
    <cellStyle name="40% - Accent6 29 2 5" xfId="6420" xr:uid="{00000000-0005-0000-0000-00004F430000}"/>
    <cellStyle name="40% - Accent6 29 2 5 2" xfId="17708" xr:uid="{00000000-0005-0000-0000-000050430000}"/>
    <cellStyle name="40% - Accent6 29 2 6" xfId="15714" xr:uid="{00000000-0005-0000-0000-000051430000}"/>
    <cellStyle name="40% - Accent6 29 3" xfId="11405" xr:uid="{00000000-0005-0000-0000-000052430000}"/>
    <cellStyle name="40% - Accent6 29 3 2" xfId="22693" xr:uid="{00000000-0005-0000-0000-000053430000}"/>
    <cellStyle name="40% - Accent6 29 4" xfId="9411" xr:uid="{00000000-0005-0000-0000-000054430000}"/>
    <cellStyle name="40% - Accent6 29 4 2" xfId="20699" xr:uid="{00000000-0005-0000-0000-000055430000}"/>
    <cellStyle name="40% - Accent6 29 5" xfId="7417" xr:uid="{00000000-0005-0000-0000-000056430000}"/>
    <cellStyle name="40% - Accent6 29 5 2" xfId="18705" xr:uid="{00000000-0005-0000-0000-000057430000}"/>
    <cellStyle name="40% - Accent6 29 6" xfId="5423" xr:uid="{00000000-0005-0000-0000-000058430000}"/>
    <cellStyle name="40% - Accent6 29 6 2" xfId="16711" xr:uid="{00000000-0005-0000-0000-000059430000}"/>
    <cellStyle name="40% - Accent6 29 7" xfId="14717" xr:uid="{00000000-0005-0000-0000-00005A430000}"/>
    <cellStyle name="40% - Accent6 29 8" xfId="13403" xr:uid="{00000000-0005-0000-0000-00005B430000}"/>
    <cellStyle name="40% - Accent6 3" xfId="1468" xr:uid="{00000000-0005-0000-0000-00005C430000}"/>
    <cellStyle name="40% - Accent6 3 10" xfId="24626" xr:uid="{00000000-0005-0000-0000-00005D430000}"/>
    <cellStyle name="40% - Accent6 3 11" xfId="25016" xr:uid="{00000000-0005-0000-0000-00005E430000}"/>
    <cellStyle name="40% - Accent6 3 2" xfId="4424" xr:uid="{00000000-0005-0000-0000-00005F430000}"/>
    <cellStyle name="40% - Accent6 3 2 2" xfId="12403" xr:uid="{00000000-0005-0000-0000-000060430000}"/>
    <cellStyle name="40% - Accent6 3 2 2 2" xfId="23691" xr:uid="{00000000-0005-0000-0000-000061430000}"/>
    <cellStyle name="40% - Accent6 3 2 3" xfId="10409" xr:uid="{00000000-0005-0000-0000-000062430000}"/>
    <cellStyle name="40% - Accent6 3 2 3 2" xfId="21697" xr:uid="{00000000-0005-0000-0000-000063430000}"/>
    <cellStyle name="40% - Accent6 3 2 4" xfId="8415" xr:uid="{00000000-0005-0000-0000-000064430000}"/>
    <cellStyle name="40% - Accent6 3 2 4 2" xfId="19703" xr:uid="{00000000-0005-0000-0000-000065430000}"/>
    <cellStyle name="40% - Accent6 3 2 5" xfId="6421" xr:uid="{00000000-0005-0000-0000-000066430000}"/>
    <cellStyle name="40% - Accent6 3 2 5 2" xfId="17709" xr:uid="{00000000-0005-0000-0000-000067430000}"/>
    <cellStyle name="40% - Accent6 3 2 6" xfId="15715" xr:uid="{00000000-0005-0000-0000-000068430000}"/>
    <cellStyle name="40% - Accent6 3 2 7" xfId="24387" xr:uid="{00000000-0005-0000-0000-000069430000}"/>
    <cellStyle name="40% - Accent6 3 2 8" xfId="24851" xr:uid="{00000000-0005-0000-0000-00006A430000}"/>
    <cellStyle name="40% - Accent6 3 2 9" xfId="25218" xr:uid="{00000000-0005-0000-0000-00006B430000}"/>
    <cellStyle name="40% - Accent6 3 3" xfId="11406" xr:uid="{00000000-0005-0000-0000-00006C430000}"/>
    <cellStyle name="40% - Accent6 3 3 2" xfId="22694" xr:uid="{00000000-0005-0000-0000-00006D430000}"/>
    <cellStyle name="40% - Accent6 3 4" xfId="9412" xr:uid="{00000000-0005-0000-0000-00006E430000}"/>
    <cellStyle name="40% - Accent6 3 4 2" xfId="20700" xr:uid="{00000000-0005-0000-0000-00006F430000}"/>
    <cellStyle name="40% - Accent6 3 5" xfId="7418" xr:uid="{00000000-0005-0000-0000-000070430000}"/>
    <cellStyle name="40% - Accent6 3 5 2" xfId="18706" xr:uid="{00000000-0005-0000-0000-000071430000}"/>
    <cellStyle name="40% - Accent6 3 6" xfId="5424" xr:uid="{00000000-0005-0000-0000-000072430000}"/>
    <cellStyle name="40% - Accent6 3 6 2" xfId="16712" xr:uid="{00000000-0005-0000-0000-000073430000}"/>
    <cellStyle name="40% - Accent6 3 7" xfId="14718" xr:uid="{00000000-0005-0000-0000-000074430000}"/>
    <cellStyle name="40% - Accent6 3 8" xfId="13404" xr:uid="{00000000-0005-0000-0000-000075430000}"/>
    <cellStyle name="40% - Accent6 3 9" xfId="23999" xr:uid="{00000000-0005-0000-0000-000076430000}"/>
    <cellStyle name="40% - Accent6 30" xfId="1469" xr:uid="{00000000-0005-0000-0000-000077430000}"/>
    <cellStyle name="40% - Accent6 30 2" xfId="4425" xr:uid="{00000000-0005-0000-0000-000078430000}"/>
    <cellStyle name="40% - Accent6 30 2 2" xfId="12404" xr:uid="{00000000-0005-0000-0000-000079430000}"/>
    <cellStyle name="40% - Accent6 30 2 2 2" xfId="23692" xr:uid="{00000000-0005-0000-0000-00007A430000}"/>
    <cellStyle name="40% - Accent6 30 2 3" xfId="10410" xr:uid="{00000000-0005-0000-0000-00007B430000}"/>
    <cellStyle name="40% - Accent6 30 2 3 2" xfId="21698" xr:uid="{00000000-0005-0000-0000-00007C430000}"/>
    <cellStyle name="40% - Accent6 30 2 4" xfId="8416" xr:uid="{00000000-0005-0000-0000-00007D430000}"/>
    <cellStyle name="40% - Accent6 30 2 4 2" xfId="19704" xr:uid="{00000000-0005-0000-0000-00007E430000}"/>
    <cellStyle name="40% - Accent6 30 2 5" xfId="6422" xr:uid="{00000000-0005-0000-0000-00007F430000}"/>
    <cellStyle name="40% - Accent6 30 2 5 2" xfId="17710" xr:uid="{00000000-0005-0000-0000-000080430000}"/>
    <cellStyle name="40% - Accent6 30 2 6" xfId="15716" xr:uid="{00000000-0005-0000-0000-000081430000}"/>
    <cellStyle name="40% - Accent6 30 3" xfId="11407" xr:uid="{00000000-0005-0000-0000-000082430000}"/>
    <cellStyle name="40% - Accent6 30 3 2" xfId="22695" xr:uid="{00000000-0005-0000-0000-000083430000}"/>
    <cellStyle name="40% - Accent6 30 4" xfId="9413" xr:uid="{00000000-0005-0000-0000-000084430000}"/>
    <cellStyle name="40% - Accent6 30 4 2" xfId="20701" xr:uid="{00000000-0005-0000-0000-000085430000}"/>
    <cellStyle name="40% - Accent6 30 5" xfId="7419" xr:uid="{00000000-0005-0000-0000-000086430000}"/>
    <cellStyle name="40% - Accent6 30 5 2" xfId="18707" xr:uid="{00000000-0005-0000-0000-000087430000}"/>
    <cellStyle name="40% - Accent6 30 6" xfId="5425" xr:uid="{00000000-0005-0000-0000-000088430000}"/>
    <cellStyle name="40% - Accent6 30 6 2" xfId="16713" xr:uid="{00000000-0005-0000-0000-000089430000}"/>
    <cellStyle name="40% - Accent6 30 7" xfId="14719" xr:uid="{00000000-0005-0000-0000-00008A430000}"/>
    <cellStyle name="40% - Accent6 30 8" xfId="13405" xr:uid="{00000000-0005-0000-0000-00008B430000}"/>
    <cellStyle name="40% - Accent6 31" xfId="1470" xr:uid="{00000000-0005-0000-0000-00008C430000}"/>
    <cellStyle name="40% - Accent6 31 2" xfId="4426" xr:uid="{00000000-0005-0000-0000-00008D430000}"/>
    <cellStyle name="40% - Accent6 31 2 2" xfId="12405" xr:uid="{00000000-0005-0000-0000-00008E430000}"/>
    <cellStyle name="40% - Accent6 31 2 2 2" xfId="23693" xr:uid="{00000000-0005-0000-0000-00008F430000}"/>
    <cellStyle name="40% - Accent6 31 2 3" xfId="10411" xr:uid="{00000000-0005-0000-0000-000090430000}"/>
    <cellStyle name="40% - Accent6 31 2 3 2" xfId="21699" xr:uid="{00000000-0005-0000-0000-000091430000}"/>
    <cellStyle name="40% - Accent6 31 2 4" xfId="8417" xr:uid="{00000000-0005-0000-0000-000092430000}"/>
    <cellStyle name="40% - Accent6 31 2 4 2" xfId="19705" xr:uid="{00000000-0005-0000-0000-000093430000}"/>
    <cellStyle name="40% - Accent6 31 2 5" xfId="6423" xr:uid="{00000000-0005-0000-0000-000094430000}"/>
    <cellStyle name="40% - Accent6 31 2 5 2" xfId="17711" xr:uid="{00000000-0005-0000-0000-000095430000}"/>
    <cellStyle name="40% - Accent6 31 2 6" xfId="15717" xr:uid="{00000000-0005-0000-0000-000096430000}"/>
    <cellStyle name="40% - Accent6 31 3" xfId="11408" xr:uid="{00000000-0005-0000-0000-000097430000}"/>
    <cellStyle name="40% - Accent6 31 3 2" xfId="22696" xr:uid="{00000000-0005-0000-0000-000098430000}"/>
    <cellStyle name="40% - Accent6 31 4" xfId="9414" xr:uid="{00000000-0005-0000-0000-000099430000}"/>
    <cellStyle name="40% - Accent6 31 4 2" xfId="20702" xr:uid="{00000000-0005-0000-0000-00009A430000}"/>
    <cellStyle name="40% - Accent6 31 5" xfId="7420" xr:uid="{00000000-0005-0000-0000-00009B430000}"/>
    <cellStyle name="40% - Accent6 31 5 2" xfId="18708" xr:uid="{00000000-0005-0000-0000-00009C430000}"/>
    <cellStyle name="40% - Accent6 31 6" xfId="5426" xr:uid="{00000000-0005-0000-0000-00009D430000}"/>
    <cellStyle name="40% - Accent6 31 6 2" xfId="16714" xr:uid="{00000000-0005-0000-0000-00009E430000}"/>
    <cellStyle name="40% - Accent6 31 7" xfId="14720" xr:uid="{00000000-0005-0000-0000-00009F430000}"/>
    <cellStyle name="40% - Accent6 31 8" xfId="13406" xr:uid="{00000000-0005-0000-0000-0000A0430000}"/>
    <cellStyle name="40% - Accent6 32" xfId="1471" xr:uid="{00000000-0005-0000-0000-0000A1430000}"/>
    <cellStyle name="40% - Accent6 32 2" xfId="4427" xr:uid="{00000000-0005-0000-0000-0000A2430000}"/>
    <cellStyle name="40% - Accent6 32 2 2" xfId="12406" xr:uid="{00000000-0005-0000-0000-0000A3430000}"/>
    <cellStyle name="40% - Accent6 32 2 2 2" xfId="23694" xr:uid="{00000000-0005-0000-0000-0000A4430000}"/>
    <cellStyle name="40% - Accent6 32 2 3" xfId="10412" xr:uid="{00000000-0005-0000-0000-0000A5430000}"/>
    <cellStyle name="40% - Accent6 32 2 3 2" xfId="21700" xr:uid="{00000000-0005-0000-0000-0000A6430000}"/>
    <cellStyle name="40% - Accent6 32 2 4" xfId="8418" xr:uid="{00000000-0005-0000-0000-0000A7430000}"/>
    <cellStyle name="40% - Accent6 32 2 4 2" xfId="19706" xr:uid="{00000000-0005-0000-0000-0000A8430000}"/>
    <cellStyle name="40% - Accent6 32 2 5" xfId="6424" xr:uid="{00000000-0005-0000-0000-0000A9430000}"/>
    <cellStyle name="40% - Accent6 32 2 5 2" xfId="17712" xr:uid="{00000000-0005-0000-0000-0000AA430000}"/>
    <cellStyle name="40% - Accent6 32 2 6" xfId="15718" xr:uid="{00000000-0005-0000-0000-0000AB430000}"/>
    <cellStyle name="40% - Accent6 32 3" xfId="11409" xr:uid="{00000000-0005-0000-0000-0000AC430000}"/>
    <cellStyle name="40% - Accent6 32 3 2" xfId="22697" xr:uid="{00000000-0005-0000-0000-0000AD430000}"/>
    <cellStyle name="40% - Accent6 32 4" xfId="9415" xr:uid="{00000000-0005-0000-0000-0000AE430000}"/>
    <cellStyle name="40% - Accent6 32 4 2" xfId="20703" xr:uid="{00000000-0005-0000-0000-0000AF430000}"/>
    <cellStyle name="40% - Accent6 32 5" xfId="7421" xr:uid="{00000000-0005-0000-0000-0000B0430000}"/>
    <cellStyle name="40% - Accent6 32 5 2" xfId="18709" xr:uid="{00000000-0005-0000-0000-0000B1430000}"/>
    <cellStyle name="40% - Accent6 32 6" xfId="5427" xr:uid="{00000000-0005-0000-0000-0000B2430000}"/>
    <cellStyle name="40% - Accent6 32 6 2" xfId="16715" xr:uid="{00000000-0005-0000-0000-0000B3430000}"/>
    <cellStyle name="40% - Accent6 32 7" xfId="14721" xr:uid="{00000000-0005-0000-0000-0000B4430000}"/>
    <cellStyle name="40% - Accent6 32 8" xfId="13407" xr:uid="{00000000-0005-0000-0000-0000B5430000}"/>
    <cellStyle name="40% - Accent6 33" xfId="1472" xr:uid="{00000000-0005-0000-0000-0000B6430000}"/>
    <cellStyle name="40% - Accent6 33 2" xfId="4428" xr:uid="{00000000-0005-0000-0000-0000B7430000}"/>
    <cellStyle name="40% - Accent6 33 2 2" xfId="12407" xr:uid="{00000000-0005-0000-0000-0000B8430000}"/>
    <cellStyle name="40% - Accent6 33 2 2 2" xfId="23695" xr:uid="{00000000-0005-0000-0000-0000B9430000}"/>
    <cellStyle name="40% - Accent6 33 2 3" xfId="10413" xr:uid="{00000000-0005-0000-0000-0000BA430000}"/>
    <cellStyle name="40% - Accent6 33 2 3 2" xfId="21701" xr:uid="{00000000-0005-0000-0000-0000BB430000}"/>
    <cellStyle name="40% - Accent6 33 2 4" xfId="8419" xr:uid="{00000000-0005-0000-0000-0000BC430000}"/>
    <cellStyle name="40% - Accent6 33 2 4 2" xfId="19707" xr:uid="{00000000-0005-0000-0000-0000BD430000}"/>
    <cellStyle name="40% - Accent6 33 2 5" xfId="6425" xr:uid="{00000000-0005-0000-0000-0000BE430000}"/>
    <cellStyle name="40% - Accent6 33 2 5 2" xfId="17713" xr:uid="{00000000-0005-0000-0000-0000BF430000}"/>
    <cellStyle name="40% - Accent6 33 2 6" xfId="15719" xr:uid="{00000000-0005-0000-0000-0000C0430000}"/>
    <cellStyle name="40% - Accent6 33 3" xfId="11410" xr:uid="{00000000-0005-0000-0000-0000C1430000}"/>
    <cellStyle name="40% - Accent6 33 3 2" xfId="22698" xr:uid="{00000000-0005-0000-0000-0000C2430000}"/>
    <cellStyle name="40% - Accent6 33 4" xfId="9416" xr:uid="{00000000-0005-0000-0000-0000C3430000}"/>
    <cellStyle name="40% - Accent6 33 4 2" xfId="20704" xr:uid="{00000000-0005-0000-0000-0000C4430000}"/>
    <cellStyle name="40% - Accent6 33 5" xfId="7422" xr:uid="{00000000-0005-0000-0000-0000C5430000}"/>
    <cellStyle name="40% - Accent6 33 5 2" xfId="18710" xr:uid="{00000000-0005-0000-0000-0000C6430000}"/>
    <cellStyle name="40% - Accent6 33 6" xfId="5428" xr:uid="{00000000-0005-0000-0000-0000C7430000}"/>
    <cellStyle name="40% - Accent6 33 6 2" xfId="16716" xr:uid="{00000000-0005-0000-0000-0000C8430000}"/>
    <cellStyle name="40% - Accent6 33 7" xfId="14722" xr:uid="{00000000-0005-0000-0000-0000C9430000}"/>
    <cellStyle name="40% - Accent6 33 8" xfId="13408" xr:uid="{00000000-0005-0000-0000-0000CA430000}"/>
    <cellStyle name="40% - Accent6 34" xfId="1473" xr:uid="{00000000-0005-0000-0000-0000CB430000}"/>
    <cellStyle name="40% - Accent6 34 2" xfId="4429" xr:uid="{00000000-0005-0000-0000-0000CC430000}"/>
    <cellStyle name="40% - Accent6 34 2 2" xfId="12408" xr:uid="{00000000-0005-0000-0000-0000CD430000}"/>
    <cellStyle name="40% - Accent6 34 2 2 2" xfId="23696" xr:uid="{00000000-0005-0000-0000-0000CE430000}"/>
    <cellStyle name="40% - Accent6 34 2 3" xfId="10414" xr:uid="{00000000-0005-0000-0000-0000CF430000}"/>
    <cellStyle name="40% - Accent6 34 2 3 2" xfId="21702" xr:uid="{00000000-0005-0000-0000-0000D0430000}"/>
    <cellStyle name="40% - Accent6 34 2 4" xfId="8420" xr:uid="{00000000-0005-0000-0000-0000D1430000}"/>
    <cellStyle name="40% - Accent6 34 2 4 2" xfId="19708" xr:uid="{00000000-0005-0000-0000-0000D2430000}"/>
    <cellStyle name="40% - Accent6 34 2 5" xfId="6426" xr:uid="{00000000-0005-0000-0000-0000D3430000}"/>
    <cellStyle name="40% - Accent6 34 2 5 2" xfId="17714" xr:uid="{00000000-0005-0000-0000-0000D4430000}"/>
    <cellStyle name="40% - Accent6 34 2 6" xfId="15720" xr:uid="{00000000-0005-0000-0000-0000D5430000}"/>
    <cellStyle name="40% - Accent6 34 3" xfId="11411" xr:uid="{00000000-0005-0000-0000-0000D6430000}"/>
    <cellStyle name="40% - Accent6 34 3 2" xfId="22699" xr:uid="{00000000-0005-0000-0000-0000D7430000}"/>
    <cellStyle name="40% - Accent6 34 4" xfId="9417" xr:uid="{00000000-0005-0000-0000-0000D8430000}"/>
    <cellStyle name="40% - Accent6 34 4 2" xfId="20705" xr:uid="{00000000-0005-0000-0000-0000D9430000}"/>
    <cellStyle name="40% - Accent6 34 5" xfId="7423" xr:uid="{00000000-0005-0000-0000-0000DA430000}"/>
    <cellStyle name="40% - Accent6 34 5 2" xfId="18711" xr:uid="{00000000-0005-0000-0000-0000DB430000}"/>
    <cellStyle name="40% - Accent6 34 6" xfId="5429" xr:uid="{00000000-0005-0000-0000-0000DC430000}"/>
    <cellStyle name="40% - Accent6 34 6 2" xfId="16717" xr:uid="{00000000-0005-0000-0000-0000DD430000}"/>
    <cellStyle name="40% - Accent6 34 7" xfId="14723" xr:uid="{00000000-0005-0000-0000-0000DE430000}"/>
    <cellStyle name="40% - Accent6 34 8" xfId="13409" xr:uid="{00000000-0005-0000-0000-0000DF430000}"/>
    <cellStyle name="40% - Accent6 35" xfId="1474" xr:uid="{00000000-0005-0000-0000-0000E0430000}"/>
    <cellStyle name="40% - Accent6 35 2" xfId="4430" xr:uid="{00000000-0005-0000-0000-0000E1430000}"/>
    <cellStyle name="40% - Accent6 35 2 2" xfId="12409" xr:uid="{00000000-0005-0000-0000-0000E2430000}"/>
    <cellStyle name="40% - Accent6 35 2 2 2" xfId="23697" xr:uid="{00000000-0005-0000-0000-0000E3430000}"/>
    <cellStyle name="40% - Accent6 35 2 3" xfId="10415" xr:uid="{00000000-0005-0000-0000-0000E4430000}"/>
    <cellStyle name="40% - Accent6 35 2 3 2" xfId="21703" xr:uid="{00000000-0005-0000-0000-0000E5430000}"/>
    <cellStyle name="40% - Accent6 35 2 4" xfId="8421" xr:uid="{00000000-0005-0000-0000-0000E6430000}"/>
    <cellStyle name="40% - Accent6 35 2 4 2" xfId="19709" xr:uid="{00000000-0005-0000-0000-0000E7430000}"/>
    <cellStyle name="40% - Accent6 35 2 5" xfId="6427" xr:uid="{00000000-0005-0000-0000-0000E8430000}"/>
    <cellStyle name="40% - Accent6 35 2 5 2" xfId="17715" xr:uid="{00000000-0005-0000-0000-0000E9430000}"/>
    <cellStyle name="40% - Accent6 35 2 6" xfId="15721" xr:uid="{00000000-0005-0000-0000-0000EA430000}"/>
    <cellStyle name="40% - Accent6 35 3" xfId="11412" xr:uid="{00000000-0005-0000-0000-0000EB430000}"/>
    <cellStyle name="40% - Accent6 35 3 2" xfId="22700" xr:uid="{00000000-0005-0000-0000-0000EC430000}"/>
    <cellStyle name="40% - Accent6 35 4" xfId="9418" xr:uid="{00000000-0005-0000-0000-0000ED430000}"/>
    <cellStyle name="40% - Accent6 35 4 2" xfId="20706" xr:uid="{00000000-0005-0000-0000-0000EE430000}"/>
    <cellStyle name="40% - Accent6 35 5" xfId="7424" xr:uid="{00000000-0005-0000-0000-0000EF430000}"/>
    <cellStyle name="40% - Accent6 35 5 2" xfId="18712" xr:uid="{00000000-0005-0000-0000-0000F0430000}"/>
    <cellStyle name="40% - Accent6 35 6" xfId="5430" xr:uid="{00000000-0005-0000-0000-0000F1430000}"/>
    <cellStyle name="40% - Accent6 35 6 2" xfId="16718" xr:uid="{00000000-0005-0000-0000-0000F2430000}"/>
    <cellStyle name="40% - Accent6 35 7" xfId="14724" xr:uid="{00000000-0005-0000-0000-0000F3430000}"/>
    <cellStyle name="40% - Accent6 35 8" xfId="13410" xr:uid="{00000000-0005-0000-0000-0000F4430000}"/>
    <cellStyle name="40% - Accent6 36" xfId="1475" xr:uid="{00000000-0005-0000-0000-0000F5430000}"/>
    <cellStyle name="40% - Accent6 36 2" xfId="4431" xr:uid="{00000000-0005-0000-0000-0000F6430000}"/>
    <cellStyle name="40% - Accent6 36 2 2" xfId="12410" xr:uid="{00000000-0005-0000-0000-0000F7430000}"/>
    <cellStyle name="40% - Accent6 36 2 2 2" xfId="23698" xr:uid="{00000000-0005-0000-0000-0000F8430000}"/>
    <cellStyle name="40% - Accent6 36 2 3" xfId="10416" xr:uid="{00000000-0005-0000-0000-0000F9430000}"/>
    <cellStyle name="40% - Accent6 36 2 3 2" xfId="21704" xr:uid="{00000000-0005-0000-0000-0000FA430000}"/>
    <cellStyle name="40% - Accent6 36 2 4" xfId="8422" xr:uid="{00000000-0005-0000-0000-0000FB430000}"/>
    <cellStyle name="40% - Accent6 36 2 4 2" xfId="19710" xr:uid="{00000000-0005-0000-0000-0000FC430000}"/>
    <cellStyle name="40% - Accent6 36 2 5" xfId="6428" xr:uid="{00000000-0005-0000-0000-0000FD430000}"/>
    <cellStyle name="40% - Accent6 36 2 5 2" xfId="17716" xr:uid="{00000000-0005-0000-0000-0000FE430000}"/>
    <cellStyle name="40% - Accent6 36 2 6" xfId="15722" xr:uid="{00000000-0005-0000-0000-0000FF430000}"/>
    <cellStyle name="40% - Accent6 36 3" xfId="11413" xr:uid="{00000000-0005-0000-0000-000000440000}"/>
    <cellStyle name="40% - Accent6 36 3 2" xfId="22701" xr:uid="{00000000-0005-0000-0000-000001440000}"/>
    <cellStyle name="40% - Accent6 36 4" xfId="9419" xr:uid="{00000000-0005-0000-0000-000002440000}"/>
    <cellStyle name="40% - Accent6 36 4 2" xfId="20707" xr:uid="{00000000-0005-0000-0000-000003440000}"/>
    <cellStyle name="40% - Accent6 36 5" xfId="7425" xr:uid="{00000000-0005-0000-0000-000004440000}"/>
    <cellStyle name="40% - Accent6 36 5 2" xfId="18713" xr:uid="{00000000-0005-0000-0000-000005440000}"/>
    <cellStyle name="40% - Accent6 36 6" xfId="5431" xr:uid="{00000000-0005-0000-0000-000006440000}"/>
    <cellStyle name="40% - Accent6 36 6 2" xfId="16719" xr:uid="{00000000-0005-0000-0000-000007440000}"/>
    <cellStyle name="40% - Accent6 36 7" xfId="14725" xr:uid="{00000000-0005-0000-0000-000008440000}"/>
    <cellStyle name="40% - Accent6 36 8" xfId="13411" xr:uid="{00000000-0005-0000-0000-000009440000}"/>
    <cellStyle name="40% - Accent6 37" xfId="1476" xr:uid="{00000000-0005-0000-0000-00000A440000}"/>
    <cellStyle name="40% - Accent6 37 2" xfId="4432" xr:uid="{00000000-0005-0000-0000-00000B440000}"/>
    <cellStyle name="40% - Accent6 37 2 2" xfId="12411" xr:uid="{00000000-0005-0000-0000-00000C440000}"/>
    <cellStyle name="40% - Accent6 37 2 2 2" xfId="23699" xr:uid="{00000000-0005-0000-0000-00000D440000}"/>
    <cellStyle name="40% - Accent6 37 2 3" xfId="10417" xr:uid="{00000000-0005-0000-0000-00000E440000}"/>
    <cellStyle name="40% - Accent6 37 2 3 2" xfId="21705" xr:uid="{00000000-0005-0000-0000-00000F440000}"/>
    <cellStyle name="40% - Accent6 37 2 4" xfId="8423" xr:uid="{00000000-0005-0000-0000-000010440000}"/>
    <cellStyle name="40% - Accent6 37 2 4 2" xfId="19711" xr:uid="{00000000-0005-0000-0000-000011440000}"/>
    <cellStyle name="40% - Accent6 37 2 5" xfId="6429" xr:uid="{00000000-0005-0000-0000-000012440000}"/>
    <cellStyle name="40% - Accent6 37 2 5 2" xfId="17717" xr:uid="{00000000-0005-0000-0000-000013440000}"/>
    <cellStyle name="40% - Accent6 37 2 6" xfId="15723" xr:uid="{00000000-0005-0000-0000-000014440000}"/>
    <cellStyle name="40% - Accent6 37 3" xfId="11414" xr:uid="{00000000-0005-0000-0000-000015440000}"/>
    <cellStyle name="40% - Accent6 37 3 2" xfId="22702" xr:uid="{00000000-0005-0000-0000-000016440000}"/>
    <cellStyle name="40% - Accent6 37 4" xfId="9420" xr:uid="{00000000-0005-0000-0000-000017440000}"/>
    <cellStyle name="40% - Accent6 37 4 2" xfId="20708" xr:uid="{00000000-0005-0000-0000-000018440000}"/>
    <cellStyle name="40% - Accent6 37 5" xfId="7426" xr:uid="{00000000-0005-0000-0000-000019440000}"/>
    <cellStyle name="40% - Accent6 37 5 2" xfId="18714" xr:uid="{00000000-0005-0000-0000-00001A440000}"/>
    <cellStyle name="40% - Accent6 37 6" xfId="5432" xr:uid="{00000000-0005-0000-0000-00001B440000}"/>
    <cellStyle name="40% - Accent6 37 6 2" xfId="16720" xr:uid="{00000000-0005-0000-0000-00001C440000}"/>
    <cellStyle name="40% - Accent6 37 7" xfId="14726" xr:uid="{00000000-0005-0000-0000-00001D440000}"/>
    <cellStyle name="40% - Accent6 37 8" xfId="13412" xr:uid="{00000000-0005-0000-0000-00001E440000}"/>
    <cellStyle name="40% - Accent6 38" xfId="1477" xr:uid="{00000000-0005-0000-0000-00001F440000}"/>
    <cellStyle name="40% - Accent6 38 2" xfId="4433" xr:uid="{00000000-0005-0000-0000-000020440000}"/>
    <cellStyle name="40% - Accent6 38 2 2" xfId="12412" xr:uid="{00000000-0005-0000-0000-000021440000}"/>
    <cellStyle name="40% - Accent6 38 2 2 2" xfId="23700" xr:uid="{00000000-0005-0000-0000-000022440000}"/>
    <cellStyle name="40% - Accent6 38 2 3" xfId="10418" xr:uid="{00000000-0005-0000-0000-000023440000}"/>
    <cellStyle name="40% - Accent6 38 2 3 2" xfId="21706" xr:uid="{00000000-0005-0000-0000-000024440000}"/>
    <cellStyle name="40% - Accent6 38 2 4" xfId="8424" xr:uid="{00000000-0005-0000-0000-000025440000}"/>
    <cellStyle name="40% - Accent6 38 2 4 2" xfId="19712" xr:uid="{00000000-0005-0000-0000-000026440000}"/>
    <cellStyle name="40% - Accent6 38 2 5" xfId="6430" xr:uid="{00000000-0005-0000-0000-000027440000}"/>
    <cellStyle name="40% - Accent6 38 2 5 2" xfId="17718" xr:uid="{00000000-0005-0000-0000-000028440000}"/>
    <cellStyle name="40% - Accent6 38 2 6" xfId="15724" xr:uid="{00000000-0005-0000-0000-000029440000}"/>
    <cellStyle name="40% - Accent6 38 3" xfId="11415" xr:uid="{00000000-0005-0000-0000-00002A440000}"/>
    <cellStyle name="40% - Accent6 38 3 2" xfId="22703" xr:uid="{00000000-0005-0000-0000-00002B440000}"/>
    <cellStyle name="40% - Accent6 38 4" xfId="9421" xr:uid="{00000000-0005-0000-0000-00002C440000}"/>
    <cellStyle name="40% - Accent6 38 4 2" xfId="20709" xr:uid="{00000000-0005-0000-0000-00002D440000}"/>
    <cellStyle name="40% - Accent6 38 5" xfId="7427" xr:uid="{00000000-0005-0000-0000-00002E440000}"/>
    <cellStyle name="40% - Accent6 38 5 2" xfId="18715" xr:uid="{00000000-0005-0000-0000-00002F440000}"/>
    <cellStyle name="40% - Accent6 38 6" xfId="5433" xr:uid="{00000000-0005-0000-0000-000030440000}"/>
    <cellStyle name="40% - Accent6 38 6 2" xfId="16721" xr:uid="{00000000-0005-0000-0000-000031440000}"/>
    <cellStyle name="40% - Accent6 38 7" xfId="14727" xr:uid="{00000000-0005-0000-0000-000032440000}"/>
    <cellStyle name="40% - Accent6 38 8" xfId="13413" xr:uid="{00000000-0005-0000-0000-000033440000}"/>
    <cellStyle name="40% - Accent6 39" xfId="1478" xr:uid="{00000000-0005-0000-0000-000034440000}"/>
    <cellStyle name="40% - Accent6 39 2" xfId="4434" xr:uid="{00000000-0005-0000-0000-000035440000}"/>
    <cellStyle name="40% - Accent6 39 2 2" xfId="12413" xr:uid="{00000000-0005-0000-0000-000036440000}"/>
    <cellStyle name="40% - Accent6 39 2 2 2" xfId="23701" xr:uid="{00000000-0005-0000-0000-000037440000}"/>
    <cellStyle name="40% - Accent6 39 2 3" xfId="10419" xr:uid="{00000000-0005-0000-0000-000038440000}"/>
    <cellStyle name="40% - Accent6 39 2 3 2" xfId="21707" xr:uid="{00000000-0005-0000-0000-000039440000}"/>
    <cellStyle name="40% - Accent6 39 2 4" xfId="8425" xr:uid="{00000000-0005-0000-0000-00003A440000}"/>
    <cellStyle name="40% - Accent6 39 2 4 2" xfId="19713" xr:uid="{00000000-0005-0000-0000-00003B440000}"/>
    <cellStyle name="40% - Accent6 39 2 5" xfId="6431" xr:uid="{00000000-0005-0000-0000-00003C440000}"/>
    <cellStyle name="40% - Accent6 39 2 5 2" xfId="17719" xr:uid="{00000000-0005-0000-0000-00003D440000}"/>
    <cellStyle name="40% - Accent6 39 2 6" xfId="15725" xr:uid="{00000000-0005-0000-0000-00003E440000}"/>
    <cellStyle name="40% - Accent6 39 3" xfId="11416" xr:uid="{00000000-0005-0000-0000-00003F440000}"/>
    <cellStyle name="40% - Accent6 39 3 2" xfId="22704" xr:uid="{00000000-0005-0000-0000-000040440000}"/>
    <cellStyle name="40% - Accent6 39 4" xfId="9422" xr:uid="{00000000-0005-0000-0000-000041440000}"/>
    <cellStyle name="40% - Accent6 39 4 2" xfId="20710" xr:uid="{00000000-0005-0000-0000-000042440000}"/>
    <cellStyle name="40% - Accent6 39 5" xfId="7428" xr:uid="{00000000-0005-0000-0000-000043440000}"/>
    <cellStyle name="40% - Accent6 39 5 2" xfId="18716" xr:uid="{00000000-0005-0000-0000-000044440000}"/>
    <cellStyle name="40% - Accent6 39 6" xfId="5434" xr:uid="{00000000-0005-0000-0000-000045440000}"/>
    <cellStyle name="40% - Accent6 39 6 2" xfId="16722" xr:uid="{00000000-0005-0000-0000-000046440000}"/>
    <cellStyle name="40% - Accent6 39 7" xfId="14728" xr:uid="{00000000-0005-0000-0000-000047440000}"/>
    <cellStyle name="40% - Accent6 39 8" xfId="13414" xr:uid="{00000000-0005-0000-0000-000048440000}"/>
    <cellStyle name="40% - Accent6 4" xfId="1479" xr:uid="{00000000-0005-0000-0000-000049440000}"/>
    <cellStyle name="40% - Accent6 4 10" xfId="24627" xr:uid="{00000000-0005-0000-0000-00004A440000}"/>
    <cellStyle name="40% - Accent6 4 11" xfId="25017" xr:uid="{00000000-0005-0000-0000-00004B440000}"/>
    <cellStyle name="40% - Accent6 4 2" xfId="4435" xr:uid="{00000000-0005-0000-0000-00004C440000}"/>
    <cellStyle name="40% - Accent6 4 2 2" xfId="12414" xr:uid="{00000000-0005-0000-0000-00004D440000}"/>
    <cellStyle name="40% - Accent6 4 2 2 2" xfId="23702" xr:uid="{00000000-0005-0000-0000-00004E440000}"/>
    <cellStyle name="40% - Accent6 4 2 3" xfId="10420" xr:uid="{00000000-0005-0000-0000-00004F440000}"/>
    <cellStyle name="40% - Accent6 4 2 3 2" xfId="21708" xr:uid="{00000000-0005-0000-0000-000050440000}"/>
    <cellStyle name="40% - Accent6 4 2 4" xfId="8426" xr:uid="{00000000-0005-0000-0000-000051440000}"/>
    <cellStyle name="40% - Accent6 4 2 4 2" xfId="19714" xr:uid="{00000000-0005-0000-0000-000052440000}"/>
    <cellStyle name="40% - Accent6 4 2 5" xfId="6432" xr:uid="{00000000-0005-0000-0000-000053440000}"/>
    <cellStyle name="40% - Accent6 4 2 5 2" xfId="17720" xr:uid="{00000000-0005-0000-0000-000054440000}"/>
    <cellStyle name="40% - Accent6 4 2 6" xfId="15726" xr:uid="{00000000-0005-0000-0000-000055440000}"/>
    <cellStyle name="40% - Accent6 4 2 7" xfId="24388" xr:uid="{00000000-0005-0000-0000-000056440000}"/>
    <cellStyle name="40% - Accent6 4 2 8" xfId="24852" xr:uid="{00000000-0005-0000-0000-000057440000}"/>
    <cellStyle name="40% - Accent6 4 2 9" xfId="25219" xr:uid="{00000000-0005-0000-0000-000058440000}"/>
    <cellStyle name="40% - Accent6 4 3" xfId="11417" xr:uid="{00000000-0005-0000-0000-000059440000}"/>
    <cellStyle name="40% - Accent6 4 3 2" xfId="22705" xr:uid="{00000000-0005-0000-0000-00005A440000}"/>
    <cellStyle name="40% - Accent6 4 4" xfId="9423" xr:uid="{00000000-0005-0000-0000-00005B440000}"/>
    <cellStyle name="40% - Accent6 4 4 2" xfId="20711" xr:uid="{00000000-0005-0000-0000-00005C440000}"/>
    <cellStyle name="40% - Accent6 4 5" xfId="7429" xr:uid="{00000000-0005-0000-0000-00005D440000}"/>
    <cellStyle name="40% - Accent6 4 5 2" xfId="18717" xr:uid="{00000000-0005-0000-0000-00005E440000}"/>
    <cellStyle name="40% - Accent6 4 6" xfId="5435" xr:uid="{00000000-0005-0000-0000-00005F440000}"/>
    <cellStyle name="40% - Accent6 4 6 2" xfId="16723" xr:uid="{00000000-0005-0000-0000-000060440000}"/>
    <cellStyle name="40% - Accent6 4 7" xfId="14729" xr:uid="{00000000-0005-0000-0000-000061440000}"/>
    <cellStyle name="40% - Accent6 4 8" xfId="13415" xr:uid="{00000000-0005-0000-0000-000062440000}"/>
    <cellStyle name="40% - Accent6 4 9" xfId="24000" xr:uid="{00000000-0005-0000-0000-000063440000}"/>
    <cellStyle name="40% - Accent6 40" xfId="1480" xr:uid="{00000000-0005-0000-0000-000064440000}"/>
    <cellStyle name="40% - Accent6 40 2" xfId="4436" xr:uid="{00000000-0005-0000-0000-000065440000}"/>
    <cellStyle name="40% - Accent6 40 2 2" xfId="12415" xr:uid="{00000000-0005-0000-0000-000066440000}"/>
    <cellStyle name="40% - Accent6 40 2 2 2" xfId="23703" xr:uid="{00000000-0005-0000-0000-000067440000}"/>
    <cellStyle name="40% - Accent6 40 2 3" xfId="10421" xr:uid="{00000000-0005-0000-0000-000068440000}"/>
    <cellStyle name="40% - Accent6 40 2 3 2" xfId="21709" xr:uid="{00000000-0005-0000-0000-000069440000}"/>
    <cellStyle name="40% - Accent6 40 2 4" xfId="8427" xr:uid="{00000000-0005-0000-0000-00006A440000}"/>
    <cellStyle name="40% - Accent6 40 2 4 2" xfId="19715" xr:uid="{00000000-0005-0000-0000-00006B440000}"/>
    <cellStyle name="40% - Accent6 40 2 5" xfId="6433" xr:uid="{00000000-0005-0000-0000-00006C440000}"/>
    <cellStyle name="40% - Accent6 40 2 5 2" xfId="17721" xr:uid="{00000000-0005-0000-0000-00006D440000}"/>
    <cellStyle name="40% - Accent6 40 2 6" xfId="15727" xr:uid="{00000000-0005-0000-0000-00006E440000}"/>
    <cellStyle name="40% - Accent6 40 3" xfId="11418" xr:uid="{00000000-0005-0000-0000-00006F440000}"/>
    <cellStyle name="40% - Accent6 40 3 2" xfId="22706" xr:uid="{00000000-0005-0000-0000-000070440000}"/>
    <cellStyle name="40% - Accent6 40 4" xfId="9424" xr:uid="{00000000-0005-0000-0000-000071440000}"/>
    <cellStyle name="40% - Accent6 40 4 2" xfId="20712" xr:uid="{00000000-0005-0000-0000-000072440000}"/>
    <cellStyle name="40% - Accent6 40 5" xfId="7430" xr:uid="{00000000-0005-0000-0000-000073440000}"/>
    <cellStyle name="40% - Accent6 40 5 2" xfId="18718" xr:uid="{00000000-0005-0000-0000-000074440000}"/>
    <cellStyle name="40% - Accent6 40 6" xfId="5436" xr:uid="{00000000-0005-0000-0000-000075440000}"/>
    <cellStyle name="40% - Accent6 40 6 2" xfId="16724" xr:uid="{00000000-0005-0000-0000-000076440000}"/>
    <cellStyle name="40% - Accent6 40 7" xfId="14730" xr:uid="{00000000-0005-0000-0000-000077440000}"/>
    <cellStyle name="40% - Accent6 40 8" xfId="13416" xr:uid="{00000000-0005-0000-0000-000078440000}"/>
    <cellStyle name="40% - Accent6 41" xfId="1481" xr:uid="{00000000-0005-0000-0000-000079440000}"/>
    <cellStyle name="40% - Accent6 41 2" xfId="4437" xr:uid="{00000000-0005-0000-0000-00007A440000}"/>
    <cellStyle name="40% - Accent6 41 2 2" xfId="12416" xr:uid="{00000000-0005-0000-0000-00007B440000}"/>
    <cellStyle name="40% - Accent6 41 2 2 2" xfId="23704" xr:uid="{00000000-0005-0000-0000-00007C440000}"/>
    <cellStyle name="40% - Accent6 41 2 3" xfId="10422" xr:uid="{00000000-0005-0000-0000-00007D440000}"/>
    <cellStyle name="40% - Accent6 41 2 3 2" xfId="21710" xr:uid="{00000000-0005-0000-0000-00007E440000}"/>
    <cellStyle name="40% - Accent6 41 2 4" xfId="8428" xr:uid="{00000000-0005-0000-0000-00007F440000}"/>
    <cellStyle name="40% - Accent6 41 2 4 2" xfId="19716" xr:uid="{00000000-0005-0000-0000-000080440000}"/>
    <cellStyle name="40% - Accent6 41 2 5" xfId="6434" xr:uid="{00000000-0005-0000-0000-000081440000}"/>
    <cellStyle name="40% - Accent6 41 2 5 2" xfId="17722" xr:uid="{00000000-0005-0000-0000-000082440000}"/>
    <cellStyle name="40% - Accent6 41 2 6" xfId="15728" xr:uid="{00000000-0005-0000-0000-000083440000}"/>
    <cellStyle name="40% - Accent6 41 3" xfId="11419" xr:uid="{00000000-0005-0000-0000-000084440000}"/>
    <cellStyle name="40% - Accent6 41 3 2" xfId="22707" xr:uid="{00000000-0005-0000-0000-000085440000}"/>
    <cellStyle name="40% - Accent6 41 4" xfId="9425" xr:uid="{00000000-0005-0000-0000-000086440000}"/>
    <cellStyle name="40% - Accent6 41 4 2" xfId="20713" xr:uid="{00000000-0005-0000-0000-000087440000}"/>
    <cellStyle name="40% - Accent6 41 5" xfId="7431" xr:uid="{00000000-0005-0000-0000-000088440000}"/>
    <cellStyle name="40% - Accent6 41 5 2" xfId="18719" xr:uid="{00000000-0005-0000-0000-000089440000}"/>
    <cellStyle name="40% - Accent6 41 6" xfId="5437" xr:uid="{00000000-0005-0000-0000-00008A440000}"/>
    <cellStyle name="40% - Accent6 41 6 2" xfId="16725" xr:uid="{00000000-0005-0000-0000-00008B440000}"/>
    <cellStyle name="40% - Accent6 41 7" xfId="14731" xr:uid="{00000000-0005-0000-0000-00008C440000}"/>
    <cellStyle name="40% - Accent6 41 8" xfId="13417" xr:uid="{00000000-0005-0000-0000-00008D440000}"/>
    <cellStyle name="40% - Accent6 42" xfId="1482" xr:uid="{00000000-0005-0000-0000-00008E440000}"/>
    <cellStyle name="40% - Accent6 42 2" xfId="4438" xr:uid="{00000000-0005-0000-0000-00008F440000}"/>
    <cellStyle name="40% - Accent6 42 2 2" xfId="12417" xr:uid="{00000000-0005-0000-0000-000090440000}"/>
    <cellStyle name="40% - Accent6 42 2 2 2" xfId="23705" xr:uid="{00000000-0005-0000-0000-000091440000}"/>
    <cellStyle name="40% - Accent6 42 2 3" xfId="10423" xr:uid="{00000000-0005-0000-0000-000092440000}"/>
    <cellStyle name="40% - Accent6 42 2 3 2" xfId="21711" xr:uid="{00000000-0005-0000-0000-000093440000}"/>
    <cellStyle name="40% - Accent6 42 2 4" xfId="8429" xr:uid="{00000000-0005-0000-0000-000094440000}"/>
    <cellStyle name="40% - Accent6 42 2 4 2" xfId="19717" xr:uid="{00000000-0005-0000-0000-000095440000}"/>
    <cellStyle name="40% - Accent6 42 2 5" xfId="6435" xr:uid="{00000000-0005-0000-0000-000096440000}"/>
    <cellStyle name="40% - Accent6 42 2 5 2" xfId="17723" xr:uid="{00000000-0005-0000-0000-000097440000}"/>
    <cellStyle name="40% - Accent6 42 2 6" xfId="15729" xr:uid="{00000000-0005-0000-0000-000098440000}"/>
    <cellStyle name="40% - Accent6 42 3" xfId="11420" xr:uid="{00000000-0005-0000-0000-000099440000}"/>
    <cellStyle name="40% - Accent6 42 3 2" xfId="22708" xr:uid="{00000000-0005-0000-0000-00009A440000}"/>
    <cellStyle name="40% - Accent6 42 4" xfId="9426" xr:uid="{00000000-0005-0000-0000-00009B440000}"/>
    <cellStyle name="40% - Accent6 42 4 2" xfId="20714" xr:uid="{00000000-0005-0000-0000-00009C440000}"/>
    <cellStyle name="40% - Accent6 42 5" xfId="7432" xr:uid="{00000000-0005-0000-0000-00009D440000}"/>
    <cellStyle name="40% - Accent6 42 5 2" xfId="18720" xr:uid="{00000000-0005-0000-0000-00009E440000}"/>
    <cellStyle name="40% - Accent6 42 6" xfId="5438" xr:uid="{00000000-0005-0000-0000-00009F440000}"/>
    <cellStyle name="40% - Accent6 42 6 2" xfId="16726" xr:uid="{00000000-0005-0000-0000-0000A0440000}"/>
    <cellStyle name="40% - Accent6 42 7" xfId="14732" xr:uid="{00000000-0005-0000-0000-0000A1440000}"/>
    <cellStyle name="40% - Accent6 42 8" xfId="13418" xr:uid="{00000000-0005-0000-0000-0000A2440000}"/>
    <cellStyle name="40% - Accent6 43" xfId="1483" xr:uid="{00000000-0005-0000-0000-0000A3440000}"/>
    <cellStyle name="40% - Accent6 43 2" xfId="4439" xr:uid="{00000000-0005-0000-0000-0000A4440000}"/>
    <cellStyle name="40% - Accent6 43 2 2" xfId="12418" xr:uid="{00000000-0005-0000-0000-0000A5440000}"/>
    <cellStyle name="40% - Accent6 43 2 2 2" xfId="23706" xr:uid="{00000000-0005-0000-0000-0000A6440000}"/>
    <cellStyle name="40% - Accent6 43 2 3" xfId="10424" xr:uid="{00000000-0005-0000-0000-0000A7440000}"/>
    <cellStyle name="40% - Accent6 43 2 3 2" xfId="21712" xr:uid="{00000000-0005-0000-0000-0000A8440000}"/>
    <cellStyle name="40% - Accent6 43 2 4" xfId="8430" xr:uid="{00000000-0005-0000-0000-0000A9440000}"/>
    <cellStyle name="40% - Accent6 43 2 4 2" xfId="19718" xr:uid="{00000000-0005-0000-0000-0000AA440000}"/>
    <cellStyle name="40% - Accent6 43 2 5" xfId="6436" xr:uid="{00000000-0005-0000-0000-0000AB440000}"/>
    <cellStyle name="40% - Accent6 43 2 5 2" xfId="17724" xr:uid="{00000000-0005-0000-0000-0000AC440000}"/>
    <cellStyle name="40% - Accent6 43 2 6" xfId="15730" xr:uid="{00000000-0005-0000-0000-0000AD440000}"/>
    <cellStyle name="40% - Accent6 43 3" xfId="11421" xr:uid="{00000000-0005-0000-0000-0000AE440000}"/>
    <cellStyle name="40% - Accent6 43 3 2" xfId="22709" xr:uid="{00000000-0005-0000-0000-0000AF440000}"/>
    <cellStyle name="40% - Accent6 43 4" xfId="9427" xr:uid="{00000000-0005-0000-0000-0000B0440000}"/>
    <cellStyle name="40% - Accent6 43 4 2" xfId="20715" xr:uid="{00000000-0005-0000-0000-0000B1440000}"/>
    <cellStyle name="40% - Accent6 43 5" xfId="7433" xr:uid="{00000000-0005-0000-0000-0000B2440000}"/>
    <cellStyle name="40% - Accent6 43 5 2" xfId="18721" xr:uid="{00000000-0005-0000-0000-0000B3440000}"/>
    <cellStyle name="40% - Accent6 43 6" xfId="5439" xr:uid="{00000000-0005-0000-0000-0000B4440000}"/>
    <cellStyle name="40% - Accent6 43 6 2" xfId="16727" xr:uid="{00000000-0005-0000-0000-0000B5440000}"/>
    <cellStyle name="40% - Accent6 43 7" xfId="14733" xr:uid="{00000000-0005-0000-0000-0000B6440000}"/>
    <cellStyle name="40% - Accent6 43 8" xfId="13419" xr:uid="{00000000-0005-0000-0000-0000B7440000}"/>
    <cellStyle name="40% - Accent6 44" xfId="1484" xr:uid="{00000000-0005-0000-0000-0000B8440000}"/>
    <cellStyle name="40% - Accent6 44 2" xfId="4440" xr:uid="{00000000-0005-0000-0000-0000B9440000}"/>
    <cellStyle name="40% - Accent6 44 2 2" xfId="12419" xr:uid="{00000000-0005-0000-0000-0000BA440000}"/>
    <cellStyle name="40% - Accent6 44 2 2 2" xfId="23707" xr:uid="{00000000-0005-0000-0000-0000BB440000}"/>
    <cellStyle name="40% - Accent6 44 2 3" xfId="10425" xr:uid="{00000000-0005-0000-0000-0000BC440000}"/>
    <cellStyle name="40% - Accent6 44 2 3 2" xfId="21713" xr:uid="{00000000-0005-0000-0000-0000BD440000}"/>
    <cellStyle name="40% - Accent6 44 2 4" xfId="8431" xr:uid="{00000000-0005-0000-0000-0000BE440000}"/>
    <cellStyle name="40% - Accent6 44 2 4 2" xfId="19719" xr:uid="{00000000-0005-0000-0000-0000BF440000}"/>
    <cellStyle name="40% - Accent6 44 2 5" xfId="6437" xr:uid="{00000000-0005-0000-0000-0000C0440000}"/>
    <cellStyle name="40% - Accent6 44 2 5 2" xfId="17725" xr:uid="{00000000-0005-0000-0000-0000C1440000}"/>
    <cellStyle name="40% - Accent6 44 2 6" xfId="15731" xr:uid="{00000000-0005-0000-0000-0000C2440000}"/>
    <cellStyle name="40% - Accent6 44 3" xfId="11422" xr:uid="{00000000-0005-0000-0000-0000C3440000}"/>
    <cellStyle name="40% - Accent6 44 3 2" xfId="22710" xr:uid="{00000000-0005-0000-0000-0000C4440000}"/>
    <cellStyle name="40% - Accent6 44 4" xfId="9428" xr:uid="{00000000-0005-0000-0000-0000C5440000}"/>
    <cellStyle name="40% - Accent6 44 4 2" xfId="20716" xr:uid="{00000000-0005-0000-0000-0000C6440000}"/>
    <cellStyle name="40% - Accent6 44 5" xfId="7434" xr:uid="{00000000-0005-0000-0000-0000C7440000}"/>
    <cellStyle name="40% - Accent6 44 5 2" xfId="18722" xr:uid="{00000000-0005-0000-0000-0000C8440000}"/>
    <cellStyle name="40% - Accent6 44 6" xfId="5440" xr:uid="{00000000-0005-0000-0000-0000C9440000}"/>
    <cellStyle name="40% - Accent6 44 6 2" xfId="16728" xr:uid="{00000000-0005-0000-0000-0000CA440000}"/>
    <cellStyle name="40% - Accent6 44 7" xfId="14734" xr:uid="{00000000-0005-0000-0000-0000CB440000}"/>
    <cellStyle name="40% - Accent6 44 8" xfId="13420" xr:uid="{00000000-0005-0000-0000-0000CC440000}"/>
    <cellStyle name="40% - Accent6 45" xfId="1485" xr:uid="{00000000-0005-0000-0000-0000CD440000}"/>
    <cellStyle name="40% - Accent6 45 2" xfId="4441" xr:uid="{00000000-0005-0000-0000-0000CE440000}"/>
    <cellStyle name="40% - Accent6 45 2 2" xfId="12420" xr:uid="{00000000-0005-0000-0000-0000CF440000}"/>
    <cellStyle name="40% - Accent6 45 2 2 2" xfId="23708" xr:uid="{00000000-0005-0000-0000-0000D0440000}"/>
    <cellStyle name="40% - Accent6 45 2 3" xfId="10426" xr:uid="{00000000-0005-0000-0000-0000D1440000}"/>
    <cellStyle name="40% - Accent6 45 2 3 2" xfId="21714" xr:uid="{00000000-0005-0000-0000-0000D2440000}"/>
    <cellStyle name="40% - Accent6 45 2 4" xfId="8432" xr:uid="{00000000-0005-0000-0000-0000D3440000}"/>
    <cellStyle name="40% - Accent6 45 2 4 2" xfId="19720" xr:uid="{00000000-0005-0000-0000-0000D4440000}"/>
    <cellStyle name="40% - Accent6 45 2 5" xfId="6438" xr:uid="{00000000-0005-0000-0000-0000D5440000}"/>
    <cellStyle name="40% - Accent6 45 2 5 2" xfId="17726" xr:uid="{00000000-0005-0000-0000-0000D6440000}"/>
    <cellStyle name="40% - Accent6 45 2 6" xfId="15732" xr:uid="{00000000-0005-0000-0000-0000D7440000}"/>
    <cellStyle name="40% - Accent6 45 3" xfId="11423" xr:uid="{00000000-0005-0000-0000-0000D8440000}"/>
    <cellStyle name="40% - Accent6 45 3 2" xfId="22711" xr:uid="{00000000-0005-0000-0000-0000D9440000}"/>
    <cellStyle name="40% - Accent6 45 4" xfId="9429" xr:uid="{00000000-0005-0000-0000-0000DA440000}"/>
    <cellStyle name="40% - Accent6 45 4 2" xfId="20717" xr:uid="{00000000-0005-0000-0000-0000DB440000}"/>
    <cellStyle name="40% - Accent6 45 5" xfId="7435" xr:uid="{00000000-0005-0000-0000-0000DC440000}"/>
    <cellStyle name="40% - Accent6 45 5 2" xfId="18723" xr:uid="{00000000-0005-0000-0000-0000DD440000}"/>
    <cellStyle name="40% - Accent6 45 6" xfId="5441" xr:uid="{00000000-0005-0000-0000-0000DE440000}"/>
    <cellStyle name="40% - Accent6 45 6 2" xfId="16729" xr:uid="{00000000-0005-0000-0000-0000DF440000}"/>
    <cellStyle name="40% - Accent6 45 7" xfId="14735" xr:uid="{00000000-0005-0000-0000-0000E0440000}"/>
    <cellStyle name="40% - Accent6 45 8" xfId="13421" xr:uid="{00000000-0005-0000-0000-0000E1440000}"/>
    <cellStyle name="40% - Accent6 46" xfId="1486" xr:uid="{00000000-0005-0000-0000-0000E2440000}"/>
    <cellStyle name="40% - Accent6 46 2" xfId="4442" xr:uid="{00000000-0005-0000-0000-0000E3440000}"/>
    <cellStyle name="40% - Accent6 46 2 2" xfId="12421" xr:uid="{00000000-0005-0000-0000-0000E4440000}"/>
    <cellStyle name="40% - Accent6 46 2 2 2" xfId="23709" xr:uid="{00000000-0005-0000-0000-0000E5440000}"/>
    <cellStyle name="40% - Accent6 46 2 3" xfId="10427" xr:uid="{00000000-0005-0000-0000-0000E6440000}"/>
    <cellStyle name="40% - Accent6 46 2 3 2" xfId="21715" xr:uid="{00000000-0005-0000-0000-0000E7440000}"/>
    <cellStyle name="40% - Accent6 46 2 4" xfId="8433" xr:uid="{00000000-0005-0000-0000-0000E8440000}"/>
    <cellStyle name="40% - Accent6 46 2 4 2" xfId="19721" xr:uid="{00000000-0005-0000-0000-0000E9440000}"/>
    <cellStyle name="40% - Accent6 46 2 5" xfId="6439" xr:uid="{00000000-0005-0000-0000-0000EA440000}"/>
    <cellStyle name="40% - Accent6 46 2 5 2" xfId="17727" xr:uid="{00000000-0005-0000-0000-0000EB440000}"/>
    <cellStyle name="40% - Accent6 46 2 6" xfId="15733" xr:uid="{00000000-0005-0000-0000-0000EC440000}"/>
    <cellStyle name="40% - Accent6 46 3" xfId="11424" xr:uid="{00000000-0005-0000-0000-0000ED440000}"/>
    <cellStyle name="40% - Accent6 46 3 2" xfId="22712" xr:uid="{00000000-0005-0000-0000-0000EE440000}"/>
    <cellStyle name="40% - Accent6 46 4" xfId="9430" xr:uid="{00000000-0005-0000-0000-0000EF440000}"/>
    <cellStyle name="40% - Accent6 46 4 2" xfId="20718" xr:uid="{00000000-0005-0000-0000-0000F0440000}"/>
    <cellStyle name="40% - Accent6 46 5" xfId="7436" xr:uid="{00000000-0005-0000-0000-0000F1440000}"/>
    <cellStyle name="40% - Accent6 46 5 2" xfId="18724" xr:uid="{00000000-0005-0000-0000-0000F2440000}"/>
    <cellStyle name="40% - Accent6 46 6" xfId="5442" xr:uid="{00000000-0005-0000-0000-0000F3440000}"/>
    <cellStyle name="40% - Accent6 46 6 2" xfId="16730" xr:uid="{00000000-0005-0000-0000-0000F4440000}"/>
    <cellStyle name="40% - Accent6 46 7" xfId="14736" xr:uid="{00000000-0005-0000-0000-0000F5440000}"/>
    <cellStyle name="40% - Accent6 46 8" xfId="13422" xr:uid="{00000000-0005-0000-0000-0000F6440000}"/>
    <cellStyle name="40% - Accent6 47" xfId="1487" xr:uid="{00000000-0005-0000-0000-0000F7440000}"/>
    <cellStyle name="40% - Accent6 47 2" xfId="4443" xr:uid="{00000000-0005-0000-0000-0000F8440000}"/>
    <cellStyle name="40% - Accent6 47 2 2" xfId="12422" xr:uid="{00000000-0005-0000-0000-0000F9440000}"/>
    <cellStyle name="40% - Accent6 47 2 2 2" xfId="23710" xr:uid="{00000000-0005-0000-0000-0000FA440000}"/>
    <cellStyle name="40% - Accent6 47 2 3" xfId="10428" xr:uid="{00000000-0005-0000-0000-0000FB440000}"/>
    <cellStyle name="40% - Accent6 47 2 3 2" xfId="21716" xr:uid="{00000000-0005-0000-0000-0000FC440000}"/>
    <cellStyle name="40% - Accent6 47 2 4" xfId="8434" xr:uid="{00000000-0005-0000-0000-0000FD440000}"/>
    <cellStyle name="40% - Accent6 47 2 4 2" xfId="19722" xr:uid="{00000000-0005-0000-0000-0000FE440000}"/>
    <cellStyle name="40% - Accent6 47 2 5" xfId="6440" xr:uid="{00000000-0005-0000-0000-0000FF440000}"/>
    <cellStyle name="40% - Accent6 47 2 5 2" xfId="17728" xr:uid="{00000000-0005-0000-0000-000000450000}"/>
    <cellStyle name="40% - Accent6 47 2 6" xfId="15734" xr:uid="{00000000-0005-0000-0000-000001450000}"/>
    <cellStyle name="40% - Accent6 47 3" xfId="11425" xr:uid="{00000000-0005-0000-0000-000002450000}"/>
    <cellStyle name="40% - Accent6 47 3 2" xfId="22713" xr:uid="{00000000-0005-0000-0000-000003450000}"/>
    <cellStyle name="40% - Accent6 47 4" xfId="9431" xr:uid="{00000000-0005-0000-0000-000004450000}"/>
    <cellStyle name="40% - Accent6 47 4 2" xfId="20719" xr:uid="{00000000-0005-0000-0000-000005450000}"/>
    <cellStyle name="40% - Accent6 47 5" xfId="7437" xr:uid="{00000000-0005-0000-0000-000006450000}"/>
    <cellStyle name="40% - Accent6 47 5 2" xfId="18725" xr:uid="{00000000-0005-0000-0000-000007450000}"/>
    <cellStyle name="40% - Accent6 47 6" xfId="5443" xr:uid="{00000000-0005-0000-0000-000008450000}"/>
    <cellStyle name="40% - Accent6 47 6 2" xfId="16731" xr:uid="{00000000-0005-0000-0000-000009450000}"/>
    <cellStyle name="40% - Accent6 47 7" xfId="14737" xr:uid="{00000000-0005-0000-0000-00000A450000}"/>
    <cellStyle name="40% - Accent6 47 8" xfId="13423" xr:uid="{00000000-0005-0000-0000-00000B450000}"/>
    <cellStyle name="40% - Accent6 48" xfId="1488" xr:uid="{00000000-0005-0000-0000-00000C450000}"/>
    <cellStyle name="40% - Accent6 48 2" xfId="4444" xr:uid="{00000000-0005-0000-0000-00000D450000}"/>
    <cellStyle name="40% - Accent6 48 2 2" xfId="12423" xr:uid="{00000000-0005-0000-0000-00000E450000}"/>
    <cellStyle name="40% - Accent6 48 2 2 2" xfId="23711" xr:uid="{00000000-0005-0000-0000-00000F450000}"/>
    <cellStyle name="40% - Accent6 48 2 3" xfId="10429" xr:uid="{00000000-0005-0000-0000-000010450000}"/>
    <cellStyle name="40% - Accent6 48 2 3 2" xfId="21717" xr:uid="{00000000-0005-0000-0000-000011450000}"/>
    <cellStyle name="40% - Accent6 48 2 4" xfId="8435" xr:uid="{00000000-0005-0000-0000-000012450000}"/>
    <cellStyle name="40% - Accent6 48 2 4 2" xfId="19723" xr:uid="{00000000-0005-0000-0000-000013450000}"/>
    <cellStyle name="40% - Accent6 48 2 5" xfId="6441" xr:uid="{00000000-0005-0000-0000-000014450000}"/>
    <cellStyle name="40% - Accent6 48 2 5 2" xfId="17729" xr:uid="{00000000-0005-0000-0000-000015450000}"/>
    <cellStyle name="40% - Accent6 48 2 6" xfId="15735" xr:uid="{00000000-0005-0000-0000-000016450000}"/>
    <cellStyle name="40% - Accent6 48 3" xfId="11426" xr:uid="{00000000-0005-0000-0000-000017450000}"/>
    <cellStyle name="40% - Accent6 48 3 2" xfId="22714" xr:uid="{00000000-0005-0000-0000-000018450000}"/>
    <cellStyle name="40% - Accent6 48 4" xfId="9432" xr:uid="{00000000-0005-0000-0000-000019450000}"/>
    <cellStyle name="40% - Accent6 48 4 2" xfId="20720" xr:uid="{00000000-0005-0000-0000-00001A450000}"/>
    <cellStyle name="40% - Accent6 48 5" xfId="7438" xr:uid="{00000000-0005-0000-0000-00001B450000}"/>
    <cellStyle name="40% - Accent6 48 5 2" xfId="18726" xr:uid="{00000000-0005-0000-0000-00001C450000}"/>
    <cellStyle name="40% - Accent6 48 6" xfId="5444" xr:uid="{00000000-0005-0000-0000-00001D450000}"/>
    <cellStyle name="40% - Accent6 48 6 2" xfId="16732" xr:uid="{00000000-0005-0000-0000-00001E450000}"/>
    <cellStyle name="40% - Accent6 48 7" xfId="14738" xr:uid="{00000000-0005-0000-0000-00001F450000}"/>
    <cellStyle name="40% - Accent6 48 8" xfId="13424" xr:uid="{00000000-0005-0000-0000-000020450000}"/>
    <cellStyle name="40% - Accent6 49" xfId="1489" xr:uid="{00000000-0005-0000-0000-000021450000}"/>
    <cellStyle name="40% - Accent6 49 2" xfId="4445" xr:uid="{00000000-0005-0000-0000-000022450000}"/>
    <cellStyle name="40% - Accent6 49 2 2" xfId="12424" xr:uid="{00000000-0005-0000-0000-000023450000}"/>
    <cellStyle name="40% - Accent6 49 2 2 2" xfId="23712" xr:uid="{00000000-0005-0000-0000-000024450000}"/>
    <cellStyle name="40% - Accent6 49 2 3" xfId="10430" xr:uid="{00000000-0005-0000-0000-000025450000}"/>
    <cellStyle name="40% - Accent6 49 2 3 2" xfId="21718" xr:uid="{00000000-0005-0000-0000-000026450000}"/>
    <cellStyle name="40% - Accent6 49 2 4" xfId="8436" xr:uid="{00000000-0005-0000-0000-000027450000}"/>
    <cellStyle name="40% - Accent6 49 2 4 2" xfId="19724" xr:uid="{00000000-0005-0000-0000-000028450000}"/>
    <cellStyle name="40% - Accent6 49 2 5" xfId="6442" xr:uid="{00000000-0005-0000-0000-000029450000}"/>
    <cellStyle name="40% - Accent6 49 2 5 2" xfId="17730" xr:uid="{00000000-0005-0000-0000-00002A450000}"/>
    <cellStyle name="40% - Accent6 49 2 6" xfId="15736" xr:uid="{00000000-0005-0000-0000-00002B450000}"/>
    <cellStyle name="40% - Accent6 49 3" xfId="11427" xr:uid="{00000000-0005-0000-0000-00002C450000}"/>
    <cellStyle name="40% - Accent6 49 3 2" xfId="22715" xr:uid="{00000000-0005-0000-0000-00002D450000}"/>
    <cellStyle name="40% - Accent6 49 4" xfId="9433" xr:uid="{00000000-0005-0000-0000-00002E450000}"/>
    <cellStyle name="40% - Accent6 49 4 2" xfId="20721" xr:uid="{00000000-0005-0000-0000-00002F450000}"/>
    <cellStyle name="40% - Accent6 49 5" xfId="7439" xr:uid="{00000000-0005-0000-0000-000030450000}"/>
    <cellStyle name="40% - Accent6 49 5 2" xfId="18727" xr:uid="{00000000-0005-0000-0000-000031450000}"/>
    <cellStyle name="40% - Accent6 49 6" xfId="5445" xr:uid="{00000000-0005-0000-0000-000032450000}"/>
    <cellStyle name="40% - Accent6 49 6 2" xfId="16733" xr:uid="{00000000-0005-0000-0000-000033450000}"/>
    <cellStyle name="40% - Accent6 49 7" xfId="14739" xr:uid="{00000000-0005-0000-0000-000034450000}"/>
    <cellStyle name="40% - Accent6 49 8" xfId="13425" xr:uid="{00000000-0005-0000-0000-000035450000}"/>
    <cellStyle name="40% - Accent6 5" xfId="1490" xr:uid="{00000000-0005-0000-0000-000036450000}"/>
    <cellStyle name="40% - Accent6 5 10" xfId="24628" xr:uid="{00000000-0005-0000-0000-000037450000}"/>
    <cellStyle name="40% - Accent6 5 11" xfId="25018" xr:uid="{00000000-0005-0000-0000-000038450000}"/>
    <cellStyle name="40% - Accent6 5 2" xfId="4446" xr:uid="{00000000-0005-0000-0000-000039450000}"/>
    <cellStyle name="40% - Accent6 5 2 2" xfId="12425" xr:uid="{00000000-0005-0000-0000-00003A450000}"/>
    <cellStyle name="40% - Accent6 5 2 2 2" xfId="23713" xr:uid="{00000000-0005-0000-0000-00003B450000}"/>
    <cellStyle name="40% - Accent6 5 2 3" xfId="10431" xr:uid="{00000000-0005-0000-0000-00003C450000}"/>
    <cellStyle name="40% - Accent6 5 2 3 2" xfId="21719" xr:uid="{00000000-0005-0000-0000-00003D450000}"/>
    <cellStyle name="40% - Accent6 5 2 4" xfId="8437" xr:uid="{00000000-0005-0000-0000-00003E450000}"/>
    <cellStyle name="40% - Accent6 5 2 4 2" xfId="19725" xr:uid="{00000000-0005-0000-0000-00003F450000}"/>
    <cellStyle name="40% - Accent6 5 2 5" xfId="6443" xr:uid="{00000000-0005-0000-0000-000040450000}"/>
    <cellStyle name="40% - Accent6 5 2 5 2" xfId="17731" xr:uid="{00000000-0005-0000-0000-000041450000}"/>
    <cellStyle name="40% - Accent6 5 2 6" xfId="15737" xr:uid="{00000000-0005-0000-0000-000042450000}"/>
    <cellStyle name="40% - Accent6 5 2 7" xfId="24389" xr:uid="{00000000-0005-0000-0000-000043450000}"/>
    <cellStyle name="40% - Accent6 5 2 8" xfId="24853" xr:uid="{00000000-0005-0000-0000-000044450000}"/>
    <cellStyle name="40% - Accent6 5 2 9" xfId="25220" xr:uid="{00000000-0005-0000-0000-000045450000}"/>
    <cellStyle name="40% - Accent6 5 3" xfId="11428" xr:uid="{00000000-0005-0000-0000-000046450000}"/>
    <cellStyle name="40% - Accent6 5 3 2" xfId="22716" xr:uid="{00000000-0005-0000-0000-000047450000}"/>
    <cellStyle name="40% - Accent6 5 4" xfId="9434" xr:uid="{00000000-0005-0000-0000-000048450000}"/>
    <cellStyle name="40% - Accent6 5 4 2" xfId="20722" xr:uid="{00000000-0005-0000-0000-000049450000}"/>
    <cellStyle name="40% - Accent6 5 5" xfId="7440" xr:uid="{00000000-0005-0000-0000-00004A450000}"/>
    <cellStyle name="40% - Accent6 5 5 2" xfId="18728" xr:uid="{00000000-0005-0000-0000-00004B450000}"/>
    <cellStyle name="40% - Accent6 5 6" xfId="5446" xr:uid="{00000000-0005-0000-0000-00004C450000}"/>
    <cellStyle name="40% - Accent6 5 6 2" xfId="16734" xr:uid="{00000000-0005-0000-0000-00004D450000}"/>
    <cellStyle name="40% - Accent6 5 7" xfId="14740" xr:uid="{00000000-0005-0000-0000-00004E450000}"/>
    <cellStyle name="40% - Accent6 5 8" xfId="13426" xr:uid="{00000000-0005-0000-0000-00004F450000}"/>
    <cellStyle name="40% - Accent6 5 9" xfId="24001" xr:uid="{00000000-0005-0000-0000-000050450000}"/>
    <cellStyle name="40% - Accent6 50" xfId="1491" xr:uid="{00000000-0005-0000-0000-000051450000}"/>
    <cellStyle name="40% - Accent6 50 2" xfId="4447" xr:uid="{00000000-0005-0000-0000-000052450000}"/>
    <cellStyle name="40% - Accent6 50 2 2" xfId="12426" xr:uid="{00000000-0005-0000-0000-000053450000}"/>
    <cellStyle name="40% - Accent6 50 2 2 2" xfId="23714" xr:uid="{00000000-0005-0000-0000-000054450000}"/>
    <cellStyle name="40% - Accent6 50 2 3" xfId="10432" xr:uid="{00000000-0005-0000-0000-000055450000}"/>
    <cellStyle name="40% - Accent6 50 2 3 2" xfId="21720" xr:uid="{00000000-0005-0000-0000-000056450000}"/>
    <cellStyle name="40% - Accent6 50 2 4" xfId="8438" xr:uid="{00000000-0005-0000-0000-000057450000}"/>
    <cellStyle name="40% - Accent6 50 2 4 2" xfId="19726" xr:uid="{00000000-0005-0000-0000-000058450000}"/>
    <cellStyle name="40% - Accent6 50 2 5" xfId="6444" xr:uid="{00000000-0005-0000-0000-000059450000}"/>
    <cellStyle name="40% - Accent6 50 2 5 2" xfId="17732" xr:uid="{00000000-0005-0000-0000-00005A450000}"/>
    <cellStyle name="40% - Accent6 50 2 6" xfId="15738" xr:uid="{00000000-0005-0000-0000-00005B450000}"/>
    <cellStyle name="40% - Accent6 50 3" xfId="11429" xr:uid="{00000000-0005-0000-0000-00005C450000}"/>
    <cellStyle name="40% - Accent6 50 3 2" xfId="22717" xr:uid="{00000000-0005-0000-0000-00005D450000}"/>
    <cellStyle name="40% - Accent6 50 4" xfId="9435" xr:uid="{00000000-0005-0000-0000-00005E450000}"/>
    <cellStyle name="40% - Accent6 50 4 2" xfId="20723" xr:uid="{00000000-0005-0000-0000-00005F450000}"/>
    <cellStyle name="40% - Accent6 50 5" xfId="7441" xr:uid="{00000000-0005-0000-0000-000060450000}"/>
    <cellStyle name="40% - Accent6 50 5 2" xfId="18729" xr:uid="{00000000-0005-0000-0000-000061450000}"/>
    <cellStyle name="40% - Accent6 50 6" xfId="5447" xr:uid="{00000000-0005-0000-0000-000062450000}"/>
    <cellStyle name="40% - Accent6 50 6 2" xfId="16735" xr:uid="{00000000-0005-0000-0000-000063450000}"/>
    <cellStyle name="40% - Accent6 50 7" xfId="14741" xr:uid="{00000000-0005-0000-0000-000064450000}"/>
    <cellStyle name="40% - Accent6 50 8" xfId="13427" xr:uid="{00000000-0005-0000-0000-000065450000}"/>
    <cellStyle name="40% - Accent6 51" xfId="1492" xr:uid="{00000000-0005-0000-0000-000066450000}"/>
    <cellStyle name="40% - Accent6 51 2" xfId="4448" xr:uid="{00000000-0005-0000-0000-000067450000}"/>
    <cellStyle name="40% - Accent6 51 2 2" xfId="12427" xr:uid="{00000000-0005-0000-0000-000068450000}"/>
    <cellStyle name="40% - Accent6 51 2 2 2" xfId="23715" xr:uid="{00000000-0005-0000-0000-000069450000}"/>
    <cellStyle name="40% - Accent6 51 2 3" xfId="10433" xr:uid="{00000000-0005-0000-0000-00006A450000}"/>
    <cellStyle name="40% - Accent6 51 2 3 2" xfId="21721" xr:uid="{00000000-0005-0000-0000-00006B450000}"/>
    <cellStyle name="40% - Accent6 51 2 4" xfId="8439" xr:uid="{00000000-0005-0000-0000-00006C450000}"/>
    <cellStyle name="40% - Accent6 51 2 4 2" xfId="19727" xr:uid="{00000000-0005-0000-0000-00006D450000}"/>
    <cellStyle name="40% - Accent6 51 2 5" xfId="6445" xr:uid="{00000000-0005-0000-0000-00006E450000}"/>
    <cellStyle name="40% - Accent6 51 2 5 2" xfId="17733" xr:uid="{00000000-0005-0000-0000-00006F450000}"/>
    <cellStyle name="40% - Accent6 51 2 6" xfId="15739" xr:uid="{00000000-0005-0000-0000-000070450000}"/>
    <cellStyle name="40% - Accent6 51 3" xfId="11430" xr:uid="{00000000-0005-0000-0000-000071450000}"/>
    <cellStyle name="40% - Accent6 51 3 2" xfId="22718" xr:uid="{00000000-0005-0000-0000-000072450000}"/>
    <cellStyle name="40% - Accent6 51 4" xfId="9436" xr:uid="{00000000-0005-0000-0000-000073450000}"/>
    <cellStyle name="40% - Accent6 51 4 2" xfId="20724" xr:uid="{00000000-0005-0000-0000-000074450000}"/>
    <cellStyle name="40% - Accent6 51 5" xfId="7442" xr:uid="{00000000-0005-0000-0000-000075450000}"/>
    <cellStyle name="40% - Accent6 51 5 2" xfId="18730" xr:uid="{00000000-0005-0000-0000-000076450000}"/>
    <cellStyle name="40% - Accent6 51 6" xfId="5448" xr:uid="{00000000-0005-0000-0000-000077450000}"/>
    <cellStyle name="40% - Accent6 51 6 2" xfId="16736" xr:uid="{00000000-0005-0000-0000-000078450000}"/>
    <cellStyle name="40% - Accent6 51 7" xfId="14742" xr:uid="{00000000-0005-0000-0000-000079450000}"/>
    <cellStyle name="40% - Accent6 51 8" xfId="13428" xr:uid="{00000000-0005-0000-0000-00007A450000}"/>
    <cellStyle name="40% - Accent6 52" xfId="1493" xr:uid="{00000000-0005-0000-0000-00007B450000}"/>
    <cellStyle name="40% - Accent6 52 2" xfId="4449" xr:uid="{00000000-0005-0000-0000-00007C450000}"/>
    <cellStyle name="40% - Accent6 52 2 2" xfId="12428" xr:uid="{00000000-0005-0000-0000-00007D450000}"/>
    <cellStyle name="40% - Accent6 52 2 2 2" xfId="23716" xr:uid="{00000000-0005-0000-0000-00007E450000}"/>
    <cellStyle name="40% - Accent6 52 2 3" xfId="10434" xr:uid="{00000000-0005-0000-0000-00007F450000}"/>
    <cellStyle name="40% - Accent6 52 2 3 2" xfId="21722" xr:uid="{00000000-0005-0000-0000-000080450000}"/>
    <cellStyle name="40% - Accent6 52 2 4" xfId="8440" xr:uid="{00000000-0005-0000-0000-000081450000}"/>
    <cellStyle name="40% - Accent6 52 2 4 2" xfId="19728" xr:uid="{00000000-0005-0000-0000-000082450000}"/>
    <cellStyle name="40% - Accent6 52 2 5" xfId="6446" xr:uid="{00000000-0005-0000-0000-000083450000}"/>
    <cellStyle name="40% - Accent6 52 2 5 2" xfId="17734" xr:uid="{00000000-0005-0000-0000-000084450000}"/>
    <cellStyle name="40% - Accent6 52 2 6" xfId="15740" xr:uid="{00000000-0005-0000-0000-000085450000}"/>
    <cellStyle name="40% - Accent6 52 3" xfId="11431" xr:uid="{00000000-0005-0000-0000-000086450000}"/>
    <cellStyle name="40% - Accent6 52 3 2" xfId="22719" xr:uid="{00000000-0005-0000-0000-000087450000}"/>
    <cellStyle name="40% - Accent6 52 4" xfId="9437" xr:uid="{00000000-0005-0000-0000-000088450000}"/>
    <cellStyle name="40% - Accent6 52 4 2" xfId="20725" xr:uid="{00000000-0005-0000-0000-000089450000}"/>
    <cellStyle name="40% - Accent6 52 5" xfId="7443" xr:uid="{00000000-0005-0000-0000-00008A450000}"/>
    <cellStyle name="40% - Accent6 52 5 2" xfId="18731" xr:uid="{00000000-0005-0000-0000-00008B450000}"/>
    <cellStyle name="40% - Accent6 52 6" xfId="5449" xr:uid="{00000000-0005-0000-0000-00008C450000}"/>
    <cellStyle name="40% - Accent6 52 6 2" xfId="16737" xr:uid="{00000000-0005-0000-0000-00008D450000}"/>
    <cellStyle name="40% - Accent6 52 7" xfId="14743" xr:uid="{00000000-0005-0000-0000-00008E450000}"/>
    <cellStyle name="40% - Accent6 52 8" xfId="13429" xr:uid="{00000000-0005-0000-0000-00008F450000}"/>
    <cellStyle name="40% - Accent6 53" xfId="1494" xr:uid="{00000000-0005-0000-0000-000090450000}"/>
    <cellStyle name="40% - Accent6 53 2" xfId="4450" xr:uid="{00000000-0005-0000-0000-000091450000}"/>
    <cellStyle name="40% - Accent6 53 2 2" xfId="12429" xr:uid="{00000000-0005-0000-0000-000092450000}"/>
    <cellStyle name="40% - Accent6 53 2 2 2" xfId="23717" xr:uid="{00000000-0005-0000-0000-000093450000}"/>
    <cellStyle name="40% - Accent6 53 2 3" xfId="10435" xr:uid="{00000000-0005-0000-0000-000094450000}"/>
    <cellStyle name="40% - Accent6 53 2 3 2" xfId="21723" xr:uid="{00000000-0005-0000-0000-000095450000}"/>
    <cellStyle name="40% - Accent6 53 2 4" xfId="8441" xr:uid="{00000000-0005-0000-0000-000096450000}"/>
    <cellStyle name="40% - Accent6 53 2 4 2" xfId="19729" xr:uid="{00000000-0005-0000-0000-000097450000}"/>
    <cellStyle name="40% - Accent6 53 2 5" xfId="6447" xr:uid="{00000000-0005-0000-0000-000098450000}"/>
    <cellStyle name="40% - Accent6 53 2 5 2" xfId="17735" xr:uid="{00000000-0005-0000-0000-000099450000}"/>
    <cellStyle name="40% - Accent6 53 2 6" xfId="15741" xr:uid="{00000000-0005-0000-0000-00009A450000}"/>
    <cellStyle name="40% - Accent6 53 3" xfId="11432" xr:uid="{00000000-0005-0000-0000-00009B450000}"/>
    <cellStyle name="40% - Accent6 53 3 2" xfId="22720" xr:uid="{00000000-0005-0000-0000-00009C450000}"/>
    <cellStyle name="40% - Accent6 53 4" xfId="9438" xr:uid="{00000000-0005-0000-0000-00009D450000}"/>
    <cellStyle name="40% - Accent6 53 4 2" xfId="20726" xr:uid="{00000000-0005-0000-0000-00009E450000}"/>
    <cellStyle name="40% - Accent6 53 5" xfId="7444" xr:uid="{00000000-0005-0000-0000-00009F450000}"/>
    <cellStyle name="40% - Accent6 53 5 2" xfId="18732" xr:uid="{00000000-0005-0000-0000-0000A0450000}"/>
    <cellStyle name="40% - Accent6 53 6" xfId="5450" xr:uid="{00000000-0005-0000-0000-0000A1450000}"/>
    <cellStyle name="40% - Accent6 53 6 2" xfId="16738" xr:uid="{00000000-0005-0000-0000-0000A2450000}"/>
    <cellStyle name="40% - Accent6 53 7" xfId="14744" xr:uid="{00000000-0005-0000-0000-0000A3450000}"/>
    <cellStyle name="40% - Accent6 53 8" xfId="13430" xr:uid="{00000000-0005-0000-0000-0000A4450000}"/>
    <cellStyle name="40% - Accent6 54" xfId="1495" xr:uid="{00000000-0005-0000-0000-0000A5450000}"/>
    <cellStyle name="40% - Accent6 54 2" xfId="4451" xr:uid="{00000000-0005-0000-0000-0000A6450000}"/>
    <cellStyle name="40% - Accent6 54 2 2" xfId="12430" xr:uid="{00000000-0005-0000-0000-0000A7450000}"/>
    <cellStyle name="40% - Accent6 54 2 2 2" xfId="23718" xr:uid="{00000000-0005-0000-0000-0000A8450000}"/>
    <cellStyle name="40% - Accent6 54 2 3" xfId="10436" xr:uid="{00000000-0005-0000-0000-0000A9450000}"/>
    <cellStyle name="40% - Accent6 54 2 3 2" xfId="21724" xr:uid="{00000000-0005-0000-0000-0000AA450000}"/>
    <cellStyle name="40% - Accent6 54 2 4" xfId="8442" xr:uid="{00000000-0005-0000-0000-0000AB450000}"/>
    <cellStyle name="40% - Accent6 54 2 4 2" xfId="19730" xr:uid="{00000000-0005-0000-0000-0000AC450000}"/>
    <cellStyle name="40% - Accent6 54 2 5" xfId="6448" xr:uid="{00000000-0005-0000-0000-0000AD450000}"/>
    <cellStyle name="40% - Accent6 54 2 5 2" xfId="17736" xr:uid="{00000000-0005-0000-0000-0000AE450000}"/>
    <cellStyle name="40% - Accent6 54 2 6" xfId="15742" xr:uid="{00000000-0005-0000-0000-0000AF450000}"/>
    <cellStyle name="40% - Accent6 54 3" xfId="11433" xr:uid="{00000000-0005-0000-0000-0000B0450000}"/>
    <cellStyle name="40% - Accent6 54 3 2" xfId="22721" xr:uid="{00000000-0005-0000-0000-0000B1450000}"/>
    <cellStyle name="40% - Accent6 54 4" xfId="9439" xr:uid="{00000000-0005-0000-0000-0000B2450000}"/>
    <cellStyle name="40% - Accent6 54 4 2" xfId="20727" xr:uid="{00000000-0005-0000-0000-0000B3450000}"/>
    <cellStyle name="40% - Accent6 54 5" xfId="7445" xr:uid="{00000000-0005-0000-0000-0000B4450000}"/>
    <cellStyle name="40% - Accent6 54 5 2" xfId="18733" xr:uid="{00000000-0005-0000-0000-0000B5450000}"/>
    <cellStyle name="40% - Accent6 54 6" xfId="5451" xr:uid="{00000000-0005-0000-0000-0000B6450000}"/>
    <cellStyle name="40% - Accent6 54 6 2" xfId="16739" xr:uid="{00000000-0005-0000-0000-0000B7450000}"/>
    <cellStyle name="40% - Accent6 54 7" xfId="14745" xr:uid="{00000000-0005-0000-0000-0000B8450000}"/>
    <cellStyle name="40% - Accent6 54 8" xfId="13431" xr:uid="{00000000-0005-0000-0000-0000B9450000}"/>
    <cellStyle name="40% - Accent6 55" xfId="1496" xr:uid="{00000000-0005-0000-0000-0000BA450000}"/>
    <cellStyle name="40% - Accent6 55 2" xfId="4452" xr:uid="{00000000-0005-0000-0000-0000BB450000}"/>
    <cellStyle name="40% - Accent6 55 2 2" xfId="12431" xr:uid="{00000000-0005-0000-0000-0000BC450000}"/>
    <cellStyle name="40% - Accent6 55 2 2 2" xfId="23719" xr:uid="{00000000-0005-0000-0000-0000BD450000}"/>
    <cellStyle name="40% - Accent6 55 2 3" xfId="10437" xr:uid="{00000000-0005-0000-0000-0000BE450000}"/>
    <cellStyle name="40% - Accent6 55 2 3 2" xfId="21725" xr:uid="{00000000-0005-0000-0000-0000BF450000}"/>
    <cellStyle name="40% - Accent6 55 2 4" xfId="8443" xr:uid="{00000000-0005-0000-0000-0000C0450000}"/>
    <cellStyle name="40% - Accent6 55 2 4 2" xfId="19731" xr:uid="{00000000-0005-0000-0000-0000C1450000}"/>
    <cellStyle name="40% - Accent6 55 2 5" xfId="6449" xr:uid="{00000000-0005-0000-0000-0000C2450000}"/>
    <cellStyle name="40% - Accent6 55 2 5 2" xfId="17737" xr:uid="{00000000-0005-0000-0000-0000C3450000}"/>
    <cellStyle name="40% - Accent6 55 2 6" xfId="15743" xr:uid="{00000000-0005-0000-0000-0000C4450000}"/>
    <cellStyle name="40% - Accent6 55 3" xfId="11434" xr:uid="{00000000-0005-0000-0000-0000C5450000}"/>
    <cellStyle name="40% - Accent6 55 3 2" xfId="22722" xr:uid="{00000000-0005-0000-0000-0000C6450000}"/>
    <cellStyle name="40% - Accent6 55 4" xfId="9440" xr:uid="{00000000-0005-0000-0000-0000C7450000}"/>
    <cellStyle name="40% - Accent6 55 4 2" xfId="20728" xr:uid="{00000000-0005-0000-0000-0000C8450000}"/>
    <cellStyle name="40% - Accent6 55 5" xfId="7446" xr:uid="{00000000-0005-0000-0000-0000C9450000}"/>
    <cellStyle name="40% - Accent6 55 5 2" xfId="18734" xr:uid="{00000000-0005-0000-0000-0000CA450000}"/>
    <cellStyle name="40% - Accent6 55 6" xfId="5452" xr:uid="{00000000-0005-0000-0000-0000CB450000}"/>
    <cellStyle name="40% - Accent6 55 6 2" xfId="16740" xr:uid="{00000000-0005-0000-0000-0000CC450000}"/>
    <cellStyle name="40% - Accent6 55 7" xfId="14746" xr:uid="{00000000-0005-0000-0000-0000CD450000}"/>
    <cellStyle name="40% - Accent6 55 8" xfId="13432" xr:uid="{00000000-0005-0000-0000-0000CE450000}"/>
    <cellStyle name="40% - Accent6 56" xfId="1497" xr:uid="{00000000-0005-0000-0000-0000CF450000}"/>
    <cellStyle name="40% - Accent6 56 2" xfId="4453" xr:uid="{00000000-0005-0000-0000-0000D0450000}"/>
    <cellStyle name="40% - Accent6 56 2 2" xfId="12432" xr:uid="{00000000-0005-0000-0000-0000D1450000}"/>
    <cellStyle name="40% - Accent6 56 2 2 2" xfId="23720" xr:uid="{00000000-0005-0000-0000-0000D2450000}"/>
    <cellStyle name="40% - Accent6 56 2 3" xfId="10438" xr:uid="{00000000-0005-0000-0000-0000D3450000}"/>
    <cellStyle name="40% - Accent6 56 2 3 2" xfId="21726" xr:uid="{00000000-0005-0000-0000-0000D4450000}"/>
    <cellStyle name="40% - Accent6 56 2 4" xfId="8444" xr:uid="{00000000-0005-0000-0000-0000D5450000}"/>
    <cellStyle name="40% - Accent6 56 2 4 2" xfId="19732" xr:uid="{00000000-0005-0000-0000-0000D6450000}"/>
    <cellStyle name="40% - Accent6 56 2 5" xfId="6450" xr:uid="{00000000-0005-0000-0000-0000D7450000}"/>
    <cellStyle name="40% - Accent6 56 2 5 2" xfId="17738" xr:uid="{00000000-0005-0000-0000-0000D8450000}"/>
    <cellStyle name="40% - Accent6 56 2 6" xfId="15744" xr:uid="{00000000-0005-0000-0000-0000D9450000}"/>
    <cellStyle name="40% - Accent6 56 3" xfId="11435" xr:uid="{00000000-0005-0000-0000-0000DA450000}"/>
    <cellStyle name="40% - Accent6 56 3 2" xfId="22723" xr:uid="{00000000-0005-0000-0000-0000DB450000}"/>
    <cellStyle name="40% - Accent6 56 4" xfId="9441" xr:uid="{00000000-0005-0000-0000-0000DC450000}"/>
    <cellStyle name="40% - Accent6 56 4 2" xfId="20729" xr:uid="{00000000-0005-0000-0000-0000DD450000}"/>
    <cellStyle name="40% - Accent6 56 5" xfId="7447" xr:uid="{00000000-0005-0000-0000-0000DE450000}"/>
    <cellStyle name="40% - Accent6 56 5 2" xfId="18735" xr:uid="{00000000-0005-0000-0000-0000DF450000}"/>
    <cellStyle name="40% - Accent6 56 6" xfId="5453" xr:uid="{00000000-0005-0000-0000-0000E0450000}"/>
    <cellStyle name="40% - Accent6 56 6 2" xfId="16741" xr:uid="{00000000-0005-0000-0000-0000E1450000}"/>
    <cellStyle name="40% - Accent6 56 7" xfId="14747" xr:uid="{00000000-0005-0000-0000-0000E2450000}"/>
    <cellStyle name="40% - Accent6 56 8" xfId="13433" xr:uid="{00000000-0005-0000-0000-0000E3450000}"/>
    <cellStyle name="40% - Accent6 57" xfId="1498" xr:uid="{00000000-0005-0000-0000-0000E4450000}"/>
    <cellStyle name="40% - Accent6 57 2" xfId="4454" xr:uid="{00000000-0005-0000-0000-0000E5450000}"/>
    <cellStyle name="40% - Accent6 57 2 2" xfId="12433" xr:uid="{00000000-0005-0000-0000-0000E6450000}"/>
    <cellStyle name="40% - Accent6 57 2 2 2" xfId="23721" xr:uid="{00000000-0005-0000-0000-0000E7450000}"/>
    <cellStyle name="40% - Accent6 57 2 3" xfId="10439" xr:uid="{00000000-0005-0000-0000-0000E8450000}"/>
    <cellStyle name="40% - Accent6 57 2 3 2" xfId="21727" xr:uid="{00000000-0005-0000-0000-0000E9450000}"/>
    <cellStyle name="40% - Accent6 57 2 4" xfId="8445" xr:uid="{00000000-0005-0000-0000-0000EA450000}"/>
    <cellStyle name="40% - Accent6 57 2 4 2" xfId="19733" xr:uid="{00000000-0005-0000-0000-0000EB450000}"/>
    <cellStyle name="40% - Accent6 57 2 5" xfId="6451" xr:uid="{00000000-0005-0000-0000-0000EC450000}"/>
    <cellStyle name="40% - Accent6 57 2 5 2" xfId="17739" xr:uid="{00000000-0005-0000-0000-0000ED450000}"/>
    <cellStyle name="40% - Accent6 57 2 6" xfId="15745" xr:uid="{00000000-0005-0000-0000-0000EE450000}"/>
    <cellStyle name="40% - Accent6 57 3" xfId="11436" xr:uid="{00000000-0005-0000-0000-0000EF450000}"/>
    <cellStyle name="40% - Accent6 57 3 2" xfId="22724" xr:uid="{00000000-0005-0000-0000-0000F0450000}"/>
    <cellStyle name="40% - Accent6 57 4" xfId="9442" xr:uid="{00000000-0005-0000-0000-0000F1450000}"/>
    <cellStyle name="40% - Accent6 57 4 2" xfId="20730" xr:uid="{00000000-0005-0000-0000-0000F2450000}"/>
    <cellStyle name="40% - Accent6 57 5" xfId="7448" xr:uid="{00000000-0005-0000-0000-0000F3450000}"/>
    <cellStyle name="40% - Accent6 57 5 2" xfId="18736" xr:uid="{00000000-0005-0000-0000-0000F4450000}"/>
    <cellStyle name="40% - Accent6 57 6" xfId="5454" xr:uid="{00000000-0005-0000-0000-0000F5450000}"/>
    <cellStyle name="40% - Accent6 57 6 2" xfId="16742" xr:uid="{00000000-0005-0000-0000-0000F6450000}"/>
    <cellStyle name="40% - Accent6 57 7" xfId="14748" xr:uid="{00000000-0005-0000-0000-0000F7450000}"/>
    <cellStyle name="40% - Accent6 57 8" xfId="13434" xr:uid="{00000000-0005-0000-0000-0000F8450000}"/>
    <cellStyle name="40% - Accent6 58" xfId="1499" xr:uid="{00000000-0005-0000-0000-0000F9450000}"/>
    <cellStyle name="40% - Accent6 58 2" xfId="4455" xr:uid="{00000000-0005-0000-0000-0000FA450000}"/>
    <cellStyle name="40% - Accent6 58 2 2" xfId="12434" xr:uid="{00000000-0005-0000-0000-0000FB450000}"/>
    <cellStyle name="40% - Accent6 58 2 2 2" xfId="23722" xr:uid="{00000000-0005-0000-0000-0000FC450000}"/>
    <cellStyle name="40% - Accent6 58 2 3" xfId="10440" xr:uid="{00000000-0005-0000-0000-0000FD450000}"/>
    <cellStyle name="40% - Accent6 58 2 3 2" xfId="21728" xr:uid="{00000000-0005-0000-0000-0000FE450000}"/>
    <cellStyle name="40% - Accent6 58 2 4" xfId="8446" xr:uid="{00000000-0005-0000-0000-0000FF450000}"/>
    <cellStyle name="40% - Accent6 58 2 4 2" xfId="19734" xr:uid="{00000000-0005-0000-0000-000000460000}"/>
    <cellStyle name="40% - Accent6 58 2 5" xfId="6452" xr:uid="{00000000-0005-0000-0000-000001460000}"/>
    <cellStyle name="40% - Accent6 58 2 5 2" xfId="17740" xr:uid="{00000000-0005-0000-0000-000002460000}"/>
    <cellStyle name="40% - Accent6 58 2 6" xfId="15746" xr:uid="{00000000-0005-0000-0000-000003460000}"/>
    <cellStyle name="40% - Accent6 58 3" xfId="11437" xr:uid="{00000000-0005-0000-0000-000004460000}"/>
    <cellStyle name="40% - Accent6 58 3 2" xfId="22725" xr:uid="{00000000-0005-0000-0000-000005460000}"/>
    <cellStyle name="40% - Accent6 58 4" xfId="9443" xr:uid="{00000000-0005-0000-0000-000006460000}"/>
    <cellStyle name="40% - Accent6 58 4 2" xfId="20731" xr:uid="{00000000-0005-0000-0000-000007460000}"/>
    <cellStyle name="40% - Accent6 58 5" xfId="7449" xr:uid="{00000000-0005-0000-0000-000008460000}"/>
    <cellStyle name="40% - Accent6 58 5 2" xfId="18737" xr:uid="{00000000-0005-0000-0000-000009460000}"/>
    <cellStyle name="40% - Accent6 58 6" xfId="5455" xr:uid="{00000000-0005-0000-0000-00000A460000}"/>
    <cellStyle name="40% - Accent6 58 6 2" xfId="16743" xr:uid="{00000000-0005-0000-0000-00000B460000}"/>
    <cellStyle name="40% - Accent6 58 7" xfId="14749" xr:uid="{00000000-0005-0000-0000-00000C460000}"/>
    <cellStyle name="40% - Accent6 58 8" xfId="13435" xr:uid="{00000000-0005-0000-0000-00000D460000}"/>
    <cellStyle name="40% - Accent6 59" xfId="1500" xr:uid="{00000000-0005-0000-0000-00000E460000}"/>
    <cellStyle name="40% - Accent6 59 2" xfId="4456" xr:uid="{00000000-0005-0000-0000-00000F460000}"/>
    <cellStyle name="40% - Accent6 59 2 2" xfId="12435" xr:uid="{00000000-0005-0000-0000-000010460000}"/>
    <cellStyle name="40% - Accent6 59 2 2 2" xfId="23723" xr:uid="{00000000-0005-0000-0000-000011460000}"/>
    <cellStyle name="40% - Accent6 59 2 3" xfId="10441" xr:uid="{00000000-0005-0000-0000-000012460000}"/>
    <cellStyle name="40% - Accent6 59 2 3 2" xfId="21729" xr:uid="{00000000-0005-0000-0000-000013460000}"/>
    <cellStyle name="40% - Accent6 59 2 4" xfId="8447" xr:uid="{00000000-0005-0000-0000-000014460000}"/>
    <cellStyle name="40% - Accent6 59 2 4 2" xfId="19735" xr:uid="{00000000-0005-0000-0000-000015460000}"/>
    <cellStyle name="40% - Accent6 59 2 5" xfId="6453" xr:uid="{00000000-0005-0000-0000-000016460000}"/>
    <cellStyle name="40% - Accent6 59 2 5 2" xfId="17741" xr:uid="{00000000-0005-0000-0000-000017460000}"/>
    <cellStyle name="40% - Accent6 59 2 6" xfId="15747" xr:uid="{00000000-0005-0000-0000-000018460000}"/>
    <cellStyle name="40% - Accent6 59 3" xfId="11438" xr:uid="{00000000-0005-0000-0000-000019460000}"/>
    <cellStyle name="40% - Accent6 59 3 2" xfId="22726" xr:uid="{00000000-0005-0000-0000-00001A460000}"/>
    <cellStyle name="40% - Accent6 59 4" xfId="9444" xr:uid="{00000000-0005-0000-0000-00001B460000}"/>
    <cellStyle name="40% - Accent6 59 4 2" xfId="20732" xr:uid="{00000000-0005-0000-0000-00001C460000}"/>
    <cellStyle name="40% - Accent6 59 5" xfId="7450" xr:uid="{00000000-0005-0000-0000-00001D460000}"/>
    <cellStyle name="40% - Accent6 59 5 2" xfId="18738" xr:uid="{00000000-0005-0000-0000-00001E460000}"/>
    <cellStyle name="40% - Accent6 59 6" xfId="5456" xr:uid="{00000000-0005-0000-0000-00001F460000}"/>
    <cellStyle name="40% - Accent6 59 6 2" xfId="16744" xr:uid="{00000000-0005-0000-0000-000020460000}"/>
    <cellStyle name="40% - Accent6 59 7" xfId="14750" xr:uid="{00000000-0005-0000-0000-000021460000}"/>
    <cellStyle name="40% - Accent6 59 8" xfId="13436" xr:uid="{00000000-0005-0000-0000-000022460000}"/>
    <cellStyle name="40% - Accent6 6" xfId="1501" xr:uid="{00000000-0005-0000-0000-000023460000}"/>
    <cellStyle name="40% - Accent6 6 10" xfId="24629" xr:uid="{00000000-0005-0000-0000-000024460000}"/>
    <cellStyle name="40% - Accent6 6 11" xfId="25019" xr:uid="{00000000-0005-0000-0000-000025460000}"/>
    <cellStyle name="40% - Accent6 6 2" xfId="4457" xr:uid="{00000000-0005-0000-0000-000026460000}"/>
    <cellStyle name="40% - Accent6 6 2 2" xfId="12436" xr:uid="{00000000-0005-0000-0000-000027460000}"/>
    <cellStyle name="40% - Accent6 6 2 2 2" xfId="23724" xr:uid="{00000000-0005-0000-0000-000028460000}"/>
    <cellStyle name="40% - Accent6 6 2 3" xfId="10442" xr:uid="{00000000-0005-0000-0000-000029460000}"/>
    <cellStyle name="40% - Accent6 6 2 3 2" xfId="21730" xr:uid="{00000000-0005-0000-0000-00002A460000}"/>
    <cellStyle name="40% - Accent6 6 2 4" xfId="8448" xr:uid="{00000000-0005-0000-0000-00002B460000}"/>
    <cellStyle name="40% - Accent6 6 2 4 2" xfId="19736" xr:uid="{00000000-0005-0000-0000-00002C460000}"/>
    <cellStyle name="40% - Accent6 6 2 5" xfId="6454" xr:uid="{00000000-0005-0000-0000-00002D460000}"/>
    <cellStyle name="40% - Accent6 6 2 5 2" xfId="17742" xr:uid="{00000000-0005-0000-0000-00002E460000}"/>
    <cellStyle name="40% - Accent6 6 2 6" xfId="15748" xr:uid="{00000000-0005-0000-0000-00002F460000}"/>
    <cellStyle name="40% - Accent6 6 2 7" xfId="24390" xr:uid="{00000000-0005-0000-0000-000030460000}"/>
    <cellStyle name="40% - Accent6 6 2 8" xfId="24854" xr:uid="{00000000-0005-0000-0000-000031460000}"/>
    <cellStyle name="40% - Accent6 6 2 9" xfId="25221" xr:uid="{00000000-0005-0000-0000-000032460000}"/>
    <cellStyle name="40% - Accent6 6 3" xfId="11439" xr:uid="{00000000-0005-0000-0000-000033460000}"/>
    <cellStyle name="40% - Accent6 6 3 2" xfId="22727" xr:uid="{00000000-0005-0000-0000-000034460000}"/>
    <cellStyle name="40% - Accent6 6 4" xfId="9445" xr:uid="{00000000-0005-0000-0000-000035460000}"/>
    <cellStyle name="40% - Accent6 6 4 2" xfId="20733" xr:uid="{00000000-0005-0000-0000-000036460000}"/>
    <cellStyle name="40% - Accent6 6 5" xfId="7451" xr:uid="{00000000-0005-0000-0000-000037460000}"/>
    <cellStyle name="40% - Accent6 6 5 2" xfId="18739" xr:uid="{00000000-0005-0000-0000-000038460000}"/>
    <cellStyle name="40% - Accent6 6 6" xfId="5457" xr:uid="{00000000-0005-0000-0000-000039460000}"/>
    <cellStyle name="40% - Accent6 6 6 2" xfId="16745" xr:uid="{00000000-0005-0000-0000-00003A460000}"/>
    <cellStyle name="40% - Accent6 6 7" xfId="14751" xr:uid="{00000000-0005-0000-0000-00003B460000}"/>
    <cellStyle name="40% - Accent6 6 8" xfId="13437" xr:uid="{00000000-0005-0000-0000-00003C460000}"/>
    <cellStyle name="40% - Accent6 6 9" xfId="24002" xr:uid="{00000000-0005-0000-0000-00003D460000}"/>
    <cellStyle name="40% - Accent6 60" xfId="1502" xr:uid="{00000000-0005-0000-0000-00003E460000}"/>
    <cellStyle name="40% - Accent6 60 2" xfId="4458" xr:uid="{00000000-0005-0000-0000-00003F460000}"/>
    <cellStyle name="40% - Accent6 60 2 2" xfId="12437" xr:uid="{00000000-0005-0000-0000-000040460000}"/>
    <cellStyle name="40% - Accent6 60 2 2 2" xfId="23725" xr:uid="{00000000-0005-0000-0000-000041460000}"/>
    <cellStyle name="40% - Accent6 60 2 3" xfId="10443" xr:uid="{00000000-0005-0000-0000-000042460000}"/>
    <cellStyle name="40% - Accent6 60 2 3 2" xfId="21731" xr:uid="{00000000-0005-0000-0000-000043460000}"/>
    <cellStyle name="40% - Accent6 60 2 4" xfId="8449" xr:uid="{00000000-0005-0000-0000-000044460000}"/>
    <cellStyle name="40% - Accent6 60 2 4 2" xfId="19737" xr:uid="{00000000-0005-0000-0000-000045460000}"/>
    <cellStyle name="40% - Accent6 60 2 5" xfId="6455" xr:uid="{00000000-0005-0000-0000-000046460000}"/>
    <cellStyle name="40% - Accent6 60 2 5 2" xfId="17743" xr:uid="{00000000-0005-0000-0000-000047460000}"/>
    <cellStyle name="40% - Accent6 60 2 6" xfId="15749" xr:uid="{00000000-0005-0000-0000-000048460000}"/>
    <cellStyle name="40% - Accent6 60 3" xfId="11440" xr:uid="{00000000-0005-0000-0000-000049460000}"/>
    <cellStyle name="40% - Accent6 60 3 2" xfId="22728" xr:uid="{00000000-0005-0000-0000-00004A460000}"/>
    <cellStyle name="40% - Accent6 60 4" xfId="9446" xr:uid="{00000000-0005-0000-0000-00004B460000}"/>
    <cellStyle name="40% - Accent6 60 4 2" xfId="20734" xr:uid="{00000000-0005-0000-0000-00004C460000}"/>
    <cellStyle name="40% - Accent6 60 5" xfId="7452" xr:uid="{00000000-0005-0000-0000-00004D460000}"/>
    <cellStyle name="40% - Accent6 60 5 2" xfId="18740" xr:uid="{00000000-0005-0000-0000-00004E460000}"/>
    <cellStyle name="40% - Accent6 60 6" xfId="5458" xr:uid="{00000000-0005-0000-0000-00004F460000}"/>
    <cellStyle name="40% - Accent6 60 6 2" xfId="16746" xr:uid="{00000000-0005-0000-0000-000050460000}"/>
    <cellStyle name="40% - Accent6 60 7" xfId="14752" xr:uid="{00000000-0005-0000-0000-000051460000}"/>
    <cellStyle name="40% - Accent6 60 8" xfId="13438" xr:uid="{00000000-0005-0000-0000-000052460000}"/>
    <cellStyle name="40% - Accent6 61" xfId="1503" xr:uid="{00000000-0005-0000-0000-000053460000}"/>
    <cellStyle name="40% - Accent6 61 2" xfId="4459" xr:uid="{00000000-0005-0000-0000-000054460000}"/>
    <cellStyle name="40% - Accent6 61 2 2" xfId="12438" xr:uid="{00000000-0005-0000-0000-000055460000}"/>
    <cellStyle name="40% - Accent6 61 2 2 2" xfId="23726" xr:uid="{00000000-0005-0000-0000-000056460000}"/>
    <cellStyle name="40% - Accent6 61 2 3" xfId="10444" xr:uid="{00000000-0005-0000-0000-000057460000}"/>
    <cellStyle name="40% - Accent6 61 2 3 2" xfId="21732" xr:uid="{00000000-0005-0000-0000-000058460000}"/>
    <cellStyle name="40% - Accent6 61 2 4" xfId="8450" xr:uid="{00000000-0005-0000-0000-000059460000}"/>
    <cellStyle name="40% - Accent6 61 2 4 2" xfId="19738" xr:uid="{00000000-0005-0000-0000-00005A460000}"/>
    <cellStyle name="40% - Accent6 61 2 5" xfId="6456" xr:uid="{00000000-0005-0000-0000-00005B460000}"/>
    <cellStyle name="40% - Accent6 61 2 5 2" xfId="17744" xr:uid="{00000000-0005-0000-0000-00005C460000}"/>
    <cellStyle name="40% - Accent6 61 2 6" xfId="15750" xr:uid="{00000000-0005-0000-0000-00005D460000}"/>
    <cellStyle name="40% - Accent6 61 3" xfId="11441" xr:uid="{00000000-0005-0000-0000-00005E460000}"/>
    <cellStyle name="40% - Accent6 61 3 2" xfId="22729" xr:uid="{00000000-0005-0000-0000-00005F460000}"/>
    <cellStyle name="40% - Accent6 61 4" xfId="9447" xr:uid="{00000000-0005-0000-0000-000060460000}"/>
    <cellStyle name="40% - Accent6 61 4 2" xfId="20735" xr:uid="{00000000-0005-0000-0000-000061460000}"/>
    <cellStyle name="40% - Accent6 61 5" xfId="7453" xr:uid="{00000000-0005-0000-0000-000062460000}"/>
    <cellStyle name="40% - Accent6 61 5 2" xfId="18741" xr:uid="{00000000-0005-0000-0000-000063460000}"/>
    <cellStyle name="40% - Accent6 61 6" xfId="5459" xr:uid="{00000000-0005-0000-0000-000064460000}"/>
    <cellStyle name="40% - Accent6 61 6 2" xfId="16747" xr:uid="{00000000-0005-0000-0000-000065460000}"/>
    <cellStyle name="40% - Accent6 61 7" xfId="14753" xr:uid="{00000000-0005-0000-0000-000066460000}"/>
    <cellStyle name="40% - Accent6 61 8" xfId="13439" xr:uid="{00000000-0005-0000-0000-000067460000}"/>
    <cellStyle name="40% - Accent6 62" xfId="1504" xr:uid="{00000000-0005-0000-0000-000068460000}"/>
    <cellStyle name="40% - Accent6 62 2" xfId="4460" xr:uid="{00000000-0005-0000-0000-000069460000}"/>
    <cellStyle name="40% - Accent6 62 2 2" xfId="12439" xr:uid="{00000000-0005-0000-0000-00006A460000}"/>
    <cellStyle name="40% - Accent6 62 2 2 2" xfId="23727" xr:uid="{00000000-0005-0000-0000-00006B460000}"/>
    <cellStyle name="40% - Accent6 62 2 3" xfId="10445" xr:uid="{00000000-0005-0000-0000-00006C460000}"/>
    <cellStyle name="40% - Accent6 62 2 3 2" xfId="21733" xr:uid="{00000000-0005-0000-0000-00006D460000}"/>
    <cellStyle name="40% - Accent6 62 2 4" xfId="8451" xr:uid="{00000000-0005-0000-0000-00006E460000}"/>
    <cellStyle name="40% - Accent6 62 2 4 2" xfId="19739" xr:uid="{00000000-0005-0000-0000-00006F460000}"/>
    <cellStyle name="40% - Accent6 62 2 5" xfId="6457" xr:uid="{00000000-0005-0000-0000-000070460000}"/>
    <cellStyle name="40% - Accent6 62 2 5 2" xfId="17745" xr:uid="{00000000-0005-0000-0000-000071460000}"/>
    <cellStyle name="40% - Accent6 62 2 6" xfId="15751" xr:uid="{00000000-0005-0000-0000-000072460000}"/>
    <cellStyle name="40% - Accent6 62 3" xfId="11442" xr:uid="{00000000-0005-0000-0000-000073460000}"/>
    <cellStyle name="40% - Accent6 62 3 2" xfId="22730" xr:uid="{00000000-0005-0000-0000-000074460000}"/>
    <cellStyle name="40% - Accent6 62 4" xfId="9448" xr:uid="{00000000-0005-0000-0000-000075460000}"/>
    <cellStyle name="40% - Accent6 62 4 2" xfId="20736" xr:uid="{00000000-0005-0000-0000-000076460000}"/>
    <cellStyle name="40% - Accent6 62 5" xfId="7454" xr:uid="{00000000-0005-0000-0000-000077460000}"/>
    <cellStyle name="40% - Accent6 62 5 2" xfId="18742" xr:uid="{00000000-0005-0000-0000-000078460000}"/>
    <cellStyle name="40% - Accent6 62 6" xfId="5460" xr:uid="{00000000-0005-0000-0000-000079460000}"/>
    <cellStyle name="40% - Accent6 62 6 2" xfId="16748" xr:uid="{00000000-0005-0000-0000-00007A460000}"/>
    <cellStyle name="40% - Accent6 62 7" xfId="14754" xr:uid="{00000000-0005-0000-0000-00007B460000}"/>
    <cellStyle name="40% - Accent6 62 8" xfId="13440" xr:uid="{00000000-0005-0000-0000-00007C460000}"/>
    <cellStyle name="40% - Accent6 63" xfId="1505" xr:uid="{00000000-0005-0000-0000-00007D460000}"/>
    <cellStyle name="40% - Accent6 63 2" xfId="4461" xr:uid="{00000000-0005-0000-0000-00007E460000}"/>
    <cellStyle name="40% - Accent6 63 2 2" xfId="12440" xr:uid="{00000000-0005-0000-0000-00007F460000}"/>
    <cellStyle name="40% - Accent6 63 2 2 2" xfId="23728" xr:uid="{00000000-0005-0000-0000-000080460000}"/>
    <cellStyle name="40% - Accent6 63 2 3" xfId="10446" xr:uid="{00000000-0005-0000-0000-000081460000}"/>
    <cellStyle name="40% - Accent6 63 2 3 2" xfId="21734" xr:uid="{00000000-0005-0000-0000-000082460000}"/>
    <cellStyle name="40% - Accent6 63 2 4" xfId="8452" xr:uid="{00000000-0005-0000-0000-000083460000}"/>
    <cellStyle name="40% - Accent6 63 2 4 2" xfId="19740" xr:uid="{00000000-0005-0000-0000-000084460000}"/>
    <cellStyle name="40% - Accent6 63 2 5" xfId="6458" xr:uid="{00000000-0005-0000-0000-000085460000}"/>
    <cellStyle name="40% - Accent6 63 2 5 2" xfId="17746" xr:uid="{00000000-0005-0000-0000-000086460000}"/>
    <cellStyle name="40% - Accent6 63 2 6" xfId="15752" xr:uid="{00000000-0005-0000-0000-000087460000}"/>
    <cellStyle name="40% - Accent6 63 3" xfId="11443" xr:uid="{00000000-0005-0000-0000-000088460000}"/>
    <cellStyle name="40% - Accent6 63 3 2" xfId="22731" xr:uid="{00000000-0005-0000-0000-000089460000}"/>
    <cellStyle name="40% - Accent6 63 4" xfId="9449" xr:uid="{00000000-0005-0000-0000-00008A460000}"/>
    <cellStyle name="40% - Accent6 63 4 2" xfId="20737" xr:uid="{00000000-0005-0000-0000-00008B460000}"/>
    <cellStyle name="40% - Accent6 63 5" xfId="7455" xr:uid="{00000000-0005-0000-0000-00008C460000}"/>
    <cellStyle name="40% - Accent6 63 5 2" xfId="18743" xr:uid="{00000000-0005-0000-0000-00008D460000}"/>
    <cellStyle name="40% - Accent6 63 6" xfId="5461" xr:uid="{00000000-0005-0000-0000-00008E460000}"/>
    <cellStyle name="40% - Accent6 63 6 2" xfId="16749" xr:uid="{00000000-0005-0000-0000-00008F460000}"/>
    <cellStyle name="40% - Accent6 63 7" xfId="14755" xr:uid="{00000000-0005-0000-0000-000090460000}"/>
    <cellStyle name="40% - Accent6 63 8" xfId="13441" xr:uid="{00000000-0005-0000-0000-000091460000}"/>
    <cellStyle name="40% - Accent6 64" xfId="1506" xr:uid="{00000000-0005-0000-0000-000092460000}"/>
    <cellStyle name="40% - Accent6 64 2" xfId="4462" xr:uid="{00000000-0005-0000-0000-000093460000}"/>
    <cellStyle name="40% - Accent6 64 2 2" xfId="12441" xr:uid="{00000000-0005-0000-0000-000094460000}"/>
    <cellStyle name="40% - Accent6 64 2 2 2" xfId="23729" xr:uid="{00000000-0005-0000-0000-000095460000}"/>
    <cellStyle name="40% - Accent6 64 2 3" xfId="10447" xr:uid="{00000000-0005-0000-0000-000096460000}"/>
    <cellStyle name="40% - Accent6 64 2 3 2" xfId="21735" xr:uid="{00000000-0005-0000-0000-000097460000}"/>
    <cellStyle name="40% - Accent6 64 2 4" xfId="8453" xr:uid="{00000000-0005-0000-0000-000098460000}"/>
    <cellStyle name="40% - Accent6 64 2 4 2" xfId="19741" xr:uid="{00000000-0005-0000-0000-000099460000}"/>
    <cellStyle name="40% - Accent6 64 2 5" xfId="6459" xr:uid="{00000000-0005-0000-0000-00009A460000}"/>
    <cellStyle name="40% - Accent6 64 2 5 2" xfId="17747" xr:uid="{00000000-0005-0000-0000-00009B460000}"/>
    <cellStyle name="40% - Accent6 64 2 6" xfId="15753" xr:uid="{00000000-0005-0000-0000-00009C460000}"/>
    <cellStyle name="40% - Accent6 64 3" xfId="11444" xr:uid="{00000000-0005-0000-0000-00009D460000}"/>
    <cellStyle name="40% - Accent6 64 3 2" xfId="22732" xr:uid="{00000000-0005-0000-0000-00009E460000}"/>
    <cellStyle name="40% - Accent6 64 4" xfId="9450" xr:uid="{00000000-0005-0000-0000-00009F460000}"/>
    <cellStyle name="40% - Accent6 64 4 2" xfId="20738" xr:uid="{00000000-0005-0000-0000-0000A0460000}"/>
    <cellStyle name="40% - Accent6 64 5" xfId="7456" xr:uid="{00000000-0005-0000-0000-0000A1460000}"/>
    <cellStyle name="40% - Accent6 64 5 2" xfId="18744" xr:uid="{00000000-0005-0000-0000-0000A2460000}"/>
    <cellStyle name="40% - Accent6 64 6" xfId="5462" xr:uid="{00000000-0005-0000-0000-0000A3460000}"/>
    <cellStyle name="40% - Accent6 64 6 2" xfId="16750" xr:uid="{00000000-0005-0000-0000-0000A4460000}"/>
    <cellStyle name="40% - Accent6 64 7" xfId="14756" xr:uid="{00000000-0005-0000-0000-0000A5460000}"/>
    <cellStyle name="40% - Accent6 64 8" xfId="13442" xr:uid="{00000000-0005-0000-0000-0000A6460000}"/>
    <cellStyle name="40% - Accent6 65" xfId="1507" xr:uid="{00000000-0005-0000-0000-0000A7460000}"/>
    <cellStyle name="40% - Accent6 65 2" xfId="4463" xr:uid="{00000000-0005-0000-0000-0000A8460000}"/>
    <cellStyle name="40% - Accent6 65 2 2" xfId="12442" xr:uid="{00000000-0005-0000-0000-0000A9460000}"/>
    <cellStyle name="40% - Accent6 65 2 2 2" xfId="23730" xr:uid="{00000000-0005-0000-0000-0000AA460000}"/>
    <cellStyle name="40% - Accent6 65 2 3" xfId="10448" xr:uid="{00000000-0005-0000-0000-0000AB460000}"/>
    <cellStyle name="40% - Accent6 65 2 3 2" xfId="21736" xr:uid="{00000000-0005-0000-0000-0000AC460000}"/>
    <cellStyle name="40% - Accent6 65 2 4" xfId="8454" xr:uid="{00000000-0005-0000-0000-0000AD460000}"/>
    <cellStyle name="40% - Accent6 65 2 4 2" xfId="19742" xr:uid="{00000000-0005-0000-0000-0000AE460000}"/>
    <cellStyle name="40% - Accent6 65 2 5" xfId="6460" xr:uid="{00000000-0005-0000-0000-0000AF460000}"/>
    <cellStyle name="40% - Accent6 65 2 5 2" xfId="17748" xr:uid="{00000000-0005-0000-0000-0000B0460000}"/>
    <cellStyle name="40% - Accent6 65 2 6" xfId="15754" xr:uid="{00000000-0005-0000-0000-0000B1460000}"/>
    <cellStyle name="40% - Accent6 65 3" xfId="11445" xr:uid="{00000000-0005-0000-0000-0000B2460000}"/>
    <cellStyle name="40% - Accent6 65 3 2" xfId="22733" xr:uid="{00000000-0005-0000-0000-0000B3460000}"/>
    <cellStyle name="40% - Accent6 65 4" xfId="9451" xr:uid="{00000000-0005-0000-0000-0000B4460000}"/>
    <cellStyle name="40% - Accent6 65 4 2" xfId="20739" xr:uid="{00000000-0005-0000-0000-0000B5460000}"/>
    <cellStyle name="40% - Accent6 65 5" xfId="7457" xr:uid="{00000000-0005-0000-0000-0000B6460000}"/>
    <cellStyle name="40% - Accent6 65 5 2" xfId="18745" xr:uid="{00000000-0005-0000-0000-0000B7460000}"/>
    <cellStyle name="40% - Accent6 65 6" xfId="5463" xr:uid="{00000000-0005-0000-0000-0000B8460000}"/>
    <cellStyle name="40% - Accent6 65 6 2" xfId="16751" xr:uid="{00000000-0005-0000-0000-0000B9460000}"/>
    <cellStyle name="40% - Accent6 65 7" xfId="14757" xr:uid="{00000000-0005-0000-0000-0000BA460000}"/>
    <cellStyle name="40% - Accent6 65 8" xfId="13443" xr:uid="{00000000-0005-0000-0000-0000BB460000}"/>
    <cellStyle name="40% - Accent6 66" xfId="1508" xr:uid="{00000000-0005-0000-0000-0000BC460000}"/>
    <cellStyle name="40% - Accent6 66 2" xfId="4464" xr:uid="{00000000-0005-0000-0000-0000BD460000}"/>
    <cellStyle name="40% - Accent6 66 2 2" xfId="12443" xr:uid="{00000000-0005-0000-0000-0000BE460000}"/>
    <cellStyle name="40% - Accent6 66 2 2 2" xfId="23731" xr:uid="{00000000-0005-0000-0000-0000BF460000}"/>
    <cellStyle name="40% - Accent6 66 2 3" xfId="10449" xr:uid="{00000000-0005-0000-0000-0000C0460000}"/>
    <cellStyle name="40% - Accent6 66 2 3 2" xfId="21737" xr:uid="{00000000-0005-0000-0000-0000C1460000}"/>
    <cellStyle name="40% - Accent6 66 2 4" xfId="8455" xr:uid="{00000000-0005-0000-0000-0000C2460000}"/>
    <cellStyle name="40% - Accent6 66 2 4 2" xfId="19743" xr:uid="{00000000-0005-0000-0000-0000C3460000}"/>
    <cellStyle name="40% - Accent6 66 2 5" xfId="6461" xr:uid="{00000000-0005-0000-0000-0000C4460000}"/>
    <cellStyle name="40% - Accent6 66 2 5 2" xfId="17749" xr:uid="{00000000-0005-0000-0000-0000C5460000}"/>
    <cellStyle name="40% - Accent6 66 2 6" xfId="15755" xr:uid="{00000000-0005-0000-0000-0000C6460000}"/>
    <cellStyle name="40% - Accent6 66 3" xfId="11446" xr:uid="{00000000-0005-0000-0000-0000C7460000}"/>
    <cellStyle name="40% - Accent6 66 3 2" xfId="22734" xr:uid="{00000000-0005-0000-0000-0000C8460000}"/>
    <cellStyle name="40% - Accent6 66 4" xfId="9452" xr:uid="{00000000-0005-0000-0000-0000C9460000}"/>
    <cellStyle name="40% - Accent6 66 4 2" xfId="20740" xr:uid="{00000000-0005-0000-0000-0000CA460000}"/>
    <cellStyle name="40% - Accent6 66 5" xfId="7458" xr:uid="{00000000-0005-0000-0000-0000CB460000}"/>
    <cellStyle name="40% - Accent6 66 5 2" xfId="18746" xr:uid="{00000000-0005-0000-0000-0000CC460000}"/>
    <cellStyle name="40% - Accent6 66 6" xfId="5464" xr:uid="{00000000-0005-0000-0000-0000CD460000}"/>
    <cellStyle name="40% - Accent6 66 6 2" xfId="16752" xr:uid="{00000000-0005-0000-0000-0000CE460000}"/>
    <cellStyle name="40% - Accent6 66 7" xfId="14758" xr:uid="{00000000-0005-0000-0000-0000CF460000}"/>
    <cellStyle name="40% - Accent6 66 8" xfId="13444" xr:uid="{00000000-0005-0000-0000-0000D0460000}"/>
    <cellStyle name="40% - Accent6 67" xfId="1509" xr:uid="{00000000-0005-0000-0000-0000D1460000}"/>
    <cellStyle name="40% - Accent6 67 2" xfId="4465" xr:uid="{00000000-0005-0000-0000-0000D2460000}"/>
    <cellStyle name="40% - Accent6 67 2 2" xfId="12444" xr:uid="{00000000-0005-0000-0000-0000D3460000}"/>
    <cellStyle name="40% - Accent6 67 2 2 2" xfId="23732" xr:uid="{00000000-0005-0000-0000-0000D4460000}"/>
    <cellStyle name="40% - Accent6 67 2 3" xfId="10450" xr:uid="{00000000-0005-0000-0000-0000D5460000}"/>
    <cellStyle name="40% - Accent6 67 2 3 2" xfId="21738" xr:uid="{00000000-0005-0000-0000-0000D6460000}"/>
    <cellStyle name="40% - Accent6 67 2 4" xfId="8456" xr:uid="{00000000-0005-0000-0000-0000D7460000}"/>
    <cellStyle name="40% - Accent6 67 2 4 2" xfId="19744" xr:uid="{00000000-0005-0000-0000-0000D8460000}"/>
    <cellStyle name="40% - Accent6 67 2 5" xfId="6462" xr:uid="{00000000-0005-0000-0000-0000D9460000}"/>
    <cellStyle name="40% - Accent6 67 2 5 2" xfId="17750" xr:uid="{00000000-0005-0000-0000-0000DA460000}"/>
    <cellStyle name="40% - Accent6 67 2 6" xfId="15756" xr:uid="{00000000-0005-0000-0000-0000DB460000}"/>
    <cellStyle name="40% - Accent6 67 3" xfId="11447" xr:uid="{00000000-0005-0000-0000-0000DC460000}"/>
    <cellStyle name="40% - Accent6 67 3 2" xfId="22735" xr:uid="{00000000-0005-0000-0000-0000DD460000}"/>
    <cellStyle name="40% - Accent6 67 4" xfId="9453" xr:uid="{00000000-0005-0000-0000-0000DE460000}"/>
    <cellStyle name="40% - Accent6 67 4 2" xfId="20741" xr:uid="{00000000-0005-0000-0000-0000DF460000}"/>
    <cellStyle name="40% - Accent6 67 5" xfId="7459" xr:uid="{00000000-0005-0000-0000-0000E0460000}"/>
    <cellStyle name="40% - Accent6 67 5 2" xfId="18747" xr:uid="{00000000-0005-0000-0000-0000E1460000}"/>
    <cellStyle name="40% - Accent6 67 6" xfId="5465" xr:uid="{00000000-0005-0000-0000-0000E2460000}"/>
    <cellStyle name="40% - Accent6 67 6 2" xfId="16753" xr:uid="{00000000-0005-0000-0000-0000E3460000}"/>
    <cellStyle name="40% - Accent6 67 7" xfId="14759" xr:uid="{00000000-0005-0000-0000-0000E4460000}"/>
    <cellStyle name="40% - Accent6 67 8" xfId="13445" xr:uid="{00000000-0005-0000-0000-0000E5460000}"/>
    <cellStyle name="40% - Accent6 68" xfId="1510" xr:uid="{00000000-0005-0000-0000-0000E6460000}"/>
    <cellStyle name="40% - Accent6 68 2" xfId="4466" xr:uid="{00000000-0005-0000-0000-0000E7460000}"/>
    <cellStyle name="40% - Accent6 68 2 2" xfId="12445" xr:uid="{00000000-0005-0000-0000-0000E8460000}"/>
    <cellStyle name="40% - Accent6 68 2 2 2" xfId="23733" xr:uid="{00000000-0005-0000-0000-0000E9460000}"/>
    <cellStyle name="40% - Accent6 68 2 3" xfId="10451" xr:uid="{00000000-0005-0000-0000-0000EA460000}"/>
    <cellStyle name="40% - Accent6 68 2 3 2" xfId="21739" xr:uid="{00000000-0005-0000-0000-0000EB460000}"/>
    <cellStyle name="40% - Accent6 68 2 4" xfId="8457" xr:uid="{00000000-0005-0000-0000-0000EC460000}"/>
    <cellStyle name="40% - Accent6 68 2 4 2" xfId="19745" xr:uid="{00000000-0005-0000-0000-0000ED460000}"/>
    <cellStyle name="40% - Accent6 68 2 5" xfId="6463" xr:uid="{00000000-0005-0000-0000-0000EE460000}"/>
    <cellStyle name="40% - Accent6 68 2 5 2" xfId="17751" xr:uid="{00000000-0005-0000-0000-0000EF460000}"/>
    <cellStyle name="40% - Accent6 68 2 6" xfId="15757" xr:uid="{00000000-0005-0000-0000-0000F0460000}"/>
    <cellStyle name="40% - Accent6 68 3" xfId="11448" xr:uid="{00000000-0005-0000-0000-0000F1460000}"/>
    <cellStyle name="40% - Accent6 68 3 2" xfId="22736" xr:uid="{00000000-0005-0000-0000-0000F2460000}"/>
    <cellStyle name="40% - Accent6 68 4" xfId="9454" xr:uid="{00000000-0005-0000-0000-0000F3460000}"/>
    <cellStyle name="40% - Accent6 68 4 2" xfId="20742" xr:uid="{00000000-0005-0000-0000-0000F4460000}"/>
    <cellStyle name="40% - Accent6 68 5" xfId="7460" xr:uid="{00000000-0005-0000-0000-0000F5460000}"/>
    <cellStyle name="40% - Accent6 68 5 2" xfId="18748" xr:uid="{00000000-0005-0000-0000-0000F6460000}"/>
    <cellStyle name="40% - Accent6 68 6" xfId="5466" xr:uid="{00000000-0005-0000-0000-0000F7460000}"/>
    <cellStyle name="40% - Accent6 68 6 2" xfId="16754" xr:uid="{00000000-0005-0000-0000-0000F8460000}"/>
    <cellStyle name="40% - Accent6 68 7" xfId="14760" xr:uid="{00000000-0005-0000-0000-0000F9460000}"/>
    <cellStyle name="40% - Accent6 68 8" xfId="13446" xr:uid="{00000000-0005-0000-0000-0000FA460000}"/>
    <cellStyle name="40% - Accent6 69" xfId="1511" xr:uid="{00000000-0005-0000-0000-0000FB460000}"/>
    <cellStyle name="40% - Accent6 69 2" xfId="4467" xr:uid="{00000000-0005-0000-0000-0000FC460000}"/>
    <cellStyle name="40% - Accent6 69 2 2" xfId="12446" xr:uid="{00000000-0005-0000-0000-0000FD460000}"/>
    <cellStyle name="40% - Accent6 69 2 2 2" xfId="23734" xr:uid="{00000000-0005-0000-0000-0000FE460000}"/>
    <cellStyle name="40% - Accent6 69 2 3" xfId="10452" xr:uid="{00000000-0005-0000-0000-0000FF460000}"/>
    <cellStyle name="40% - Accent6 69 2 3 2" xfId="21740" xr:uid="{00000000-0005-0000-0000-000000470000}"/>
    <cellStyle name="40% - Accent6 69 2 4" xfId="8458" xr:uid="{00000000-0005-0000-0000-000001470000}"/>
    <cellStyle name="40% - Accent6 69 2 4 2" xfId="19746" xr:uid="{00000000-0005-0000-0000-000002470000}"/>
    <cellStyle name="40% - Accent6 69 2 5" xfId="6464" xr:uid="{00000000-0005-0000-0000-000003470000}"/>
    <cellStyle name="40% - Accent6 69 2 5 2" xfId="17752" xr:uid="{00000000-0005-0000-0000-000004470000}"/>
    <cellStyle name="40% - Accent6 69 2 6" xfId="15758" xr:uid="{00000000-0005-0000-0000-000005470000}"/>
    <cellStyle name="40% - Accent6 69 3" xfId="11449" xr:uid="{00000000-0005-0000-0000-000006470000}"/>
    <cellStyle name="40% - Accent6 69 3 2" xfId="22737" xr:uid="{00000000-0005-0000-0000-000007470000}"/>
    <cellStyle name="40% - Accent6 69 4" xfId="9455" xr:uid="{00000000-0005-0000-0000-000008470000}"/>
    <cellStyle name="40% - Accent6 69 4 2" xfId="20743" xr:uid="{00000000-0005-0000-0000-000009470000}"/>
    <cellStyle name="40% - Accent6 69 5" xfId="7461" xr:uid="{00000000-0005-0000-0000-00000A470000}"/>
    <cellStyle name="40% - Accent6 69 5 2" xfId="18749" xr:uid="{00000000-0005-0000-0000-00000B470000}"/>
    <cellStyle name="40% - Accent6 69 6" xfId="5467" xr:uid="{00000000-0005-0000-0000-00000C470000}"/>
    <cellStyle name="40% - Accent6 69 6 2" xfId="16755" xr:uid="{00000000-0005-0000-0000-00000D470000}"/>
    <cellStyle name="40% - Accent6 69 7" xfId="14761" xr:uid="{00000000-0005-0000-0000-00000E470000}"/>
    <cellStyle name="40% - Accent6 69 8" xfId="13447" xr:uid="{00000000-0005-0000-0000-00000F470000}"/>
    <cellStyle name="40% - Accent6 7" xfId="1512" xr:uid="{00000000-0005-0000-0000-000010470000}"/>
    <cellStyle name="40% - Accent6 7 10" xfId="24630" xr:uid="{00000000-0005-0000-0000-000011470000}"/>
    <cellStyle name="40% - Accent6 7 11" xfId="25020" xr:uid="{00000000-0005-0000-0000-000012470000}"/>
    <cellStyle name="40% - Accent6 7 2" xfId="4468" xr:uid="{00000000-0005-0000-0000-000013470000}"/>
    <cellStyle name="40% - Accent6 7 2 2" xfId="12447" xr:uid="{00000000-0005-0000-0000-000014470000}"/>
    <cellStyle name="40% - Accent6 7 2 2 2" xfId="23735" xr:uid="{00000000-0005-0000-0000-000015470000}"/>
    <cellStyle name="40% - Accent6 7 2 3" xfId="10453" xr:uid="{00000000-0005-0000-0000-000016470000}"/>
    <cellStyle name="40% - Accent6 7 2 3 2" xfId="21741" xr:uid="{00000000-0005-0000-0000-000017470000}"/>
    <cellStyle name="40% - Accent6 7 2 4" xfId="8459" xr:uid="{00000000-0005-0000-0000-000018470000}"/>
    <cellStyle name="40% - Accent6 7 2 4 2" xfId="19747" xr:uid="{00000000-0005-0000-0000-000019470000}"/>
    <cellStyle name="40% - Accent6 7 2 5" xfId="6465" xr:uid="{00000000-0005-0000-0000-00001A470000}"/>
    <cellStyle name="40% - Accent6 7 2 5 2" xfId="17753" xr:uid="{00000000-0005-0000-0000-00001B470000}"/>
    <cellStyle name="40% - Accent6 7 2 6" xfId="15759" xr:uid="{00000000-0005-0000-0000-00001C470000}"/>
    <cellStyle name="40% - Accent6 7 2 7" xfId="24391" xr:uid="{00000000-0005-0000-0000-00001D470000}"/>
    <cellStyle name="40% - Accent6 7 2 8" xfId="24855" xr:uid="{00000000-0005-0000-0000-00001E470000}"/>
    <cellStyle name="40% - Accent6 7 2 9" xfId="25222" xr:uid="{00000000-0005-0000-0000-00001F470000}"/>
    <cellStyle name="40% - Accent6 7 3" xfId="11450" xr:uid="{00000000-0005-0000-0000-000020470000}"/>
    <cellStyle name="40% - Accent6 7 3 2" xfId="22738" xr:uid="{00000000-0005-0000-0000-000021470000}"/>
    <cellStyle name="40% - Accent6 7 4" xfId="9456" xr:uid="{00000000-0005-0000-0000-000022470000}"/>
    <cellStyle name="40% - Accent6 7 4 2" xfId="20744" xr:uid="{00000000-0005-0000-0000-000023470000}"/>
    <cellStyle name="40% - Accent6 7 5" xfId="7462" xr:uid="{00000000-0005-0000-0000-000024470000}"/>
    <cellStyle name="40% - Accent6 7 5 2" xfId="18750" xr:uid="{00000000-0005-0000-0000-000025470000}"/>
    <cellStyle name="40% - Accent6 7 6" xfId="5468" xr:uid="{00000000-0005-0000-0000-000026470000}"/>
    <cellStyle name="40% - Accent6 7 6 2" xfId="16756" xr:uid="{00000000-0005-0000-0000-000027470000}"/>
    <cellStyle name="40% - Accent6 7 7" xfId="14762" xr:uid="{00000000-0005-0000-0000-000028470000}"/>
    <cellStyle name="40% - Accent6 7 8" xfId="13448" xr:uid="{00000000-0005-0000-0000-000029470000}"/>
    <cellStyle name="40% - Accent6 7 9" xfId="24003" xr:uid="{00000000-0005-0000-0000-00002A470000}"/>
    <cellStyle name="40% - Accent6 70" xfId="1513" xr:uid="{00000000-0005-0000-0000-00002B470000}"/>
    <cellStyle name="40% - Accent6 70 2" xfId="4469" xr:uid="{00000000-0005-0000-0000-00002C470000}"/>
    <cellStyle name="40% - Accent6 70 2 2" xfId="12448" xr:uid="{00000000-0005-0000-0000-00002D470000}"/>
    <cellStyle name="40% - Accent6 70 2 2 2" xfId="23736" xr:uid="{00000000-0005-0000-0000-00002E470000}"/>
    <cellStyle name="40% - Accent6 70 2 3" xfId="10454" xr:uid="{00000000-0005-0000-0000-00002F470000}"/>
    <cellStyle name="40% - Accent6 70 2 3 2" xfId="21742" xr:uid="{00000000-0005-0000-0000-000030470000}"/>
    <cellStyle name="40% - Accent6 70 2 4" xfId="8460" xr:uid="{00000000-0005-0000-0000-000031470000}"/>
    <cellStyle name="40% - Accent6 70 2 4 2" xfId="19748" xr:uid="{00000000-0005-0000-0000-000032470000}"/>
    <cellStyle name="40% - Accent6 70 2 5" xfId="6466" xr:uid="{00000000-0005-0000-0000-000033470000}"/>
    <cellStyle name="40% - Accent6 70 2 5 2" xfId="17754" xr:uid="{00000000-0005-0000-0000-000034470000}"/>
    <cellStyle name="40% - Accent6 70 2 6" xfId="15760" xr:uid="{00000000-0005-0000-0000-000035470000}"/>
    <cellStyle name="40% - Accent6 70 3" xfId="11451" xr:uid="{00000000-0005-0000-0000-000036470000}"/>
    <cellStyle name="40% - Accent6 70 3 2" xfId="22739" xr:uid="{00000000-0005-0000-0000-000037470000}"/>
    <cellStyle name="40% - Accent6 70 4" xfId="9457" xr:uid="{00000000-0005-0000-0000-000038470000}"/>
    <cellStyle name="40% - Accent6 70 4 2" xfId="20745" xr:uid="{00000000-0005-0000-0000-000039470000}"/>
    <cellStyle name="40% - Accent6 70 5" xfId="7463" xr:uid="{00000000-0005-0000-0000-00003A470000}"/>
    <cellStyle name="40% - Accent6 70 5 2" xfId="18751" xr:uid="{00000000-0005-0000-0000-00003B470000}"/>
    <cellStyle name="40% - Accent6 70 6" xfId="5469" xr:uid="{00000000-0005-0000-0000-00003C470000}"/>
    <cellStyle name="40% - Accent6 70 6 2" xfId="16757" xr:uid="{00000000-0005-0000-0000-00003D470000}"/>
    <cellStyle name="40% - Accent6 70 7" xfId="14763" xr:uid="{00000000-0005-0000-0000-00003E470000}"/>
    <cellStyle name="40% - Accent6 70 8" xfId="13449" xr:uid="{00000000-0005-0000-0000-00003F470000}"/>
    <cellStyle name="40% - Accent6 71" xfId="1514" xr:uid="{00000000-0005-0000-0000-000040470000}"/>
    <cellStyle name="40% - Accent6 71 2" xfId="4470" xr:uid="{00000000-0005-0000-0000-000041470000}"/>
    <cellStyle name="40% - Accent6 71 2 2" xfId="12449" xr:uid="{00000000-0005-0000-0000-000042470000}"/>
    <cellStyle name="40% - Accent6 71 2 2 2" xfId="23737" xr:uid="{00000000-0005-0000-0000-000043470000}"/>
    <cellStyle name="40% - Accent6 71 2 3" xfId="10455" xr:uid="{00000000-0005-0000-0000-000044470000}"/>
    <cellStyle name="40% - Accent6 71 2 3 2" xfId="21743" xr:uid="{00000000-0005-0000-0000-000045470000}"/>
    <cellStyle name="40% - Accent6 71 2 4" xfId="8461" xr:uid="{00000000-0005-0000-0000-000046470000}"/>
    <cellStyle name="40% - Accent6 71 2 4 2" xfId="19749" xr:uid="{00000000-0005-0000-0000-000047470000}"/>
    <cellStyle name="40% - Accent6 71 2 5" xfId="6467" xr:uid="{00000000-0005-0000-0000-000048470000}"/>
    <cellStyle name="40% - Accent6 71 2 5 2" xfId="17755" xr:uid="{00000000-0005-0000-0000-000049470000}"/>
    <cellStyle name="40% - Accent6 71 2 6" xfId="15761" xr:uid="{00000000-0005-0000-0000-00004A470000}"/>
    <cellStyle name="40% - Accent6 71 3" xfId="11452" xr:uid="{00000000-0005-0000-0000-00004B470000}"/>
    <cellStyle name="40% - Accent6 71 3 2" xfId="22740" xr:uid="{00000000-0005-0000-0000-00004C470000}"/>
    <cellStyle name="40% - Accent6 71 4" xfId="9458" xr:uid="{00000000-0005-0000-0000-00004D470000}"/>
    <cellStyle name="40% - Accent6 71 4 2" xfId="20746" xr:uid="{00000000-0005-0000-0000-00004E470000}"/>
    <cellStyle name="40% - Accent6 71 5" xfId="7464" xr:uid="{00000000-0005-0000-0000-00004F470000}"/>
    <cellStyle name="40% - Accent6 71 5 2" xfId="18752" xr:uid="{00000000-0005-0000-0000-000050470000}"/>
    <cellStyle name="40% - Accent6 71 6" xfId="5470" xr:uid="{00000000-0005-0000-0000-000051470000}"/>
    <cellStyle name="40% - Accent6 71 6 2" xfId="16758" xr:uid="{00000000-0005-0000-0000-000052470000}"/>
    <cellStyle name="40% - Accent6 71 7" xfId="14764" xr:uid="{00000000-0005-0000-0000-000053470000}"/>
    <cellStyle name="40% - Accent6 71 8" xfId="13450" xr:uid="{00000000-0005-0000-0000-000054470000}"/>
    <cellStyle name="40% - Accent6 72" xfId="1515" xr:uid="{00000000-0005-0000-0000-000055470000}"/>
    <cellStyle name="40% - Accent6 72 2" xfId="4471" xr:uid="{00000000-0005-0000-0000-000056470000}"/>
    <cellStyle name="40% - Accent6 72 2 2" xfId="12450" xr:uid="{00000000-0005-0000-0000-000057470000}"/>
    <cellStyle name="40% - Accent6 72 2 2 2" xfId="23738" xr:uid="{00000000-0005-0000-0000-000058470000}"/>
    <cellStyle name="40% - Accent6 72 2 3" xfId="10456" xr:uid="{00000000-0005-0000-0000-000059470000}"/>
    <cellStyle name="40% - Accent6 72 2 3 2" xfId="21744" xr:uid="{00000000-0005-0000-0000-00005A470000}"/>
    <cellStyle name="40% - Accent6 72 2 4" xfId="8462" xr:uid="{00000000-0005-0000-0000-00005B470000}"/>
    <cellStyle name="40% - Accent6 72 2 4 2" xfId="19750" xr:uid="{00000000-0005-0000-0000-00005C470000}"/>
    <cellStyle name="40% - Accent6 72 2 5" xfId="6468" xr:uid="{00000000-0005-0000-0000-00005D470000}"/>
    <cellStyle name="40% - Accent6 72 2 5 2" xfId="17756" xr:uid="{00000000-0005-0000-0000-00005E470000}"/>
    <cellStyle name="40% - Accent6 72 2 6" xfId="15762" xr:uid="{00000000-0005-0000-0000-00005F470000}"/>
    <cellStyle name="40% - Accent6 72 3" xfId="11453" xr:uid="{00000000-0005-0000-0000-000060470000}"/>
    <cellStyle name="40% - Accent6 72 3 2" xfId="22741" xr:uid="{00000000-0005-0000-0000-000061470000}"/>
    <cellStyle name="40% - Accent6 72 4" xfId="9459" xr:uid="{00000000-0005-0000-0000-000062470000}"/>
    <cellStyle name="40% - Accent6 72 4 2" xfId="20747" xr:uid="{00000000-0005-0000-0000-000063470000}"/>
    <cellStyle name="40% - Accent6 72 5" xfId="7465" xr:uid="{00000000-0005-0000-0000-000064470000}"/>
    <cellStyle name="40% - Accent6 72 5 2" xfId="18753" xr:uid="{00000000-0005-0000-0000-000065470000}"/>
    <cellStyle name="40% - Accent6 72 6" xfId="5471" xr:uid="{00000000-0005-0000-0000-000066470000}"/>
    <cellStyle name="40% - Accent6 72 6 2" xfId="16759" xr:uid="{00000000-0005-0000-0000-000067470000}"/>
    <cellStyle name="40% - Accent6 72 7" xfId="14765" xr:uid="{00000000-0005-0000-0000-000068470000}"/>
    <cellStyle name="40% - Accent6 72 8" xfId="13451" xr:uid="{00000000-0005-0000-0000-000069470000}"/>
    <cellStyle name="40% - Accent6 8" xfId="1516" xr:uid="{00000000-0005-0000-0000-00006A470000}"/>
    <cellStyle name="40% - Accent6 8 2" xfId="4472" xr:uid="{00000000-0005-0000-0000-00006B470000}"/>
    <cellStyle name="40% - Accent6 8 2 2" xfId="12451" xr:uid="{00000000-0005-0000-0000-00006C470000}"/>
    <cellStyle name="40% - Accent6 8 2 2 2" xfId="23739" xr:uid="{00000000-0005-0000-0000-00006D470000}"/>
    <cellStyle name="40% - Accent6 8 2 3" xfId="10457" xr:uid="{00000000-0005-0000-0000-00006E470000}"/>
    <cellStyle name="40% - Accent6 8 2 3 2" xfId="21745" xr:uid="{00000000-0005-0000-0000-00006F470000}"/>
    <cellStyle name="40% - Accent6 8 2 4" xfId="8463" xr:uid="{00000000-0005-0000-0000-000070470000}"/>
    <cellStyle name="40% - Accent6 8 2 4 2" xfId="19751" xr:uid="{00000000-0005-0000-0000-000071470000}"/>
    <cellStyle name="40% - Accent6 8 2 5" xfId="6469" xr:uid="{00000000-0005-0000-0000-000072470000}"/>
    <cellStyle name="40% - Accent6 8 2 5 2" xfId="17757" xr:uid="{00000000-0005-0000-0000-000073470000}"/>
    <cellStyle name="40% - Accent6 8 2 6" xfId="15763" xr:uid="{00000000-0005-0000-0000-000074470000}"/>
    <cellStyle name="40% - Accent6 8 3" xfId="11454" xr:uid="{00000000-0005-0000-0000-000075470000}"/>
    <cellStyle name="40% - Accent6 8 3 2" xfId="22742" xr:uid="{00000000-0005-0000-0000-000076470000}"/>
    <cellStyle name="40% - Accent6 8 4" xfId="9460" xr:uid="{00000000-0005-0000-0000-000077470000}"/>
    <cellStyle name="40% - Accent6 8 4 2" xfId="20748" xr:uid="{00000000-0005-0000-0000-000078470000}"/>
    <cellStyle name="40% - Accent6 8 5" xfId="7466" xr:uid="{00000000-0005-0000-0000-000079470000}"/>
    <cellStyle name="40% - Accent6 8 5 2" xfId="18754" xr:uid="{00000000-0005-0000-0000-00007A470000}"/>
    <cellStyle name="40% - Accent6 8 6" xfId="5472" xr:uid="{00000000-0005-0000-0000-00007B470000}"/>
    <cellStyle name="40% - Accent6 8 6 2" xfId="16760" xr:uid="{00000000-0005-0000-0000-00007C470000}"/>
    <cellStyle name="40% - Accent6 8 7" xfId="14766" xr:uid="{00000000-0005-0000-0000-00007D470000}"/>
    <cellStyle name="40% - Accent6 8 8" xfId="13452" xr:uid="{00000000-0005-0000-0000-00007E470000}"/>
    <cellStyle name="40% - Accent6 9" xfId="1517" xr:uid="{00000000-0005-0000-0000-00007F470000}"/>
    <cellStyle name="40% - Accent6 9 2" xfId="4473" xr:uid="{00000000-0005-0000-0000-000080470000}"/>
    <cellStyle name="40% - Accent6 9 2 2" xfId="12452" xr:uid="{00000000-0005-0000-0000-000081470000}"/>
    <cellStyle name="40% - Accent6 9 2 2 2" xfId="23740" xr:uid="{00000000-0005-0000-0000-000082470000}"/>
    <cellStyle name="40% - Accent6 9 2 3" xfId="10458" xr:uid="{00000000-0005-0000-0000-000083470000}"/>
    <cellStyle name="40% - Accent6 9 2 3 2" xfId="21746" xr:uid="{00000000-0005-0000-0000-000084470000}"/>
    <cellStyle name="40% - Accent6 9 2 4" xfId="8464" xr:uid="{00000000-0005-0000-0000-000085470000}"/>
    <cellStyle name="40% - Accent6 9 2 4 2" xfId="19752" xr:uid="{00000000-0005-0000-0000-000086470000}"/>
    <cellStyle name="40% - Accent6 9 2 5" xfId="6470" xr:uid="{00000000-0005-0000-0000-000087470000}"/>
    <cellStyle name="40% - Accent6 9 2 5 2" xfId="17758" xr:uid="{00000000-0005-0000-0000-000088470000}"/>
    <cellStyle name="40% - Accent6 9 2 6" xfId="15764" xr:uid="{00000000-0005-0000-0000-000089470000}"/>
    <cellStyle name="40% - Accent6 9 3" xfId="11455" xr:uid="{00000000-0005-0000-0000-00008A470000}"/>
    <cellStyle name="40% - Accent6 9 3 2" xfId="22743" xr:uid="{00000000-0005-0000-0000-00008B470000}"/>
    <cellStyle name="40% - Accent6 9 4" xfId="9461" xr:uid="{00000000-0005-0000-0000-00008C470000}"/>
    <cellStyle name="40% - Accent6 9 4 2" xfId="20749" xr:uid="{00000000-0005-0000-0000-00008D470000}"/>
    <cellStyle name="40% - Accent6 9 5" xfId="7467" xr:uid="{00000000-0005-0000-0000-00008E470000}"/>
    <cellStyle name="40% - Accent6 9 5 2" xfId="18755" xr:uid="{00000000-0005-0000-0000-00008F470000}"/>
    <cellStyle name="40% - Accent6 9 6" xfId="5473" xr:uid="{00000000-0005-0000-0000-000090470000}"/>
    <cellStyle name="40% - Accent6 9 6 2" xfId="16761" xr:uid="{00000000-0005-0000-0000-000091470000}"/>
    <cellStyle name="40% - Accent6 9 7" xfId="14767" xr:uid="{00000000-0005-0000-0000-000092470000}"/>
    <cellStyle name="40% - Accent6 9 8" xfId="13453" xr:uid="{00000000-0005-0000-0000-000093470000}"/>
    <cellStyle name="60% - Accent1 10" xfId="1518" xr:uid="{00000000-0005-0000-0000-000094470000}"/>
    <cellStyle name="60% - Accent1 11" xfId="1519" xr:uid="{00000000-0005-0000-0000-000095470000}"/>
    <cellStyle name="60% - Accent1 12" xfId="1520" xr:uid="{00000000-0005-0000-0000-000096470000}"/>
    <cellStyle name="60% - Accent1 13" xfId="1521" xr:uid="{00000000-0005-0000-0000-000097470000}"/>
    <cellStyle name="60% - Accent1 14" xfId="1522" xr:uid="{00000000-0005-0000-0000-000098470000}"/>
    <cellStyle name="60% - Accent1 15" xfId="1523" xr:uid="{00000000-0005-0000-0000-000099470000}"/>
    <cellStyle name="60% - Accent1 16" xfId="1524" xr:uid="{00000000-0005-0000-0000-00009A470000}"/>
    <cellStyle name="60% - Accent1 17" xfId="1525" xr:uid="{00000000-0005-0000-0000-00009B470000}"/>
    <cellStyle name="60% - Accent1 18" xfId="1526" xr:uid="{00000000-0005-0000-0000-00009C470000}"/>
    <cellStyle name="60% - Accent1 19" xfId="1527" xr:uid="{00000000-0005-0000-0000-00009D470000}"/>
    <cellStyle name="60% - Accent1 2" xfId="1528" xr:uid="{00000000-0005-0000-0000-00009E470000}"/>
    <cellStyle name="60% - Accent1 20" xfId="1529" xr:uid="{00000000-0005-0000-0000-00009F470000}"/>
    <cellStyle name="60% - Accent1 21" xfId="1530" xr:uid="{00000000-0005-0000-0000-0000A0470000}"/>
    <cellStyle name="60% - Accent1 22" xfId="1531" xr:uid="{00000000-0005-0000-0000-0000A1470000}"/>
    <cellStyle name="60% - Accent1 23" xfId="1532" xr:uid="{00000000-0005-0000-0000-0000A2470000}"/>
    <cellStyle name="60% - Accent1 24" xfId="1533" xr:uid="{00000000-0005-0000-0000-0000A3470000}"/>
    <cellStyle name="60% - Accent1 25" xfId="1534" xr:uid="{00000000-0005-0000-0000-0000A4470000}"/>
    <cellStyle name="60% - Accent1 26" xfId="1535" xr:uid="{00000000-0005-0000-0000-0000A5470000}"/>
    <cellStyle name="60% - Accent1 27" xfId="1536" xr:uid="{00000000-0005-0000-0000-0000A6470000}"/>
    <cellStyle name="60% - Accent1 28" xfId="1537" xr:uid="{00000000-0005-0000-0000-0000A7470000}"/>
    <cellStyle name="60% - Accent1 29" xfId="1538" xr:uid="{00000000-0005-0000-0000-0000A8470000}"/>
    <cellStyle name="60% - Accent1 3" xfId="1539" xr:uid="{00000000-0005-0000-0000-0000A9470000}"/>
    <cellStyle name="60% - Accent1 30" xfId="1540" xr:uid="{00000000-0005-0000-0000-0000AA470000}"/>
    <cellStyle name="60% - Accent1 31" xfId="1541" xr:uid="{00000000-0005-0000-0000-0000AB470000}"/>
    <cellStyle name="60% - Accent1 32" xfId="1542" xr:uid="{00000000-0005-0000-0000-0000AC470000}"/>
    <cellStyle name="60% - Accent1 33" xfId="1543" xr:uid="{00000000-0005-0000-0000-0000AD470000}"/>
    <cellStyle name="60% - Accent1 34" xfId="1544" xr:uid="{00000000-0005-0000-0000-0000AE470000}"/>
    <cellStyle name="60% - Accent1 35" xfId="1545" xr:uid="{00000000-0005-0000-0000-0000AF470000}"/>
    <cellStyle name="60% - Accent1 36" xfId="1546" xr:uid="{00000000-0005-0000-0000-0000B0470000}"/>
    <cellStyle name="60% - Accent1 37" xfId="1547" xr:uid="{00000000-0005-0000-0000-0000B1470000}"/>
    <cellStyle name="60% - Accent1 38" xfId="1548" xr:uid="{00000000-0005-0000-0000-0000B2470000}"/>
    <cellStyle name="60% - Accent1 39" xfId="1549" xr:uid="{00000000-0005-0000-0000-0000B3470000}"/>
    <cellStyle name="60% - Accent1 4" xfId="1550" xr:uid="{00000000-0005-0000-0000-0000B4470000}"/>
    <cellStyle name="60% - Accent1 40" xfId="1551" xr:uid="{00000000-0005-0000-0000-0000B5470000}"/>
    <cellStyle name="60% - Accent1 41" xfId="1552" xr:uid="{00000000-0005-0000-0000-0000B6470000}"/>
    <cellStyle name="60% - Accent1 42" xfId="1553" xr:uid="{00000000-0005-0000-0000-0000B7470000}"/>
    <cellStyle name="60% - Accent1 43" xfId="1554" xr:uid="{00000000-0005-0000-0000-0000B8470000}"/>
    <cellStyle name="60% - Accent1 44" xfId="1555" xr:uid="{00000000-0005-0000-0000-0000B9470000}"/>
    <cellStyle name="60% - Accent1 45" xfId="1556" xr:uid="{00000000-0005-0000-0000-0000BA470000}"/>
    <cellStyle name="60% - Accent1 46" xfId="1557" xr:uid="{00000000-0005-0000-0000-0000BB470000}"/>
    <cellStyle name="60% - Accent1 47" xfId="1558" xr:uid="{00000000-0005-0000-0000-0000BC470000}"/>
    <cellStyle name="60% - Accent1 48" xfId="1559" xr:uid="{00000000-0005-0000-0000-0000BD470000}"/>
    <cellStyle name="60% - Accent1 49" xfId="1560" xr:uid="{00000000-0005-0000-0000-0000BE470000}"/>
    <cellStyle name="60% - Accent1 5" xfId="1561" xr:uid="{00000000-0005-0000-0000-0000BF470000}"/>
    <cellStyle name="60% - Accent1 50" xfId="1562" xr:uid="{00000000-0005-0000-0000-0000C0470000}"/>
    <cellStyle name="60% - Accent1 51" xfId="1563" xr:uid="{00000000-0005-0000-0000-0000C1470000}"/>
    <cellStyle name="60% - Accent1 52" xfId="1564" xr:uid="{00000000-0005-0000-0000-0000C2470000}"/>
    <cellStyle name="60% - Accent1 53" xfId="1565" xr:uid="{00000000-0005-0000-0000-0000C3470000}"/>
    <cellStyle name="60% - Accent1 54" xfId="1566" xr:uid="{00000000-0005-0000-0000-0000C4470000}"/>
    <cellStyle name="60% - Accent1 55" xfId="1567" xr:uid="{00000000-0005-0000-0000-0000C5470000}"/>
    <cellStyle name="60% - Accent1 56" xfId="1568" xr:uid="{00000000-0005-0000-0000-0000C6470000}"/>
    <cellStyle name="60% - Accent1 57" xfId="1569" xr:uid="{00000000-0005-0000-0000-0000C7470000}"/>
    <cellStyle name="60% - Accent1 58" xfId="1570" xr:uid="{00000000-0005-0000-0000-0000C8470000}"/>
    <cellStyle name="60% - Accent1 59" xfId="1571" xr:uid="{00000000-0005-0000-0000-0000C9470000}"/>
    <cellStyle name="60% - Accent1 6" xfId="1572" xr:uid="{00000000-0005-0000-0000-0000CA470000}"/>
    <cellStyle name="60% - Accent1 60" xfId="1573" xr:uid="{00000000-0005-0000-0000-0000CB470000}"/>
    <cellStyle name="60% - Accent1 61" xfId="1574" xr:uid="{00000000-0005-0000-0000-0000CC470000}"/>
    <cellStyle name="60% - Accent1 62" xfId="1575" xr:uid="{00000000-0005-0000-0000-0000CD470000}"/>
    <cellStyle name="60% - Accent1 63" xfId="1576" xr:uid="{00000000-0005-0000-0000-0000CE470000}"/>
    <cellStyle name="60% - Accent1 64" xfId="1577" xr:uid="{00000000-0005-0000-0000-0000CF470000}"/>
    <cellStyle name="60% - Accent1 65" xfId="1578" xr:uid="{00000000-0005-0000-0000-0000D0470000}"/>
    <cellStyle name="60% - Accent1 66" xfId="1579" xr:uid="{00000000-0005-0000-0000-0000D1470000}"/>
    <cellStyle name="60% - Accent1 67" xfId="1580" xr:uid="{00000000-0005-0000-0000-0000D2470000}"/>
    <cellStyle name="60% - Accent1 68" xfId="1581" xr:uid="{00000000-0005-0000-0000-0000D3470000}"/>
    <cellStyle name="60% - Accent1 69" xfId="1582" xr:uid="{00000000-0005-0000-0000-0000D4470000}"/>
    <cellStyle name="60% - Accent1 7" xfId="1583" xr:uid="{00000000-0005-0000-0000-0000D5470000}"/>
    <cellStyle name="60% - Accent1 70" xfId="1584" xr:uid="{00000000-0005-0000-0000-0000D6470000}"/>
    <cellStyle name="60% - Accent1 71" xfId="1585" xr:uid="{00000000-0005-0000-0000-0000D7470000}"/>
    <cellStyle name="60% - Accent1 72" xfId="1586" xr:uid="{00000000-0005-0000-0000-0000D8470000}"/>
    <cellStyle name="60% - Accent1 8" xfId="1587" xr:uid="{00000000-0005-0000-0000-0000D9470000}"/>
    <cellStyle name="60% - Accent1 9" xfId="1588" xr:uid="{00000000-0005-0000-0000-0000DA470000}"/>
    <cellStyle name="60% - Accent2 10" xfId="1589" xr:uid="{00000000-0005-0000-0000-0000DB470000}"/>
    <cellStyle name="60% - Accent2 11" xfId="1590" xr:uid="{00000000-0005-0000-0000-0000DC470000}"/>
    <cellStyle name="60% - Accent2 12" xfId="1591" xr:uid="{00000000-0005-0000-0000-0000DD470000}"/>
    <cellStyle name="60% - Accent2 13" xfId="1592" xr:uid="{00000000-0005-0000-0000-0000DE470000}"/>
    <cellStyle name="60% - Accent2 14" xfId="1593" xr:uid="{00000000-0005-0000-0000-0000DF470000}"/>
    <cellStyle name="60% - Accent2 15" xfId="1594" xr:uid="{00000000-0005-0000-0000-0000E0470000}"/>
    <cellStyle name="60% - Accent2 16" xfId="1595" xr:uid="{00000000-0005-0000-0000-0000E1470000}"/>
    <cellStyle name="60% - Accent2 17" xfId="1596" xr:uid="{00000000-0005-0000-0000-0000E2470000}"/>
    <cellStyle name="60% - Accent2 18" xfId="1597" xr:uid="{00000000-0005-0000-0000-0000E3470000}"/>
    <cellStyle name="60% - Accent2 19" xfId="1598" xr:uid="{00000000-0005-0000-0000-0000E4470000}"/>
    <cellStyle name="60% - Accent2 2" xfId="1599" xr:uid="{00000000-0005-0000-0000-0000E5470000}"/>
    <cellStyle name="60% - Accent2 20" xfId="1600" xr:uid="{00000000-0005-0000-0000-0000E6470000}"/>
    <cellStyle name="60% - Accent2 21" xfId="1601" xr:uid="{00000000-0005-0000-0000-0000E7470000}"/>
    <cellStyle name="60% - Accent2 22" xfId="1602" xr:uid="{00000000-0005-0000-0000-0000E8470000}"/>
    <cellStyle name="60% - Accent2 23" xfId="1603" xr:uid="{00000000-0005-0000-0000-0000E9470000}"/>
    <cellStyle name="60% - Accent2 24" xfId="1604" xr:uid="{00000000-0005-0000-0000-0000EA470000}"/>
    <cellStyle name="60% - Accent2 25" xfId="1605" xr:uid="{00000000-0005-0000-0000-0000EB470000}"/>
    <cellStyle name="60% - Accent2 26" xfId="1606" xr:uid="{00000000-0005-0000-0000-0000EC470000}"/>
    <cellStyle name="60% - Accent2 27" xfId="1607" xr:uid="{00000000-0005-0000-0000-0000ED470000}"/>
    <cellStyle name="60% - Accent2 28" xfId="1608" xr:uid="{00000000-0005-0000-0000-0000EE470000}"/>
    <cellStyle name="60% - Accent2 29" xfId="1609" xr:uid="{00000000-0005-0000-0000-0000EF470000}"/>
    <cellStyle name="60% - Accent2 3" xfId="1610" xr:uid="{00000000-0005-0000-0000-0000F0470000}"/>
    <cellStyle name="60% - Accent2 30" xfId="1611" xr:uid="{00000000-0005-0000-0000-0000F1470000}"/>
    <cellStyle name="60% - Accent2 31" xfId="1612" xr:uid="{00000000-0005-0000-0000-0000F2470000}"/>
    <cellStyle name="60% - Accent2 32" xfId="1613" xr:uid="{00000000-0005-0000-0000-0000F3470000}"/>
    <cellStyle name="60% - Accent2 33" xfId="1614" xr:uid="{00000000-0005-0000-0000-0000F4470000}"/>
    <cellStyle name="60% - Accent2 34" xfId="1615" xr:uid="{00000000-0005-0000-0000-0000F5470000}"/>
    <cellStyle name="60% - Accent2 35" xfId="1616" xr:uid="{00000000-0005-0000-0000-0000F6470000}"/>
    <cellStyle name="60% - Accent2 36" xfId="1617" xr:uid="{00000000-0005-0000-0000-0000F7470000}"/>
    <cellStyle name="60% - Accent2 37" xfId="1618" xr:uid="{00000000-0005-0000-0000-0000F8470000}"/>
    <cellStyle name="60% - Accent2 38" xfId="1619" xr:uid="{00000000-0005-0000-0000-0000F9470000}"/>
    <cellStyle name="60% - Accent2 39" xfId="1620" xr:uid="{00000000-0005-0000-0000-0000FA470000}"/>
    <cellStyle name="60% - Accent2 4" xfId="1621" xr:uid="{00000000-0005-0000-0000-0000FB470000}"/>
    <cellStyle name="60% - Accent2 40" xfId="1622" xr:uid="{00000000-0005-0000-0000-0000FC470000}"/>
    <cellStyle name="60% - Accent2 41" xfId="1623" xr:uid="{00000000-0005-0000-0000-0000FD470000}"/>
    <cellStyle name="60% - Accent2 42" xfId="1624" xr:uid="{00000000-0005-0000-0000-0000FE470000}"/>
    <cellStyle name="60% - Accent2 43" xfId="1625" xr:uid="{00000000-0005-0000-0000-0000FF470000}"/>
    <cellStyle name="60% - Accent2 44" xfId="1626" xr:uid="{00000000-0005-0000-0000-000000480000}"/>
    <cellStyle name="60% - Accent2 45" xfId="1627" xr:uid="{00000000-0005-0000-0000-000001480000}"/>
    <cellStyle name="60% - Accent2 46" xfId="1628" xr:uid="{00000000-0005-0000-0000-000002480000}"/>
    <cellStyle name="60% - Accent2 47" xfId="1629" xr:uid="{00000000-0005-0000-0000-000003480000}"/>
    <cellStyle name="60% - Accent2 48" xfId="1630" xr:uid="{00000000-0005-0000-0000-000004480000}"/>
    <cellStyle name="60% - Accent2 49" xfId="1631" xr:uid="{00000000-0005-0000-0000-000005480000}"/>
    <cellStyle name="60% - Accent2 5" xfId="1632" xr:uid="{00000000-0005-0000-0000-000006480000}"/>
    <cellStyle name="60% - Accent2 50" xfId="1633" xr:uid="{00000000-0005-0000-0000-000007480000}"/>
    <cellStyle name="60% - Accent2 51" xfId="1634" xr:uid="{00000000-0005-0000-0000-000008480000}"/>
    <cellStyle name="60% - Accent2 52" xfId="1635" xr:uid="{00000000-0005-0000-0000-000009480000}"/>
    <cellStyle name="60% - Accent2 53" xfId="1636" xr:uid="{00000000-0005-0000-0000-00000A480000}"/>
    <cellStyle name="60% - Accent2 54" xfId="1637" xr:uid="{00000000-0005-0000-0000-00000B480000}"/>
    <cellStyle name="60% - Accent2 55" xfId="1638" xr:uid="{00000000-0005-0000-0000-00000C480000}"/>
    <cellStyle name="60% - Accent2 56" xfId="1639" xr:uid="{00000000-0005-0000-0000-00000D480000}"/>
    <cellStyle name="60% - Accent2 57" xfId="1640" xr:uid="{00000000-0005-0000-0000-00000E480000}"/>
    <cellStyle name="60% - Accent2 58" xfId="1641" xr:uid="{00000000-0005-0000-0000-00000F480000}"/>
    <cellStyle name="60% - Accent2 59" xfId="1642" xr:uid="{00000000-0005-0000-0000-000010480000}"/>
    <cellStyle name="60% - Accent2 6" xfId="1643" xr:uid="{00000000-0005-0000-0000-000011480000}"/>
    <cellStyle name="60% - Accent2 60" xfId="1644" xr:uid="{00000000-0005-0000-0000-000012480000}"/>
    <cellStyle name="60% - Accent2 61" xfId="1645" xr:uid="{00000000-0005-0000-0000-000013480000}"/>
    <cellStyle name="60% - Accent2 62" xfId="1646" xr:uid="{00000000-0005-0000-0000-000014480000}"/>
    <cellStyle name="60% - Accent2 63" xfId="1647" xr:uid="{00000000-0005-0000-0000-000015480000}"/>
    <cellStyle name="60% - Accent2 64" xfId="1648" xr:uid="{00000000-0005-0000-0000-000016480000}"/>
    <cellStyle name="60% - Accent2 65" xfId="1649" xr:uid="{00000000-0005-0000-0000-000017480000}"/>
    <cellStyle name="60% - Accent2 66" xfId="1650" xr:uid="{00000000-0005-0000-0000-000018480000}"/>
    <cellStyle name="60% - Accent2 67" xfId="1651" xr:uid="{00000000-0005-0000-0000-000019480000}"/>
    <cellStyle name="60% - Accent2 68" xfId="1652" xr:uid="{00000000-0005-0000-0000-00001A480000}"/>
    <cellStyle name="60% - Accent2 69" xfId="1653" xr:uid="{00000000-0005-0000-0000-00001B480000}"/>
    <cellStyle name="60% - Accent2 7" xfId="1654" xr:uid="{00000000-0005-0000-0000-00001C480000}"/>
    <cellStyle name="60% - Accent2 70" xfId="1655" xr:uid="{00000000-0005-0000-0000-00001D480000}"/>
    <cellStyle name="60% - Accent2 71" xfId="1656" xr:uid="{00000000-0005-0000-0000-00001E480000}"/>
    <cellStyle name="60% - Accent2 72" xfId="1657" xr:uid="{00000000-0005-0000-0000-00001F480000}"/>
    <cellStyle name="60% - Accent2 8" xfId="1658" xr:uid="{00000000-0005-0000-0000-000020480000}"/>
    <cellStyle name="60% - Accent2 9" xfId="1659" xr:uid="{00000000-0005-0000-0000-000021480000}"/>
    <cellStyle name="60% - Accent3 10" xfId="1660" xr:uid="{00000000-0005-0000-0000-000022480000}"/>
    <cellStyle name="60% - Accent3 11" xfId="1661" xr:uid="{00000000-0005-0000-0000-000023480000}"/>
    <cellStyle name="60% - Accent3 12" xfId="1662" xr:uid="{00000000-0005-0000-0000-000024480000}"/>
    <cellStyle name="60% - Accent3 13" xfId="1663" xr:uid="{00000000-0005-0000-0000-000025480000}"/>
    <cellStyle name="60% - Accent3 14" xfId="1664" xr:uid="{00000000-0005-0000-0000-000026480000}"/>
    <cellStyle name="60% - Accent3 15" xfId="1665" xr:uid="{00000000-0005-0000-0000-000027480000}"/>
    <cellStyle name="60% - Accent3 16" xfId="1666" xr:uid="{00000000-0005-0000-0000-000028480000}"/>
    <cellStyle name="60% - Accent3 17" xfId="1667" xr:uid="{00000000-0005-0000-0000-000029480000}"/>
    <cellStyle name="60% - Accent3 18" xfId="1668" xr:uid="{00000000-0005-0000-0000-00002A480000}"/>
    <cellStyle name="60% - Accent3 19" xfId="1669" xr:uid="{00000000-0005-0000-0000-00002B480000}"/>
    <cellStyle name="60% - Accent3 2" xfId="1670" xr:uid="{00000000-0005-0000-0000-00002C480000}"/>
    <cellStyle name="60% - Accent3 20" xfId="1671" xr:uid="{00000000-0005-0000-0000-00002D480000}"/>
    <cellStyle name="60% - Accent3 21" xfId="1672" xr:uid="{00000000-0005-0000-0000-00002E480000}"/>
    <cellStyle name="60% - Accent3 22" xfId="1673" xr:uid="{00000000-0005-0000-0000-00002F480000}"/>
    <cellStyle name="60% - Accent3 23" xfId="1674" xr:uid="{00000000-0005-0000-0000-000030480000}"/>
    <cellStyle name="60% - Accent3 24" xfId="1675" xr:uid="{00000000-0005-0000-0000-000031480000}"/>
    <cellStyle name="60% - Accent3 25" xfId="1676" xr:uid="{00000000-0005-0000-0000-000032480000}"/>
    <cellStyle name="60% - Accent3 26" xfId="1677" xr:uid="{00000000-0005-0000-0000-000033480000}"/>
    <cellStyle name="60% - Accent3 27" xfId="1678" xr:uid="{00000000-0005-0000-0000-000034480000}"/>
    <cellStyle name="60% - Accent3 28" xfId="1679" xr:uid="{00000000-0005-0000-0000-000035480000}"/>
    <cellStyle name="60% - Accent3 29" xfId="1680" xr:uid="{00000000-0005-0000-0000-000036480000}"/>
    <cellStyle name="60% - Accent3 3" xfId="1681" xr:uid="{00000000-0005-0000-0000-000037480000}"/>
    <cellStyle name="60% - Accent3 30" xfId="1682" xr:uid="{00000000-0005-0000-0000-000038480000}"/>
    <cellStyle name="60% - Accent3 31" xfId="1683" xr:uid="{00000000-0005-0000-0000-000039480000}"/>
    <cellStyle name="60% - Accent3 32" xfId="1684" xr:uid="{00000000-0005-0000-0000-00003A480000}"/>
    <cellStyle name="60% - Accent3 33" xfId="1685" xr:uid="{00000000-0005-0000-0000-00003B480000}"/>
    <cellStyle name="60% - Accent3 34" xfId="1686" xr:uid="{00000000-0005-0000-0000-00003C480000}"/>
    <cellStyle name="60% - Accent3 35" xfId="1687" xr:uid="{00000000-0005-0000-0000-00003D480000}"/>
    <cellStyle name="60% - Accent3 36" xfId="1688" xr:uid="{00000000-0005-0000-0000-00003E480000}"/>
    <cellStyle name="60% - Accent3 37" xfId="1689" xr:uid="{00000000-0005-0000-0000-00003F480000}"/>
    <cellStyle name="60% - Accent3 38" xfId="1690" xr:uid="{00000000-0005-0000-0000-000040480000}"/>
    <cellStyle name="60% - Accent3 39" xfId="1691" xr:uid="{00000000-0005-0000-0000-000041480000}"/>
    <cellStyle name="60% - Accent3 4" xfId="1692" xr:uid="{00000000-0005-0000-0000-000042480000}"/>
    <cellStyle name="60% - Accent3 40" xfId="1693" xr:uid="{00000000-0005-0000-0000-000043480000}"/>
    <cellStyle name="60% - Accent3 41" xfId="1694" xr:uid="{00000000-0005-0000-0000-000044480000}"/>
    <cellStyle name="60% - Accent3 42" xfId="1695" xr:uid="{00000000-0005-0000-0000-000045480000}"/>
    <cellStyle name="60% - Accent3 43" xfId="1696" xr:uid="{00000000-0005-0000-0000-000046480000}"/>
    <cellStyle name="60% - Accent3 44" xfId="1697" xr:uid="{00000000-0005-0000-0000-000047480000}"/>
    <cellStyle name="60% - Accent3 45" xfId="1698" xr:uid="{00000000-0005-0000-0000-000048480000}"/>
    <cellStyle name="60% - Accent3 46" xfId="1699" xr:uid="{00000000-0005-0000-0000-000049480000}"/>
    <cellStyle name="60% - Accent3 47" xfId="1700" xr:uid="{00000000-0005-0000-0000-00004A480000}"/>
    <cellStyle name="60% - Accent3 48" xfId="1701" xr:uid="{00000000-0005-0000-0000-00004B480000}"/>
    <cellStyle name="60% - Accent3 49" xfId="1702" xr:uid="{00000000-0005-0000-0000-00004C480000}"/>
    <cellStyle name="60% - Accent3 5" xfId="1703" xr:uid="{00000000-0005-0000-0000-00004D480000}"/>
    <cellStyle name="60% - Accent3 50" xfId="1704" xr:uid="{00000000-0005-0000-0000-00004E480000}"/>
    <cellStyle name="60% - Accent3 51" xfId="1705" xr:uid="{00000000-0005-0000-0000-00004F480000}"/>
    <cellStyle name="60% - Accent3 52" xfId="1706" xr:uid="{00000000-0005-0000-0000-000050480000}"/>
    <cellStyle name="60% - Accent3 53" xfId="1707" xr:uid="{00000000-0005-0000-0000-000051480000}"/>
    <cellStyle name="60% - Accent3 54" xfId="1708" xr:uid="{00000000-0005-0000-0000-000052480000}"/>
    <cellStyle name="60% - Accent3 55" xfId="1709" xr:uid="{00000000-0005-0000-0000-000053480000}"/>
    <cellStyle name="60% - Accent3 56" xfId="1710" xr:uid="{00000000-0005-0000-0000-000054480000}"/>
    <cellStyle name="60% - Accent3 57" xfId="1711" xr:uid="{00000000-0005-0000-0000-000055480000}"/>
    <cellStyle name="60% - Accent3 58" xfId="1712" xr:uid="{00000000-0005-0000-0000-000056480000}"/>
    <cellStyle name="60% - Accent3 59" xfId="1713" xr:uid="{00000000-0005-0000-0000-000057480000}"/>
    <cellStyle name="60% - Accent3 6" xfId="1714" xr:uid="{00000000-0005-0000-0000-000058480000}"/>
    <cellStyle name="60% - Accent3 60" xfId="1715" xr:uid="{00000000-0005-0000-0000-000059480000}"/>
    <cellStyle name="60% - Accent3 61" xfId="1716" xr:uid="{00000000-0005-0000-0000-00005A480000}"/>
    <cellStyle name="60% - Accent3 62" xfId="1717" xr:uid="{00000000-0005-0000-0000-00005B480000}"/>
    <cellStyle name="60% - Accent3 63" xfId="1718" xr:uid="{00000000-0005-0000-0000-00005C480000}"/>
    <cellStyle name="60% - Accent3 64" xfId="1719" xr:uid="{00000000-0005-0000-0000-00005D480000}"/>
    <cellStyle name="60% - Accent3 65" xfId="1720" xr:uid="{00000000-0005-0000-0000-00005E480000}"/>
    <cellStyle name="60% - Accent3 66" xfId="1721" xr:uid="{00000000-0005-0000-0000-00005F480000}"/>
    <cellStyle name="60% - Accent3 67" xfId="1722" xr:uid="{00000000-0005-0000-0000-000060480000}"/>
    <cellStyle name="60% - Accent3 68" xfId="1723" xr:uid="{00000000-0005-0000-0000-000061480000}"/>
    <cellStyle name="60% - Accent3 69" xfId="1724" xr:uid="{00000000-0005-0000-0000-000062480000}"/>
    <cellStyle name="60% - Accent3 7" xfId="1725" xr:uid="{00000000-0005-0000-0000-000063480000}"/>
    <cellStyle name="60% - Accent3 70" xfId="1726" xr:uid="{00000000-0005-0000-0000-000064480000}"/>
    <cellStyle name="60% - Accent3 71" xfId="1727" xr:uid="{00000000-0005-0000-0000-000065480000}"/>
    <cellStyle name="60% - Accent3 72" xfId="1728" xr:uid="{00000000-0005-0000-0000-000066480000}"/>
    <cellStyle name="60% - Accent3 8" xfId="1729" xr:uid="{00000000-0005-0000-0000-000067480000}"/>
    <cellStyle name="60% - Accent3 9" xfId="1730" xr:uid="{00000000-0005-0000-0000-000068480000}"/>
    <cellStyle name="60% - Accent4 10" xfId="1731" xr:uid="{00000000-0005-0000-0000-000069480000}"/>
    <cellStyle name="60% - Accent4 11" xfId="1732" xr:uid="{00000000-0005-0000-0000-00006A480000}"/>
    <cellStyle name="60% - Accent4 12" xfId="1733" xr:uid="{00000000-0005-0000-0000-00006B480000}"/>
    <cellStyle name="60% - Accent4 13" xfId="1734" xr:uid="{00000000-0005-0000-0000-00006C480000}"/>
    <cellStyle name="60% - Accent4 14" xfId="1735" xr:uid="{00000000-0005-0000-0000-00006D480000}"/>
    <cellStyle name="60% - Accent4 15" xfId="1736" xr:uid="{00000000-0005-0000-0000-00006E480000}"/>
    <cellStyle name="60% - Accent4 16" xfId="1737" xr:uid="{00000000-0005-0000-0000-00006F480000}"/>
    <cellStyle name="60% - Accent4 17" xfId="1738" xr:uid="{00000000-0005-0000-0000-000070480000}"/>
    <cellStyle name="60% - Accent4 18" xfId="1739" xr:uid="{00000000-0005-0000-0000-000071480000}"/>
    <cellStyle name="60% - Accent4 19" xfId="1740" xr:uid="{00000000-0005-0000-0000-000072480000}"/>
    <cellStyle name="60% - Accent4 2" xfId="1741" xr:uid="{00000000-0005-0000-0000-000073480000}"/>
    <cellStyle name="60% - Accent4 20" xfId="1742" xr:uid="{00000000-0005-0000-0000-000074480000}"/>
    <cellStyle name="60% - Accent4 21" xfId="1743" xr:uid="{00000000-0005-0000-0000-000075480000}"/>
    <cellStyle name="60% - Accent4 22" xfId="1744" xr:uid="{00000000-0005-0000-0000-000076480000}"/>
    <cellStyle name="60% - Accent4 23" xfId="1745" xr:uid="{00000000-0005-0000-0000-000077480000}"/>
    <cellStyle name="60% - Accent4 24" xfId="1746" xr:uid="{00000000-0005-0000-0000-000078480000}"/>
    <cellStyle name="60% - Accent4 25" xfId="1747" xr:uid="{00000000-0005-0000-0000-000079480000}"/>
    <cellStyle name="60% - Accent4 26" xfId="1748" xr:uid="{00000000-0005-0000-0000-00007A480000}"/>
    <cellStyle name="60% - Accent4 27" xfId="1749" xr:uid="{00000000-0005-0000-0000-00007B480000}"/>
    <cellStyle name="60% - Accent4 28" xfId="1750" xr:uid="{00000000-0005-0000-0000-00007C480000}"/>
    <cellStyle name="60% - Accent4 29" xfId="1751" xr:uid="{00000000-0005-0000-0000-00007D480000}"/>
    <cellStyle name="60% - Accent4 3" xfId="1752" xr:uid="{00000000-0005-0000-0000-00007E480000}"/>
    <cellStyle name="60% - Accent4 30" xfId="1753" xr:uid="{00000000-0005-0000-0000-00007F480000}"/>
    <cellStyle name="60% - Accent4 31" xfId="1754" xr:uid="{00000000-0005-0000-0000-000080480000}"/>
    <cellStyle name="60% - Accent4 32" xfId="1755" xr:uid="{00000000-0005-0000-0000-000081480000}"/>
    <cellStyle name="60% - Accent4 33" xfId="1756" xr:uid="{00000000-0005-0000-0000-000082480000}"/>
    <cellStyle name="60% - Accent4 34" xfId="1757" xr:uid="{00000000-0005-0000-0000-000083480000}"/>
    <cellStyle name="60% - Accent4 35" xfId="1758" xr:uid="{00000000-0005-0000-0000-000084480000}"/>
    <cellStyle name="60% - Accent4 36" xfId="1759" xr:uid="{00000000-0005-0000-0000-000085480000}"/>
    <cellStyle name="60% - Accent4 37" xfId="1760" xr:uid="{00000000-0005-0000-0000-000086480000}"/>
    <cellStyle name="60% - Accent4 38" xfId="1761" xr:uid="{00000000-0005-0000-0000-000087480000}"/>
    <cellStyle name="60% - Accent4 39" xfId="1762" xr:uid="{00000000-0005-0000-0000-000088480000}"/>
    <cellStyle name="60% - Accent4 4" xfId="1763" xr:uid="{00000000-0005-0000-0000-000089480000}"/>
    <cellStyle name="60% - Accent4 40" xfId="1764" xr:uid="{00000000-0005-0000-0000-00008A480000}"/>
    <cellStyle name="60% - Accent4 41" xfId="1765" xr:uid="{00000000-0005-0000-0000-00008B480000}"/>
    <cellStyle name="60% - Accent4 42" xfId="1766" xr:uid="{00000000-0005-0000-0000-00008C480000}"/>
    <cellStyle name="60% - Accent4 43" xfId="1767" xr:uid="{00000000-0005-0000-0000-00008D480000}"/>
    <cellStyle name="60% - Accent4 44" xfId="1768" xr:uid="{00000000-0005-0000-0000-00008E480000}"/>
    <cellStyle name="60% - Accent4 45" xfId="1769" xr:uid="{00000000-0005-0000-0000-00008F480000}"/>
    <cellStyle name="60% - Accent4 46" xfId="1770" xr:uid="{00000000-0005-0000-0000-000090480000}"/>
    <cellStyle name="60% - Accent4 47" xfId="1771" xr:uid="{00000000-0005-0000-0000-000091480000}"/>
    <cellStyle name="60% - Accent4 48" xfId="1772" xr:uid="{00000000-0005-0000-0000-000092480000}"/>
    <cellStyle name="60% - Accent4 49" xfId="1773" xr:uid="{00000000-0005-0000-0000-000093480000}"/>
    <cellStyle name="60% - Accent4 5" xfId="1774" xr:uid="{00000000-0005-0000-0000-000094480000}"/>
    <cellStyle name="60% - Accent4 50" xfId="1775" xr:uid="{00000000-0005-0000-0000-000095480000}"/>
    <cellStyle name="60% - Accent4 51" xfId="1776" xr:uid="{00000000-0005-0000-0000-000096480000}"/>
    <cellStyle name="60% - Accent4 52" xfId="1777" xr:uid="{00000000-0005-0000-0000-000097480000}"/>
    <cellStyle name="60% - Accent4 53" xfId="1778" xr:uid="{00000000-0005-0000-0000-000098480000}"/>
    <cellStyle name="60% - Accent4 54" xfId="1779" xr:uid="{00000000-0005-0000-0000-000099480000}"/>
    <cellStyle name="60% - Accent4 55" xfId="1780" xr:uid="{00000000-0005-0000-0000-00009A480000}"/>
    <cellStyle name="60% - Accent4 56" xfId="1781" xr:uid="{00000000-0005-0000-0000-00009B480000}"/>
    <cellStyle name="60% - Accent4 57" xfId="1782" xr:uid="{00000000-0005-0000-0000-00009C480000}"/>
    <cellStyle name="60% - Accent4 58" xfId="1783" xr:uid="{00000000-0005-0000-0000-00009D480000}"/>
    <cellStyle name="60% - Accent4 59" xfId="1784" xr:uid="{00000000-0005-0000-0000-00009E480000}"/>
    <cellStyle name="60% - Accent4 6" xfId="1785" xr:uid="{00000000-0005-0000-0000-00009F480000}"/>
    <cellStyle name="60% - Accent4 60" xfId="1786" xr:uid="{00000000-0005-0000-0000-0000A0480000}"/>
    <cellStyle name="60% - Accent4 61" xfId="1787" xr:uid="{00000000-0005-0000-0000-0000A1480000}"/>
    <cellStyle name="60% - Accent4 62" xfId="1788" xr:uid="{00000000-0005-0000-0000-0000A2480000}"/>
    <cellStyle name="60% - Accent4 63" xfId="1789" xr:uid="{00000000-0005-0000-0000-0000A3480000}"/>
    <cellStyle name="60% - Accent4 64" xfId="1790" xr:uid="{00000000-0005-0000-0000-0000A4480000}"/>
    <cellStyle name="60% - Accent4 65" xfId="1791" xr:uid="{00000000-0005-0000-0000-0000A5480000}"/>
    <cellStyle name="60% - Accent4 66" xfId="1792" xr:uid="{00000000-0005-0000-0000-0000A6480000}"/>
    <cellStyle name="60% - Accent4 67" xfId="1793" xr:uid="{00000000-0005-0000-0000-0000A7480000}"/>
    <cellStyle name="60% - Accent4 68" xfId="1794" xr:uid="{00000000-0005-0000-0000-0000A8480000}"/>
    <cellStyle name="60% - Accent4 69" xfId="1795" xr:uid="{00000000-0005-0000-0000-0000A9480000}"/>
    <cellStyle name="60% - Accent4 7" xfId="1796" xr:uid="{00000000-0005-0000-0000-0000AA480000}"/>
    <cellStyle name="60% - Accent4 70" xfId="1797" xr:uid="{00000000-0005-0000-0000-0000AB480000}"/>
    <cellStyle name="60% - Accent4 71" xfId="1798" xr:uid="{00000000-0005-0000-0000-0000AC480000}"/>
    <cellStyle name="60% - Accent4 72" xfId="1799" xr:uid="{00000000-0005-0000-0000-0000AD480000}"/>
    <cellStyle name="60% - Accent4 8" xfId="1800" xr:uid="{00000000-0005-0000-0000-0000AE480000}"/>
    <cellStyle name="60% - Accent4 9" xfId="1801" xr:uid="{00000000-0005-0000-0000-0000AF480000}"/>
    <cellStyle name="60% - Accent5 10" xfId="1802" xr:uid="{00000000-0005-0000-0000-0000B0480000}"/>
    <cellStyle name="60% - Accent5 11" xfId="1803" xr:uid="{00000000-0005-0000-0000-0000B1480000}"/>
    <cellStyle name="60% - Accent5 12" xfId="1804" xr:uid="{00000000-0005-0000-0000-0000B2480000}"/>
    <cellStyle name="60% - Accent5 13" xfId="1805" xr:uid="{00000000-0005-0000-0000-0000B3480000}"/>
    <cellStyle name="60% - Accent5 14" xfId="1806" xr:uid="{00000000-0005-0000-0000-0000B4480000}"/>
    <cellStyle name="60% - Accent5 15" xfId="1807" xr:uid="{00000000-0005-0000-0000-0000B5480000}"/>
    <cellStyle name="60% - Accent5 16" xfId="1808" xr:uid="{00000000-0005-0000-0000-0000B6480000}"/>
    <cellStyle name="60% - Accent5 17" xfId="1809" xr:uid="{00000000-0005-0000-0000-0000B7480000}"/>
    <cellStyle name="60% - Accent5 18" xfId="1810" xr:uid="{00000000-0005-0000-0000-0000B8480000}"/>
    <cellStyle name="60% - Accent5 19" xfId="1811" xr:uid="{00000000-0005-0000-0000-0000B9480000}"/>
    <cellStyle name="60% - Accent5 2" xfId="1812" xr:uid="{00000000-0005-0000-0000-0000BA480000}"/>
    <cellStyle name="60% - Accent5 20" xfId="1813" xr:uid="{00000000-0005-0000-0000-0000BB480000}"/>
    <cellStyle name="60% - Accent5 21" xfId="1814" xr:uid="{00000000-0005-0000-0000-0000BC480000}"/>
    <cellStyle name="60% - Accent5 22" xfId="1815" xr:uid="{00000000-0005-0000-0000-0000BD480000}"/>
    <cellStyle name="60% - Accent5 23" xfId="1816" xr:uid="{00000000-0005-0000-0000-0000BE480000}"/>
    <cellStyle name="60% - Accent5 24" xfId="1817" xr:uid="{00000000-0005-0000-0000-0000BF480000}"/>
    <cellStyle name="60% - Accent5 25" xfId="1818" xr:uid="{00000000-0005-0000-0000-0000C0480000}"/>
    <cellStyle name="60% - Accent5 26" xfId="1819" xr:uid="{00000000-0005-0000-0000-0000C1480000}"/>
    <cellStyle name="60% - Accent5 27" xfId="1820" xr:uid="{00000000-0005-0000-0000-0000C2480000}"/>
    <cellStyle name="60% - Accent5 28" xfId="1821" xr:uid="{00000000-0005-0000-0000-0000C3480000}"/>
    <cellStyle name="60% - Accent5 29" xfId="1822" xr:uid="{00000000-0005-0000-0000-0000C4480000}"/>
    <cellStyle name="60% - Accent5 3" xfId="1823" xr:uid="{00000000-0005-0000-0000-0000C5480000}"/>
    <cellStyle name="60% - Accent5 30" xfId="1824" xr:uid="{00000000-0005-0000-0000-0000C6480000}"/>
    <cellStyle name="60% - Accent5 31" xfId="1825" xr:uid="{00000000-0005-0000-0000-0000C7480000}"/>
    <cellStyle name="60% - Accent5 32" xfId="1826" xr:uid="{00000000-0005-0000-0000-0000C8480000}"/>
    <cellStyle name="60% - Accent5 33" xfId="1827" xr:uid="{00000000-0005-0000-0000-0000C9480000}"/>
    <cellStyle name="60% - Accent5 34" xfId="1828" xr:uid="{00000000-0005-0000-0000-0000CA480000}"/>
    <cellStyle name="60% - Accent5 35" xfId="1829" xr:uid="{00000000-0005-0000-0000-0000CB480000}"/>
    <cellStyle name="60% - Accent5 36" xfId="1830" xr:uid="{00000000-0005-0000-0000-0000CC480000}"/>
    <cellStyle name="60% - Accent5 37" xfId="1831" xr:uid="{00000000-0005-0000-0000-0000CD480000}"/>
    <cellStyle name="60% - Accent5 38" xfId="1832" xr:uid="{00000000-0005-0000-0000-0000CE480000}"/>
    <cellStyle name="60% - Accent5 39" xfId="1833" xr:uid="{00000000-0005-0000-0000-0000CF480000}"/>
    <cellStyle name="60% - Accent5 4" xfId="1834" xr:uid="{00000000-0005-0000-0000-0000D0480000}"/>
    <cellStyle name="60% - Accent5 40" xfId="1835" xr:uid="{00000000-0005-0000-0000-0000D1480000}"/>
    <cellStyle name="60% - Accent5 41" xfId="1836" xr:uid="{00000000-0005-0000-0000-0000D2480000}"/>
    <cellStyle name="60% - Accent5 42" xfId="1837" xr:uid="{00000000-0005-0000-0000-0000D3480000}"/>
    <cellStyle name="60% - Accent5 43" xfId="1838" xr:uid="{00000000-0005-0000-0000-0000D4480000}"/>
    <cellStyle name="60% - Accent5 44" xfId="1839" xr:uid="{00000000-0005-0000-0000-0000D5480000}"/>
    <cellStyle name="60% - Accent5 45" xfId="1840" xr:uid="{00000000-0005-0000-0000-0000D6480000}"/>
    <cellStyle name="60% - Accent5 46" xfId="1841" xr:uid="{00000000-0005-0000-0000-0000D7480000}"/>
    <cellStyle name="60% - Accent5 47" xfId="1842" xr:uid="{00000000-0005-0000-0000-0000D8480000}"/>
    <cellStyle name="60% - Accent5 48" xfId="1843" xr:uid="{00000000-0005-0000-0000-0000D9480000}"/>
    <cellStyle name="60% - Accent5 49" xfId="1844" xr:uid="{00000000-0005-0000-0000-0000DA480000}"/>
    <cellStyle name="60% - Accent5 5" xfId="1845" xr:uid="{00000000-0005-0000-0000-0000DB480000}"/>
    <cellStyle name="60% - Accent5 50" xfId="1846" xr:uid="{00000000-0005-0000-0000-0000DC480000}"/>
    <cellStyle name="60% - Accent5 51" xfId="1847" xr:uid="{00000000-0005-0000-0000-0000DD480000}"/>
    <cellStyle name="60% - Accent5 52" xfId="1848" xr:uid="{00000000-0005-0000-0000-0000DE480000}"/>
    <cellStyle name="60% - Accent5 53" xfId="1849" xr:uid="{00000000-0005-0000-0000-0000DF480000}"/>
    <cellStyle name="60% - Accent5 54" xfId="1850" xr:uid="{00000000-0005-0000-0000-0000E0480000}"/>
    <cellStyle name="60% - Accent5 55" xfId="1851" xr:uid="{00000000-0005-0000-0000-0000E1480000}"/>
    <cellStyle name="60% - Accent5 56" xfId="1852" xr:uid="{00000000-0005-0000-0000-0000E2480000}"/>
    <cellStyle name="60% - Accent5 57" xfId="1853" xr:uid="{00000000-0005-0000-0000-0000E3480000}"/>
    <cellStyle name="60% - Accent5 58" xfId="1854" xr:uid="{00000000-0005-0000-0000-0000E4480000}"/>
    <cellStyle name="60% - Accent5 59" xfId="1855" xr:uid="{00000000-0005-0000-0000-0000E5480000}"/>
    <cellStyle name="60% - Accent5 6" xfId="1856" xr:uid="{00000000-0005-0000-0000-0000E6480000}"/>
    <cellStyle name="60% - Accent5 60" xfId="1857" xr:uid="{00000000-0005-0000-0000-0000E7480000}"/>
    <cellStyle name="60% - Accent5 61" xfId="1858" xr:uid="{00000000-0005-0000-0000-0000E8480000}"/>
    <cellStyle name="60% - Accent5 62" xfId="1859" xr:uid="{00000000-0005-0000-0000-0000E9480000}"/>
    <cellStyle name="60% - Accent5 63" xfId="1860" xr:uid="{00000000-0005-0000-0000-0000EA480000}"/>
    <cellStyle name="60% - Accent5 64" xfId="1861" xr:uid="{00000000-0005-0000-0000-0000EB480000}"/>
    <cellStyle name="60% - Accent5 65" xfId="1862" xr:uid="{00000000-0005-0000-0000-0000EC480000}"/>
    <cellStyle name="60% - Accent5 66" xfId="1863" xr:uid="{00000000-0005-0000-0000-0000ED480000}"/>
    <cellStyle name="60% - Accent5 67" xfId="1864" xr:uid="{00000000-0005-0000-0000-0000EE480000}"/>
    <cellStyle name="60% - Accent5 68" xfId="1865" xr:uid="{00000000-0005-0000-0000-0000EF480000}"/>
    <cellStyle name="60% - Accent5 69" xfId="1866" xr:uid="{00000000-0005-0000-0000-0000F0480000}"/>
    <cellStyle name="60% - Accent5 7" xfId="1867" xr:uid="{00000000-0005-0000-0000-0000F1480000}"/>
    <cellStyle name="60% - Accent5 70" xfId="1868" xr:uid="{00000000-0005-0000-0000-0000F2480000}"/>
    <cellStyle name="60% - Accent5 71" xfId="1869" xr:uid="{00000000-0005-0000-0000-0000F3480000}"/>
    <cellStyle name="60% - Accent5 72" xfId="1870" xr:uid="{00000000-0005-0000-0000-0000F4480000}"/>
    <cellStyle name="60% - Accent5 8" xfId="1871" xr:uid="{00000000-0005-0000-0000-0000F5480000}"/>
    <cellStyle name="60% - Accent5 9" xfId="1872" xr:uid="{00000000-0005-0000-0000-0000F6480000}"/>
    <cellStyle name="60% - Accent6 10" xfId="1873" xr:uid="{00000000-0005-0000-0000-0000F7480000}"/>
    <cellStyle name="60% - Accent6 11" xfId="1874" xr:uid="{00000000-0005-0000-0000-0000F8480000}"/>
    <cellStyle name="60% - Accent6 12" xfId="1875" xr:uid="{00000000-0005-0000-0000-0000F9480000}"/>
    <cellStyle name="60% - Accent6 13" xfId="1876" xr:uid="{00000000-0005-0000-0000-0000FA480000}"/>
    <cellStyle name="60% - Accent6 14" xfId="1877" xr:uid="{00000000-0005-0000-0000-0000FB480000}"/>
    <cellStyle name="60% - Accent6 15" xfId="1878" xr:uid="{00000000-0005-0000-0000-0000FC480000}"/>
    <cellStyle name="60% - Accent6 16" xfId="1879" xr:uid="{00000000-0005-0000-0000-0000FD480000}"/>
    <cellStyle name="60% - Accent6 17" xfId="1880" xr:uid="{00000000-0005-0000-0000-0000FE480000}"/>
    <cellStyle name="60% - Accent6 18" xfId="1881" xr:uid="{00000000-0005-0000-0000-0000FF480000}"/>
    <cellStyle name="60% - Accent6 19" xfId="1882" xr:uid="{00000000-0005-0000-0000-000000490000}"/>
    <cellStyle name="60% - Accent6 2" xfId="1883" xr:uid="{00000000-0005-0000-0000-000001490000}"/>
    <cellStyle name="60% - Accent6 20" xfId="1884" xr:uid="{00000000-0005-0000-0000-000002490000}"/>
    <cellStyle name="60% - Accent6 21" xfId="1885" xr:uid="{00000000-0005-0000-0000-000003490000}"/>
    <cellStyle name="60% - Accent6 22" xfId="1886" xr:uid="{00000000-0005-0000-0000-000004490000}"/>
    <cellStyle name="60% - Accent6 23" xfId="1887" xr:uid="{00000000-0005-0000-0000-000005490000}"/>
    <cellStyle name="60% - Accent6 24" xfId="1888" xr:uid="{00000000-0005-0000-0000-000006490000}"/>
    <cellStyle name="60% - Accent6 25" xfId="1889" xr:uid="{00000000-0005-0000-0000-000007490000}"/>
    <cellStyle name="60% - Accent6 26" xfId="1890" xr:uid="{00000000-0005-0000-0000-000008490000}"/>
    <cellStyle name="60% - Accent6 27" xfId="1891" xr:uid="{00000000-0005-0000-0000-000009490000}"/>
    <cellStyle name="60% - Accent6 28" xfId="1892" xr:uid="{00000000-0005-0000-0000-00000A490000}"/>
    <cellStyle name="60% - Accent6 29" xfId="1893" xr:uid="{00000000-0005-0000-0000-00000B490000}"/>
    <cellStyle name="60% - Accent6 3" xfId="1894" xr:uid="{00000000-0005-0000-0000-00000C490000}"/>
    <cellStyle name="60% - Accent6 30" xfId="1895" xr:uid="{00000000-0005-0000-0000-00000D490000}"/>
    <cellStyle name="60% - Accent6 31" xfId="1896" xr:uid="{00000000-0005-0000-0000-00000E490000}"/>
    <cellStyle name="60% - Accent6 32" xfId="1897" xr:uid="{00000000-0005-0000-0000-00000F490000}"/>
    <cellStyle name="60% - Accent6 33" xfId="1898" xr:uid="{00000000-0005-0000-0000-000010490000}"/>
    <cellStyle name="60% - Accent6 34" xfId="1899" xr:uid="{00000000-0005-0000-0000-000011490000}"/>
    <cellStyle name="60% - Accent6 35" xfId="1900" xr:uid="{00000000-0005-0000-0000-000012490000}"/>
    <cellStyle name="60% - Accent6 36" xfId="1901" xr:uid="{00000000-0005-0000-0000-000013490000}"/>
    <cellStyle name="60% - Accent6 37" xfId="1902" xr:uid="{00000000-0005-0000-0000-000014490000}"/>
    <cellStyle name="60% - Accent6 38" xfId="1903" xr:uid="{00000000-0005-0000-0000-000015490000}"/>
    <cellStyle name="60% - Accent6 39" xfId="1904" xr:uid="{00000000-0005-0000-0000-000016490000}"/>
    <cellStyle name="60% - Accent6 4" xfId="1905" xr:uid="{00000000-0005-0000-0000-000017490000}"/>
    <cellStyle name="60% - Accent6 40" xfId="1906" xr:uid="{00000000-0005-0000-0000-000018490000}"/>
    <cellStyle name="60% - Accent6 41" xfId="1907" xr:uid="{00000000-0005-0000-0000-000019490000}"/>
    <cellStyle name="60% - Accent6 42" xfId="1908" xr:uid="{00000000-0005-0000-0000-00001A490000}"/>
    <cellStyle name="60% - Accent6 43" xfId="1909" xr:uid="{00000000-0005-0000-0000-00001B490000}"/>
    <cellStyle name="60% - Accent6 44" xfId="1910" xr:uid="{00000000-0005-0000-0000-00001C490000}"/>
    <cellStyle name="60% - Accent6 45" xfId="1911" xr:uid="{00000000-0005-0000-0000-00001D490000}"/>
    <cellStyle name="60% - Accent6 46" xfId="1912" xr:uid="{00000000-0005-0000-0000-00001E490000}"/>
    <cellStyle name="60% - Accent6 47" xfId="1913" xr:uid="{00000000-0005-0000-0000-00001F490000}"/>
    <cellStyle name="60% - Accent6 48" xfId="1914" xr:uid="{00000000-0005-0000-0000-000020490000}"/>
    <cellStyle name="60% - Accent6 49" xfId="1915" xr:uid="{00000000-0005-0000-0000-000021490000}"/>
    <cellStyle name="60% - Accent6 5" xfId="1916" xr:uid="{00000000-0005-0000-0000-000022490000}"/>
    <cellStyle name="60% - Accent6 50" xfId="1917" xr:uid="{00000000-0005-0000-0000-000023490000}"/>
    <cellStyle name="60% - Accent6 51" xfId="1918" xr:uid="{00000000-0005-0000-0000-000024490000}"/>
    <cellStyle name="60% - Accent6 52" xfId="1919" xr:uid="{00000000-0005-0000-0000-000025490000}"/>
    <cellStyle name="60% - Accent6 53" xfId="1920" xr:uid="{00000000-0005-0000-0000-000026490000}"/>
    <cellStyle name="60% - Accent6 54" xfId="1921" xr:uid="{00000000-0005-0000-0000-000027490000}"/>
    <cellStyle name="60% - Accent6 55" xfId="1922" xr:uid="{00000000-0005-0000-0000-000028490000}"/>
    <cellStyle name="60% - Accent6 56" xfId="1923" xr:uid="{00000000-0005-0000-0000-000029490000}"/>
    <cellStyle name="60% - Accent6 57" xfId="1924" xr:uid="{00000000-0005-0000-0000-00002A490000}"/>
    <cellStyle name="60% - Accent6 58" xfId="1925" xr:uid="{00000000-0005-0000-0000-00002B490000}"/>
    <cellStyle name="60% - Accent6 59" xfId="1926" xr:uid="{00000000-0005-0000-0000-00002C490000}"/>
    <cellStyle name="60% - Accent6 6" xfId="1927" xr:uid="{00000000-0005-0000-0000-00002D490000}"/>
    <cellStyle name="60% - Accent6 60" xfId="1928" xr:uid="{00000000-0005-0000-0000-00002E490000}"/>
    <cellStyle name="60% - Accent6 61" xfId="1929" xr:uid="{00000000-0005-0000-0000-00002F490000}"/>
    <cellStyle name="60% - Accent6 62" xfId="1930" xr:uid="{00000000-0005-0000-0000-000030490000}"/>
    <cellStyle name="60% - Accent6 63" xfId="1931" xr:uid="{00000000-0005-0000-0000-000031490000}"/>
    <cellStyle name="60% - Accent6 64" xfId="1932" xr:uid="{00000000-0005-0000-0000-000032490000}"/>
    <cellStyle name="60% - Accent6 65" xfId="1933" xr:uid="{00000000-0005-0000-0000-000033490000}"/>
    <cellStyle name="60% - Accent6 66" xfId="1934" xr:uid="{00000000-0005-0000-0000-000034490000}"/>
    <cellStyle name="60% - Accent6 67" xfId="1935" xr:uid="{00000000-0005-0000-0000-000035490000}"/>
    <cellStyle name="60% - Accent6 68" xfId="1936" xr:uid="{00000000-0005-0000-0000-000036490000}"/>
    <cellStyle name="60% - Accent6 69" xfId="1937" xr:uid="{00000000-0005-0000-0000-000037490000}"/>
    <cellStyle name="60% - Accent6 7" xfId="1938" xr:uid="{00000000-0005-0000-0000-000038490000}"/>
    <cellStyle name="60% - Accent6 70" xfId="1939" xr:uid="{00000000-0005-0000-0000-000039490000}"/>
    <cellStyle name="60% - Accent6 71" xfId="1940" xr:uid="{00000000-0005-0000-0000-00003A490000}"/>
    <cellStyle name="60% - Accent6 72" xfId="1941" xr:uid="{00000000-0005-0000-0000-00003B490000}"/>
    <cellStyle name="60% - Accent6 8" xfId="1942" xr:uid="{00000000-0005-0000-0000-00003C490000}"/>
    <cellStyle name="60% - Accent6 9" xfId="1943" xr:uid="{00000000-0005-0000-0000-00003D490000}"/>
    <cellStyle name="Accent1 - 20%" xfId="24004" xr:uid="{00000000-0005-0000-0000-00003E490000}"/>
    <cellStyle name="Accent1 - 40%" xfId="24005" xr:uid="{00000000-0005-0000-0000-00003F490000}"/>
    <cellStyle name="Accent1 - 60%" xfId="24006" xr:uid="{00000000-0005-0000-0000-000040490000}"/>
    <cellStyle name="Accent1 10" xfId="1944" xr:uid="{00000000-0005-0000-0000-000041490000}"/>
    <cellStyle name="Accent1 11" xfId="1945" xr:uid="{00000000-0005-0000-0000-000042490000}"/>
    <cellStyle name="Accent1 12" xfId="1946" xr:uid="{00000000-0005-0000-0000-000043490000}"/>
    <cellStyle name="Accent1 13" xfId="1947" xr:uid="{00000000-0005-0000-0000-000044490000}"/>
    <cellStyle name="Accent1 14" xfId="1948" xr:uid="{00000000-0005-0000-0000-000045490000}"/>
    <cellStyle name="Accent1 15" xfId="1949" xr:uid="{00000000-0005-0000-0000-000046490000}"/>
    <cellStyle name="Accent1 16" xfId="1950" xr:uid="{00000000-0005-0000-0000-000047490000}"/>
    <cellStyle name="Accent1 17" xfId="1951" xr:uid="{00000000-0005-0000-0000-000048490000}"/>
    <cellStyle name="Accent1 18" xfId="1952" xr:uid="{00000000-0005-0000-0000-000049490000}"/>
    <cellStyle name="Accent1 19" xfId="1953" xr:uid="{00000000-0005-0000-0000-00004A490000}"/>
    <cellStyle name="Accent1 2" xfId="1954" xr:uid="{00000000-0005-0000-0000-00004B490000}"/>
    <cellStyle name="Accent1 2 2" xfId="24009" xr:uid="{00000000-0005-0000-0000-00004C490000}"/>
    <cellStyle name="Accent1 2 3" xfId="24008" xr:uid="{00000000-0005-0000-0000-00004D490000}"/>
    <cellStyle name="Accent1 20" xfId="1955" xr:uid="{00000000-0005-0000-0000-00004E490000}"/>
    <cellStyle name="Accent1 21" xfId="1956" xr:uid="{00000000-0005-0000-0000-00004F490000}"/>
    <cellStyle name="Accent1 22" xfId="1957" xr:uid="{00000000-0005-0000-0000-000050490000}"/>
    <cellStyle name="Accent1 23" xfId="1958" xr:uid="{00000000-0005-0000-0000-000051490000}"/>
    <cellStyle name="Accent1 24" xfId="1959" xr:uid="{00000000-0005-0000-0000-000052490000}"/>
    <cellStyle name="Accent1 25" xfId="1960" xr:uid="{00000000-0005-0000-0000-000053490000}"/>
    <cellStyle name="Accent1 26" xfId="1961" xr:uid="{00000000-0005-0000-0000-000054490000}"/>
    <cellStyle name="Accent1 27" xfId="1962" xr:uid="{00000000-0005-0000-0000-000055490000}"/>
    <cellStyle name="Accent1 28" xfId="1963" xr:uid="{00000000-0005-0000-0000-000056490000}"/>
    <cellStyle name="Accent1 29" xfId="1964" xr:uid="{00000000-0005-0000-0000-000057490000}"/>
    <cellStyle name="Accent1 3" xfId="1965" xr:uid="{00000000-0005-0000-0000-000058490000}"/>
    <cellStyle name="Accent1 3 2" xfId="24010" xr:uid="{00000000-0005-0000-0000-000059490000}"/>
    <cellStyle name="Accent1 30" xfId="1966" xr:uid="{00000000-0005-0000-0000-00005A490000}"/>
    <cellStyle name="Accent1 31" xfId="1967" xr:uid="{00000000-0005-0000-0000-00005B490000}"/>
    <cellStyle name="Accent1 32" xfId="1968" xr:uid="{00000000-0005-0000-0000-00005C490000}"/>
    <cellStyle name="Accent1 33" xfId="1969" xr:uid="{00000000-0005-0000-0000-00005D490000}"/>
    <cellStyle name="Accent1 34" xfId="1970" xr:uid="{00000000-0005-0000-0000-00005E490000}"/>
    <cellStyle name="Accent1 35" xfId="1971" xr:uid="{00000000-0005-0000-0000-00005F490000}"/>
    <cellStyle name="Accent1 36" xfId="1972" xr:uid="{00000000-0005-0000-0000-000060490000}"/>
    <cellStyle name="Accent1 37" xfId="1973" xr:uid="{00000000-0005-0000-0000-000061490000}"/>
    <cellStyle name="Accent1 38" xfId="1974" xr:uid="{00000000-0005-0000-0000-000062490000}"/>
    <cellStyle name="Accent1 39" xfId="1975" xr:uid="{00000000-0005-0000-0000-000063490000}"/>
    <cellStyle name="Accent1 4" xfId="1976" xr:uid="{00000000-0005-0000-0000-000064490000}"/>
    <cellStyle name="Accent1 4 2" xfId="24011" xr:uid="{00000000-0005-0000-0000-000065490000}"/>
    <cellStyle name="Accent1 40" xfId="1977" xr:uid="{00000000-0005-0000-0000-000066490000}"/>
    <cellStyle name="Accent1 41" xfId="1978" xr:uid="{00000000-0005-0000-0000-000067490000}"/>
    <cellStyle name="Accent1 42" xfId="1979" xr:uid="{00000000-0005-0000-0000-000068490000}"/>
    <cellStyle name="Accent1 43" xfId="1980" xr:uid="{00000000-0005-0000-0000-000069490000}"/>
    <cellStyle name="Accent1 44" xfId="1981" xr:uid="{00000000-0005-0000-0000-00006A490000}"/>
    <cellStyle name="Accent1 45" xfId="1982" xr:uid="{00000000-0005-0000-0000-00006B490000}"/>
    <cellStyle name="Accent1 46" xfId="1983" xr:uid="{00000000-0005-0000-0000-00006C490000}"/>
    <cellStyle name="Accent1 47" xfId="1984" xr:uid="{00000000-0005-0000-0000-00006D490000}"/>
    <cellStyle name="Accent1 48" xfId="1985" xr:uid="{00000000-0005-0000-0000-00006E490000}"/>
    <cellStyle name="Accent1 49" xfId="1986" xr:uid="{00000000-0005-0000-0000-00006F490000}"/>
    <cellStyle name="Accent1 5" xfId="1987" xr:uid="{00000000-0005-0000-0000-000070490000}"/>
    <cellStyle name="Accent1 50" xfId="1988" xr:uid="{00000000-0005-0000-0000-000071490000}"/>
    <cellStyle name="Accent1 51" xfId="1989" xr:uid="{00000000-0005-0000-0000-000072490000}"/>
    <cellStyle name="Accent1 52" xfId="1990" xr:uid="{00000000-0005-0000-0000-000073490000}"/>
    <cellStyle name="Accent1 53" xfId="1991" xr:uid="{00000000-0005-0000-0000-000074490000}"/>
    <cellStyle name="Accent1 54" xfId="1992" xr:uid="{00000000-0005-0000-0000-000075490000}"/>
    <cellStyle name="Accent1 55" xfId="1993" xr:uid="{00000000-0005-0000-0000-000076490000}"/>
    <cellStyle name="Accent1 56" xfId="1994" xr:uid="{00000000-0005-0000-0000-000077490000}"/>
    <cellStyle name="Accent1 57" xfId="1995" xr:uid="{00000000-0005-0000-0000-000078490000}"/>
    <cellStyle name="Accent1 58" xfId="1996" xr:uid="{00000000-0005-0000-0000-000079490000}"/>
    <cellStyle name="Accent1 59" xfId="1997" xr:uid="{00000000-0005-0000-0000-00007A490000}"/>
    <cellStyle name="Accent1 6" xfId="1998" xr:uid="{00000000-0005-0000-0000-00007B490000}"/>
    <cellStyle name="Accent1 60" xfId="1999" xr:uid="{00000000-0005-0000-0000-00007C490000}"/>
    <cellStyle name="Accent1 61" xfId="2000" xr:uid="{00000000-0005-0000-0000-00007D490000}"/>
    <cellStyle name="Accent1 62" xfId="2001" xr:uid="{00000000-0005-0000-0000-00007E490000}"/>
    <cellStyle name="Accent1 63" xfId="2002" xr:uid="{00000000-0005-0000-0000-00007F490000}"/>
    <cellStyle name="Accent1 64" xfId="2003" xr:uid="{00000000-0005-0000-0000-000080490000}"/>
    <cellStyle name="Accent1 65" xfId="2004" xr:uid="{00000000-0005-0000-0000-000081490000}"/>
    <cellStyle name="Accent1 66" xfId="2005" xr:uid="{00000000-0005-0000-0000-000082490000}"/>
    <cellStyle name="Accent1 67" xfId="2006" xr:uid="{00000000-0005-0000-0000-000083490000}"/>
    <cellStyle name="Accent1 68" xfId="2007" xr:uid="{00000000-0005-0000-0000-000084490000}"/>
    <cellStyle name="Accent1 69" xfId="2008" xr:uid="{00000000-0005-0000-0000-000085490000}"/>
    <cellStyle name="Accent1 7" xfId="2009" xr:uid="{00000000-0005-0000-0000-000086490000}"/>
    <cellStyle name="Accent1 70" xfId="2010" xr:uid="{00000000-0005-0000-0000-000087490000}"/>
    <cellStyle name="Accent1 71" xfId="2011" xr:uid="{00000000-0005-0000-0000-000088490000}"/>
    <cellStyle name="Accent1 72" xfId="2012" xr:uid="{00000000-0005-0000-0000-000089490000}"/>
    <cellStyle name="Accent1 8" xfId="2013" xr:uid="{00000000-0005-0000-0000-00008A490000}"/>
    <cellStyle name="Accent1 9" xfId="2014" xr:uid="{00000000-0005-0000-0000-00008B490000}"/>
    <cellStyle name="Accent2 - 20%" xfId="24013" xr:uid="{00000000-0005-0000-0000-00008C490000}"/>
    <cellStyle name="Accent2 - 40%" xfId="24014" xr:uid="{00000000-0005-0000-0000-00008D490000}"/>
    <cellStyle name="Accent2 - 60%" xfId="24015" xr:uid="{00000000-0005-0000-0000-00008E490000}"/>
    <cellStyle name="Accent2 10" xfId="2015" xr:uid="{00000000-0005-0000-0000-00008F490000}"/>
    <cellStyle name="Accent2 11" xfId="2016" xr:uid="{00000000-0005-0000-0000-000090490000}"/>
    <cellStyle name="Accent2 12" xfId="2017" xr:uid="{00000000-0005-0000-0000-000091490000}"/>
    <cellStyle name="Accent2 13" xfId="2018" xr:uid="{00000000-0005-0000-0000-000092490000}"/>
    <cellStyle name="Accent2 14" xfId="2019" xr:uid="{00000000-0005-0000-0000-000093490000}"/>
    <cellStyle name="Accent2 15" xfId="2020" xr:uid="{00000000-0005-0000-0000-000094490000}"/>
    <cellStyle name="Accent2 16" xfId="2021" xr:uid="{00000000-0005-0000-0000-000095490000}"/>
    <cellStyle name="Accent2 17" xfId="2022" xr:uid="{00000000-0005-0000-0000-000096490000}"/>
    <cellStyle name="Accent2 18" xfId="2023" xr:uid="{00000000-0005-0000-0000-000097490000}"/>
    <cellStyle name="Accent2 19" xfId="2024" xr:uid="{00000000-0005-0000-0000-000098490000}"/>
    <cellStyle name="Accent2 2" xfId="2025" xr:uid="{00000000-0005-0000-0000-000099490000}"/>
    <cellStyle name="Accent2 2 2" xfId="24017" xr:uid="{00000000-0005-0000-0000-00009A490000}"/>
    <cellStyle name="Accent2 2 3" xfId="24016" xr:uid="{00000000-0005-0000-0000-00009B490000}"/>
    <cellStyle name="Accent2 20" xfId="2026" xr:uid="{00000000-0005-0000-0000-00009C490000}"/>
    <cellStyle name="Accent2 21" xfId="2027" xr:uid="{00000000-0005-0000-0000-00009D490000}"/>
    <cellStyle name="Accent2 22" xfId="2028" xr:uid="{00000000-0005-0000-0000-00009E490000}"/>
    <cellStyle name="Accent2 23" xfId="2029" xr:uid="{00000000-0005-0000-0000-00009F490000}"/>
    <cellStyle name="Accent2 24" xfId="2030" xr:uid="{00000000-0005-0000-0000-0000A0490000}"/>
    <cellStyle name="Accent2 25" xfId="2031" xr:uid="{00000000-0005-0000-0000-0000A1490000}"/>
    <cellStyle name="Accent2 26" xfId="2032" xr:uid="{00000000-0005-0000-0000-0000A2490000}"/>
    <cellStyle name="Accent2 27" xfId="2033" xr:uid="{00000000-0005-0000-0000-0000A3490000}"/>
    <cellStyle name="Accent2 28" xfId="2034" xr:uid="{00000000-0005-0000-0000-0000A4490000}"/>
    <cellStyle name="Accent2 29" xfId="2035" xr:uid="{00000000-0005-0000-0000-0000A5490000}"/>
    <cellStyle name="Accent2 3" xfId="2036" xr:uid="{00000000-0005-0000-0000-0000A6490000}"/>
    <cellStyle name="Accent2 3 2" xfId="24018" xr:uid="{00000000-0005-0000-0000-0000A7490000}"/>
    <cellStyle name="Accent2 30" xfId="2037" xr:uid="{00000000-0005-0000-0000-0000A8490000}"/>
    <cellStyle name="Accent2 31" xfId="2038" xr:uid="{00000000-0005-0000-0000-0000A9490000}"/>
    <cellStyle name="Accent2 32" xfId="2039" xr:uid="{00000000-0005-0000-0000-0000AA490000}"/>
    <cellStyle name="Accent2 33" xfId="2040" xr:uid="{00000000-0005-0000-0000-0000AB490000}"/>
    <cellStyle name="Accent2 34" xfId="2041" xr:uid="{00000000-0005-0000-0000-0000AC490000}"/>
    <cellStyle name="Accent2 35" xfId="2042" xr:uid="{00000000-0005-0000-0000-0000AD490000}"/>
    <cellStyle name="Accent2 36" xfId="2043" xr:uid="{00000000-0005-0000-0000-0000AE490000}"/>
    <cellStyle name="Accent2 37" xfId="2044" xr:uid="{00000000-0005-0000-0000-0000AF490000}"/>
    <cellStyle name="Accent2 38" xfId="2045" xr:uid="{00000000-0005-0000-0000-0000B0490000}"/>
    <cellStyle name="Accent2 39" xfId="2046" xr:uid="{00000000-0005-0000-0000-0000B1490000}"/>
    <cellStyle name="Accent2 4" xfId="2047" xr:uid="{00000000-0005-0000-0000-0000B2490000}"/>
    <cellStyle name="Accent2 4 2" xfId="24019" xr:uid="{00000000-0005-0000-0000-0000B3490000}"/>
    <cellStyle name="Accent2 40" xfId="2048" xr:uid="{00000000-0005-0000-0000-0000B4490000}"/>
    <cellStyle name="Accent2 41" xfId="2049" xr:uid="{00000000-0005-0000-0000-0000B5490000}"/>
    <cellStyle name="Accent2 42" xfId="2050" xr:uid="{00000000-0005-0000-0000-0000B6490000}"/>
    <cellStyle name="Accent2 43" xfId="2051" xr:uid="{00000000-0005-0000-0000-0000B7490000}"/>
    <cellStyle name="Accent2 44" xfId="2052" xr:uid="{00000000-0005-0000-0000-0000B8490000}"/>
    <cellStyle name="Accent2 45" xfId="2053" xr:uid="{00000000-0005-0000-0000-0000B9490000}"/>
    <cellStyle name="Accent2 46" xfId="2054" xr:uid="{00000000-0005-0000-0000-0000BA490000}"/>
    <cellStyle name="Accent2 47" xfId="2055" xr:uid="{00000000-0005-0000-0000-0000BB490000}"/>
    <cellStyle name="Accent2 48" xfId="2056" xr:uid="{00000000-0005-0000-0000-0000BC490000}"/>
    <cellStyle name="Accent2 49" xfId="2057" xr:uid="{00000000-0005-0000-0000-0000BD490000}"/>
    <cellStyle name="Accent2 5" xfId="2058" xr:uid="{00000000-0005-0000-0000-0000BE490000}"/>
    <cellStyle name="Accent2 50" xfId="2059" xr:uid="{00000000-0005-0000-0000-0000BF490000}"/>
    <cellStyle name="Accent2 51" xfId="2060" xr:uid="{00000000-0005-0000-0000-0000C0490000}"/>
    <cellStyle name="Accent2 52" xfId="2061" xr:uid="{00000000-0005-0000-0000-0000C1490000}"/>
    <cellStyle name="Accent2 53" xfId="2062" xr:uid="{00000000-0005-0000-0000-0000C2490000}"/>
    <cellStyle name="Accent2 54" xfId="2063" xr:uid="{00000000-0005-0000-0000-0000C3490000}"/>
    <cellStyle name="Accent2 55" xfId="2064" xr:uid="{00000000-0005-0000-0000-0000C4490000}"/>
    <cellStyle name="Accent2 56" xfId="2065" xr:uid="{00000000-0005-0000-0000-0000C5490000}"/>
    <cellStyle name="Accent2 57" xfId="2066" xr:uid="{00000000-0005-0000-0000-0000C6490000}"/>
    <cellStyle name="Accent2 58" xfId="2067" xr:uid="{00000000-0005-0000-0000-0000C7490000}"/>
    <cellStyle name="Accent2 59" xfId="2068" xr:uid="{00000000-0005-0000-0000-0000C8490000}"/>
    <cellStyle name="Accent2 6" xfId="2069" xr:uid="{00000000-0005-0000-0000-0000C9490000}"/>
    <cellStyle name="Accent2 60" xfId="2070" xr:uid="{00000000-0005-0000-0000-0000CA490000}"/>
    <cellStyle name="Accent2 61" xfId="2071" xr:uid="{00000000-0005-0000-0000-0000CB490000}"/>
    <cellStyle name="Accent2 62" xfId="2072" xr:uid="{00000000-0005-0000-0000-0000CC490000}"/>
    <cellStyle name="Accent2 63" xfId="2073" xr:uid="{00000000-0005-0000-0000-0000CD490000}"/>
    <cellStyle name="Accent2 64" xfId="2074" xr:uid="{00000000-0005-0000-0000-0000CE490000}"/>
    <cellStyle name="Accent2 65" xfId="2075" xr:uid="{00000000-0005-0000-0000-0000CF490000}"/>
    <cellStyle name="Accent2 66" xfId="2076" xr:uid="{00000000-0005-0000-0000-0000D0490000}"/>
    <cellStyle name="Accent2 67" xfId="2077" xr:uid="{00000000-0005-0000-0000-0000D1490000}"/>
    <cellStyle name="Accent2 68" xfId="2078" xr:uid="{00000000-0005-0000-0000-0000D2490000}"/>
    <cellStyle name="Accent2 69" xfId="2079" xr:uid="{00000000-0005-0000-0000-0000D3490000}"/>
    <cellStyle name="Accent2 7" xfId="2080" xr:uid="{00000000-0005-0000-0000-0000D4490000}"/>
    <cellStyle name="Accent2 70" xfId="2081" xr:uid="{00000000-0005-0000-0000-0000D5490000}"/>
    <cellStyle name="Accent2 71" xfId="2082" xr:uid="{00000000-0005-0000-0000-0000D6490000}"/>
    <cellStyle name="Accent2 72" xfId="2083" xr:uid="{00000000-0005-0000-0000-0000D7490000}"/>
    <cellStyle name="Accent2 8" xfId="2084" xr:uid="{00000000-0005-0000-0000-0000D8490000}"/>
    <cellStyle name="Accent2 9" xfId="2085" xr:uid="{00000000-0005-0000-0000-0000D9490000}"/>
    <cellStyle name="Accent3 - 20%" xfId="24021" xr:uid="{00000000-0005-0000-0000-0000DA490000}"/>
    <cellStyle name="Accent3 - 40%" xfId="24022" xr:uid="{00000000-0005-0000-0000-0000DB490000}"/>
    <cellStyle name="Accent3 - 60%" xfId="24023" xr:uid="{00000000-0005-0000-0000-0000DC490000}"/>
    <cellStyle name="Accent3 10" xfId="2086" xr:uid="{00000000-0005-0000-0000-0000DD490000}"/>
    <cellStyle name="Accent3 11" xfId="2087" xr:uid="{00000000-0005-0000-0000-0000DE490000}"/>
    <cellStyle name="Accent3 12" xfId="2088" xr:uid="{00000000-0005-0000-0000-0000DF490000}"/>
    <cellStyle name="Accent3 13" xfId="2089" xr:uid="{00000000-0005-0000-0000-0000E0490000}"/>
    <cellStyle name="Accent3 14" xfId="2090" xr:uid="{00000000-0005-0000-0000-0000E1490000}"/>
    <cellStyle name="Accent3 15" xfId="2091" xr:uid="{00000000-0005-0000-0000-0000E2490000}"/>
    <cellStyle name="Accent3 16" xfId="2092" xr:uid="{00000000-0005-0000-0000-0000E3490000}"/>
    <cellStyle name="Accent3 17" xfId="2093" xr:uid="{00000000-0005-0000-0000-0000E4490000}"/>
    <cellStyle name="Accent3 18" xfId="2094" xr:uid="{00000000-0005-0000-0000-0000E5490000}"/>
    <cellStyle name="Accent3 19" xfId="2095" xr:uid="{00000000-0005-0000-0000-0000E6490000}"/>
    <cellStyle name="Accent3 2" xfId="2096" xr:uid="{00000000-0005-0000-0000-0000E7490000}"/>
    <cellStyle name="Accent3 2 2" xfId="24025" xr:uid="{00000000-0005-0000-0000-0000E8490000}"/>
    <cellStyle name="Accent3 2 3" xfId="24024" xr:uid="{00000000-0005-0000-0000-0000E9490000}"/>
    <cellStyle name="Accent3 20" xfId="2097" xr:uid="{00000000-0005-0000-0000-0000EA490000}"/>
    <cellStyle name="Accent3 21" xfId="2098" xr:uid="{00000000-0005-0000-0000-0000EB490000}"/>
    <cellStyle name="Accent3 22" xfId="2099" xr:uid="{00000000-0005-0000-0000-0000EC490000}"/>
    <cellStyle name="Accent3 23" xfId="2100" xr:uid="{00000000-0005-0000-0000-0000ED490000}"/>
    <cellStyle name="Accent3 24" xfId="2101" xr:uid="{00000000-0005-0000-0000-0000EE490000}"/>
    <cellStyle name="Accent3 25" xfId="2102" xr:uid="{00000000-0005-0000-0000-0000EF490000}"/>
    <cellStyle name="Accent3 26" xfId="2103" xr:uid="{00000000-0005-0000-0000-0000F0490000}"/>
    <cellStyle name="Accent3 27" xfId="2104" xr:uid="{00000000-0005-0000-0000-0000F1490000}"/>
    <cellStyle name="Accent3 28" xfId="2105" xr:uid="{00000000-0005-0000-0000-0000F2490000}"/>
    <cellStyle name="Accent3 29" xfId="2106" xr:uid="{00000000-0005-0000-0000-0000F3490000}"/>
    <cellStyle name="Accent3 3" xfId="2107" xr:uid="{00000000-0005-0000-0000-0000F4490000}"/>
    <cellStyle name="Accent3 3 2" xfId="24026" xr:uid="{00000000-0005-0000-0000-0000F5490000}"/>
    <cellStyle name="Accent3 30" xfId="2108" xr:uid="{00000000-0005-0000-0000-0000F6490000}"/>
    <cellStyle name="Accent3 31" xfId="2109" xr:uid="{00000000-0005-0000-0000-0000F7490000}"/>
    <cellStyle name="Accent3 32" xfId="2110" xr:uid="{00000000-0005-0000-0000-0000F8490000}"/>
    <cellStyle name="Accent3 33" xfId="2111" xr:uid="{00000000-0005-0000-0000-0000F9490000}"/>
    <cellStyle name="Accent3 34" xfId="2112" xr:uid="{00000000-0005-0000-0000-0000FA490000}"/>
    <cellStyle name="Accent3 35" xfId="2113" xr:uid="{00000000-0005-0000-0000-0000FB490000}"/>
    <cellStyle name="Accent3 36" xfId="2114" xr:uid="{00000000-0005-0000-0000-0000FC490000}"/>
    <cellStyle name="Accent3 37" xfId="2115" xr:uid="{00000000-0005-0000-0000-0000FD490000}"/>
    <cellStyle name="Accent3 38" xfId="2116" xr:uid="{00000000-0005-0000-0000-0000FE490000}"/>
    <cellStyle name="Accent3 39" xfId="2117" xr:uid="{00000000-0005-0000-0000-0000FF490000}"/>
    <cellStyle name="Accent3 4" xfId="2118" xr:uid="{00000000-0005-0000-0000-0000004A0000}"/>
    <cellStyle name="Accent3 4 2" xfId="24027" xr:uid="{00000000-0005-0000-0000-0000014A0000}"/>
    <cellStyle name="Accent3 40" xfId="2119" xr:uid="{00000000-0005-0000-0000-0000024A0000}"/>
    <cellStyle name="Accent3 41" xfId="2120" xr:uid="{00000000-0005-0000-0000-0000034A0000}"/>
    <cellStyle name="Accent3 42" xfId="2121" xr:uid="{00000000-0005-0000-0000-0000044A0000}"/>
    <cellStyle name="Accent3 43" xfId="2122" xr:uid="{00000000-0005-0000-0000-0000054A0000}"/>
    <cellStyle name="Accent3 44" xfId="2123" xr:uid="{00000000-0005-0000-0000-0000064A0000}"/>
    <cellStyle name="Accent3 45" xfId="2124" xr:uid="{00000000-0005-0000-0000-0000074A0000}"/>
    <cellStyle name="Accent3 46" xfId="2125" xr:uid="{00000000-0005-0000-0000-0000084A0000}"/>
    <cellStyle name="Accent3 47" xfId="2126" xr:uid="{00000000-0005-0000-0000-0000094A0000}"/>
    <cellStyle name="Accent3 48" xfId="2127" xr:uid="{00000000-0005-0000-0000-00000A4A0000}"/>
    <cellStyle name="Accent3 49" xfId="2128" xr:uid="{00000000-0005-0000-0000-00000B4A0000}"/>
    <cellStyle name="Accent3 5" xfId="2129" xr:uid="{00000000-0005-0000-0000-00000C4A0000}"/>
    <cellStyle name="Accent3 50" xfId="2130" xr:uid="{00000000-0005-0000-0000-00000D4A0000}"/>
    <cellStyle name="Accent3 51" xfId="2131" xr:uid="{00000000-0005-0000-0000-00000E4A0000}"/>
    <cellStyle name="Accent3 52" xfId="2132" xr:uid="{00000000-0005-0000-0000-00000F4A0000}"/>
    <cellStyle name="Accent3 53" xfId="2133" xr:uid="{00000000-0005-0000-0000-0000104A0000}"/>
    <cellStyle name="Accent3 54" xfId="2134" xr:uid="{00000000-0005-0000-0000-0000114A0000}"/>
    <cellStyle name="Accent3 55" xfId="2135" xr:uid="{00000000-0005-0000-0000-0000124A0000}"/>
    <cellStyle name="Accent3 56" xfId="2136" xr:uid="{00000000-0005-0000-0000-0000134A0000}"/>
    <cellStyle name="Accent3 57" xfId="2137" xr:uid="{00000000-0005-0000-0000-0000144A0000}"/>
    <cellStyle name="Accent3 58" xfId="2138" xr:uid="{00000000-0005-0000-0000-0000154A0000}"/>
    <cellStyle name="Accent3 59" xfId="2139" xr:uid="{00000000-0005-0000-0000-0000164A0000}"/>
    <cellStyle name="Accent3 6" xfId="2140" xr:uid="{00000000-0005-0000-0000-0000174A0000}"/>
    <cellStyle name="Accent3 60" xfId="2141" xr:uid="{00000000-0005-0000-0000-0000184A0000}"/>
    <cellStyle name="Accent3 61" xfId="2142" xr:uid="{00000000-0005-0000-0000-0000194A0000}"/>
    <cellStyle name="Accent3 62" xfId="2143" xr:uid="{00000000-0005-0000-0000-00001A4A0000}"/>
    <cellStyle name="Accent3 63" xfId="2144" xr:uid="{00000000-0005-0000-0000-00001B4A0000}"/>
    <cellStyle name="Accent3 64" xfId="2145" xr:uid="{00000000-0005-0000-0000-00001C4A0000}"/>
    <cellStyle name="Accent3 65" xfId="2146" xr:uid="{00000000-0005-0000-0000-00001D4A0000}"/>
    <cellStyle name="Accent3 66" xfId="2147" xr:uid="{00000000-0005-0000-0000-00001E4A0000}"/>
    <cellStyle name="Accent3 67" xfId="2148" xr:uid="{00000000-0005-0000-0000-00001F4A0000}"/>
    <cellStyle name="Accent3 68" xfId="2149" xr:uid="{00000000-0005-0000-0000-0000204A0000}"/>
    <cellStyle name="Accent3 69" xfId="2150" xr:uid="{00000000-0005-0000-0000-0000214A0000}"/>
    <cellStyle name="Accent3 7" xfId="2151" xr:uid="{00000000-0005-0000-0000-0000224A0000}"/>
    <cellStyle name="Accent3 70" xfId="2152" xr:uid="{00000000-0005-0000-0000-0000234A0000}"/>
    <cellStyle name="Accent3 71" xfId="2153" xr:uid="{00000000-0005-0000-0000-0000244A0000}"/>
    <cellStyle name="Accent3 72" xfId="2154" xr:uid="{00000000-0005-0000-0000-0000254A0000}"/>
    <cellStyle name="Accent3 8" xfId="2155" xr:uid="{00000000-0005-0000-0000-0000264A0000}"/>
    <cellStyle name="Accent3 9" xfId="2156" xr:uid="{00000000-0005-0000-0000-0000274A0000}"/>
    <cellStyle name="Accent4 - 20%" xfId="24028" xr:uid="{00000000-0005-0000-0000-0000284A0000}"/>
    <cellStyle name="Accent4 - 40%" xfId="24029" xr:uid="{00000000-0005-0000-0000-0000294A0000}"/>
    <cellStyle name="Accent4 - 60%" xfId="24030" xr:uid="{00000000-0005-0000-0000-00002A4A0000}"/>
    <cellStyle name="Accent4 10" xfId="2157" xr:uid="{00000000-0005-0000-0000-00002B4A0000}"/>
    <cellStyle name="Accent4 11" xfId="2158" xr:uid="{00000000-0005-0000-0000-00002C4A0000}"/>
    <cellStyle name="Accent4 12" xfId="2159" xr:uid="{00000000-0005-0000-0000-00002D4A0000}"/>
    <cellStyle name="Accent4 13" xfId="2160" xr:uid="{00000000-0005-0000-0000-00002E4A0000}"/>
    <cellStyle name="Accent4 14" xfId="2161" xr:uid="{00000000-0005-0000-0000-00002F4A0000}"/>
    <cellStyle name="Accent4 15" xfId="2162" xr:uid="{00000000-0005-0000-0000-0000304A0000}"/>
    <cellStyle name="Accent4 16" xfId="2163" xr:uid="{00000000-0005-0000-0000-0000314A0000}"/>
    <cellStyle name="Accent4 17" xfId="2164" xr:uid="{00000000-0005-0000-0000-0000324A0000}"/>
    <cellStyle name="Accent4 18" xfId="2165" xr:uid="{00000000-0005-0000-0000-0000334A0000}"/>
    <cellStyle name="Accent4 19" xfId="2166" xr:uid="{00000000-0005-0000-0000-0000344A0000}"/>
    <cellStyle name="Accent4 2" xfId="2167" xr:uid="{00000000-0005-0000-0000-0000354A0000}"/>
    <cellStyle name="Accent4 2 2" xfId="24034" xr:uid="{00000000-0005-0000-0000-0000364A0000}"/>
    <cellStyle name="Accent4 2 3" xfId="24033" xr:uid="{00000000-0005-0000-0000-0000374A0000}"/>
    <cellStyle name="Accent4 20" xfId="2168" xr:uid="{00000000-0005-0000-0000-0000384A0000}"/>
    <cellStyle name="Accent4 21" xfId="2169" xr:uid="{00000000-0005-0000-0000-0000394A0000}"/>
    <cellStyle name="Accent4 22" xfId="2170" xr:uid="{00000000-0005-0000-0000-00003A4A0000}"/>
    <cellStyle name="Accent4 23" xfId="2171" xr:uid="{00000000-0005-0000-0000-00003B4A0000}"/>
    <cellStyle name="Accent4 24" xfId="2172" xr:uid="{00000000-0005-0000-0000-00003C4A0000}"/>
    <cellStyle name="Accent4 25" xfId="2173" xr:uid="{00000000-0005-0000-0000-00003D4A0000}"/>
    <cellStyle name="Accent4 26" xfId="2174" xr:uid="{00000000-0005-0000-0000-00003E4A0000}"/>
    <cellStyle name="Accent4 27" xfId="2175" xr:uid="{00000000-0005-0000-0000-00003F4A0000}"/>
    <cellStyle name="Accent4 28" xfId="2176" xr:uid="{00000000-0005-0000-0000-0000404A0000}"/>
    <cellStyle name="Accent4 29" xfId="2177" xr:uid="{00000000-0005-0000-0000-0000414A0000}"/>
    <cellStyle name="Accent4 3" xfId="2178" xr:uid="{00000000-0005-0000-0000-0000424A0000}"/>
    <cellStyle name="Accent4 3 2" xfId="24035" xr:uid="{00000000-0005-0000-0000-0000434A0000}"/>
    <cellStyle name="Accent4 30" xfId="2179" xr:uid="{00000000-0005-0000-0000-0000444A0000}"/>
    <cellStyle name="Accent4 31" xfId="2180" xr:uid="{00000000-0005-0000-0000-0000454A0000}"/>
    <cellStyle name="Accent4 32" xfId="2181" xr:uid="{00000000-0005-0000-0000-0000464A0000}"/>
    <cellStyle name="Accent4 33" xfId="2182" xr:uid="{00000000-0005-0000-0000-0000474A0000}"/>
    <cellStyle name="Accent4 34" xfId="2183" xr:uid="{00000000-0005-0000-0000-0000484A0000}"/>
    <cellStyle name="Accent4 35" xfId="2184" xr:uid="{00000000-0005-0000-0000-0000494A0000}"/>
    <cellStyle name="Accent4 36" xfId="2185" xr:uid="{00000000-0005-0000-0000-00004A4A0000}"/>
    <cellStyle name="Accent4 37" xfId="2186" xr:uid="{00000000-0005-0000-0000-00004B4A0000}"/>
    <cellStyle name="Accent4 38" xfId="2187" xr:uid="{00000000-0005-0000-0000-00004C4A0000}"/>
    <cellStyle name="Accent4 39" xfId="2188" xr:uid="{00000000-0005-0000-0000-00004D4A0000}"/>
    <cellStyle name="Accent4 4" xfId="2189" xr:uid="{00000000-0005-0000-0000-00004E4A0000}"/>
    <cellStyle name="Accent4 4 2" xfId="24036" xr:uid="{00000000-0005-0000-0000-00004F4A0000}"/>
    <cellStyle name="Accent4 40" xfId="2190" xr:uid="{00000000-0005-0000-0000-0000504A0000}"/>
    <cellStyle name="Accent4 41" xfId="2191" xr:uid="{00000000-0005-0000-0000-0000514A0000}"/>
    <cellStyle name="Accent4 42" xfId="2192" xr:uid="{00000000-0005-0000-0000-0000524A0000}"/>
    <cellStyle name="Accent4 43" xfId="2193" xr:uid="{00000000-0005-0000-0000-0000534A0000}"/>
    <cellStyle name="Accent4 44" xfId="2194" xr:uid="{00000000-0005-0000-0000-0000544A0000}"/>
    <cellStyle name="Accent4 45" xfId="2195" xr:uid="{00000000-0005-0000-0000-0000554A0000}"/>
    <cellStyle name="Accent4 46" xfId="2196" xr:uid="{00000000-0005-0000-0000-0000564A0000}"/>
    <cellStyle name="Accent4 47" xfId="2197" xr:uid="{00000000-0005-0000-0000-0000574A0000}"/>
    <cellStyle name="Accent4 48" xfId="2198" xr:uid="{00000000-0005-0000-0000-0000584A0000}"/>
    <cellStyle name="Accent4 49" xfId="2199" xr:uid="{00000000-0005-0000-0000-0000594A0000}"/>
    <cellStyle name="Accent4 5" xfId="2200" xr:uid="{00000000-0005-0000-0000-00005A4A0000}"/>
    <cellStyle name="Accent4 50" xfId="2201" xr:uid="{00000000-0005-0000-0000-00005B4A0000}"/>
    <cellStyle name="Accent4 51" xfId="2202" xr:uid="{00000000-0005-0000-0000-00005C4A0000}"/>
    <cellStyle name="Accent4 52" xfId="2203" xr:uid="{00000000-0005-0000-0000-00005D4A0000}"/>
    <cellStyle name="Accent4 53" xfId="2204" xr:uid="{00000000-0005-0000-0000-00005E4A0000}"/>
    <cellStyle name="Accent4 54" xfId="2205" xr:uid="{00000000-0005-0000-0000-00005F4A0000}"/>
    <cellStyle name="Accent4 55" xfId="2206" xr:uid="{00000000-0005-0000-0000-0000604A0000}"/>
    <cellStyle name="Accent4 56" xfId="2207" xr:uid="{00000000-0005-0000-0000-0000614A0000}"/>
    <cellStyle name="Accent4 57" xfId="2208" xr:uid="{00000000-0005-0000-0000-0000624A0000}"/>
    <cellStyle name="Accent4 58" xfId="2209" xr:uid="{00000000-0005-0000-0000-0000634A0000}"/>
    <cellStyle name="Accent4 59" xfId="2210" xr:uid="{00000000-0005-0000-0000-0000644A0000}"/>
    <cellStyle name="Accent4 6" xfId="2211" xr:uid="{00000000-0005-0000-0000-0000654A0000}"/>
    <cellStyle name="Accent4 60" xfId="2212" xr:uid="{00000000-0005-0000-0000-0000664A0000}"/>
    <cellStyle name="Accent4 61" xfId="2213" xr:uid="{00000000-0005-0000-0000-0000674A0000}"/>
    <cellStyle name="Accent4 62" xfId="2214" xr:uid="{00000000-0005-0000-0000-0000684A0000}"/>
    <cellStyle name="Accent4 63" xfId="2215" xr:uid="{00000000-0005-0000-0000-0000694A0000}"/>
    <cellStyle name="Accent4 64" xfId="2216" xr:uid="{00000000-0005-0000-0000-00006A4A0000}"/>
    <cellStyle name="Accent4 65" xfId="2217" xr:uid="{00000000-0005-0000-0000-00006B4A0000}"/>
    <cellStyle name="Accent4 66" xfId="2218" xr:uid="{00000000-0005-0000-0000-00006C4A0000}"/>
    <cellStyle name="Accent4 67" xfId="2219" xr:uid="{00000000-0005-0000-0000-00006D4A0000}"/>
    <cellStyle name="Accent4 68" xfId="2220" xr:uid="{00000000-0005-0000-0000-00006E4A0000}"/>
    <cellStyle name="Accent4 69" xfId="2221" xr:uid="{00000000-0005-0000-0000-00006F4A0000}"/>
    <cellStyle name="Accent4 7" xfId="2222" xr:uid="{00000000-0005-0000-0000-0000704A0000}"/>
    <cellStyle name="Accent4 70" xfId="2223" xr:uid="{00000000-0005-0000-0000-0000714A0000}"/>
    <cellStyle name="Accent4 71" xfId="2224" xr:uid="{00000000-0005-0000-0000-0000724A0000}"/>
    <cellStyle name="Accent4 72" xfId="2225" xr:uid="{00000000-0005-0000-0000-0000734A0000}"/>
    <cellStyle name="Accent4 8" xfId="2226" xr:uid="{00000000-0005-0000-0000-0000744A0000}"/>
    <cellStyle name="Accent4 9" xfId="2227" xr:uid="{00000000-0005-0000-0000-0000754A0000}"/>
    <cellStyle name="Accent5 - 20%" xfId="24037" xr:uid="{00000000-0005-0000-0000-0000764A0000}"/>
    <cellStyle name="Accent5 - 40%" xfId="24038" xr:uid="{00000000-0005-0000-0000-0000774A0000}"/>
    <cellStyle name="Accent5 - 60%" xfId="24039" xr:uid="{00000000-0005-0000-0000-0000784A0000}"/>
    <cellStyle name="Accent5 10" xfId="2228" xr:uid="{00000000-0005-0000-0000-0000794A0000}"/>
    <cellStyle name="Accent5 11" xfId="2229" xr:uid="{00000000-0005-0000-0000-00007A4A0000}"/>
    <cellStyle name="Accent5 12" xfId="2230" xr:uid="{00000000-0005-0000-0000-00007B4A0000}"/>
    <cellStyle name="Accent5 13" xfId="2231" xr:uid="{00000000-0005-0000-0000-00007C4A0000}"/>
    <cellStyle name="Accent5 14" xfId="2232" xr:uid="{00000000-0005-0000-0000-00007D4A0000}"/>
    <cellStyle name="Accent5 15" xfId="2233" xr:uid="{00000000-0005-0000-0000-00007E4A0000}"/>
    <cellStyle name="Accent5 16" xfId="2234" xr:uid="{00000000-0005-0000-0000-00007F4A0000}"/>
    <cellStyle name="Accent5 17" xfId="2235" xr:uid="{00000000-0005-0000-0000-0000804A0000}"/>
    <cellStyle name="Accent5 18" xfId="2236" xr:uid="{00000000-0005-0000-0000-0000814A0000}"/>
    <cellStyle name="Accent5 19" xfId="2237" xr:uid="{00000000-0005-0000-0000-0000824A0000}"/>
    <cellStyle name="Accent5 2" xfId="2238" xr:uid="{00000000-0005-0000-0000-0000834A0000}"/>
    <cellStyle name="Accent5 2 2" xfId="24041" xr:uid="{00000000-0005-0000-0000-0000844A0000}"/>
    <cellStyle name="Accent5 2 3" xfId="24040" xr:uid="{00000000-0005-0000-0000-0000854A0000}"/>
    <cellStyle name="Accent5 20" xfId="2239" xr:uid="{00000000-0005-0000-0000-0000864A0000}"/>
    <cellStyle name="Accent5 21" xfId="2240" xr:uid="{00000000-0005-0000-0000-0000874A0000}"/>
    <cellStyle name="Accent5 22" xfId="2241" xr:uid="{00000000-0005-0000-0000-0000884A0000}"/>
    <cellStyle name="Accent5 23" xfId="2242" xr:uid="{00000000-0005-0000-0000-0000894A0000}"/>
    <cellStyle name="Accent5 24" xfId="2243" xr:uid="{00000000-0005-0000-0000-00008A4A0000}"/>
    <cellStyle name="Accent5 25" xfId="2244" xr:uid="{00000000-0005-0000-0000-00008B4A0000}"/>
    <cellStyle name="Accent5 26" xfId="2245" xr:uid="{00000000-0005-0000-0000-00008C4A0000}"/>
    <cellStyle name="Accent5 27" xfId="2246" xr:uid="{00000000-0005-0000-0000-00008D4A0000}"/>
    <cellStyle name="Accent5 28" xfId="2247" xr:uid="{00000000-0005-0000-0000-00008E4A0000}"/>
    <cellStyle name="Accent5 29" xfId="2248" xr:uid="{00000000-0005-0000-0000-00008F4A0000}"/>
    <cellStyle name="Accent5 3" xfId="2249" xr:uid="{00000000-0005-0000-0000-0000904A0000}"/>
    <cellStyle name="Accent5 3 2" xfId="24042" xr:uid="{00000000-0005-0000-0000-0000914A0000}"/>
    <cellStyle name="Accent5 30" xfId="2250" xr:uid="{00000000-0005-0000-0000-0000924A0000}"/>
    <cellStyle name="Accent5 31" xfId="2251" xr:uid="{00000000-0005-0000-0000-0000934A0000}"/>
    <cellStyle name="Accent5 32" xfId="2252" xr:uid="{00000000-0005-0000-0000-0000944A0000}"/>
    <cellStyle name="Accent5 33" xfId="2253" xr:uid="{00000000-0005-0000-0000-0000954A0000}"/>
    <cellStyle name="Accent5 34" xfId="2254" xr:uid="{00000000-0005-0000-0000-0000964A0000}"/>
    <cellStyle name="Accent5 35" xfId="2255" xr:uid="{00000000-0005-0000-0000-0000974A0000}"/>
    <cellStyle name="Accent5 36" xfId="2256" xr:uid="{00000000-0005-0000-0000-0000984A0000}"/>
    <cellStyle name="Accent5 37" xfId="2257" xr:uid="{00000000-0005-0000-0000-0000994A0000}"/>
    <cellStyle name="Accent5 38" xfId="2258" xr:uid="{00000000-0005-0000-0000-00009A4A0000}"/>
    <cellStyle name="Accent5 39" xfId="2259" xr:uid="{00000000-0005-0000-0000-00009B4A0000}"/>
    <cellStyle name="Accent5 4" xfId="2260" xr:uid="{00000000-0005-0000-0000-00009C4A0000}"/>
    <cellStyle name="Accent5 4 2" xfId="24043" xr:uid="{00000000-0005-0000-0000-00009D4A0000}"/>
    <cellStyle name="Accent5 40" xfId="2261" xr:uid="{00000000-0005-0000-0000-00009E4A0000}"/>
    <cellStyle name="Accent5 41" xfId="2262" xr:uid="{00000000-0005-0000-0000-00009F4A0000}"/>
    <cellStyle name="Accent5 42" xfId="2263" xr:uid="{00000000-0005-0000-0000-0000A04A0000}"/>
    <cellStyle name="Accent5 43" xfId="2264" xr:uid="{00000000-0005-0000-0000-0000A14A0000}"/>
    <cellStyle name="Accent5 44" xfId="2265" xr:uid="{00000000-0005-0000-0000-0000A24A0000}"/>
    <cellStyle name="Accent5 45" xfId="2266" xr:uid="{00000000-0005-0000-0000-0000A34A0000}"/>
    <cellStyle name="Accent5 46" xfId="2267" xr:uid="{00000000-0005-0000-0000-0000A44A0000}"/>
    <cellStyle name="Accent5 47" xfId="2268" xr:uid="{00000000-0005-0000-0000-0000A54A0000}"/>
    <cellStyle name="Accent5 48" xfId="2269" xr:uid="{00000000-0005-0000-0000-0000A64A0000}"/>
    <cellStyle name="Accent5 49" xfId="2270" xr:uid="{00000000-0005-0000-0000-0000A74A0000}"/>
    <cellStyle name="Accent5 5" xfId="2271" xr:uid="{00000000-0005-0000-0000-0000A84A0000}"/>
    <cellStyle name="Accent5 50" xfId="2272" xr:uid="{00000000-0005-0000-0000-0000A94A0000}"/>
    <cellStyle name="Accent5 51" xfId="2273" xr:uid="{00000000-0005-0000-0000-0000AA4A0000}"/>
    <cellStyle name="Accent5 52" xfId="2274" xr:uid="{00000000-0005-0000-0000-0000AB4A0000}"/>
    <cellStyle name="Accent5 53" xfId="2275" xr:uid="{00000000-0005-0000-0000-0000AC4A0000}"/>
    <cellStyle name="Accent5 54" xfId="2276" xr:uid="{00000000-0005-0000-0000-0000AD4A0000}"/>
    <cellStyle name="Accent5 55" xfId="2277" xr:uid="{00000000-0005-0000-0000-0000AE4A0000}"/>
    <cellStyle name="Accent5 56" xfId="2278" xr:uid="{00000000-0005-0000-0000-0000AF4A0000}"/>
    <cellStyle name="Accent5 57" xfId="2279" xr:uid="{00000000-0005-0000-0000-0000B04A0000}"/>
    <cellStyle name="Accent5 58" xfId="2280" xr:uid="{00000000-0005-0000-0000-0000B14A0000}"/>
    <cellStyle name="Accent5 59" xfId="2281" xr:uid="{00000000-0005-0000-0000-0000B24A0000}"/>
    <cellStyle name="Accent5 6" xfId="2282" xr:uid="{00000000-0005-0000-0000-0000B34A0000}"/>
    <cellStyle name="Accent5 60" xfId="2283" xr:uid="{00000000-0005-0000-0000-0000B44A0000}"/>
    <cellStyle name="Accent5 61" xfId="2284" xr:uid="{00000000-0005-0000-0000-0000B54A0000}"/>
    <cellStyle name="Accent5 62" xfId="2285" xr:uid="{00000000-0005-0000-0000-0000B64A0000}"/>
    <cellStyle name="Accent5 63" xfId="2286" xr:uid="{00000000-0005-0000-0000-0000B74A0000}"/>
    <cellStyle name="Accent5 64" xfId="2287" xr:uid="{00000000-0005-0000-0000-0000B84A0000}"/>
    <cellStyle name="Accent5 65" xfId="2288" xr:uid="{00000000-0005-0000-0000-0000B94A0000}"/>
    <cellStyle name="Accent5 66" xfId="2289" xr:uid="{00000000-0005-0000-0000-0000BA4A0000}"/>
    <cellStyle name="Accent5 67" xfId="2290" xr:uid="{00000000-0005-0000-0000-0000BB4A0000}"/>
    <cellStyle name="Accent5 68" xfId="2291" xr:uid="{00000000-0005-0000-0000-0000BC4A0000}"/>
    <cellStyle name="Accent5 69" xfId="2292" xr:uid="{00000000-0005-0000-0000-0000BD4A0000}"/>
    <cellStyle name="Accent5 7" xfId="2293" xr:uid="{00000000-0005-0000-0000-0000BE4A0000}"/>
    <cellStyle name="Accent5 70" xfId="2294" xr:uid="{00000000-0005-0000-0000-0000BF4A0000}"/>
    <cellStyle name="Accent5 71" xfId="2295" xr:uid="{00000000-0005-0000-0000-0000C04A0000}"/>
    <cellStyle name="Accent5 72" xfId="2296" xr:uid="{00000000-0005-0000-0000-0000C14A0000}"/>
    <cellStyle name="Accent5 8" xfId="2297" xr:uid="{00000000-0005-0000-0000-0000C24A0000}"/>
    <cellStyle name="Accent5 9" xfId="2298" xr:uid="{00000000-0005-0000-0000-0000C34A0000}"/>
    <cellStyle name="Accent6 - 20%" xfId="24044" xr:uid="{00000000-0005-0000-0000-0000C44A0000}"/>
    <cellStyle name="Accent6 - 40%" xfId="24045" xr:uid="{00000000-0005-0000-0000-0000C54A0000}"/>
    <cellStyle name="Accent6 - 60%" xfId="24046" xr:uid="{00000000-0005-0000-0000-0000C64A0000}"/>
    <cellStyle name="Accent6 10" xfId="2299" xr:uid="{00000000-0005-0000-0000-0000C74A0000}"/>
    <cellStyle name="Accent6 11" xfId="2300" xr:uid="{00000000-0005-0000-0000-0000C84A0000}"/>
    <cellStyle name="Accent6 12" xfId="2301" xr:uid="{00000000-0005-0000-0000-0000C94A0000}"/>
    <cellStyle name="Accent6 13" xfId="2302" xr:uid="{00000000-0005-0000-0000-0000CA4A0000}"/>
    <cellStyle name="Accent6 14" xfId="2303" xr:uid="{00000000-0005-0000-0000-0000CB4A0000}"/>
    <cellStyle name="Accent6 15" xfId="2304" xr:uid="{00000000-0005-0000-0000-0000CC4A0000}"/>
    <cellStyle name="Accent6 16" xfId="2305" xr:uid="{00000000-0005-0000-0000-0000CD4A0000}"/>
    <cellStyle name="Accent6 17" xfId="2306" xr:uid="{00000000-0005-0000-0000-0000CE4A0000}"/>
    <cellStyle name="Accent6 18" xfId="2307" xr:uid="{00000000-0005-0000-0000-0000CF4A0000}"/>
    <cellStyle name="Accent6 19" xfId="2308" xr:uid="{00000000-0005-0000-0000-0000D04A0000}"/>
    <cellStyle name="Accent6 2" xfId="2309" xr:uid="{00000000-0005-0000-0000-0000D14A0000}"/>
    <cellStyle name="Accent6 2 2" xfId="24048" xr:uid="{00000000-0005-0000-0000-0000D24A0000}"/>
    <cellStyle name="Accent6 2 3" xfId="24047" xr:uid="{00000000-0005-0000-0000-0000D34A0000}"/>
    <cellStyle name="Accent6 20" xfId="2310" xr:uid="{00000000-0005-0000-0000-0000D44A0000}"/>
    <cellStyle name="Accent6 21" xfId="2311" xr:uid="{00000000-0005-0000-0000-0000D54A0000}"/>
    <cellStyle name="Accent6 22" xfId="2312" xr:uid="{00000000-0005-0000-0000-0000D64A0000}"/>
    <cellStyle name="Accent6 23" xfId="2313" xr:uid="{00000000-0005-0000-0000-0000D74A0000}"/>
    <cellStyle name="Accent6 24" xfId="2314" xr:uid="{00000000-0005-0000-0000-0000D84A0000}"/>
    <cellStyle name="Accent6 25" xfId="2315" xr:uid="{00000000-0005-0000-0000-0000D94A0000}"/>
    <cellStyle name="Accent6 26" xfId="2316" xr:uid="{00000000-0005-0000-0000-0000DA4A0000}"/>
    <cellStyle name="Accent6 27" xfId="2317" xr:uid="{00000000-0005-0000-0000-0000DB4A0000}"/>
    <cellStyle name="Accent6 28" xfId="2318" xr:uid="{00000000-0005-0000-0000-0000DC4A0000}"/>
    <cellStyle name="Accent6 29" xfId="2319" xr:uid="{00000000-0005-0000-0000-0000DD4A0000}"/>
    <cellStyle name="Accent6 3" xfId="2320" xr:uid="{00000000-0005-0000-0000-0000DE4A0000}"/>
    <cellStyle name="Accent6 3 2" xfId="24049" xr:uid="{00000000-0005-0000-0000-0000DF4A0000}"/>
    <cellStyle name="Accent6 30" xfId="2321" xr:uid="{00000000-0005-0000-0000-0000E04A0000}"/>
    <cellStyle name="Accent6 31" xfId="2322" xr:uid="{00000000-0005-0000-0000-0000E14A0000}"/>
    <cellStyle name="Accent6 32" xfId="2323" xr:uid="{00000000-0005-0000-0000-0000E24A0000}"/>
    <cellStyle name="Accent6 33" xfId="2324" xr:uid="{00000000-0005-0000-0000-0000E34A0000}"/>
    <cellStyle name="Accent6 34" xfId="2325" xr:uid="{00000000-0005-0000-0000-0000E44A0000}"/>
    <cellStyle name="Accent6 35" xfId="2326" xr:uid="{00000000-0005-0000-0000-0000E54A0000}"/>
    <cellStyle name="Accent6 36" xfId="2327" xr:uid="{00000000-0005-0000-0000-0000E64A0000}"/>
    <cellStyle name="Accent6 37" xfId="2328" xr:uid="{00000000-0005-0000-0000-0000E74A0000}"/>
    <cellStyle name="Accent6 38" xfId="2329" xr:uid="{00000000-0005-0000-0000-0000E84A0000}"/>
    <cellStyle name="Accent6 39" xfId="2330" xr:uid="{00000000-0005-0000-0000-0000E94A0000}"/>
    <cellStyle name="Accent6 4" xfId="2331" xr:uid="{00000000-0005-0000-0000-0000EA4A0000}"/>
    <cellStyle name="Accent6 4 2" xfId="24050" xr:uid="{00000000-0005-0000-0000-0000EB4A0000}"/>
    <cellStyle name="Accent6 40" xfId="2332" xr:uid="{00000000-0005-0000-0000-0000EC4A0000}"/>
    <cellStyle name="Accent6 41" xfId="2333" xr:uid="{00000000-0005-0000-0000-0000ED4A0000}"/>
    <cellStyle name="Accent6 42" xfId="2334" xr:uid="{00000000-0005-0000-0000-0000EE4A0000}"/>
    <cellStyle name="Accent6 43" xfId="2335" xr:uid="{00000000-0005-0000-0000-0000EF4A0000}"/>
    <cellStyle name="Accent6 44" xfId="2336" xr:uid="{00000000-0005-0000-0000-0000F04A0000}"/>
    <cellStyle name="Accent6 45" xfId="2337" xr:uid="{00000000-0005-0000-0000-0000F14A0000}"/>
    <cellStyle name="Accent6 46" xfId="2338" xr:uid="{00000000-0005-0000-0000-0000F24A0000}"/>
    <cellStyle name="Accent6 47" xfId="2339" xr:uid="{00000000-0005-0000-0000-0000F34A0000}"/>
    <cellStyle name="Accent6 48" xfId="2340" xr:uid="{00000000-0005-0000-0000-0000F44A0000}"/>
    <cellStyle name="Accent6 49" xfId="2341" xr:uid="{00000000-0005-0000-0000-0000F54A0000}"/>
    <cellStyle name="Accent6 5" xfId="2342" xr:uid="{00000000-0005-0000-0000-0000F64A0000}"/>
    <cellStyle name="Accent6 50" xfId="2343" xr:uid="{00000000-0005-0000-0000-0000F74A0000}"/>
    <cellStyle name="Accent6 51" xfId="2344" xr:uid="{00000000-0005-0000-0000-0000F84A0000}"/>
    <cellStyle name="Accent6 52" xfId="2345" xr:uid="{00000000-0005-0000-0000-0000F94A0000}"/>
    <cellStyle name="Accent6 53" xfId="2346" xr:uid="{00000000-0005-0000-0000-0000FA4A0000}"/>
    <cellStyle name="Accent6 54" xfId="2347" xr:uid="{00000000-0005-0000-0000-0000FB4A0000}"/>
    <cellStyle name="Accent6 55" xfId="2348" xr:uid="{00000000-0005-0000-0000-0000FC4A0000}"/>
    <cellStyle name="Accent6 56" xfId="2349" xr:uid="{00000000-0005-0000-0000-0000FD4A0000}"/>
    <cellStyle name="Accent6 57" xfId="2350" xr:uid="{00000000-0005-0000-0000-0000FE4A0000}"/>
    <cellStyle name="Accent6 58" xfId="2351" xr:uid="{00000000-0005-0000-0000-0000FF4A0000}"/>
    <cellStyle name="Accent6 59" xfId="2352" xr:uid="{00000000-0005-0000-0000-0000004B0000}"/>
    <cellStyle name="Accent6 6" xfId="2353" xr:uid="{00000000-0005-0000-0000-0000014B0000}"/>
    <cellStyle name="Accent6 60" xfId="2354" xr:uid="{00000000-0005-0000-0000-0000024B0000}"/>
    <cellStyle name="Accent6 61" xfId="2355" xr:uid="{00000000-0005-0000-0000-0000034B0000}"/>
    <cellStyle name="Accent6 62" xfId="2356" xr:uid="{00000000-0005-0000-0000-0000044B0000}"/>
    <cellStyle name="Accent6 63" xfId="2357" xr:uid="{00000000-0005-0000-0000-0000054B0000}"/>
    <cellStyle name="Accent6 64" xfId="2358" xr:uid="{00000000-0005-0000-0000-0000064B0000}"/>
    <cellStyle name="Accent6 65" xfId="2359" xr:uid="{00000000-0005-0000-0000-0000074B0000}"/>
    <cellStyle name="Accent6 66" xfId="2360" xr:uid="{00000000-0005-0000-0000-0000084B0000}"/>
    <cellStyle name="Accent6 67" xfId="2361" xr:uid="{00000000-0005-0000-0000-0000094B0000}"/>
    <cellStyle name="Accent6 68" xfId="2362" xr:uid="{00000000-0005-0000-0000-00000A4B0000}"/>
    <cellStyle name="Accent6 69" xfId="2363" xr:uid="{00000000-0005-0000-0000-00000B4B0000}"/>
    <cellStyle name="Accent6 7" xfId="2364" xr:uid="{00000000-0005-0000-0000-00000C4B0000}"/>
    <cellStyle name="Accent6 70" xfId="2365" xr:uid="{00000000-0005-0000-0000-00000D4B0000}"/>
    <cellStyle name="Accent6 71" xfId="2366" xr:uid="{00000000-0005-0000-0000-00000E4B0000}"/>
    <cellStyle name="Accent6 72" xfId="2367" xr:uid="{00000000-0005-0000-0000-00000F4B0000}"/>
    <cellStyle name="Accent6 8" xfId="2368" xr:uid="{00000000-0005-0000-0000-0000104B0000}"/>
    <cellStyle name="Accent6 9" xfId="2369" xr:uid="{00000000-0005-0000-0000-0000114B0000}"/>
    <cellStyle name="Bad 10" xfId="2370" xr:uid="{00000000-0005-0000-0000-0000124B0000}"/>
    <cellStyle name="Bad 11" xfId="2371" xr:uid="{00000000-0005-0000-0000-0000134B0000}"/>
    <cellStyle name="Bad 12" xfId="2372" xr:uid="{00000000-0005-0000-0000-0000144B0000}"/>
    <cellStyle name="Bad 13" xfId="2373" xr:uid="{00000000-0005-0000-0000-0000154B0000}"/>
    <cellStyle name="Bad 14" xfId="2374" xr:uid="{00000000-0005-0000-0000-0000164B0000}"/>
    <cellStyle name="Bad 15" xfId="2375" xr:uid="{00000000-0005-0000-0000-0000174B0000}"/>
    <cellStyle name="Bad 16" xfId="2376" xr:uid="{00000000-0005-0000-0000-0000184B0000}"/>
    <cellStyle name="Bad 17" xfId="2377" xr:uid="{00000000-0005-0000-0000-0000194B0000}"/>
    <cellStyle name="Bad 18" xfId="2378" xr:uid="{00000000-0005-0000-0000-00001A4B0000}"/>
    <cellStyle name="Bad 19" xfId="2379" xr:uid="{00000000-0005-0000-0000-00001B4B0000}"/>
    <cellStyle name="Bad 2" xfId="2380" xr:uid="{00000000-0005-0000-0000-00001C4B0000}"/>
    <cellStyle name="Bad 2 2" xfId="24052" xr:uid="{00000000-0005-0000-0000-00001D4B0000}"/>
    <cellStyle name="Bad 2 3" xfId="24051" xr:uid="{00000000-0005-0000-0000-00001E4B0000}"/>
    <cellStyle name="Bad 20" xfId="2381" xr:uid="{00000000-0005-0000-0000-00001F4B0000}"/>
    <cellStyle name="Bad 21" xfId="2382" xr:uid="{00000000-0005-0000-0000-0000204B0000}"/>
    <cellStyle name="Bad 22" xfId="2383" xr:uid="{00000000-0005-0000-0000-0000214B0000}"/>
    <cellStyle name="Bad 23" xfId="2384" xr:uid="{00000000-0005-0000-0000-0000224B0000}"/>
    <cellStyle name="Bad 24" xfId="2385" xr:uid="{00000000-0005-0000-0000-0000234B0000}"/>
    <cellStyle name="Bad 25" xfId="2386" xr:uid="{00000000-0005-0000-0000-0000244B0000}"/>
    <cellStyle name="Bad 26" xfId="2387" xr:uid="{00000000-0005-0000-0000-0000254B0000}"/>
    <cellStyle name="Bad 27" xfId="2388" xr:uid="{00000000-0005-0000-0000-0000264B0000}"/>
    <cellStyle name="Bad 28" xfId="2389" xr:uid="{00000000-0005-0000-0000-0000274B0000}"/>
    <cellStyle name="Bad 29" xfId="2390" xr:uid="{00000000-0005-0000-0000-0000284B0000}"/>
    <cellStyle name="Bad 3" xfId="2391" xr:uid="{00000000-0005-0000-0000-0000294B0000}"/>
    <cellStyle name="Bad 3 2" xfId="24053" xr:uid="{00000000-0005-0000-0000-00002A4B0000}"/>
    <cellStyle name="Bad 30" xfId="2392" xr:uid="{00000000-0005-0000-0000-00002B4B0000}"/>
    <cellStyle name="Bad 31" xfId="2393" xr:uid="{00000000-0005-0000-0000-00002C4B0000}"/>
    <cellStyle name="Bad 32" xfId="2394" xr:uid="{00000000-0005-0000-0000-00002D4B0000}"/>
    <cellStyle name="Bad 33" xfId="2395" xr:uid="{00000000-0005-0000-0000-00002E4B0000}"/>
    <cellStyle name="Bad 34" xfId="2396" xr:uid="{00000000-0005-0000-0000-00002F4B0000}"/>
    <cellStyle name="Bad 35" xfId="2397" xr:uid="{00000000-0005-0000-0000-0000304B0000}"/>
    <cellStyle name="Bad 36" xfId="2398" xr:uid="{00000000-0005-0000-0000-0000314B0000}"/>
    <cellStyle name="Bad 37" xfId="2399" xr:uid="{00000000-0005-0000-0000-0000324B0000}"/>
    <cellStyle name="Bad 38" xfId="2400" xr:uid="{00000000-0005-0000-0000-0000334B0000}"/>
    <cellStyle name="Bad 39" xfId="2401" xr:uid="{00000000-0005-0000-0000-0000344B0000}"/>
    <cellStyle name="Bad 4" xfId="2402" xr:uid="{00000000-0005-0000-0000-0000354B0000}"/>
    <cellStyle name="Bad 4 2" xfId="24054" xr:uid="{00000000-0005-0000-0000-0000364B0000}"/>
    <cellStyle name="Bad 40" xfId="2403" xr:uid="{00000000-0005-0000-0000-0000374B0000}"/>
    <cellStyle name="Bad 41" xfId="2404" xr:uid="{00000000-0005-0000-0000-0000384B0000}"/>
    <cellStyle name="Bad 42" xfId="2405" xr:uid="{00000000-0005-0000-0000-0000394B0000}"/>
    <cellStyle name="Bad 43" xfId="2406" xr:uid="{00000000-0005-0000-0000-00003A4B0000}"/>
    <cellStyle name="Bad 44" xfId="2407" xr:uid="{00000000-0005-0000-0000-00003B4B0000}"/>
    <cellStyle name="Bad 45" xfId="2408" xr:uid="{00000000-0005-0000-0000-00003C4B0000}"/>
    <cellStyle name="Bad 46" xfId="2409" xr:uid="{00000000-0005-0000-0000-00003D4B0000}"/>
    <cellStyle name="Bad 47" xfId="2410" xr:uid="{00000000-0005-0000-0000-00003E4B0000}"/>
    <cellStyle name="Bad 48" xfId="2411" xr:uid="{00000000-0005-0000-0000-00003F4B0000}"/>
    <cellStyle name="Bad 49" xfId="2412" xr:uid="{00000000-0005-0000-0000-0000404B0000}"/>
    <cellStyle name="Bad 5" xfId="2413" xr:uid="{00000000-0005-0000-0000-0000414B0000}"/>
    <cellStyle name="Bad 50" xfId="2414" xr:uid="{00000000-0005-0000-0000-0000424B0000}"/>
    <cellStyle name="Bad 51" xfId="2415" xr:uid="{00000000-0005-0000-0000-0000434B0000}"/>
    <cellStyle name="Bad 52" xfId="2416" xr:uid="{00000000-0005-0000-0000-0000444B0000}"/>
    <cellStyle name="Bad 53" xfId="2417" xr:uid="{00000000-0005-0000-0000-0000454B0000}"/>
    <cellStyle name="Bad 54" xfId="2418" xr:uid="{00000000-0005-0000-0000-0000464B0000}"/>
    <cellStyle name="Bad 55" xfId="2419" xr:uid="{00000000-0005-0000-0000-0000474B0000}"/>
    <cellStyle name="Bad 56" xfId="2420" xr:uid="{00000000-0005-0000-0000-0000484B0000}"/>
    <cellStyle name="Bad 57" xfId="2421" xr:uid="{00000000-0005-0000-0000-0000494B0000}"/>
    <cellStyle name="Bad 58" xfId="2422" xr:uid="{00000000-0005-0000-0000-00004A4B0000}"/>
    <cellStyle name="Bad 59" xfId="2423" xr:uid="{00000000-0005-0000-0000-00004B4B0000}"/>
    <cellStyle name="Bad 6" xfId="2424" xr:uid="{00000000-0005-0000-0000-00004C4B0000}"/>
    <cellStyle name="Bad 60" xfId="2425" xr:uid="{00000000-0005-0000-0000-00004D4B0000}"/>
    <cellStyle name="Bad 61" xfId="2426" xr:uid="{00000000-0005-0000-0000-00004E4B0000}"/>
    <cellStyle name="Bad 62" xfId="2427" xr:uid="{00000000-0005-0000-0000-00004F4B0000}"/>
    <cellStyle name="Bad 63" xfId="2428" xr:uid="{00000000-0005-0000-0000-0000504B0000}"/>
    <cellStyle name="Bad 64" xfId="2429" xr:uid="{00000000-0005-0000-0000-0000514B0000}"/>
    <cellStyle name="Bad 65" xfId="2430" xr:uid="{00000000-0005-0000-0000-0000524B0000}"/>
    <cellStyle name="Bad 66" xfId="2431" xr:uid="{00000000-0005-0000-0000-0000534B0000}"/>
    <cellStyle name="Bad 67" xfId="2432" xr:uid="{00000000-0005-0000-0000-0000544B0000}"/>
    <cellStyle name="Bad 68" xfId="2433" xr:uid="{00000000-0005-0000-0000-0000554B0000}"/>
    <cellStyle name="Bad 69" xfId="2434" xr:uid="{00000000-0005-0000-0000-0000564B0000}"/>
    <cellStyle name="Bad 7" xfId="2435" xr:uid="{00000000-0005-0000-0000-0000574B0000}"/>
    <cellStyle name="Bad 70" xfId="2436" xr:uid="{00000000-0005-0000-0000-0000584B0000}"/>
    <cellStyle name="Bad 71" xfId="2437" xr:uid="{00000000-0005-0000-0000-0000594B0000}"/>
    <cellStyle name="Bad 72" xfId="2438" xr:uid="{00000000-0005-0000-0000-00005A4B0000}"/>
    <cellStyle name="Bad 8" xfId="2439" xr:uid="{00000000-0005-0000-0000-00005B4B0000}"/>
    <cellStyle name="Bad 9" xfId="2440" xr:uid="{00000000-0005-0000-0000-00005C4B0000}"/>
    <cellStyle name="BlackStrike" xfId="540" xr:uid="{00000000-0005-0000-0000-00005D4B0000}"/>
    <cellStyle name="BlackText" xfId="541" xr:uid="{00000000-0005-0000-0000-00005E4B0000}"/>
    <cellStyle name="Blue" xfId="542" xr:uid="{00000000-0005-0000-0000-00005F4B0000}"/>
    <cellStyle name="BoldText" xfId="543" xr:uid="{00000000-0005-0000-0000-0000604B0000}"/>
    <cellStyle name="Border Heavy" xfId="544" xr:uid="{00000000-0005-0000-0000-0000614B0000}"/>
    <cellStyle name="Border Heavy 2" xfId="24285" xr:uid="{00000000-0005-0000-0000-0000624B0000}"/>
    <cellStyle name="Border Heavy 2 2" xfId="26877" xr:uid="{00000000-0005-0000-0000-0000634B0000}"/>
    <cellStyle name="Border Heavy 2 2 2" xfId="31638" xr:uid="{700635AD-BC88-4A5A-BD92-83BE05124C23}"/>
    <cellStyle name="Border Thin" xfId="545" xr:uid="{00000000-0005-0000-0000-0000644B0000}"/>
    <cellStyle name="Border Thin 2" xfId="24055" xr:uid="{00000000-0005-0000-0000-0000654B0000}"/>
    <cellStyle name="Border Thin 2 2" xfId="27048" xr:uid="{00000000-0005-0000-0000-0000664B0000}"/>
    <cellStyle name="Border Thin 2 2 2" xfId="31793" xr:uid="{484BE277-BF68-4EDB-BD3E-784F5BF2A081}"/>
    <cellStyle name="Border Thin 2 3" xfId="29401" xr:uid="{00000000-0005-0000-0000-0000674B0000}"/>
    <cellStyle name="Border Thin 2 3 2" xfId="33346" xr:uid="{0BD560DC-5140-4E70-86A9-7EA57D36B43C}"/>
    <cellStyle name="Border Thin 3" xfId="26039" xr:uid="{00000000-0005-0000-0000-0000684B0000}"/>
    <cellStyle name="Border Thin 3 2" xfId="30840" xr:uid="{4F688095-A2FF-4665-BF7D-7AACE1BE95FF}"/>
    <cellStyle name="Border Thin 4" xfId="29400" xr:uid="{00000000-0005-0000-0000-0000694B0000}"/>
    <cellStyle name="Border Thin 4 2" xfId="33345" xr:uid="{E4D43F6C-B0CE-4381-B2A5-D2C9A59C23BF}"/>
    <cellStyle name="Calculation 10" xfId="2441" xr:uid="{00000000-0005-0000-0000-00006A4B0000}"/>
    <cellStyle name="Calculation 11" xfId="2442" xr:uid="{00000000-0005-0000-0000-00006B4B0000}"/>
    <cellStyle name="Calculation 12" xfId="2443" xr:uid="{00000000-0005-0000-0000-00006C4B0000}"/>
    <cellStyle name="Calculation 13" xfId="2444" xr:uid="{00000000-0005-0000-0000-00006D4B0000}"/>
    <cellStyle name="Calculation 14" xfId="2445" xr:uid="{00000000-0005-0000-0000-00006E4B0000}"/>
    <cellStyle name="Calculation 15" xfId="2446" xr:uid="{00000000-0005-0000-0000-00006F4B0000}"/>
    <cellStyle name="Calculation 16" xfId="2447" xr:uid="{00000000-0005-0000-0000-0000704B0000}"/>
    <cellStyle name="Calculation 17" xfId="2448" xr:uid="{00000000-0005-0000-0000-0000714B0000}"/>
    <cellStyle name="Calculation 18" xfId="2449" xr:uid="{00000000-0005-0000-0000-0000724B0000}"/>
    <cellStyle name="Calculation 19" xfId="2450" xr:uid="{00000000-0005-0000-0000-0000734B0000}"/>
    <cellStyle name="Calculation 2" xfId="2451" xr:uid="{00000000-0005-0000-0000-0000744B0000}"/>
    <cellStyle name="Calculation 2 2" xfId="24057" xr:uid="{00000000-0005-0000-0000-0000754B0000}"/>
    <cellStyle name="Calculation 2 2 2" xfId="24699" xr:uid="{00000000-0005-0000-0000-0000764B0000}"/>
    <cellStyle name="Calculation 2 2 2 2" xfId="25298" xr:uid="{00000000-0005-0000-0000-0000774B0000}"/>
    <cellStyle name="Calculation 2 2 2 2 2" xfId="27452" xr:uid="{00000000-0005-0000-0000-0000784B0000}"/>
    <cellStyle name="Calculation 2 2 2 2 2 2" xfId="32044" xr:uid="{2B1BFAD7-52B1-41BB-BDAE-629ECBF45942}"/>
    <cellStyle name="Calculation 2 2 2 2 3" xfId="29191" xr:uid="{00000000-0005-0000-0000-0000794B0000}"/>
    <cellStyle name="Calculation 2 2 2 2 3 2" xfId="33174" xr:uid="{531B9C10-B224-4B98-A21E-0615FB6F7C6D}"/>
    <cellStyle name="Calculation 2 2 2 2 4" xfId="26814" xr:uid="{00000000-0005-0000-0000-00007A4B0000}"/>
    <cellStyle name="Calculation 2 2 2 2 4 2" xfId="31575" xr:uid="{0AEC4CE2-5C7A-4093-8DC4-0B829B5830F4}"/>
    <cellStyle name="Calculation 2 2 2 2 5" xfId="29396" xr:uid="{00000000-0005-0000-0000-00007B4B0000}"/>
    <cellStyle name="Calculation 2 2 2 2 5 2" xfId="33342" xr:uid="{B30AF003-A2DD-4B61-B539-DA55689BDB9E}"/>
    <cellStyle name="Calculation 2 2 2 2 6" xfId="30457" xr:uid="{1BEB926D-92A9-4536-9E1F-A25B9784AB12}"/>
    <cellStyle name="Calculation 2 2 2 3" xfId="25658" xr:uid="{00000000-0005-0000-0000-00007C4B0000}"/>
    <cellStyle name="Calculation 2 2 2 3 2" xfId="27811" xr:uid="{00000000-0005-0000-0000-00007D4B0000}"/>
    <cellStyle name="Calculation 2 2 2 3 2 2" xfId="32398" xr:uid="{29657348-06E1-4FC0-8FBC-1F7075EC36B1}"/>
    <cellStyle name="Calculation 2 2 2 3 3" xfId="29238" xr:uid="{00000000-0005-0000-0000-00007E4B0000}"/>
    <cellStyle name="Calculation 2 2 2 3 3 2" xfId="33220" xr:uid="{3518CE90-601A-4870-9086-D1DA6DCE2F05}"/>
    <cellStyle name="Calculation 2 2 2 3 4" xfId="26123" xr:uid="{00000000-0005-0000-0000-00007F4B0000}"/>
    <cellStyle name="Calculation 2 2 2 3 4 2" xfId="30913" xr:uid="{430DD274-B6CB-4FE5-B170-49DDE0172C29}"/>
    <cellStyle name="Calculation 2 2 2 3 5" xfId="29395" xr:uid="{00000000-0005-0000-0000-0000804B0000}"/>
    <cellStyle name="Calculation 2 2 2 3 5 2" xfId="33341" xr:uid="{61C9E807-E8CB-41D2-982E-34D5C6E96AB7}"/>
    <cellStyle name="Calculation 2 2 2 3 6" xfId="30652" xr:uid="{C4FAB978-6D4A-44AA-87DA-3B2C807AB515}"/>
    <cellStyle name="Calculation 2 2 2 4" xfId="27288" xr:uid="{00000000-0005-0000-0000-0000814B0000}"/>
    <cellStyle name="Calculation 2 2 2 4 2" xfId="31920" xr:uid="{F0DA3697-DCF1-43AB-8F93-408342820A44}"/>
    <cellStyle name="Calculation 2 2 2 5" xfId="26681" xr:uid="{00000000-0005-0000-0000-0000824B0000}"/>
    <cellStyle name="Calculation 2 2 2 5 2" xfId="31444" xr:uid="{644DAA56-B3BE-43F3-B2F8-12A5ABB33DC3}"/>
    <cellStyle name="Calculation 2 2 2 6" xfId="26813" xr:uid="{00000000-0005-0000-0000-0000834B0000}"/>
    <cellStyle name="Calculation 2 2 2 6 2" xfId="31574" xr:uid="{7BFA2600-5054-4A9B-B740-11B8976E30A3}"/>
    <cellStyle name="Calculation 2 2 2 7" xfId="29397" xr:uid="{00000000-0005-0000-0000-0000844B0000}"/>
    <cellStyle name="Calculation 2 2 2 7 2" xfId="33343" xr:uid="{568874B0-F112-4654-BB21-832F2D71AA05}"/>
    <cellStyle name="Calculation 2 2 2 8" xfId="30360" xr:uid="{86BEAF0D-F3E1-4722-BA0F-D230A55BEF0E}"/>
    <cellStyle name="Calculation 2 2 3" xfId="25022" xr:uid="{00000000-0005-0000-0000-0000854B0000}"/>
    <cellStyle name="Calculation 2 2 3 2" xfId="25431" xr:uid="{00000000-0005-0000-0000-0000864B0000}"/>
    <cellStyle name="Calculation 2 2 3 2 2" xfId="27585" xr:uid="{00000000-0005-0000-0000-0000874B0000}"/>
    <cellStyle name="Calculation 2 2 3 2 2 2" xfId="32176" xr:uid="{BCEF941E-EF2A-4082-AC7A-E0C46C752DCF}"/>
    <cellStyle name="Calculation 2 2 3 2 3" xfId="29211" xr:uid="{00000000-0005-0000-0000-0000884B0000}"/>
    <cellStyle name="Calculation 2 2 3 2 3 2" xfId="33194" xr:uid="{306977B6-9A34-46E2-8A60-4439D0E76332}"/>
    <cellStyle name="Calculation 2 2 3 2 4" xfId="26248" xr:uid="{00000000-0005-0000-0000-0000894B0000}"/>
    <cellStyle name="Calculation 2 2 3 2 4 2" xfId="31036" xr:uid="{A6C10B99-F9AA-4A0B-BA55-EE337C81E928}"/>
    <cellStyle name="Calculation 2 2 3 2 5" xfId="29393" xr:uid="{00000000-0005-0000-0000-00008A4B0000}"/>
    <cellStyle name="Calculation 2 2 3 2 5 2" xfId="33339" xr:uid="{88AE123B-7D3A-4AF0-B830-A8AB3F073CDE}"/>
    <cellStyle name="Calculation 2 2 3 2 6" xfId="30589" xr:uid="{54F849A6-0C7E-4CA6-98EF-3962F0462C9F}"/>
    <cellStyle name="Calculation 2 2 3 3" xfId="25669" xr:uid="{00000000-0005-0000-0000-00008B4B0000}"/>
    <cellStyle name="Calculation 2 2 3 3 2" xfId="27822" xr:uid="{00000000-0005-0000-0000-00008C4B0000}"/>
    <cellStyle name="Calculation 2 2 3 3 2 2" xfId="32409" xr:uid="{0D9C04EF-0EF1-4C23-894D-64E663BDEB2C}"/>
    <cellStyle name="Calculation 2 2 3 3 3" xfId="29249" xr:uid="{00000000-0005-0000-0000-00008D4B0000}"/>
    <cellStyle name="Calculation 2 2 3 3 3 2" xfId="33231" xr:uid="{7494DCE4-165C-4480-AC1C-E2C4FE025321}"/>
    <cellStyle name="Calculation 2 2 3 3 4" xfId="26829" xr:uid="{00000000-0005-0000-0000-00008E4B0000}"/>
    <cellStyle name="Calculation 2 2 3 3 4 2" xfId="31590" xr:uid="{547F0B99-1814-49D3-B6F0-CA087194BF9B}"/>
    <cellStyle name="Calculation 2 2 3 3 5" xfId="29392" xr:uid="{00000000-0005-0000-0000-00008F4B0000}"/>
    <cellStyle name="Calculation 2 2 3 3 5 2" xfId="33338" xr:uid="{BFA23AAD-2683-44E0-AA95-43A699EDD75D}"/>
    <cellStyle name="Calculation 2 2 3 3 6" xfId="30663" xr:uid="{5CA77894-E8AA-4F1B-8FAD-150C8607F2AD}"/>
    <cellStyle name="Calculation 2 2 3 4" xfId="27352" xr:uid="{00000000-0005-0000-0000-0000904B0000}"/>
    <cellStyle name="Calculation 2 2 3 4 2" xfId="31950" xr:uid="{83832CCD-BB47-4FCB-9242-EEFEC9A678D9}"/>
    <cellStyle name="Calculation 2 2 3 5" xfId="26190" xr:uid="{00000000-0005-0000-0000-0000914B0000}"/>
    <cellStyle name="Calculation 2 2 3 5 2" xfId="30978" xr:uid="{DB4846F2-F54E-4B68-BB8F-BF244DDDD245}"/>
    <cellStyle name="Calculation 2 2 3 6" xfId="26920" xr:uid="{00000000-0005-0000-0000-0000924B0000}"/>
    <cellStyle name="Calculation 2 2 3 6 2" xfId="31681" xr:uid="{EC2AEDCB-34FE-4881-A226-1423DFF0F079}"/>
    <cellStyle name="Calculation 2 2 3 7" xfId="29394" xr:uid="{00000000-0005-0000-0000-0000934B0000}"/>
    <cellStyle name="Calculation 2 2 3 7 2" xfId="33340" xr:uid="{B14DB7C0-DDC6-42C0-83BE-2F65D9A64A4F}"/>
    <cellStyle name="Calculation 2 2 3 8" xfId="30371" xr:uid="{8BA2D2AC-3D78-4518-AEB4-4759D2D0A2FE}"/>
    <cellStyle name="Calculation 2 2 4" xfId="25556" xr:uid="{00000000-0005-0000-0000-0000944B0000}"/>
    <cellStyle name="Calculation 2 2 4 2" xfId="27709" xr:uid="{00000000-0005-0000-0000-0000954B0000}"/>
    <cellStyle name="Calculation 2 2 4 2 2" xfId="32296" xr:uid="{79B2D777-6015-4C97-9C21-81761850383E}"/>
    <cellStyle name="Calculation 2 2 4 3" xfId="29224" xr:uid="{00000000-0005-0000-0000-0000964B0000}"/>
    <cellStyle name="Calculation 2 2 4 3 2" xfId="33207" xr:uid="{3931BF3F-9987-4F32-9E3B-074F803E656E}"/>
    <cellStyle name="Calculation 2 2 4 4" xfId="26702" xr:uid="{00000000-0005-0000-0000-0000974B0000}"/>
    <cellStyle name="Calculation 2 2 4 4 2" xfId="31464" xr:uid="{F96AF69F-F4D2-4416-828A-5B56399E8616}"/>
    <cellStyle name="Calculation 2 2 4 5" xfId="29391" xr:uid="{00000000-0005-0000-0000-0000984B0000}"/>
    <cellStyle name="Calculation 2 2 4 5 2" xfId="33337" xr:uid="{8896CC3D-2F81-4127-85F8-EB5525C36882}"/>
    <cellStyle name="Calculation 2 2 4 6" xfId="30613" xr:uid="{20EF0E59-8CDA-4C32-BA6E-B756F608865D}"/>
    <cellStyle name="Calculation 2 2 5" xfId="27050" xr:uid="{00000000-0005-0000-0000-0000994B0000}"/>
    <cellStyle name="Calculation 2 2 5 2" xfId="31795" xr:uid="{0086F781-00C9-4913-844F-653A9DDB8B3E}"/>
    <cellStyle name="Calculation 2 2 6" xfId="26271" xr:uid="{00000000-0005-0000-0000-00009A4B0000}"/>
    <cellStyle name="Calculation 2 2 6 2" xfId="31059" xr:uid="{795B8F0D-0EE4-4E56-820B-D0B3712B0FAF}"/>
    <cellStyle name="Calculation 2 2 7" xfId="26776" xr:uid="{00000000-0005-0000-0000-00009B4B0000}"/>
    <cellStyle name="Calculation 2 2 7 2" xfId="31537" xr:uid="{DF21CD0F-4514-4685-B0A5-62B876E3123D}"/>
    <cellStyle name="Calculation 2 2 8" xfId="29398" xr:uid="{00000000-0005-0000-0000-00009C4B0000}"/>
    <cellStyle name="Calculation 2 2 8 2" xfId="33344" xr:uid="{DD1DB7C7-FF34-4B11-8E22-F98DC1BC4512}"/>
    <cellStyle name="Calculation 2 2 9" xfId="30258" xr:uid="{CDCECA73-8F7F-477E-BDB6-308A4BFB3597}"/>
    <cellStyle name="Calculation 2 3" xfId="24056" xr:uid="{00000000-0005-0000-0000-00009D4B0000}"/>
    <cellStyle name="Calculation 2 3 2" xfId="25555" xr:uid="{00000000-0005-0000-0000-00009E4B0000}"/>
    <cellStyle name="Calculation 2 3 2 2" xfId="27708" xr:uid="{00000000-0005-0000-0000-00009F4B0000}"/>
    <cellStyle name="Calculation 2 3 2 2 2" xfId="32295" xr:uid="{A3899A44-E16C-4BF4-82C7-31B5BFAB1C43}"/>
    <cellStyle name="Calculation 2 3 2 3" xfId="29223" xr:uid="{00000000-0005-0000-0000-0000A04B0000}"/>
    <cellStyle name="Calculation 2 3 2 3 2" xfId="33206" xr:uid="{DB7F5252-B329-47E8-B9BB-E972793DFAE6}"/>
    <cellStyle name="Calculation 2 3 2 4" xfId="26959" xr:uid="{00000000-0005-0000-0000-0000A14B0000}"/>
    <cellStyle name="Calculation 2 3 2 4 2" xfId="31720" xr:uid="{95C67B6F-720F-4136-B3DF-3DDB2B2E11D7}"/>
    <cellStyle name="Calculation 2 3 2 5" xfId="29389" xr:uid="{00000000-0005-0000-0000-0000A24B0000}"/>
    <cellStyle name="Calculation 2 3 2 5 2" xfId="33335" xr:uid="{10FF7160-93C1-4FF3-B708-CEAA926A7317}"/>
    <cellStyle name="Calculation 2 3 2 6" xfId="30612" xr:uid="{D1037D7D-DAF0-4CCF-9508-3C24CA5D58EA}"/>
    <cellStyle name="Calculation 2 3 3" xfId="27049" xr:uid="{00000000-0005-0000-0000-0000A34B0000}"/>
    <cellStyle name="Calculation 2 3 3 2" xfId="31794" xr:uid="{DFFF3FA8-172F-4F6D-87AF-A324AE2D4DF3}"/>
    <cellStyle name="Calculation 2 3 4" xfId="26867" xr:uid="{00000000-0005-0000-0000-0000A44B0000}"/>
    <cellStyle name="Calculation 2 3 4 2" xfId="31628" xr:uid="{5947D9A8-67E0-46AC-A40D-A2E23C3061C2}"/>
    <cellStyle name="Calculation 2 3 5" xfId="26178" xr:uid="{00000000-0005-0000-0000-0000A54B0000}"/>
    <cellStyle name="Calculation 2 3 5 2" xfId="30967" xr:uid="{221F027D-86D7-4587-8687-F2535B80D54C}"/>
    <cellStyle name="Calculation 2 3 6" xfId="29390" xr:uid="{00000000-0005-0000-0000-0000A64B0000}"/>
    <cellStyle name="Calculation 2 3 6 2" xfId="33336" xr:uid="{E126F95F-C60B-4F1A-93FA-28DE8E2E9B9B}"/>
    <cellStyle name="Calculation 2 3 7" xfId="30257" xr:uid="{3B8433AB-F31A-4BDA-AD5C-04E9B038B584}"/>
    <cellStyle name="Calculation 2 4" xfId="24698" xr:uid="{00000000-0005-0000-0000-0000A74B0000}"/>
    <cellStyle name="Calculation 2 4 2" xfId="25361" xr:uid="{00000000-0005-0000-0000-0000A84B0000}"/>
    <cellStyle name="Calculation 2 4 2 2" xfId="27515" xr:uid="{00000000-0005-0000-0000-0000A94B0000}"/>
    <cellStyle name="Calculation 2 4 2 2 2" xfId="32106" xr:uid="{1C90EBC5-777D-4E7B-90EC-6C18776FCB63}"/>
    <cellStyle name="Calculation 2 4 2 3" xfId="29200" xr:uid="{00000000-0005-0000-0000-0000AA4B0000}"/>
    <cellStyle name="Calculation 2 4 2 3 2" xfId="33183" xr:uid="{E1F4F72C-2F7C-448F-A0A9-FC4B9EAA3ABD}"/>
    <cellStyle name="Calculation 2 4 2 4" xfId="26357" xr:uid="{00000000-0005-0000-0000-0000AB4B0000}"/>
    <cellStyle name="Calculation 2 4 2 4 2" xfId="31145" xr:uid="{F485C8DC-779B-4B27-8AD8-B73E2B477585}"/>
    <cellStyle name="Calculation 2 4 2 5" xfId="29387" xr:uid="{00000000-0005-0000-0000-0000AC4B0000}"/>
    <cellStyle name="Calculation 2 4 2 5 2" xfId="33333" xr:uid="{19597BFC-4FA1-4685-B090-6734D65877D6}"/>
    <cellStyle name="Calculation 2 4 2 6" xfId="30519" xr:uid="{8F9FE50E-FC71-46B5-8A2B-05B2720C40FC}"/>
    <cellStyle name="Calculation 2 4 3" xfId="25657" xr:uid="{00000000-0005-0000-0000-0000AD4B0000}"/>
    <cellStyle name="Calculation 2 4 3 2" xfId="27810" xr:uid="{00000000-0005-0000-0000-0000AE4B0000}"/>
    <cellStyle name="Calculation 2 4 3 2 2" xfId="32397" xr:uid="{1A808D33-0858-4449-9AB7-1C74ED6D1A02}"/>
    <cellStyle name="Calculation 2 4 3 3" xfId="29237" xr:uid="{00000000-0005-0000-0000-0000AF4B0000}"/>
    <cellStyle name="Calculation 2 4 3 3 2" xfId="33219" xr:uid="{29E23966-4A17-4BB7-9F0E-F2C9C6AD83D4}"/>
    <cellStyle name="Calculation 2 4 3 4" xfId="26351" xr:uid="{00000000-0005-0000-0000-0000B04B0000}"/>
    <cellStyle name="Calculation 2 4 3 4 2" xfId="31139" xr:uid="{2E54CDA6-6CD0-4D45-A8CA-4E49E960E3ED}"/>
    <cellStyle name="Calculation 2 4 3 5" xfId="29386" xr:uid="{00000000-0005-0000-0000-0000B14B0000}"/>
    <cellStyle name="Calculation 2 4 3 5 2" xfId="33332" xr:uid="{BE4C9081-C733-47D6-AFD5-E1A3B109B9DD}"/>
    <cellStyle name="Calculation 2 4 3 6" xfId="30651" xr:uid="{7965914C-7C58-4880-A1AF-2E36F100B203}"/>
    <cellStyle name="Calculation 2 4 4" xfId="27287" xr:uid="{00000000-0005-0000-0000-0000B24B0000}"/>
    <cellStyle name="Calculation 2 4 4 2" xfId="31919" xr:uid="{32030FED-D7AF-412F-A055-D4933768F0BC}"/>
    <cellStyle name="Calculation 2 4 5" xfId="26034" xr:uid="{00000000-0005-0000-0000-0000B34B0000}"/>
    <cellStyle name="Calculation 2 4 5 2" xfId="30835" xr:uid="{2E29DCAC-63D8-45D2-98EC-08A15AC3E334}"/>
    <cellStyle name="Calculation 2 4 6" xfId="27074" xr:uid="{00000000-0005-0000-0000-0000B44B0000}"/>
    <cellStyle name="Calculation 2 4 6 2" xfId="31805" xr:uid="{F3F4894C-51D9-4915-88D9-729EC354B916}"/>
    <cellStyle name="Calculation 2 4 7" xfId="29388" xr:uid="{00000000-0005-0000-0000-0000B54B0000}"/>
    <cellStyle name="Calculation 2 4 7 2" xfId="33334" xr:uid="{2EB7C969-2510-4AA8-A5FB-394590E5669B}"/>
    <cellStyle name="Calculation 2 4 8" xfId="30359" xr:uid="{1B44B031-214C-46AB-BEC3-48C0D9CA4766}"/>
    <cellStyle name="Calculation 2 5" xfId="25021" xr:uid="{00000000-0005-0000-0000-0000B64B0000}"/>
    <cellStyle name="Calculation 2 5 2" xfId="25330" xr:uid="{00000000-0005-0000-0000-0000B74B0000}"/>
    <cellStyle name="Calculation 2 5 2 2" xfId="27484" xr:uid="{00000000-0005-0000-0000-0000B84B0000}"/>
    <cellStyle name="Calculation 2 5 2 2 2" xfId="32075" xr:uid="{BFD88212-DC81-4FAC-BCAE-EED53C793E79}"/>
    <cellStyle name="Calculation 2 5 2 3" xfId="29193" xr:uid="{00000000-0005-0000-0000-0000B94B0000}"/>
    <cellStyle name="Calculation 2 5 2 3 2" xfId="33176" xr:uid="{ED1CE3AA-A7FF-49CD-826B-69C6A38FBF40}"/>
    <cellStyle name="Calculation 2 5 2 4" xfId="26275" xr:uid="{00000000-0005-0000-0000-0000BA4B0000}"/>
    <cellStyle name="Calculation 2 5 2 4 2" xfId="31063" xr:uid="{6CC6C1D1-7E15-4E82-91B9-D7A1CFF15B33}"/>
    <cellStyle name="Calculation 2 5 2 5" xfId="29384" xr:uid="{00000000-0005-0000-0000-0000BB4B0000}"/>
    <cellStyle name="Calculation 2 5 2 5 2" xfId="33330" xr:uid="{3EA474CC-3E99-4553-931F-A5C02FEBCB64}"/>
    <cellStyle name="Calculation 2 5 2 6" xfId="30488" xr:uid="{058C1255-45E0-4C42-8E90-67D680E049DE}"/>
    <cellStyle name="Calculation 2 5 3" xfId="25668" xr:uid="{00000000-0005-0000-0000-0000BC4B0000}"/>
    <cellStyle name="Calculation 2 5 3 2" xfId="27821" xr:uid="{00000000-0005-0000-0000-0000BD4B0000}"/>
    <cellStyle name="Calculation 2 5 3 2 2" xfId="32408" xr:uid="{702D036F-105A-42BC-9FEF-19B84CE38D0A}"/>
    <cellStyle name="Calculation 2 5 3 3" xfId="29248" xr:uid="{00000000-0005-0000-0000-0000BE4B0000}"/>
    <cellStyle name="Calculation 2 5 3 3 2" xfId="33230" xr:uid="{59BE864A-1512-4122-AB53-2925F8C3F15C}"/>
    <cellStyle name="Calculation 2 5 3 4" xfId="26355" xr:uid="{00000000-0005-0000-0000-0000BF4B0000}"/>
    <cellStyle name="Calculation 2 5 3 4 2" xfId="31143" xr:uid="{88DF5399-7D06-476F-B1DF-6AA6A172381D}"/>
    <cellStyle name="Calculation 2 5 3 5" xfId="29383" xr:uid="{00000000-0005-0000-0000-0000C04B0000}"/>
    <cellStyle name="Calculation 2 5 3 5 2" xfId="33329" xr:uid="{48F2F8D8-FEE7-4976-A5FF-C3B932C12749}"/>
    <cellStyle name="Calculation 2 5 3 6" xfId="30662" xr:uid="{BCC86636-0FD7-440A-9D8F-BB94A45A74E2}"/>
    <cellStyle name="Calculation 2 5 4" xfId="27351" xr:uid="{00000000-0005-0000-0000-0000C14B0000}"/>
    <cellStyle name="Calculation 2 5 4 2" xfId="31949" xr:uid="{7A92ED66-3599-4A47-A87B-778DD49CF25E}"/>
    <cellStyle name="Calculation 2 5 5" xfId="26189" xr:uid="{00000000-0005-0000-0000-0000C24B0000}"/>
    <cellStyle name="Calculation 2 5 5 2" xfId="30977" xr:uid="{95613B4E-B771-42DB-AC47-F2D41BF85B9B}"/>
    <cellStyle name="Calculation 2 5 6" xfId="27319" xr:uid="{00000000-0005-0000-0000-0000C34B0000}"/>
    <cellStyle name="Calculation 2 5 6 2" xfId="31938" xr:uid="{A47312DE-0796-426D-B522-3362C60B4B87}"/>
    <cellStyle name="Calculation 2 5 7" xfId="29385" xr:uid="{00000000-0005-0000-0000-0000C44B0000}"/>
    <cellStyle name="Calculation 2 5 7 2" xfId="33331" xr:uid="{24A8F570-0E3A-47D0-803F-4B4DC71CC216}"/>
    <cellStyle name="Calculation 2 5 8" xfId="30370" xr:uid="{03FA685C-4D87-46A6-B6AB-F627CE8D6881}"/>
    <cellStyle name="Calculation 2 6" xfId="33377" xr:uid="{ED3A4CCF-880C-4F9A-B9EB-D92C6C4825A3}"/>
    <cellStyle name="Calculation 20" xfId="2452" xr:uid="{00000000-0005-0000-0000-0000C54B0000}"/>
    <cellStyle name="Calculation 21" xfId="2453" xr:uid="{00000000-0005-0000-0000-0000C64B0000}"/>
    <cellStyle name="Calculation 22" xfId="2454" xr:uid="{00000000-0005-0000-0000-0000C74B0000}"/>
    <cellStyle name="Calculation 23" xfId="2455" xr:uid="{00000000-0005-0000-0000-0000C84B0000}"/>
    <cellStyle name="Calculation 24" xfId="2456" xr:uid="{00000000-0005-0000-0000-0000C94B0000}"/>
    <cellStyle name="Calculation 25" xfId="2457" xr:uid="{00000000-0005-0000-0000-0000CA4B0000}"/>
    <cellStyle name="Calculation 26" xfId="2458" xr:uid="{00000000-0005-0000-0000-0000CB4B0000}"/>
    <cellStyle name="Calculation 27" xfId="2459" xr:uid="{00000000-0005-0000-0000-0000CC4B0000}"/>
    <cellStyle name="Calculation 28" xfId="2460" xr:uid="{00000000-0005-0000-0000-0000CD4B0000}"/>
    <cellStyle name="Calculation 29" xfId="2461" xr:uid="{00000000-0005-0000-0000-0000CE4B0000}"/>
    <cellStyle name="Calculation 3" xfId="2462" xr:uid="{00000000-0005-0000-0000-0000CF4B0000}"/>
    <cellStyle name="Calculation 3 2" xfId="24058" xr:uid="{00000000-0005-0000-0000-0000D04B0000}"/>
    <cellStyle name="Calculation 3 2 2" xfId="25557" xr:uid="{00000000-0005-0000-0000-0000D14B0000}"/>
    <cellStyle name="Calculation 3 2 2 2" xfId="27710" xr:uid="{00000000-0005-0000-0000-0000D24B0000}"/>
    <cellStyle name="Calculation 3 2 2 2 2" xfId="32297" xr:uid="{F1D15821-9304-45C6-999C-81FEE509069F}"/>
    <cellStyle name="Calculation 3 2 2 3" xfId="29225" xr:uid="{00000000-0005-0000-0000-0000D34B0000}"/>
    <cellStyle name="Calculation 3 2 2 3 2" xfId="33208" xr:uid="{25FACB92-215D-4210-9BE7-4B42B3A595F7}"/>
    <cellStyle name="Calculation 3 2 2 4" xfId="26745" xr:uid="{00000000-0005-0000-0000-0000D44B0000}"/>
    <cellStyle name="Calculation 3 2 2 4 2" xfId="31506" xr:uid="{C3F16722-E7D8-47B9-BE9B-11132B1CB9CC}"/>
    <cellStyle name="Calculation 3 2 2 5" xfId="29381" xr:uid="{00000000-0005-0000-0000-0000D54B0000}"/>
    <cellStyle name="Calculation 3 2 2 5 2" xfId="33327" xr:uid="{6814F5B0-F1CE-47F8-9D01-898EBAE5FAB4}"/>
    <cellStyle name="Calculation 3 2 2 6" xfId="30614" xr:uid="{235CA099-96C2-4EB6-969E-B9538D78E0F8}"/>
    <cellStyle name="Calculation 3 2 3" xfId="27051" xr:uid="{00000000-0005-0000-0000-0000D64B0000}"/>
    <cellStyle name="Calculation 3 2 3 2" xfId="31796" xr:uid="{5FFB9C24-F174-4F1C-BD16-FEB96A6D91CF}"/>
    <cellStyle name="Calculation 3 2 4" xfId="26795" xr:uid="{00000000-0005-0000-0000-0000D74B0000}"/>
    <cellStyle name="Calculation 3 2 4 2" xfId="31556" xr:uid="{E8B51B8C-3DC8-48F3-8173-6ECA2CA15758}"/>
    <cellStyle name="Calculation 3 2 5" xfId="27304" xr:uid="{00000000-0005-0000-0000-0000D84B0000}"/>
    <cellStyle name="Calculation 3 2 5 2" xfId="31933" xr:uid="{3ADAF7FE-DAC1-4D19-BD86-E20CE2153A74}"/>
    <cellStyle name="Calculation 3 2 6" xfId="29382" xr:uid="{00000000-0005-0000-0000-0000D94B0000}"/>
    <cellStyle name="Calculation 3 2 6 2" xfId="33328" xr:uid="{8B606221-D3BD-4A63-81F3-806699C2D6F7}"/>
    <cellStyle name="Calculation 3 2 7" xfId="30259" xr:uid="{00580857-8DBA-4DE3-B5EF-91CC93EF199F}"/>
    <cellStyle name="Calculation 3 3" xfId="24700" xr:uid="{00000000-0005-0000-0000-0000DA4B0000}"/>
    <cellStyle name="Calculation 3 3 2" xfId="25287" xr:uid="{00000000-0005-0000-0000-0000DB4B0000}"/>
    <cellStyle name="Calculation 3 3 2 2" xfId="27442" xr:uid="{00000000-0005-0000-0000-0000DC4B0000}"/>
    <cellStyle name="Calculation 3 3 2 2 2" xfId="32037" xr:uid="{0B51F1AD-CD5E-472F-8903-B1D3F5B9620C}"/>
    <cellStyle name="Calculation 3 3 2 3" xfId="29189" xr:uid="{00000000-0005-0000-0000-0000DD4B0000}"/>
    <cellStyle name="Calculation 3 3 2 3 2" xfId="33172" xr:uid="{07607AAA-6F7A-4F09-A5F9-A1E051669EDD}"/>
    <cellStyle name="Calculation 3 3 2 4" xfId="27151" xr:uid="{00000000-0005-0000-0000-0000DE4B0000}"/>
    <cellStyle name="Calculation 3 3 2 4 2" xfId="31852" xr:uid="{78B1D17E-B45C-42E6-BEE4-DE23295D70C0}"/>
    <cellStyle name="Calculation 3 3 2 5" xfId="29379" xr:uid="{00000000-0005-0000-0000-0000DF4B0000}"/>
    <cellStyle name="Calculation 3 3 2 5 2" xfId="33325" xr:uid="{15239E7E-4294-44FF-A855-E62129392276}"/>
    <cellStyle name="Calculation 3 3 2 6" xfId="30450" xr:uid="{C060EED8-2AB5-4E4F-82D7-86B4AC56A448}"/>
    <cellStyle name="Calculation 3 3 3" xfId="25659" xr:uid="{00000000-0005-0000-0000-0000E04B0000}"/>
    <cellStyle name="Calculation 3 3 3 2" xfId="27812" xr:uid="{00000000-0005-0000-0000-0000E14B0000}"/>
    <cellStyle name="Calculation 3 3 3 2 2" xfId="32399" xr:uid="{6BF9C6C7-9E0E-4532-98F7-6DD15C2019A5}"/>
    <cellStyle name="Calculation 3 3 3 3" xfId="29239" xr:uid="{00000000-0005-0000-0000-0000E24B0000}"/>
    <cellStyle name="Calculation 3 3 3 3 2" xfId="33221" xr:uid="{000D310D-0A86-4F12-A503-FE9CFA91C51C}"/>
    <cellStyle name="Calculation 3 3 3 4" xfId="26534" xr:uid="{00000000-0005-0000-0000-0000E34B0000}"/>
    <cellStyle name="Calculation 3 3 3 4 2" xfId="31321" xr:uid="{A880C674-57DF-49B4-A1F3-E6617F6EE937}"/>
    <cellStyle name="Calculation 3 3 3 5" xfId="29378" xr:uid="{00000000-0005-0000-0000-0000E44B0000}"/>
    <cellStyle name="Calculation 3 3 3 5 2" xfId="33324" xr:uid="{B5C303F8-49B1-4279-96C8-A0FBE3AB4272}"/>
    <cellStyle name="Calculation 3 3 3 6" xfId="30653" xr:uid="{E7F1EFF0-6A02-490B-82C8-56E6A97447FB}"/>
    <cellStyle name="Calculation 3 3 4" xfId="27289" xr:uid="{00000000-0005-0000-0000-0000E54B0000}"/>
    <cellStyle name="Calculation 3 3 4 2" xfId="31921" xr:uid="{CB1A0B74-496D-4B80-A5C8-99E5F99935F0}"/>
    <cellStyle name="Calculation 3 3 5" xfId="26624" xr:uid="{00000000-0005-0000-0000-0000E64B0000}"/>
    <cellStyle name="Calculation 3 3 5 2" xfId="31401" xr:uid="{74AA51AE-9E5C-48C7-848D-A026307632DA}"/>
    <cellStyle name="Calculation 3 3 6" xfId="27323" xr:uid="{00000000-0005-0000-0000-0000E74B0000}"/>
    <cellStyle name="Calculation 3 3 6 2" xfId="31942" xr:uid="{7B91B36C-7909-4C39-93B5-EE50CFB3617A}"/>
    <cellStyle name="Calculation 3 3 7" xfId="29380" xr:uid="{00000000-0005-0000-0000-0000E84B0000}"/>
    <cellStyle name="Calculation 3 3 7 2" xfId="33326" xr:uid="{B6975EF9-1CA5-4985-B7DD-9F2887EEC2EA}"/>
    <cellStyle name="Calculation 3 3 8" xfId="30361" xr:uid="{B37B179B-87BC-41CB-B8CB-8EA62C003449}"/>
    <cellStyle name="Calculation 3 4" xfId="25023" xr:uid="{00000000-0005-0000-0000-0000E94B0000}"/>
    <cellStyle name="Calculation 3 4 2" xfId="25347" xr:uid="{00000000-0005-0000-0000-0000EA4B0000}"/>
    <cellStyle name="Calculation 3 4 2 2" xfId="27501" xr:uid="{00000000-0005-0000-0000-0000EB4B0000}"/>
    <cellStyle name="Calculation 3 4 2 2 2" xfId="32092" xr:uid="{7D96E9E7-656D-4B1A-BEC7-205E32C786C2}"/>
    <cellStyle name="Calculation 3 4 2 3" xfId="29196" xr:uid="{00000000-0005-0000-0000-0000EC4B0000}"/>
    <cellStyle name="Calculation 3 4 2 3 2" xfId="33179" xr:uid="{EDE490D0-B4F9-40E0-99D3-630712C534C6}"/>
    <cellStyle name="Calculation 3 4 2 4" xfId="26075" xr:uid="{00000000-0005-0000-0000-0000ED4B0000}"/>
    <cellStyle name="Calculation 3 4 2 4 2" xfId="30865" xr:uid="{4659BA34-4B6E-4CA9-A7C4-093B7378A42C}"/>
    <cellStyle name="Calculation 3 4 2 5" xfId="29376" xr:uid="{00000000-0005-0000-0000-0000EE4B0000}"/>
    <cellStyle name="Calculation 3 4 2 5 2" xfId="33322" xr:uid="{7808538A-206C-40E9-A494-C66AF4D48B30}"/>
    <cellStyle name="Calculation 3 4 2 6" xfId="30505" xr:uid="{E4F8FB28-0D8A-43D6-AAAC-52BECFE94991}"/>
    <cellStyle name="Calculation 3 4 3" xfId="25670" xr:uid="{00000000-0005-0000-0000-0000EF4B0000}"/>
    <cellStyle name="Calculation 3 4 3 2" xfId="27823" xr:uid="{00000000-0005-0000-0000-0000F04B0000}"/>
    <cellStyle name="Calculation 3 4 3 2 2" xfId="32410" xr:uid="{96A10897-D76A-498C-8618-F694D6EC9139}"/>
    <cellStyle name="Calculation 3 4 3 3" xfId="29250" xr:uid="{00000000-0005-0000-0000-0000F14B0000}"/>
    <cellStyle name="Calculation 3 4 3 3 2" xfId="33232" xr:uid="{0B05B8DD-6649-4410-969E-2B2D5C4E4A99}"/>
    <cellStyle name="Calculation 3 4 3 4" xfId="26950" xr:uid="{00000000-0005-0000-0000-0000F24B0000}"/>
    <cellStyle name="Calculation 3 4 3 4 2" xfId="31711" xr:uid="{22D77CA2-B30E-402E-95DC-36AE49535040}"/>
    <cellStyle name="Calculation 3 4 3 5" xfId="29375" xr:uid="{00000000-0005-0000-0000-0000F34B0000}"/>
    <cellStyle name="Calculation 3 4 3 5 2" xfId="33321" xr:uid="{F8872ABC-4D46-4A02-9BF2-FED643ECEFFD}"/>
    <cellStyle name="Calculation 3 4 3 6" xfId="30664" xr:uid="{D96FA7B9-24A2-41C5-A820-64EFE9813034}"/>
    <cellStyle name="Calculation 3 4 4" xfId="27353" xr:uid="{00000000-0005-0000-0000-0000F44B0000}"/>
    <cellStyle name="Calculation 3 4 4 2" xfId="31951" xr:uid="{C98BA7FB-F445-47C2-AA05-890FC9150AE9}"/>
    <cellStyle name="Calculation 3 4 5" xfId="26191" xr:uid="{00000000-0005-0000-0000-0000F54B0000}"/>
    <cellStyle name="Calculation 3 4 5 2" xfId="30979" xr:uid="{77495922-1854-4D74-92C4-10158B171EA2}"/>
    <cellStyle name="Calculation 3 4 6" xfId="26841" xr:uid="{00000000-0005-0000-0000-0000F64B0000}"/>
    <cellStyle name="Calculation 3 4 6 2" xfId="31602" xr:uid="{19F9C155-4A17-454C-94C7-7FA7CEDDF4F3}"/>
    <cellStyle name="Calculation 3 4 7" xfId="29377" xr:uid="{00000000-0005-0000-0000-0000F74B0000}"/>
    <cellStyle name="Calculation 3 4 7 2" xfId="33323" xr:uid="{AAE1723E-987B-48A8-9E27-960BE4526DF6}"/>
    <cellStyle name="Calculation 3 4 8" xfId="30372" xr:uid="{3708D2E8-6A0B-415D-A42B-E048464B741D}"/>
    <cellStyle name="Calculation 30" xfId="2463" xr:uid="{00000000-0005-0000-0000-0000F84B0000}"/>
    <cellStyle name="Calculation 31" xfId="2464" xr:uid="{00000000-0005-0000-0000-0000F94B0000}"/>
    <cellStyle name="Calculation 32" xfId="2465" xr:uid="{00000000-0005-0000-0000-0000FA4B0000}"/>
    <cellStyle name="Calculation 33" xfId="2466" xr:uid="{00000000-0005-0000-0000-0000FB4B0000}"/>
    <cellStyle name="Calculation 34" xfId="2467" xr:uid="{00000000-0005-0000-0000-0000FC4B0000}"/>
    <cellStyle name="Calculation 35" xfId="2468" xr:uid="{00000000-0005-0000-0000-0000FD4B0000}"/>
    <cellStyle name="Calculation 36" xfId="2469" xr:uid="{00000000-0005-0000-0000-0000FE4B0000}"/>
    <cellStyle name="Calculation 37" xfId="2470" xr:uid="{00000000-0005-0000-0000-0000FF4B0000}"/>
    <cellStyle name="Calculation 38" xfId="2471" xr:uid="{00000000-0005-0000-0000-0000004C0000}"/>
    <cellStyle name="Calculation 39" xfId="2472" xr:uid="{00000000-0005-0000-0000-0000014C0000}"/>
    <cellStyle name="Calculation 4" xfId="2473" xr:uid="{00000000-0005-0000-0000-0000024C0000}"/>
    <cellStyle name="Calculation 4 2" xfId="24059" xr:uid="{00000000-0005-0000-0000-0000034C0000}"/>
    <cellStyle name="Calculation 4 2 2" xfId="25558" xr:uid="{00000000-0005-0000-0000-0000044C0000}"/>
    <cellStyle name="Calculation 4 2 2 2" xfId="27711" xr:uid="{00000000-0005-0000-0000-0000054C0000}"/>
    <cellStyle name="Calculation 4 2 2 2 2" xfId="32298" xr:uid="{0C1A1CC9-EB11-49C4-BCB7-D90BF5F9C31E}"/>
    <cellStyle name="Calculation 4 2 2 3" xfId="29226" xr:uid="{00000000-0005-0000-0000-0000064C0000}"/>
    <cellStyle name="Calculation 4 2 2 3 2" xfId="33209" xr:uid="{6C19285E-D3DC-4A00-8584-B7B096D97962}"/>
    <cellStyle name="Calculation 4 2 2 4" xfId="27023" xr:uid="{00000000-0005-0000-0000-0000074C0000}"/>
    <cellStyle name="Calculation 4 2 2 4 2" xfId="31783" xr:uid="{7D33E6F0-9B9D-463F-A765-90F5100A5A16}"/>
    <cellStyle name="Calculation 4 2 2 5" xfId="29373" xr:uid="{00000000-0005-0000-0000-0000084C0000}"/>
    <cellStyle name="Calculation 4 2 2 5 2" xfId="33319" xr:uid="{749FEB65-3243-4CC5-86AF-8CE42F272CDA}"/>
    <cellStyle name="Calculation 4 2 2 6" xfId="30615" xr:uid="{1D453E89-3D4A-4B06-8221-64AA49CD0287}"/>
    <cellStyle name="Calculation 4 2 3" xfId="27052" xr:uid="{00000000-0005-0000-0000-0000094C0000}"/>
    <cellStyle name="Calculation 4 2 3 2" xfId="31797" xr:uid="{73DF92F7-A1D0-461E-B2EB-4911A50C8A03}"/>
    <cellStyle name="Calculation 4 2 4" xfId="26716" xr:uid="{00000000-0005-0000-0000-00000A4C0000}"/>
    <cellStyle name="Calculation 4 2 4 2" xfId="31478" xr:uid="{83E781E8-997A-4BEC-B832-2B14EA626D37}"/>
    <cellStyle name="Calculation 4 2 5" xfId="26470" xr:uid="{00000000-0005-0000-0000-00000B4C0000}"/>
    <cellStyle name="Calculation 4 2 5 2" xfId="31258" xr:uid="{C1183BBB-9A00-493B-B298-74A49B0EF81D}"/>
    <cellStyle name="Calculation 4 2 6" xfId="29374" xr:uid="{00000000-0005-0000-0000-00000C4C0000}"/>
    <cellStyle name="Calculation 4 2 6 2" xfId="33320" xr:uid="{2C09A5F9-E725-4299-B781-6E62E5AE2053}"/>
    <cellStyle name="Calculation 4 2 7" xfId="30260" xr:uid="{83EDB7C7-0023-4EE5-84D6-1F404F9FE780}"/>
    <cellStyle name="Calculation 4 3" xfId="24701" xr:uid="{00000000-0005-0000-0000-00000D4C0000}"/>
    <cellStyle name="Calculation 4 3 2" xfId="25369" xr:uid="{00000000-0005-0000-0000-00000E4C0000}"/>
    <cellStyle name="Calculation 4 3 2 2" xfId="27523" xr:uid="{00000000-0005-0000-0000-00000F4C0000}"/>
    <cellStyle name="Calculation 4 3 2 2 2" xfId="32114" xr:uid="{17613EEF-90D8-4308-88F3-7976BA49B028}"/>
    <cellStyle name="Calculation 4 3 2 3" xfId="29202" xr:uid="{00000000-0005-0000-0000-0000104C0000}"/>
    <cellStyle name="Calculation 4 3 2 3 2" xfId="33185" xr:uid="{9232BAFA-C7F4-4871-92B8-C06D3864C842}"/>
    <cellStyle name="Calculation 4 3 2 4" xfId="27320" xr:uid="{00000000-0005-0000-0000-0000114C0000}"/>
    <cellStyle name="Calculation 4 3 2 4 2" xfId="31939" xr:uid="{C67F3CC7-E21E-4D57-A0F1-037F001BC7D9}"/>
    <cellStyle name="Calculation 4 3 2 5" xfId="29371" xr:uid="{00000000-0005-0000-0000-0000124C0000}"/>
    <cellStyle name="Calculation 4 3 2 5 2" xfId="33317" xr:uid="{FB525251-5DE4-4A2C-8EED-963ED5760E39}"/>
    <cellStyle name="Calculation 4 3 2 6" xfId="30527" xr:uid="{58BD831C-38E7-445B-8887-A2FD7A889069}"/>
    <cellStyle name="Calculation 4 3 3" xfId="25660" xr:uid="{00000000-0005-0000-0000-0000134C0000}"/>
    <cellStyle name="Calculation 4 3 3 2" xfId="27813" xr:uid="{00000000-0005-0000-0000-0000144C0000}"/>
    <cellStyle name="Calculation 4 3 3 2 2" xfId="32400" xr:uid="{60D8A67F-2A8A-47CE-86D4-9C10B466B71E}"/>
    <cellStyle name="Calculation 4 3 3 3" xfId="29240" xr:uid="{00000000-0005-0000-0000-0000154C0000}"/>
    <cellStyle name="Calculation 4 3 3 3 2" xfId="33222" xr:uid="{240FD0DD-958E-4C14-81C3-E5B4EEA2C10F}"/>
    <cellStyle name="Calculation 4 3 3 4" xfId="26180" xr:uid="{00000000-0005-0000-0000-0000164C0000}"/>
    <cellStyle name="Calculation 4 3 3 4 2" xfId="30969" xr:uid="{709A15C7-D1E5-4B8C-9019-8FFBD559A98F}"/>
    <cellStyle name="Calculation 4 3 3 5" xfId="29370" xr:uid="{00000000-0005-0000-0000-0000174C0000}"/>
    <cellStyle name="Calculation 4 3 3 5 2" xfId="33316" xr:uid="{18C6F444-3582-4A70-8310-0758C4CB1B61}"/>
    <cellStyle name="Calculation 4 3 3 6" xfId="30654" xr:uid="{48A2F894-78F5-4452-B472-150ACDD32879}"/>
    <cellStyle name="Calculation 4 3 4" xfId="27290" xr:uid="{00000000-0005-0000-0000-0000184C0000}"/>
    <cellStyle name="Calculation 4 3 4 2" xfId="31922" xr:uid="{06D28166-9BB3-48BB-BF21-A30BF55DD7DA}"/>
    <cellStyle name="Calculation 4 3 5" xfId="27107" xr:uid="{00000000-0005-0000-0000-0000194C0000}"/>
    <cellStyle name="Calculation 4 3 5 2" xfId="31825" xr:uid="{833B78C7-5689-4121-90B5-A70041296100}"/>
    <cellStyle name="Calculation 4 3 6" xfId="26359" xr:uid="{00000000-0005-0000-0000-00001A4C0000}"/>
    <cellStyle name="Calculation 4 3 6 2" xfId="31147" xr:uid="{36F63016-EF96-4D5A-946B-254F9851387A}"/>
    <cellStyle name="Calculation 4 3 7" xfId="29372" xr:uid="{00000000-0005-0000-0000-00001B4C0000}"/>
    <cellStyle name="Calculation 4 3 7 2" xfId="33318" xr:uid="{4D309B14-DA9C-4A75-AA24-9D54D01F96CD}"/>
    <cellStyle name="Calculation 4 3 8" xfId="30362" xr:uid="{D047B4E0-B7FF-46F2-A51F-C805246C030F}"/>
    <cellStyle name="Calculation 4 4" xfId="25024" xr:uid="{00000000-0005-0000-0000-00001C4C0000}"/>
    <cellStyle name="Calculation 4 4 2" xfId="25448" xr:uid="{00000000-0005-0000-0000-00001D4C0000}"/>
    <cellStyle name="Calculation 4 4 2 2" xfId="27602" xr:uid="{00000000-0005-0000-0000-00001E4C0000}"/>
    <cellStyle name="Calculation 4 4 2 2 2" xfId="32193" xr:uid="{F5D5923E-B58A-469A-A656-DBF81070EA00}"/>
    <cellStyle name="Calculation 4 4 2 3" xfId="29215" xr:uid="{00000000-0005-0000-0000-00001F4C0000}"/>
    <cellStyle name="Calculation 4 4 2 3 2" xfId="33198" xr:uid="{ED93DCD5-F52E-4744-B1D1-3EDD0F3F1D6F}"/>
    <cellStyle name="Calculation 4 4 2 4" xfId="26281" xr:uid="{00000000-0005-0000-0000-0000204C0000}"/>
    <cellStyle name="Calculation 4 4 2 4 2" xfId="31069" xr:uid="{AB3AE607-57B7-4A19-BDC1-10C40AC75269}"/>
    <cellStyle name="Calculation 4 4 2 5" xfId="29368" xr:uid="{00000000-0005-0000-0000-0000214C0000}"/>
    <cellStyle name="Calculation 4 4 2 5 2" xfId="33314" xr:uid="{11E0E40D-0851-4687-98D2-BA673BD7330E}"/>
    <cellStyle name="Calculation 4 4 2 6" xfId="30606" xr:uid="{270CC665-6554-488C-9124-EA7F0ACF9CCD}"/>
    <cellStyle name="Calculation 4 4 3" xfId="25671" xr:uid="{00000000-0005-0000-0000-0000224C0000}"/>
    <cellStyle name="Calculation 4 4 3 2" xfId="27824" xr:uid="{00000000-0005-0000-0000-0000234C0000}"/>
    <cellStyle name="Calculation 4 4 3 2 2" xfId="32411" xr:uid="{7B421FD5-8A91-4FEB-AC08-7255F6597362}"/>
    <cellStyle name="Calculation 4 4 3 3" xfId="29251" xr:uid="{00000000-0005-0000-0000-0000244C0000}"/>
    <cellStyle name="Calculation 4 4 3 3 2" xfId="33233" xr:uid="{AC069370-84A8-40CA-BCCA-D7863913A378}"/>
    <cellStyle name="Calculation 4 4 3 4" xfId="26873" xr:uid="{00000000-0005-0000-0000-0000254C0000}"/>
    <cellStyle name="Calculation 4 4 3 4 2" xfId="31634" xr:uid="{2FD6CD7C-461E-438B-8D3E-7CA36FBFAD66}"/>
    <cellStyle name="Calculation 4 4 3 5" xfId="29367" xr:uid="{00000000-0005-0000-0000-0000264C0000}"/>
    <cellStyle name="Calculation 4 4 3 5 2" xfId="33313" xr:uid="{F7D9CA66-8040-41B0-874E-C29C968BDAD7}"/>
    <cellStyle name="Calculation 4 4 3 6" xfId="30665" xr:uid="{48C2D53F-CF91-4669-B5FB-C0D4309BED0E}"/>
    <cellStyle name="Calculation 4 4 4" xfId="27354" xr:uid="{00000000-0005-0000-0000-0000274C0000}"/>
    <cellStyle name="Calculation 4 4 4 2" xfId="31952" xr:uid="{AD8D52BF-3AE0-448F-84E2-5E9F3A5E209B}"/>
    <cellStyle name="Calculation 4 4 5" xfId="26192" xr:uid="{00000000-0005-0000-0000-0000284C0000}"/>
    <cellStyle name="Calculation 4 4 5 2" xfId="30980" xr:uid="{0F6B48E2-CCD4-458A-B4F6-640451D941EC}"/>
    <cellStyle name="Calculation 4 4 6" xfId="26689" xr:uid="{00000000-0005-0000-0000-0000294C0000}"/>
    <cellStyle name="Calculation 4 4 6 2" xfId="31451" xr:uid="{7DE842D7-3928-4E53-A6B2-CC0558E14828}"/>
    <cellStyle name="Calculation 4 4 7" xfId="29369" xr:uid="{00000000-0005-0000-0000-00002A4C0000}"/>
    <cellStyle name="Calculation 4 4 7 2" xfId="33315" xr:uid="{EC2EEF61-D80F-49DB-A055-BBAC80E8D5BE}"/>
    <cellStyle name="Calculation 4 4 8" xfId="30373" xr:uid="{744D290D-F761-430E-A621-3B127DDA76C7}"/>
    <cellStyle name="Calculation 40" xfId="2474" xr:uid="{00000000-0005-0000-0000-00002B4C0000}"/>
    <cellStyle name="Calculation 41" xfId="2475" xr:uid="{00000000-0005-0000-0000-00002C4C0000}"/>
    <cellStyle name="Calculation 42" xfId="2476" xr:uid="{00000000-0005-0000-0000-00002D4C0000}"/>
    <cellStyle name="Calculation 43" xfId="2477" xr:uid="{00000000-0005-0000-0000-00002E4C0000}"/>
    <cellStyle name="Calculation 44" xfId="2478" xr:uid="{00000000-0005-0000-0000-00002F4C0000}"/>
    <cellStyle name="Calculation 45" xfId="2479" xr:uid="{00000000-0005-0000-0000-0000304C0000}"/>
    <cellStyle name="Calculation 46" xfId="2480" xr:uid="{00000000-0005-0000-0000-0000314C0000}"/>
    <cellStyle name="Calculation 47" xfId="2481" xr:uid="{00000000-0005-0000-0000-0000324C0000}"/>
    <cellStyle name="Calculation 48" xfId="2482" xr:uid="{00000000-0005-0000-0000-0000334C0000}"/>
    <cellStyle name="Calculation 49" xfId="2483" xr:uid="{00000000-0005-0000-0000-0000344C0000}"/>
    <cellStyle name="Calculation 5" xfId="2484" xr:uid="{00000000-0005-0000-0000-0000354C0000}"/>
    <cellStyle name="Calculation 50" xfId="2485" xr:uid="{00000000-0005-0000-0000-0000364C0000}"/>
    <cellStyle name="Calculation 51" xfId="2486" xr:uid="{00000000-0005-0000-0000-0000374C0000}"/>
    <cellStyle name="Calculation 52" xfId="2487" xr:uid="{00000000-0005-0000-0000-0000384C0000}"/>
    <cellStyle name="Calculation 53" xfId="2488" xr:uid="{00000000-0005-0000-0000-0000394C0000}"/>
    <cellStyle name="Calculation 54" xfId="2489" xr:uid="{00000000-0005-0000-0000-00003A4C0000}"/>
    <cellStyle name="Calculation 55" xfId="2490" xr:uid="{00000000-0005-0000-0000-00003B4C0000}"/>
    <cellStyle name="Calculation 56" xfId="2491" xr:uid="{00000000-0005-0000-0000-00003C4C0000}"/>
    <cellStyle name="Calculation 57" xfId="2492" xr:uid="{00000000-0005-0000-0000-00003D4C0000}"/>
    <cellStyle name="Calculation 58" xfId="2493" xr:uid="{00000000-0005-0000-0000-00003E4C0000}"/>
    <cellStyle name="Calculation 59" xfId="2494" xr:uid="{00000000-0005-0000-0000-00003F4C0000}"/>
    <cellStyle name="Calculation 6" xfId="2495" xr:uid="{00000000-0005-0000-0000-0000404C0000}"/>
    <cellStyle name="Calculation 60" xfId="2496" xr:uid="{00000000-0005-0000-0000-0000414C0000}"/>
    <cellStyle name="Calculation 61" xfId="2497" xr:uid="{00000000-0005-0000-0000-0000424C0000}"/>
    <cellStyle name="Calculation 62" xfId="2498" xr:uid="{00000000-0005-0000-0000-0000434C0000}"/>
    <cellStyle name="Calculation 63" xfId="2499" xr:uid="{00000000-0005-0000-0000-0000444C0000}"/>
    <cellStyle name="Calculation 64" xfId="2500" xr:uid="{00000000-0005-0000-0000-0000454C0000}"/>
    <cellStyle name="Calculation 65" xfId="2501" xr:uid="{00000000-0005-0000-0000-0000464C0000}"/>
    <cellStyle name="Calculation 66" xfId="2502" xr:uid="{00000000-0005-0000-0000-0000474C0000}"/>
    <cellStyle name="Calculation 67" xfId="2503" xr:uid="{00000000-0005-0000-0000-0000484C0000}"/>
    <cellStyle name="Calculation 68" xfId="2504" xr:uid="{00000000-0005-0000-0000-0000494C0000}"/>
    <cellStyle name="Calculation 69" xfId="2505" xr:uid="{00000000-0005-0000-0000-00004A4C0000}"/>
    <cellStyle name="Calculation 7" xfId="2506" xr:uid="{00000000-0005-0000-0000-00004B4C0000}"/>
    <cellStyle name="Calculation 70" xfId="2507" xr:uid="{00000000-0005-0000-0000-00004C4C0000}"/>
    <cellStyle name="Calculation 71" xfId="2508" xr:uid="{00000000-0005-0000-0000-00004D4C0000}"/>
    <cellStyle name="Calculation 72" xfId="2509" xr:uid="{00000000-0005-0000-0000-00004E4C0000}"/>
    <cellStyle name="Calculation 8" xfId="2510" xr:uid="{00000000-0005-0000-0000-00004F4C0000}"/>
    <cellStyle name="Calculation 9" xfId="2511" xr:uid="{00000000-0005-0000-0000-0000504C0000}"/>
    <cellStyle name="Check Cell 10" xfId="2512" xr:uid="{00000000-0005-0000-0000-0000514C0000}"/>
    <cellStyle name="Check Cell 11" xfId="2513" xr:uid="{00000000-0005-0000-0000-0000524C0000}"/>
    <cellStyle name="Check Cell 12" xfId="2514" xr:uid="{00000000-0005-0000-0000-0000534C0000}"/>
    <cellStyle name="Check Cell 13" xfId="2515" xr:uid="{00000000-0005-0000-0000-0000544C0000}"/>
    <cellStyle name="Check Cell 14" xfId="2516" xr:uid="{00000000-0005-0000-0000-0000554C0000}"/>
    <cellStyle name="Check Cell 15" xfId="2517" xr:uid="{00000000-0005-0000-0000-0000564C0000}"/>
    <cellStyle name="Check Cell 16" xfId="2518" xr:uid="{00000000-0005-0000-0000-0000574C0000}"/>
    <cellStyle name="Check Cell 17" xfId="2519" xr:uid="{00000000-0005-0000-0000-0000584C0000}"/>
    <cellStyle name="Check Cell 18" xfId="2520" xr:uid="{00000000-0005-0000-0000-0000594C0000}"/>
    <cellStyle name="Check Cell 19" xfId="2521" xr:uid="{00000000-0005-0000-0000-00005A4C0000}"/>
    <cellStyle name="Check Cell 2" xfId="2522" xr:uid="{00000000-0005-0000-0000-00005B4C0000}"/>
    <cellStyle name="Check Cell 2 2" xfId="24061" xr:uid="{00000000-0005-0000-0000-00005C4C0000}"/>
    <cellStyle name="Check Cell 2 3" xfId="24060" xr:uid="{00000000-0005-0000-0000-00005D4C0000}"/>
    <cellStyle name="Check Cell 20" xfId="2523" xr:uid="{00000000-0005-0000-0000-00005E4C0000}"/>
    <cellStyle name="Check Cell 21" xfId="2524" xr:uid="{00000000-0005-0000-0000-00005F4C0000}"/>
    <cellStyle name="Check Cell 22" xfId="2525" xr:uid="{00000000-0005-0000-0000-0000604C0000}"/>
    <cellStyle name="Check Cell 23" xfId="2526" xr:uid="{00000000-0005-0000-0000-0000614C0000}"/>
    <cellStyle name="Check Cell 24" xfId="2527" xr:uid="{00000000-0005-0000-0000-0000624C0000}"/>
    <cellStyle name="Check Cell 25" xfId="2528" xr:uid="{00000000-0005-0000-0000-0000634C0000}"/>
    <cellStyle name="Check Cell 26" xfId="2529" xr:uid="{00000000-0005-0000-0000-0000644C0000}"/>
    <cellStyle name="Check Cell 27" xfId="2530" xr:uid="{00000000-0005-0000-0000-0000654C0000}"/>
    <cellStyle name="Check Cell 28" xfId="2531" xr:uid="{00000000-0005-0000-0000-0000664C0000}"/>
    <cellStyle name="Check Cell 29" xfId="2532" xr:uid="{00000000-0005-0000-0000-0000674C0000}"/>
    <cellStyle name="Check Cell 3" xfId="2533" xr:uid="{00000000-0005-0000-0000-0000684C0000}"/>
    <cellStyle name="Check Cell 3 2" xfId="24062" xr:uid="{00000000-0005-0000-0000-0000694C0000}"/>
    <cellStyle name="Check Cell 30" xfId="2534" xr:uid="{00000000-0005-0000-0000-00006A4C0000}"/>
    <cellStyle name="Check Cell 31" xfId="2535" xr:uid="{00000000-0005-0000-0000-00006B4C0000}"/>
    <cellStyle name="Check Cell 32" xfId="2536" xr:uid="{00000000-0005-0000-0000-00006C4C0000}"/>
    <cellStyle name="Check Cell 33" xfId="2537" xr:uid="{00000000-0005-0000-0000-00006D4C0000}"/>
    <cellStyle name="Check Cell 34" xfId="2538" xr:uid="{00000000-0005-0000-0000-00006E4C0000}"/>
    <cellStyle name="Check Cell 35" xfId="2539" xr:uid="{00000000-0005-0000-0000-00006F4C0000}"/>
    <cellStyle name="Check Cell 36" xfId="2540" xr:uid="{00000000-0005-0000-0000-0000704C0000}"/>
    <cellStyle name="Check Cell 37" xfId="2541" xr:uid="{00000000-0005-0000-0000-0000714C0000}"/>
    <cellStyle name="Check Cell 38" xfId="2542" xr:uid="{00000000-0005-0000-0000-0000724C0000}"/>
    <cellStyle name="Check Cell 39" xfId="2543" xr:uid="{00000000-0005-0000-0000-0000734C0000}"/>
    <cellStyle name="Check Cell 4" xfId="2544" xr:uid="{00000000-0005-0000-0000-0000744C0000}"/>
    <cellStyle name="Check Cell 4 2" xfId="24063" xr:uid="{00000000-0005-0000-0000-0000754C0000}"/>
    <cellStyle name="Check Cell 40" xfId="2545" xr:uid="{00000000-0005-0000-0000-0000764C0000}"/>
    <cellStyle name="Check Cell 41" xfId="2546" xr:uid="{00000000-0005-0000-0000-0000774C0000}"/>
    <cellStyle name="Check Cell 42" xfId="2547" xr:uid="{00000000-0005-0000-0000-0000784C0000}"/>
    <cellStyle name="Check Cell 43" xfId="2548" xr:uid="{00000000-0005-0000-0000-0000794C0000}"/>
    <cellStyle name="Check Cell 44" xfId="2549" xr:uid="{00000000-0005-0000-0000-00007A4C0000}"/>
    <cellStyle name="Check Cell 45" xfId="2550" xr:uid="{00000000-0005-0000-0000-00007B4C0000}"/>
    <cellStyle name="Check Cell 46" xfId="2551" xr:uid="{00000000-0005-0000-0000-00007C4C0000}"/>
    <cellStyle name="Check Cell 47" xfId="2552" xr:uid="{00000000-0005-0000-0000-00007D4C0000}"/>
    <cellStyle name="Check Cell 48" xfId="2553" xr:uid="{00000000-0005-0000-0000-00007E4C0000}"/>
    <cellStyle name="Check Cell 49" xfId="2554" xr:uid="{00000000-0005-0000-0000-00007F4C0000}"/>
    <cellStyle name="Check Cell 5" xfId="2555" xr:uid="{00000000-0005-0000-0000-0000804C0000}"/>
    <cellStyle name="Check Cell 50" xfId="2556" xr:uid="{00000000-0005-0000-0000-0000814C0000}"/>
    <cellStyle name="Check Cell 51" xfId="2557" xr:uid="{00000000-0005-0000-0000-0000824C0000}"/>
    <cellStyle name="Check Cell 52" xfId="2558" xr:uid="{00000000-0005-0000-0000-0000834C0000}"/>
    <cellStyle name="Check Cell 53" xfId="2559" xr:uid="{00000000-0005-0000-0000-0000844C0000}"/>
    <cellStyle name="Check Cell 54" xfId="2560" xr:uid="{00000000-0005-0000-0000-0000854C0000}"/>
    <cellStyle name="Check Cell 55" xfId="2561" xr:uid="{00000000-0005-0000-0000-0000864C0000}"/>
    <cellStyle name="Check Cell 56" xfId="2562" xr:uid="{00000000-0005-0000-0000-0000874C0000}"/>
    <cellStyle name="Check Cell 57" xfId="2563" xr:uid="{00000000-0005-0000-0000-0000884C0000}"/>
    <cellStyle name="Check Cell 58" xfId="2564" xr:uid="{00000000-0005-0000-0000-0000894C0000}"/>
    <cellStyle name="Check Cell 59" xfId="2565" xr:uid="{00000000-0005-0000-0000-00008A4C0000}"/>
    <cellStyle name="Check Cell 6" xfId="2566" xr:uid="{00000000-0005-0000-0000-00008B4C0000}"/>
    <cellStyle name="Check Cell 60" xfId="2567" xr:uid="{00000000-0005-0000-0000-00008C4C0000}"/>
    <cellStyle name="Check Cell 61" xfId="2568" xr:uid="{00000000-0005-0000-0000-00008D4C0000}"/>
    <cellStyle name="Check Cell 62" xfId="2569" xr:uid="{00000000-0005-0000-0000-00008E4C0000}"/>
    <cellStyle name="Check Cell 63" xfId="2570" xr:uid="{00000000-0005-0000-0000-00008F4C0000}"/>
    <cellStyle name="Check Cell 64" xfId="2571" xr:uid="{00000000-0005-0000-0000-0000904C0000}"/>
    <cellStyle name="Check Cell 65" xfId="2572" xr:uid="{00000000-0005-0000-0000-0000914C0000}"/>
    <cellStyle name="Check Cell 66" xfId="2573" xr:uid="{00000000-0005-0000-0000-0000924C0000}"/>
    <cellStyle name="Check Cell 67" xfId="2574" xr:uid="{00000000-0005-0000-0000-0000934C0000}"/>
    <cellStyle name="Check Cell 68" xfId="2575" xr:uid="{00000000-0005-0000-0000-0000944C0000}"/>
    <cellStyle name="Check Cell 69" xfId="2576" xr:uid="{00000000-0005-0000-0000-0000954C0000}"/>
    <cellStyle name="Check Cell 7" xfId="2577" xr:uid="{00000000-0005-0000-0000-0000964C0000}"/>
    <cellStyle name="Check Cell 70" xfId="2578" xr:uid="{00000000-0005-0000-0000-0000974C0000}"/>
    <cellStyle name="Check Cell 71" xfId="2579" xr:uid="{00000000-0005-0000-0000-0000984C0000}"/>
    <cellStyle name="Check Cell 72" xfId="2580" xr:uid="{00000000-0005-0000-0000-0000994C0000}"/>
    <cellStyle name="Check Cell 8" xfId="2581" xr:uid="{00000000-0005-0000-0000-00009A4C0000}"/>
    <cellStyle name="Check Cell 9" xfId="2582" xr:uid="{00000000-0005-0000-0000-00009B4C0000}"/>
    <cellStyle name="Co. Names" xfId="546" xr:uid="{00000000-0005-0000-0000-00009C4C0000}"/>
    <cellStyle name="Co. Names 2" xfId="24064" xr:uid="{00000000-0005-0000-0000-00009D4C0000}"/>
    <cellStyle name="Column total in dollars" xfId="11" xr:uid="{00000000-0005-0000-0000-00009E4C0000}"/>
    <cellStyle name="ColumnAttributeAbovePrompt" xfId="2583" xr:uid="{00000000-0005-0000-0000-00009F4C0000}"/>
    <cellStyle name="ColumnAttributePrompt" xfId="2584" xr:uid="{00000000-0005-0000-0000-0000A04C0000}"/>
    <cellStyle name="ColumnAttributeValue" xfId="2585" xr:uid="{00000000-0005-0000-0000-0000A14C0000}"/>
    <cellStyle name="ColumnHeadingPrompt" xfId="2586" xr:uid="{00000000-0005-0000-0000-0000A24C0000}"/>
    <cellStyle name="ColumnHeadingValue" xfId="2587" xr:uid="{00000000-0005-0000-0000-0000A34C0000}"/>
    <cellStyle name="Comma" xfId="25742" builtinId="3"/>
    <cellStyle name="Comma  - Style1" xfId="12" xr:uid="{00000000-0005-0000-0000-0000A54C0000}"/>
    <cellStyle name="Comma  - Style1 2" xfId="25800" xr:uid="{00000000-0005-0000-0000-0000A64C0000}"/>
    <cellStyle name="Comma  - Style2" xfId="13" xr:uid="{00000000-0005-0000-0000-0000A74C0000}"/>
    <cellStyle name="Comma  - Style2 2" xfId="25801" xr:uid="{00000000-0005-0000-0000-0000A84C0000}"/>
    <cellStyle name="Comma  - Style3" xfId="14" xr:uid="{00000000-0005-0000-0000-0000A94C0000}"/>
    <cellStyle name="Comma  - Style3 2" xfId="25802" xr:uid="{00000000-0005-0000-0000-0000AA4C0000}"/>
    <cellStyle name="Comma  - Style4" xfId="15" xr:uid="{00000000-0005-0000-0000-0000AB4C0000}"/>
    <cellStyle name="Comma  - Style4 2" xfId="25803" xr:uid="{00000000-0005-0000-0000-0000AC4C0000}"/>
    <cellStyle name="Comma  - Style5" xfId="16" xr:uid="{00000000-0005-0000-0000-0000AD4C0000}"/>
    <cellStyle name="Comma  - Style5 2" xfId="25804" xr:uid="{00000000-0005-0000-0000-0000AE4C0000}"/>
    <cellStyle name="Comma  - Style6" xfId="17" xr:uid="{00000000-0005-0000-0000-0000AF4C0000}"/>
    <cellStyle name="Comma  - Style6 2" xfId="25805" xr:uid="{00000000-0005-0000-0000-0000B04C0000}"/>
    <cellStyle name="Comma  - Style7" xfId="18" xr:uid="{00000000-0005-0000-0000-0000B14C0000}"/>
    <cellStyle name="Comma  - Style7 2" xfId="25806" xr:uid="{00000000-0005-0000-0000-0000B24C0000}"/>
    <cellStyle name="Comma  - Style8" xfId="19" xr:uid="{00000000-0005-0000-0000-0000B34C0000}"/>
    <cellStyle name="Comma  - Style8 2" xfId="25807" xr:uid="{00000000-0005-0000-0000-0000B44C0000}"/>
    <cellStyle name="Comma (0)" xfId="20" xr:uid="{00000000-0005-0000-0000-0000B54C0000}"/>
    <cellStyle name="Comma [0] 2" xfId="176" xr:uid="{00000000-0005-0000-0000-0000B64C0000}"/>
    <cellStyle name="Comma [0] 2 2" xfId="25886" xr:uid="{00000000-0005-0000-0000-0000B74C0000}"/>
    <cellStyle name="Comma [0] 3" xfId="177" xr:uid="{00000000-0005-0000-0000-0000B84C0000}"/>
    <cellStyle name="Comma [0] 3 2" xfId="363" xr:uid="{00000000-0005-0000-0000-0000B94C0000}"/>
    <cellStyle name="Comma [0] 3 2 2" xfId="445" xr:uid="{00000000-0005-0000-0000-0000BA4C0000}"/>
    <cellStyle name="Comma [0] 3 2 2 2" xfId="531" xr:uid="{00000000-0005-0000-0000-0000BB4C0000}"/>
    <cellStyle name="Comma [0] 3 2 2 2 2" xfId="13894" xr:uid="{00000000-0005-0000-0000-0000BC4C0000}"/>
    <cellStyle name="Comma [0] 3 2 2 3" xfId="13817" xr:uid="{00000000-0005-0000-0000-0000BD4C0000}"/>
    <cellStyle name="Comma [0] 3 2 3" xfId="494" xr:uid="{00000000-0005-0000-0000-0000BE4C0000}"/>
    <cellStyle name="Comma [0] 3 2 3 2" xfId="13857" xr:uid="{00000000-0005-0000-0000-0000BF4C0000}"/>
    <cellStyle name="Comma [0] 3 2 4" xfId="13773" xr:uid="{00000000-0005-0000-0000-0000C04C0000}"/>
    <cellStyle name="Comma [0] 3 3" xfId="425" xr:uid="{00000000-0005-0000-0000-0000C14C0000}"/>
    <cellStyle name="Comma [0] 3 3 2" xfId="516" xr:uid="{00000000-0005-0000-0000-0000C24C0000}"/>
    <cellStyle name="Comma [0] 3 3 2 2" xfId="13879" xr:uid="{00000000-0005-0000-0000-0000C34C0000}"/>
    <cellStyle name="Comma [0] 3 3 3" xfId="13802" xr:uid="{00000000-0005-0000-0000-0000C44C0000}"/>
    <cellStyle name="Comma [0] 3 4" xfId="479" xr:uid="{00000000-0005-0000-0000-0000C54C0000}"/>
    <cellStyle name="Comma [0] 3 4 2" xfId="13842" xr:uid="{00000000-0005-0000-0000-0000C64C0000}"/>
    <cellStyle name="Comma [0] 3 5" xfId="13687" xr:uid="{00000000-0005-0000-0000-0000C74C0000}"/>
    <cellStyle name="Comma [1]" xfId="547" xr:uid="{00000000-0005-0000-0000-0000C84C0000}"/>
    <cellStyle name="Comma [1] 2" xfId="24066" xr:uid="{00000000-0005-0000-0000-0000C94C0000}"/>
    <cellStyle name="Comma [2]" xfId="548" xr:uid="{00000000-0005-0000-0000-0000CA4C0000}"/>
    <cellStyle name="Comma [3]" xfId="549" xr:uid="{00000000-0005-0000-0000-0000CB4C0000}"/>
    <cellStyle name="Comma 10" xfId="172" xr:uid="{00000000-0005-0000-0000-0000CC4C0000}"/>
    <cellStyle name="Comma 10 10" xfId="25744" xr:uid="{00000000-0005-0000-0000-0000CD4C0000}"/>
    <cellStyle name="Comma 10 10 2" xfId="27894" xr:uid="{00000000-0005-0000-0000-0000CE4C0000}"/>
    <cellStyle name="Comma 10 11" xfId="28614" xr:uid="{00000000-0005-0000-0000-0000CF4C0000}"/>
    <cellStyle name="Comma 10 11 2" xfId="28856" xr:uid="{00000000-0005-0000-0000-0000D04C0000}"/>
    <cellStyle name="Comma 10 12" xfId="28615" xr:uid="{00000000-0005-0000-0000-0000D14C0000}"/>
    <cellStyle name="Comma 10 12 2" xfId="28857" xr:uid="{00000000-0005-0000-0000-0000D24C0000}"/>
    <cellStyle name="Comma 10 13" xfId="28616" xr:uid="{00000000-0005-0000-0000-0000D34C0000}"/>
    <cellStyle name="Comma 10 13 2" xfId="28858" xr:uid="{00000000-0005-0000-0000-0000D44C0000}"/>
    <cellStyle name="Comma 10 2" xfId="281" xr:uid="{00000000-0005-0000-0000-0000D54C0000}"/>
    <cellStyle name="Comma 10 2 2" xfId="25940" xr:uid="{00000000-0005-0000-0000-0000D64C0000}"/>
    <cellStyle name="Comma 10 3" xfId="633" xr:uid="{00000000-0005-0000-0000-0000D74C0000}"/>
    <cellStyle name="Comma 10 3 2" xfId="13905" xr:uid="{00000000-0005-0000-0000-0000D84C0000}"/>
    <cellStyle name="Comma 10 3 2 2" xfId="28859" xr:uid="{00000000-0005-0000-0000-0000D94C0000}"/>
    <cellStyle name="Comma 10 3 3" xfId="28617" xr:uid="{00000000-0005-0000-0000-0000DA4C0000}"/>
    <cellStyle name="Comma 10 4" xfId="28618" xr:uid="{00000000-0005-0000-0000-0000DB4C0000}"/>
    <cellStyle name="Comma 10 4 2" xfId="28860" xr:uid="{00000000-0005-0000-0000-0000DC4C0000}"/>
    <cellStyle name="Comma 10 5" xfId="28619" xr:uid="{00000000-0005-0000-0000-0000DD4C0000}"/>
    <cellStyle name="Comma 10 5 2" xfId="28861" xr:uid="{00000000-0005-0000-0000-0000DE4C0000}"/>
    <cellStyle name="Comma 10 6" xfId="28620" xr:uid="{00000000-0005-0000-0000-0000DF4C0000}"/>
    <cellStyle name="Comma 10 6 2" xfId="28862" xr:uid="{00000000-0005-0000-0000-0000E04C0000}"/>
    <cellStyle name="Comma 10 7" xfId="28621" xr:uid="{00000000-0005-0000-0000-0000E14C0000}"/>
    <cellStyle name="Comma 10 7 2" xfId="28863" xr:uid="{00000000-0005-0000-0000-0000E24C0000}"/>
    <cellStyle name="Comma 10 8" xfId="28622" xr:uid="{00000000-0005-0000-0000-0000E34C0000}"/>
    <cellStyle name="Comma 10 8 2" xfId="28864" xr:uid="{00000000-0005-0000-0000-0000E44C0000}"/>
    <cellStyle name="Comma 10 9" xfId="28623" xr:uid="{00000000-0005-0000-0000-0000E54C0000}"/>
    <cellStyle name="Comma 10 9 2" xfId="28865" xr:uid="{00000000-0005-0000-0000-0000E64C0000}"/>
    <cellStyle name="Comma 11" xfId="178" xr:uid="{00000000-0005-0000-0000-0000E74C0000}"/>
    <cellStyle name="Comma 11 10" xfId="28624" xr:uid="{00000000-0005-0000-0000-0000E84C0000}"/>
    <cellStyle name="Comma 11 10 2" xfId="28866" xr:uid="{00000000-0005-0000-0000-0000E94C0000}"/>
    <cellStyle name="Comma 11 11" xfId="28625" xr:uid="{00000000-0005-0000-0000-0000EA4C0000}"/>
    <cellStyle name="Comma 11 11 2" xfId="28867" xr:uid="{00000000-0005-0000-0000-0000EB4C0000}"/>
    <cellStyle name="Comma 11 12" xfId="28626" xr:uid="{00000000-0005-0000-0000-0000EC4C0000}"/>
    <cellStyle name="Comma 11 12 2" xfId="28868" xr:uid="{00000000-0005-0000-0000-0000ED4C0000}"/>
    <cellStyle name="Comma 11 13" xfId="28627" xr:uid="{00000000-0005-0000-0000-0000EE4C0000}"/>
    <cellStyle name="Comma 11 13 2" xfId="28869" xr:uid="{00000000-0005-0000-0000-0000EF4C0000}"/>
    <cellStyle name="Comma 11 2" xfId="634" xr:uid="{00000000-0005-0000-0000-0000F04C0000}"/>
    <cellStyle name="Comma 11 2 2" xfId="28870" xr:uid="{00000000-0005-0000-0000-0000F14C0000}"/>
    <cellStyle name="Comma 11 2 3" xfId="28628" xr:uid="{00000000-0005-0000-0000-0000F24C0000}"/>
    <cellStyle name="Comma 11 3" xfId="23929" xr:uid="{00000000-0005-0000-0000-0000F34C0000}"/>
    <cellStyle name="Comma 11 3 2" xfId="28871" xr:uid="{00000000-0005-0000-0000-0000F44C0000}"/>
    <cellStyle name="Comma 11 3 3" xfId="28629" xr:uid="{00000000-0005-0000-0000-0000F54C0000}"/>
    <cellStyle name="Comma 11 4" xfId="25887" xr:uid="{00000000-0005-0000-0000-0000F64C0000}"/>
    <cellStyle name="Comma 11 4 2" xfId="28872" xr:uid="{00000000-0005-0000-0000-0000F74C0000}"/>
    <cellStyle name="Comma 11 5" xfId="28630" xr:uid="{00000000-0005-0000-0000-0000F84C0000}"/>
    <cellStyle name="Comma 11 5 2" xfId="28873" xr:uid="{00000000-0005-0000-0000-0000F94C0000}"/>
    <cellStyle name="Comma 11 6" xfId="28631" xr:uid="{00000000-0005-0000-0000-0000FA4C0000}"/>
    <cellStyle name="Comma 11 6 2" xfId="28874" xr:uid="{00000000-0005-0000-0000-0000FB4C0000}"/>
    <cellStyle name="Comma 11 7" xfId="28632" xr:uid="{00000000-0005-0000-0000-0000FC4C0000}"/>
    <cellStyle name="Comma 11 7 2" xfId="28875" xr:uid="{00000000-0005-0000-0000-0000FD4C0000}"/>
    <cellStyle name="Comma 11 8" xfId="28633" xr:uid="{00000000-0005-0000-0000-0000FE4C0000}"/>
    <cellStyle name="Comma 11 8 2" xfId="28876" xr:uid="{00000000-0005-0000-0000-0000FF4C0000}"/>
    <cellStyle name="Comma 11 9" xfId="28634" xr:uid="{00000000-0005-0000-0000-0000004D0000}"/>
    <cellStyle name="Comma 11 9 2" xfId="28877" xr:uid="{00000000-0005-0000-0000-0000014D0000}"/>
    <cellStyle name="Comma 12" xfId="179" xr:uid="{00000000-0005-0000-0000-0000024D0000}"/>
    <cellStyle name="Comma 12 10" xfId="28635" xr:uid="{00000000-0005-0000-0000-0000034D0000}"/>
    <cellStyle name="Comma 12 10 2" xfId="28878" xr:uid="{00000000-0005-0000-0000-0000044D0000}"/>
    <cellStyle name="Comma 12 11" xfId="28636" xr:uid="{00000000-0005-0000-0000-0000054D0000}"/>
    <cellStyle name="Comma 12 11 2" xfId="28879" xr:uid="{00000000-0005-0000-0000-0000064D0000}"/>
    <cellStyle name="Comma 12 12" xfId="28637" xr:uid="{00000000-0005-0000-0000-0000074D0000}"/>
    <cellStyle name="Comma 12 12 2" xfId="28880" xr:uid="{00000000-0005-0000-0000-0000084D0000}"/>
    <cellStyle name="Comma 12 13" xfId="28638" xr:uid="{00000000-0005-0000-0000-0000094D0000}"/>
    <cellStyle name="Comma 12 13 2" xfId="28881" xr:uid="{00000000-0005-0000-0000-00000A4D0000}"/>
    <cellStyle name="Comma 12 2" xfId="25888" xr:uid="{00000000-0005-0000-0000-00000B4D0000}"/>
    <cellStyle name="Comma 12 2 2" xfId="28882" xr:uid="{00000000-0005-0000-0000-00000C4D0000}"/>
    <cellStyle name="Comma 12 3" xfId="28639" xr:uid="{00000000-0005-0000-0000-00000D4D0000}"/>
    <cellStyle name="Comma 12 3 2" xfId="28883" xr:uid="{00000000-0005-0000-0000-00000E4D0000}"/>
    <cellStyle name="Comma 12 4" xfId="28640" xr:uid="{00000000-0005-0000-0000-00000F4D0000}"/>
    <cellStyle name="Comma 12 4 2" xfId="28884" xr:uid="{00000000-0005-0000-0000-0000104D0000}"/>
    <cellStyle name="Comma 12 5" xfId="28641" xr:uid="{00000000-0005-0000-0000-0000114D0000}"/>
    <cellStyle name="Comma 12 5 2" xfId="28885" xr:uid="{00000000-0005-0000-0000-0000124D0000}"/>
    <cellStyle name="Comma 12 6" xfId="28642" xr:uid="{00000000-0005-0000-0000-0000134D0000}"/>
    <cellStyle name="Comma 12 6 2" xfId="28886" xr:uid="{00000000-0005-0000-0000-0000144D0000}"/>
    <cellStyle name="Comma 12 7" xfId="28643" xr:uid="{00000000-0005-0000-0000-0000154D0000}"/>
    <cellStyle name="Comma 12 7 2" xfId="28887" xr:uid="{00000000-0005-0000-0000-0000164D0000}"/>
    <cellStyle name="Comma 12 8" xfId="28644" xr:uid="{00000000-0005-0000-0000-0000174D0000}"/>
    <cellStyle name="Comma 12 8 2" xfId="28888" xr:uid="{00000000-0005-0000-0000-0000184D0000}"/>
    <cellStyle name="Comma 12 9" xfId="28645" xr:uid="{00000000-0005-0000-0000-0000194D0000}"/>
    <cellStyle name="Comma 12 9 2" xfId="28889" xr:uid="{00000000-0005-0000-0000-00001A4D0000}"/>
    <cellStyle name="Comma 13" xfId="180" xr:uid="{00000000-0005-0000-0000-00001B4D0000}"/>
    <cellStyle name="Comma 13 10" xfId="28646" xr:uid="{00000000-0005-0000-0000-00001C4D0000}"/>
    <cellStyle name="Comma 13 10 2" xfId="28890" xr:uid="{00000000-0005-0000-0000-00001D4D0000}"/>
    <cellStyle name="Comma 13 11" xfId="28647" xr:uid="{00000000-0005-0000-0000-00001E4D0000}"/>
    <cellStyle name="Comma 13 11 2" xfId="28891" xr:uid="{00000000-0005-0000-0000-00001F4D0000}"/>
    <cellStyle name="Comma 13 12" xfId="28648" xr:uid="{00000000-0005-0000-0000-0000204D0000}"/>
    <cellStyle name="Comma 13 12 2" xfId="28892" xr:uid="{00000000-0005-0000-0000-0000214D0000}"/>
    <cellStyle name="Comma 13 13" xfId="28649" xr:uid="{00000000-0005-0000-0000-0000224D0000}"/>
    <cellStyle name="Comma 13 13 2" xfId="28893" xr:uid="{00000000-0005-0000-0000-0000234D0000}"/>
    <cellStyle name="Comma 13 2" xfId="25889" xr:uid="{00000000-0005-0000-0000-0000244D0000}"/>
    <cellStyle name="Comma 13 2 2" xfId="28894" xr:uid="{00000000-0005-0000-0000-0000254D0000}"/>
    <cellStyle name="Comma 13 3" xfId="28650" xr:uid="{00000000-0005-0000-0000-0000264D0000}"/>
    <cellStyle name="Comma 13 3 2" xfId="28895" xr:uid="{00000000-0005-0000-0000-0000274D0000}"/>
    <cellStyle name="Comma 13 4" xfId="28651" xr:uid="{00000000-0005-0000-0000-0000284D0000}"/>
    <cellStyle name="Comma 13 4 2" xfId="28896" xr:uid="{00000000-0005-0000-0000-0000294D0000}"/>
    <cellStyle name="Comma 13 5" xfId="28652" xr:uid="{00000000-0005-0000-0000-00002A4D0000}"/>
    <cellStyle name="Comma 13 5 2" xfId="28897" xr:uid="{00000000-0005-0000-0000-00002B4D0000}"/>
    <cellStyle name="Comma 13 6" xfId="28653" xr:uid="{00000000-0005-0000-0000-00002C4D0000}"/>
    <cellStyle name="Comma 13 6 2" xfId="28898" xr:uid="{00000000-0005-0000-0000-00002D4D0000}"/>
    <cellStyle name="Comma 13 7" xfId="28654" xr:uid="{00000000-0005-0000-0000-00002E4D0000}"/>
    <cellStyle name="Comma 13 7 2" xfId="28899" xr:uid="{00000000-0005-0000-0000-00002F4D0000}"/>
    <cellStyle name="Comma 13 8" xfId="28655" xr:uid="{00000000-0005-0000-0000-0000304D0000}"/>
    <cellStyle name="Comma 13 8 2" xfId="28900" xr:uid="{00000000-0005-0000-0000-0000314D0000}"/>
    <cellStyle name="Comma 13 9" xfId="28656" xr:uid="{00000000-0005-0000-0000-0000324D0000}"/>
    <cellStyle name="Comma 13 9 2" xfId="28901" xr:uid="{00000000-0005-0000-0000-0000334D0000}"/>
    <cellStyle name="Comma 14" xfId="175" xr:uid="{00000000-0005-0000-0000-0000344D0000}"/>
    <cellStyle name="Comma 14 10" xfId="28657" xr:uid="{00000000-0005-0000-0000-0000354D0000}"/>
    <cellStyle name="Comma 14 10 2" xfId="28902" xr:uid="{00000000-0005-0000-0000-0000364D0000}"/>
    <cellStyle name="Comma 14 11" xfId="28658" xr:uid="{00000000-0005-0000-0000-0000374D0000}"/>
    <cellStyle name="Comma 14 11 2" xfId="28903" xr:uid="{00000000-0005-0000-0000-0000384D0000}"/>
    <cellStyle name="Comma 14 12" xfId="28659" xr:uid="{00000000-0005-0000-0000-0000394D0000}"/>
    <cellStyle name="Comma 14 12 2" xfId="28904" xr:uid="{00000000-0005-0000-0000-00003A4D0000}"/>
    <cellStyle name="Comma 14 13" xfId="28660" xr:uid="{00000000-0005-0000-0000-00003B4D0000}"/>
    <cellStyle name="Comma 14 13 2" xfId="28905" xr:uid="{00000000-0005-0000-0000-00003C4D0000}"/>
    <cellStyle name="Comma 14 2" xfId="25885" xr:uid="{00000000-0005-0000-0000-00003D4D0000}"/>
    <cellStyle name="Comma 14 2 2" xfId="28906" xr:uid="{00000000-0005-0000-0000-00003E4D0000}"/>
    <cellStyle name="Comma 14 3" xfId="28661" xr:uid="{00000000-0005-0000-0000-00003F4D0000}"/>
    <cellStyle name="Comma 14 3 2" xfId="28907" xr:uid="{00000000-0005-0000-0000-0000404D0000}"/>
    <cellStyle name="Comma 14 4" xfId="28662" xr:uid="{00000000-0005-0000-0000-0000414D0000}"/>
    <cellStyle name="Comma 14 4 2" xfId="28908" xr:uid="{00000000-0005-0000-0000-0000424D0000}"/>
    <cellStyle name="Comma 14 5" xfId="28663" xr:uid="{00000000-0005-0000-0000-0000434D0000}"/>
    <cellStyle name="Comma 14 5 2" xfId="28909" xr:uid="{00000000-0005-0000-0000-0000444D0000}"/>
    <cellStyle name="Comma 14 6" xfId="28664" xr:uid="{00000000-0005-0000-0000-0000454D0000}"/>
    <cellStyle name="Comma 14 6 2" xfId="28910" xr:uid="{00000000-0005-0000-0000-0000464D0000}"/>
    <cellStyle name="Comma 14 7" xfId="28665" xr:uid="{00000000-0005-0000-0000-0000474D0000}"/>
    <cellStyle name="Comma 14 7 2" xfId="28911" xr:uid="{00000000-0005-0000-0000-0000484D0000}"/>
    <cellStyle name="Comma 14 8" xfId="28666" xr:uid="{00000000-0005-0000-0000-0000494D0000}"/>
    <cellStyle name="Comma 14 8 2" xfId="28912" xr:uid="{00000000-0005-0000-0000-00004A4D0000}"/>
    <cellStyle name="Comma 14 9" xfId="28667" xr:uid="{00000000-0005-0000-0000-00004B4D0000}"/>
    <cellStyle name="Comma 14 9 2" xfId="28913" xr:uid="{00000000-0005-0000-0000-00004C4D0000}"/>
    <cellStyle name="Comma 15" xfId="181" xr:uid="{00000000-0005-0000-0000-00004D4D0000}"/>
    <cellStyle name="Comma 15 2" xfId="27900" xr:uid="{00000000-0005-0000-0000-00004E4D0000}"/>
    <cellStyle name="Comma 15 3" xfId="25890" xr:uid="{00000000-0005-0000-0000-00004F4D0000}"/>
    <cellStyle name="Comma 16" xfId="173" xr:uid="{00000000-0005-0000-0000-0000504D0000}"/>
    <cellStyle name="Comma 16 2" xfId="27903" xr:uid="{00000000-0005-0000-0000-0000514D0000}"/>
    <cellStyle name="Comma 16 3" xfId="25883" xr:uid="{00000000-0005-0000-0000-0000524D0000}"/>
    <cellStyle name="Comma 17" xfId="182" xr:uid="{00000000-0005-0000-0000-0000534D0000}"/>
    <cellStyle name="Comma 17 2" xfId="25891" xr:uid="{00000000-0005-0000-0000-0000544D0000}"/>
    <cellStyle name="Comma 18" xfId="174" xr:uid="{00000000-0005-0000-0000-0000554D0000}"/>
    <cellStyle name="Comma 18 2" xfId="27915" xr:uid="{00000000-0005-0000-0000-0000564D0000}"/>
    <cellStyle name="Comma 18 3" xfId="25884" xr:uid="{00000000-0005-0000-0000-0000574D0000}"/>
    <cellStyle name="Comma 19" xfId="283" xr:uid="{00000000-0005-0000-0000-0000584D0000}"/>
    <cellStyle name="Comma 19 2" xfId="25942" xr:uid="{00000000-0005-0000-0000-0000594D0000}"/>
    <cellStyle name="Comma 2" xfId="5" xr:uid="{00000000-0005-0000-0000-00005A4D0000}"/>
    <cellStyle name="Comma 2 10" xfId="25766" xr:uid="{00000000-0005-0000-0000-00005B4D0000}"/>
    <cellStyle name="Comma 2 2" xfId="21" xr:uid="{00000000-0005-0000-0000-00005C4D0000}"/>
    <cellStyle name="Comma 2 2 2" xfId="398" xr:uid="{00000000-0005-0000-0000-00005D4D0000}"/>
    <cellStyle name="Comma 2 2 2 2" xfId="637" xr:uid="{00000000-0005-0000-0000-00005E4D0000}"/>
    <cellStyle name="Comma 2 2 2 3" xfId="636" xr:uid="{00000000-0005-0000-0000-00005F4D0000}"/>
    <cellStyle name="Comma 2 2 2 4" xfId="25780" xr:uid="{00000000-0005-0000-0000-0000604D0000}"/>
    <cellStyle name="Comma 2 2 2 5" xfId="28915" xr:uid="{00000000-0005-0000-0000-0000614D0000}"/>
    <cellStyle name="Comma 2 2 3" xfId="374" xr:uid="{00000000-0005-0000-0000-0000624D0000}"/>
    <cellStyle name="Comma 2 2 3 2" xfId="638" xr:uid="{00000000-0005-0000-0000-0000634D0000}"/>
    <cellStyle name="Comma 2 2 3 3" xfId="25993" xr:uid="{00000000-0005-0000-0000-0000644D0000}"/>
    <cellStyle name="Comma 2 2 4" xfId="23898" xr:uid="{00000000-0005-0000-0000-0000654D0000}"/>
    <cellStyle name="Comma 2 2 5" xfId="25767" xr:uid="{00000000-0005-0000-0000-0000664D0000}"/>
    <cellStyle name="Comma 2 3" xfId="183" xr:uid="{00000000-0005-0000-0000-0000674D0000}"/>
    <cellStyle name="Comma 2 3 2" xfId="364" xr:uid="{00000000-0005-0000-0000-0000684D0000}"/>
    <cellStyle name="Comma 2 3 2 2" xfId="446" xr:uid="{00000000-0005-0000-0000-0000694D0000}"/>
    <cellStyle name="Comma 2 3 2 2 2" xfId="532" xr:uid="{00000000-0005-0000-0000-00006A4D0000}"/>
    <cellStyle name="Comma 2 3 2 2 2 2" xfId="13895" xr:uid="{00000000-0005-0000-0000-00006B4D0000}"/>
    <cellStyle name="Comma 2 3 2 2 3" xfId="13818" xr:uid="{00000000-0005-0000-0000-00006C4D0000}"/>
    <cellStyle name="Comma 2 3 2 3" xfId="495" xr:uid="{00000000-0005-0000-0000-00006D4D0000}"/>
    <cellStyle name="Comma 2 3 2 3 2" xfId="13858" xr:uid="{00000000-0005-0000-0000-00006E4D0000}"/>
    <cellStyle name="Comma 2 3 2 4" xfId="13774" xr:uid="{00000000-0005-0000-0000-00006F4D0000}"/>
    <cellStyle name="Comma 2 3 2 5" xfId="28916" xr:uid="{00000000-0005-0000-0000-0000704D0000}"/>
    <cellStyle name="Comma 2 3 3" xfId="426" xr:uid="{00000000-0005-0000-0000-0000714D0000}"/>
    <cellStyle name="Comma 2 3 3 2" xfId="517" xr:uid="{00000000-0005-0000-0000-0000724D0000}"/>
    <cellStyle name="Comma 2 3 3 2 2" xfId="13880" xr:uid="{00000000-0005-0000-0000-0000734D0000}"/>
    <cellStyle name="Comma 2 3 3 3" xfId="13803" xr:uid="{00000000-0005-0000-0000-0000744D0000}"/>
    <cellStyle name="Comma 2 3 4" xfId="480" xr:uid="{00000000-0005-0000-0000-0000754D0000}"/>
    <cellStyle name="Comma 2 3 4 2" xfId="13843" xr:uid="{00000000-0005-0000-0000-0000764D0000}"/>
    <cellStyle name="Comma 2 3 5" xfId="639" xr:uid="{00000000-0005-0000-0000-0000774D0000}"/>
    <cellStyle name="Comma 2 3 5 2" xfId="13907" xr:uid="{00000000-0005-0000-0000-0000784D0000}"/>
    <cellStyle name="Comma 2 3 6" xfId="13688" xr:uid="{00000000-0005-0000-0000-0000794D0000}"/>
    <cellStyle name="Comma 2 3 7" xfId="24067" xr:uid="{00000000-0005-0000-0000-00007A4D0000}"/>
    <cellStyle name="Comma 2 3 8" xfId="28668" xr:uid="{00000000-0005-0000-0000-00007B4D0000}"/>
    <cellStyle name="Comma 2 4" xfId="351" xr:uid="{00000000-0005-0000-0000-00007C4D0000}"/>
    <cellStyle name="Comma 2 4 2" xfId="25781" xr:uid="{00000000-0005-0000-0000-00007D4D0000}"/>
    <cellStyle name="Comma 2 4 2 2" xfId="28917" xr:uid="{00000000-0005-0000-0000-00007E4D0000}"/>
    <cellStyle name="Comma 2 4 3" xfId="25768" xr:uid="{00000000-0005-0000-0000-00007F4D0000}"/>
    <cellStyle name="Comma 2 4 4" xfId="27922" xr:uid="{00000000-0005-0000-0000-0000804D0000}"/>
    <cellStyle name="Comma 2 4 5" xfId="25988" xr:uid="{00000000-0005-0000-0000-0000814D0000}"/>
    <cellStyle name="Comma 2 5" xfId="373" xr:uid="{00000000-0005-0000-0000-0000824D0000}"/>
    <cellStyle name="Comma 2 5 2" xfId="25782" xr:uid="{00000000-0005-0000-0000-0000834D0000}"/>
    <cellStyle name="Comma 2 5 2 2" xfId="28918" xr:uid="{00000000-0005-0000-0000-0000844D0000}"/>
    <cellStyle name="Comma 2 5 3" xfId="25769" xr:uid="{00000000-0005-0000-0000-0000854D0000}"/>
    <cellStyle name="Comma 2 5 4" xfId="28669" xr:uid="{00000000-0005-0000-0000-0000864D0000}"/>
    <cellStyle name="Comma 2 6" xfId="635" xr:uid="{00000000-0005-0000-0000-0000874D0000}"/>
    <cellStyle name="Comma 2 6 2" xfId="13906" xr:uid="{00000000-0005-0000-0000-0000884D0000}"/>
    <cellStyle name="Comma 2 6 2 2" xfId="28919" xr:uid="{00000000-0005-0000-0000-0000894D0000}"/>
    <cellStyle name="Comma 2 6 3" xfId="25779" xr:uid="{00000000-0005-0000-0000-00008A4D0000}"/>
    <cellStyle name="Comma 2 7" xfId="2588" xr:uid="{00000000-0005-0000-0000-00008B4D0000}"/>
    <cellStyle name="Comma 2 7 2" xfId="28914" xr:uid="{00000000-0005-0000-0000-00008C4D0000}"/>
    <cellStyle name="Comma 2 8" xfId="13603" xr:uid="{00000000-0005-0000-0000-00008D4D0000}"/>
    <cellStyle name="Comma 2 8 2" xfId="26556" xr:uid="{00000000-0005-0000-0000-00008E4D0000}"/>
    <cellStyle name="Comma 2 9" xfId="12600" xr:uid="{00000000-0005-0000-0000-00008F4D0000}"/>
    <cellStyle name="Comma 20" xfId="282" xr:uid="{00000000-0005-0000-0000-0000904D0000}"/>
    <cellStyle name="Comma 20 2" xfId="27914" xr:uid="{00000000-0005-0000-0000-0000914D0000}"/>
    <cellStyle name="Comma 20 3" xfId="25941" xr:uid="{00000000-0005-0000-0000-0000924D0000}"/>
    <cellStyle name="Comma 21" xfId="290" xr:uid="{00000000-0005-0000-0000-0000934D0000}"/>
    <cellStyle name="Comma 21 2" xfId="369" xr:uid="{00000000-0005-0000-0000-0000944D0000}"/>
    <cellStyle name="Comma 21 2 2" xfId="25992" xr:uid="{00000000-0005-0000-0000-0000954D0000}"/>
    <cellStyle name="Comma 21 3" xfId="27913" xr:uid="{00000000-0005-0000-0000-0000964D0000}"/>
    <cellStyle name="Comma 21 4" xfId="25947" xr:uid="{00000000-0005-0000-0000-0000974D0000}"/>
    <cellStyle name="Comma 22" xfId="288" xr:uid="{00000000-0005-0000-0000-0000984D0000}"/>
    <cellStyle name="Comma 22 2" xfId="27912" xr:uid="{00000000-0005-0000-0000-0000994D0000}"/>
    <cellStyle name="Comma 22 3" xfId="25945" xr:uid="{00000000-0005-0000-0000-00009A4D0000}"/>
    <cellStyle name="Comma 23" xfId="291" xr:uid="{00000000-0005-0000-0000-00009B4D0000}"/>
    <cellStyle name="Comma 23 2" xfId="27911" xr:uid="{00000000-0005-0000-0000-00009C4D0000}"/>
    <cellStyle name="Comma 23 3" xfId="25948" xr:uid="{00000000-0005-0000-0000-00009D4D0000}"/>
    <cellStyle name="Comma 24" xfId="289" xr:uid="{00000000-0005-0000-0000-00009E4D0000}"/>
    <cellStyle name="Comma 24 2" xfId="27910" xr:uid="{00000000-0005-0000-0000-00009F4D0000}"/>
    <cellStyle name="Comma 24 3" xfId="25946" xr:uid="{00000000-0005-0000-0000-0000A04D0000}"/>
    <cellStyle name="Comma 25" xfId="301" xr:uid="{00000000-0005-0000-0000-0000A14D0000}"/>
    <cellStyle name="Comma 25 2" xfId="27902" xr:uid="{00000000-0005-0000-0000-0000A24D0000}"/>
    <cellStyle name="Comma 25 3" xfId="25954" xr:uid="{00000000-0005-0000-0000-0000A34D0000}"/>
    <cellStyle name="Comma 26" xfId="300" xr:uid="{00000000-0005-0000-0000-0000A44D0000}"/>
    <cellStyle name="Comma 26 2" xfId="27909" xr:uid="{00000000-0005-0000-0000-0000A54D0000}"/>
    <cellStyle name="Comma 26 3" xfId="25953" xr:uid="{00000000-0005-0000-0000-0000A64D0000}"/>
    <cellStyle name="Comma 27" xfId="312" xr:uid="{00000000-0005-0000-0000-0000A74D0000}"/>
    <cellStyle name="Comma 27 2" xfId="25962" xr:uid="{00000000-0005-0000-0000-0000A84D0000}"/>
    <cellStyle name="Comma 28" xfId="311" xr:uid="{00000000-0005-0000-0000-0000A94D0000}"/>
    <cellStyle name="Comma 28 2" xfId="25961" xr:uid="{00000000-0005-0000-0000-0000AA4D0000}"/>
    <cellStyle name="Comma 29" xfId="313" xr:uid="{00000000-0005-0000-0000-0000AB4D0000}"/>
    <cellStyle name="Comma 29 2" xfId="25963" xr:uid="{00000000-0005-0000-0000-0000AC4D0000}"/>
    <cellStyle name="Comma 3" xfId="10" xr:uid="{00000000-0005-0000-0000-0000AD4D0000}"/>
    <cellStyle name="Comma 3 10" xfId="23905" xr:uid="{00000000-0005-0000-0000-0000AE4D0000}"/>
    <cellStyle name="Comma 3 10 2" xfId="28920" xr:uid="{00000000-0005-0000-0000-0000AF4D0000}"/>
    <cellStyle name="Comma 3 10 3" xfId="28670" xr:uid="{00000000-0005-0000-0000-0000B04D0000}"/>
    <cellStyle name="Comma 3 11" xfId="25777" xr:uid="{00000000-0005-0000-0000-0000B14D0000}"/>
    <cellStyle name="Comma 3 11 2" xfId="28921" xr:uid="{00000000-0005-0000-0000-0000B24D0000}"/>
    <cellStyle name="Comma 3 11 3" xfId="28671" xr:uid="{00000000-0005-0000-0000-0000B34D0000}"/>
    <cellStyle name="Comma 3 12" xfId="25799" xr:uid="{00000000-0005-0000-0000-0000B44D0000}"/>
    <cellStyle name="Comma 3 12 2" xfId="28922" xr:uid="{00000000-0005-0000-0000-0000B54D0000}"/>
    <cellStyle name="Comma 3 13" xfId="28672" xr:uid="{00000000-0005-0000-0000-0000B64D0000}"/>
    <cellStyle name="Comma 3 13 2" xfId="28923" xr:uid="{00000000-0005-0000-0000-0000B74D0000}"/>
    <cellStyle name="Comma 3 14" xfId="30159" xr:uid="{00000000-0005-0000-0000-0000B84D0000}"/>
    <cellStyle name="Comma 3 15" xfId="33391" xr:uid="{3299DDB1-4862-4D12-B705-1758BE844C9D}"/>
    <cellStyle name="Comma 3 2" xfId="22" xr:uid="{00000000-0005-0000-0000-0000B94D0000}"/>
    <cellStyle name="Comma 3 2 2" xfId="28924" xr:uid="{00000000-0005-0000-0000-0000BA4D0000}"/>
    <cellStyle name="Comma 3 2 3" xfId="28673" xr:uid="{00000000-0005-0000-0000-0000BB4D0000}"/>
    <cellStyle name="Comma 3 3" xfId="184" xr:uid="{00000000-0005-0000-0000-0000BC4D0000}"/>
    <cellStyle name="Comma 3 3 2" xfId="28925" xr:uid="{00000000-0005-0000-0000-0000BD4D0000}"/>
    <cellStyle name="Comma 3 3 3" xfId="28674" xr:uid="{00000000-0005-0000-0000-0000BE4D0000}"/>
    <cellStyle name="Comma 3 4" xfId="353" xr:uid="{00000000-0005-0000-0000-0000BF4D0000}"/>
    <cellStyle name="Comma 3 4 2" xfId="25990" xr:uid="{00000000-0005-0000-0000-0000C04D0000}"/>
    <cellStyle name="Comma 3 5" xfId="397" xr:uid="{00000000-0005-0000-0000-0000C14D0000}"/>
    <cellStyle name="Comma 3 5 2" xfId="26007" xr:uid="{00000000-0005-0000-0000-0000C24D0000}"/>
    <cellStyle name="Comma 3 6" xfId="375" xr:uid="{00000000-0005-0000-0000-0000C34D0000}"/>
    <cellStyle name="Comma 3 6 2" xfId="28926" xr:uid="{00000000-0005-0000-0000-0000C44D0000}"/>
    <cellStyle name="Comma 3 6 3" xfId="28675" xr:uid="{00000000-0005-0000-0000-0000C54D0000}"/>
    <cellStyle name="Comma 3 7" xfId="2589" xr:uid="{00000000-0005-0000-0000-0000C64D0000}"/>
    <cellStyle name="Comma 3 7 2" xfId="28927" xr:uid="{00000000-0005-0000-0000-0000C74D0000}"/>
    <cellStyle name="Comma 3 7 3" xfId="28676" xr:uid="{00000000-0005-0000-0000-0000C84D0000}"/>
    <cellStyle name="Comma 3 8" xfId="13605" xr:uid="{00000000-0005-0000-0000-0000C94D0000}"/>
    <cellStyle name="Comma 3 8 2" xfId="26558" xr:uid="{00000000-0005-0000-0000-0000CA4D0000}"/>
    <cellStyle name="Comma 3 9" xfId="13599" xr:uid="{00000000-0005-0000-0000-0000CB4D0000}"/>
    <cellStyle name="Comma 3 9 2" xfId="28928" xr:uid="{00000000-0005-0000-0000-0000CC4D0000}"/>
    <cellStyle name="Comma 3 9 3" xfId="28677" xr:uid="{00000000-0005-0000-0000-0000CD4D0000}"/>
    <cellStyle name="Comma 30" xfId="310" xr:uid="{00000000-0005-0000-0000-0000CE4D0000}"/>
    <cellStyle name="Comma 30 2" xfId="25960" xr:uid="{00000000-0005-0000-0000-0000CF4D0000}"/>
    <cellStyle name="Comma 31" xfId="314" xr:uid="{00000000-0005-0000-0000-0000D04D0000}"/>
    <cellStyle name="Comma 31 2" xfId="27916" xr:uid="{00000000-0005-0000-0000-0000D14D0000}"/>
    <cellStyle name="Comma 31 3" xfId="25964" xr:uid="{00000000-0005-0000-0000-0000D24D0000}"/>
    <cellStyle name="Comma 32" xfId="308" xr:uid="{00000000-0005-0000-0000-0000D34D0000}"/>
    <cellStyle name="Comma 32 2" xfId="27918" xr:uid="{00000000-0005-0000-0000-0000D44D0000}"/>
    <cellStyle name="Comma 32 3" xfId="25959" xr:uid="{00000000-0005-0000-0000-0000D54D0000}"/>
    <cellStyle name="Comma 33" xfId="315" xr:uid="{00000000-0005-0000-0000-0000D64D0000}"/>
    <cellStyle name="Comma 33 2" xfId="25965" xr:uid="{00000000-0005-0000-0000-0000D74D0000}"/>
    <cellStyle name="Comma 34" xfId="306" xr:uid="{00000000-0005-0000-0000-0000D84D0000}"/>
    <cellStyle name="Comma 34 2" xfId="27908" xr:uid="{00000000-0005-0000-0000-0000D94D0000}"/>
    <cellStyle name="Comma 34 3" xfId="25957" xr:uid="{00000000-0005-0000-0000-0000DA4D0000}"/>
    <cellStyle name="Comma 35" xfId="337" xr:uid="{00000000-0005-0000-0000-0000DB4D0000}"/>
    <cellStyle name="Comma 35 2" xfId="27917" xr:uid="{00000000-0005-0000-0000-0000DC4D0000}"/>
    <cellStyle name="Comma 35 3" xfId="25979" xr:uid="{00000000-0005-0000-0000-0000DD4D0000}"/>
    <cellStyle name="Comma 36" xfId="334" xr:uid="{00000000-0005-0000-0000-0000DE4D0000}"/>
    <cellStyle name="Comma 36 2" xfId="25976" xr:uid="{00000000-0005-0000-0000-0000DF4D0000}"/>
    <cellStyle name="Comma 37" xfId="338" xr:uid="{00000000-0005-0000-0000-0000E04D0000}"/>
    <cellStyle name="Comma 37 2" xfId="25980" xr:uid="{00000000-0005-0000-0000-0000E14D0000}"/>
    <cellStyle name="Comma 38" xfId="336" xr:uid="{00000000-0005-0000-0000-0000E24D0000}"/>
    <cellStyle name="Comma 38 2" xfId="25978" xr:uid="{00000000-0005-0000-0000-0000E34D0000}"/>
    <cellStyle name="Comma 39" xfId="394" xr:uid="{00000000-0005-0000-0000-0000E44D0000}"/>
    <cellStyle name="Comma 39 2" xfId="26004" xr:uid="{00000000-0005-0000-0000-0000E54D0000}"/>
    <cellStyle name="Comma 4" xfId="8" xr:uid="{00000000-0005-0000-0000-0000E64D0000}"/>
    <cellStyle name="Comma 4 10" xfId="28678" xr:uid="{00000000-0005-0000-0000-0000E74D0000}"/>
    <cellStyle name="Comma 4 10 2" xfId="28929" xr:uid="{00000000-0005-0000-0000-0000E84D0000}"/>
    <cellStyle name="Comma 4 11" xfId="28679" xr:uid="{00000000-0005-0000-0000-0000E94D0000}"/>
    <cellStyle name="Comma 4 11 2" xfId="28930" xr:uid="{00000000-0005-0000-0000-0000EA4D0000}"/>
    <cellStyle name="Comma 4 12" xfId="28680" xr:uid="{00000000-0005-0000-0000-0000EB4D0000}"/>
    <cellStyle name="Comma 4 12 2" xfId="28931" xr:uid="{00000000-0005-0000-0000-0000EC4D0000}"/>
    <cellStyle name="Comma 4 13" xfId="28681" xr:uid="{00000000-0005-0000-0000-0000ED4D0000}"/>
    <cellStyle name="Comma 4 13 2" xfId="28932" xr:uid="{00000000-0005-0000-0000-0000EE4D0000}"/>
    <cellStyle name="Comma 4 2" xfId="185" xr:uid="{00000000-0005-0000-0000-0000EF4D0000}"/>
    <cellStyle name="Comma 4 2 2" xfId="365" xr:uid="{00000000-0005-0000-0000-0000F04D0000}"/>
    <cellStyle name="Comma 4 2 2 2" xfId="447" xr:uid="{00000000-0005-0000-0000-0000F14D0000}"/>
    <cellStyle name="Comma 4 2 2 2 2" xfId="533" xr:uid="{00000000-0005-0000-0000-0000F24D0000}"/>
    <cellStyle name="Comma 4 2 2 2 2 2" xfId="13896" xr:uid="{00000000-0005-0000-0000-0000F34D0000}"/>
    <cellStyle name="Comma 4 2 2 2 3" xfId="13819" xr:uid="{00000000-0005-0000-0000-0000F44D0000}"/>
    <cellStyle name="Comma 4 2 2 3" xfId="496" xr:uid="{00000000-0005-0000-0000-0000F54D0000}"/>
    <cellStyle name="Comma 4 2 2 3 2" xfId="13859" xr:uid="{00000000-0005-0000-0000-0000F64D0000}"/>
    <cellStyle name="Comma 4 2 2 4" xfId="13775" xr:uid="{00000000-0005-0000-0000-0000F74D0000}"/>
    <cellStyle name="Comma 4 2 2 5" xfId="28933" xr:uid="{00000000-0005-0000-0000-0000F84D0000}"/>
    <cellStyle name="Comma 4 2 3" xfId="427" xr:uid="{00000000-0005-0000-0000-0000F94D0000}"/>
    <cellStyle name="Comma 4 2 3 2" xfId="518" xr:uid="{00000000-0005-0000-0000-0000FA4D0000}"/>
    <cellStyle name="Comma 4 2 3 2 2" xfId="13881" xr:uid="{00000000-0005-0000-0000-0000FB4D0000}"/>
    <cellStyle name="Comma 4 2 3 3" xfId="13804" xr:uid="{00000000-0005-0000-0000-0000FC4D0000}"/>
    <cellStyle name="Comma 4 2 4" xfId="481" xr:uid="{00000000-0005-0000-0000-0000FD4D0000}"/>
    <cellStyle name="Comma 4 2 4 2" xfId="13844" xr:uid="{00000000-0005-0000-0000-0000FE4D0000}"/>
    <cellStyle name="Comma 4 2 5" xfId="641" xr:uid="{00000000-0005-0000-0000-0000FF4D0000}"/>
    <cellStyle name="Comma 4 2 6" xfId="13689" xr:uid="{00000000-0005-0000-0000-0000004E0000}"/>
    <cellStyle name="Comma 4 2 7" xfId="24068" xr:uid="{00000000-0005-0000-0000-0000014E0000}"/>
    <cellStyle name="Comma 4 2 7 2" xfId="27055" xr:uid="{00000000-0005-0000-0000-0000024E0000}"/>
    <cellStyle name="Comma 4 3" xfId="352" xr:uid="{00000000-0005-0000-0000-0000034E0000}"/>
    <cellStyle name="Comma 4 3 2" xfId="25989" xr:uid="{00000000-0005-0000-0000-0000044E0000}"/>
    <cellStyle name="Comma 4 4" xfId="640" xr:uid="{00000000-0005-0000-0000-0000054E0000}"/>
    <cellStyle name="Comma 4 4 2" xfId="28934" xr:uid="{00000000-0005-0000-0000-0000064E0000}"/>
    <cellStyle name="Comma 4 4 3" xfId="28682" xr:uid="{00000000-0005-0000-0000-0000074E0000}"/>
    <cellStyle name="Comma 4 5" xfId="3619" xr:uid="{00000000-0005-0000-0000-0000084E0000}"/>
    <cellStyle name="Comma 4 5 2" xfId="28935" xr:uid="{00000000-0005-0000-0000-0000094E0000}"/>
    <cellStyle name="Comma 4 5 3" xfId="28683" xr:uid="{00000000-0005-0000-0000-00000A4E0000}"/>
    <cellStyle name="Comma 4 6" xfId="25790" xr:uid="{00000000-0005-0000-0000-00000B4E0000}"/>
    <cellStyle name="Comma 4 6 2" xfId="28936" xr:uid="{00000000-0005-0000-0000-00000C4E0000}"/>
    <cellStyle name="Comma 4 7" xfId="28684" xr:uid="{00000000-0005-0000-0000-00000D4E0000}"/>
    <cellStyle name="Comma 4 7 2" xfId="28937" xr:uid="{00000000-0005-0000-0000-00000E4E0000}"/>
    <cellStyle name="Comma 4 8" xfId="28685" xr:uid="{00000000-0005-0000-0000-00000F4E0000}"/>
    <cellStyle name="Comma 4 8 2" xfId="28938" xr:uid="{00000000-0005-0000-0000-0000104E0000}"/>
    <cellStyle name="Comma 4 9" xfId="28686" xr:uid="{00000000-0005-0000-0000-0000114E0000}"/>
    <cellStyle name="Comma 4 9 2" xfId="28939" xr:uid="{00000000-0005-0000-0000-0000124E0000}"/>
    <cellStyle name="Comma 40" xfId="371" xr:uid="{00000000-0005-0000-0000-0000134E0000}"/>
    <cellStyle name="Comma 40 2" xfId="501" xr:uid="{00000000-0005-0000-0000-0000144E0000}"/>
    <cellStyle name="Comma 40 2 2" xfId="13864" xr:uid="{00000000-0005-0000-0000-0000154E0000}"/>
    <cellStyle name="Comma 40 3" xfId="13780" xr:uid="{00000000-0005-0000-0000-0000164E0000}"/>
    <cellStyle name="Comma 41" xfId="391" xr:uid="{00000000-0005-0000-0000-0000174E0000}"/>
    <cellStyle name="Comma 41 2" xfId="505" xr:uid="{00000000-0005-0000-0000-0000184E0000}"/>
    <cellStyle name="Comma 41 2 2" xfId="13868" xr:uid="{00000000-0005-0000-0000-0000194E0000}"/>
    <cellStyle name="Comma 41 3" xfId="13786" xr:uid="{00000000-0005-0000-0000-00001A4E0000}"/>
    <cellStyle name="Comma 42" xfId="388" xr:uid="{00000000-0005-0000-0000-00001B4E0000}"/>
    <cellStyle name="Comma 42 2" xfId="504" xr:uid="{00000000-0005-0000-0000-00001C4E0000}"/>
    <cellStyle name="Comma 42 2 2" xfId="13867" xr:uid="{00000000-0005-0000-0000-00001D4E0000}"/>
    <cellStyle name="Comma 42 3" xfId="13784" xr:uid="{00000000-0005-0000-0000-00001E4E0000}"/>
    <cellStyle name="Comma 43" xfId="452" xr:uid="{00000000-0005-0000-0000-00001F4E0000}"/>
    <cellStyle name="Comma 43 2" xfId="538" xr:uid="{00000000-0005-0000-0000-0000204E0000}"/>
    <cellStyle name="Comma 43 2 2" xfId="13901" xr:uid="{00000000-0005-0000-0000-0000214E0000}"/>
    <cellStyle name="Comma 43 3" xfId="13824" xr:uid="{00000000-0005-0000-0000-0000224E0000}"/>
    <cellStyle name="Comma 44" xfId="13600" xr:uid="{00000000-0005-0000-0000-0000234E0000}"/>
    <cellStyle name="Comma 44 2" xfId="26553" xr:uid="{00000000-0005-0000-0000-0000244E0000}"/>
    <cellStyle name="Comma 45" xfId="23886" xr:uid="{00000000-0005-0000-0000-0000254E0000}"/>
    <cellStyle name="Comma 46" xfId="23891" xr:uid="{00000000-0005-0000-0000-0000264E0000}"/>
    <cellStyle name="Comma 47" xfId="23895" xr:uid="{00000000-0005-0000-0000-0000274E0000}"/>
    <cellStyle name="Comma 48" xfId="23899" xr:uid="{00000000-0005-0000-0000-0000284E0000}"/>
    <cellStyle name="Comma 49" xfId="2" xr:uid="{00000000-0005-0000-0000-0000294E0000}"/>
    <cellStyle name="Comma 49 2" xfId="25796" xr:uid="{00000000-0005-0000-0000-00002A4E0000}"/>
    <cellStyle name="Comma 5" xfId="23" xr:uid="{00000000-0005-0000-0000-00002B4E0000}"/>
    <cellStyle name="Comma 5 10" xfId="28687" xr:uid="{00000000-0005-0000-0000-00002C4E0000}"/>
    <cellStyle name="Comma 5 10 2" xfId="28940" xr:uid="{00000000-0005-0000-0000-00002D4E0000}"/>
    <cellStyle name="Comma 5 11" xfId="28688" xr:uid="{00000000-0005-0000-0000-00002E4E0000}"/>
    <cellStyle name="Comma 5 11 2" xfId="28941" xr:uid="{00000000-0005-0000-0000-00002F4E0000}"/>
    <cellStyle name="Comma 5 12" xfId="28689" xr:uid="{00000000-0005-0000-0000-0000304E0000}"/>
    <cellStyle name="Comma 5 12 2" xfId="28942" xr:uid="{00000000-0005-0000-0000-0000314E0000}"/>
    <cellStyle name="Comma 5 13" xfId="28690" xr:uid="{00000000-0005-0000-0000-0000324E0000}"/>
    <cellStyle name="Comma 5 13 2" xfId="28943" xr:uid="{00000000-0005-0000-0000-0000334E0000}"/>
    <cellStyle name="Comma 5 2" xfId="24069" xr:uid="{00000000-0005-0000-0000-0000344E0000}"/>
    <cellStyle name="Comma 5 2 2" xfId="28944" xr:uid="{00000000-0005-0000-0000-0000354E0000}"/>
    <cellStyle name="Comma 5 2 3" xfId="28691" xr:uid="{00000000-0005-0000-0000-0000364E0000}"/>
    <cellStyle name="Comma 5 3" xfId="28692" xr:uid="{00000000-0005-0000-0000-0000374E0000}"/>
    <cellStyle name="Comma 5 3 2" xfId="28945" xr:uid="{00000000-0005-0000-0000-0000384E0000}"/>
    <cellStyle name="Comma 5 4" xfId="28693" xr:uid="{00000000-0005-0000-0000-0000394E0000}"/>
    <cellStyle name="Comma 5 4 2" xfId="28946" xr:uid="{00000000-0005-0000-0000-00003A4E0000}"/>
    <cellStyle name="Comma 5 5" xfId="28694" xr:uid="{00000000-0005-0000-0000-00003B4E0000}"/>
    <cellStyle name="Comma 5 5 2" xfId="28947" xr:uid="{00000000-0005-0000-0000-00003C4E0000}"/>
    <cellStyle name="Comma 5 6" xfId="28695" xr:uid="{00000000-0005-0000-0000-00003D4E0000}"/>
    <cellStyle name="Comma 5 6 2" xfId="28948" xr:uid="{00000000-0005-0000-0000-00003E4E0000}"/>
    <cellStyle name="Comma 5 7" xfId="28696" xr:uid="{00000000-0005-0000-0000-00003F4E0000}"/>
    <cellStyle name="Comma 5 7 2" xfId="28949" xr:uid="{00000000-0005-0000-0000-0000404E0000}"/>
    <cellStyle name="Comma 5 8" xfId="28697" xr:uid="{00000000-0005-0000-0000-0000414E0000}"/>
    <cellStyle name="Comma 5 8 2" xfId="28950" xr:uid="{00000000-0005-0000-0000-0000424E0000}"/>
    <cellStyle name="Comma 5 9" xfId="28698" xr:uid="{00000000-0005-0000-0000-0000434E0000}"/>
    <cellStyle name="Comma 5 9 2" xfId="28951" xr:uid="{00000000-0005-0000-0000-0000444E0000}"/>
    <cellStyle name="Comma 50" xfId="25277" xr:uid="{00000000-0005-0000-0000-0000454E0000}"/>
    <cellStyle name="Comma 50 2" xfId="27432" xr:uid="{00000000-0005-0000-0000-0000464E0000}"/>
    <cellStyle name="Comma 51" xfId="25294" xr:uid="{00000000-0005-0000-0000-0000474E0000}"/>
    <cellStyle name="Comma 51 2" xfId="27449" xr:uid="{00000000-0005-0000-0000-0000484E0000}"/>
    <cellStyle name="Comma 52" xfId="25456" xr:uid="{00000000-0005-0000-0000-0000494E0000}"/>
    <cellStyle name="Comma 52 2" xfId="27609" xr:uid="{00000000-0005-0000-0000-00004A4E0000}"/>
    <cellStyle name="Comma 53" xfId="25747" xr:uid="{00000000-0005-0000-0000-00004B4E0000}"/>
    <cellStyle name="Comma 54" xfId="25753" xr:uid="{00000000-0005-0000-0000-00004C4E0000}"/>
    <cellStyle name="Comma 55" xfId="25754" xr:uid="{00000000-0005-0000-0000-00004D4E0000}"/>
    <cellStyle name="Comma 56" xfId="25759" xr:uid="{00000000-0005-0000-0000-00004E4E0000}"/>
    <cellStyle name="Comma 57" xfId="25760" xr:uid="{00000000-0005-0000-0000-00004F4E0000}"/>
    <cellStyle name="Comma 58" xfId="28613" xr:uid="{00000000-0005-0000-0000-0000504E0000}"/>
    <cellStyle name="Comma 59" xfId="28843" xr:uid="{00000000-0005-0000-0000-0000514E0000}"/>
    <cellStyle name="Comma 6" xfId="24" xr:uid="{00000000-0005-0000-0000-0000524E0000}"/>
    <cellStyle name="Comma 6 10" xfId="28699" xr:uid="{00000000-0005-0000-0000-0000534E0000}"/>
    <cellStyle name="Comma 6 10 2" xfId="28952" xr:uid="{00000000-0005-0000-0000-0000544E0000}"/>
    <cellStyle name="Comma 6 11" xfId="28700" xr:uid="{00000000-0005-0000-0000-0000554E0000}"/>
    <cellStyle name="Comma 6 11 2" xfId="28953" xr:uid="{00000000-0005-0000-0000-0000564E0000}"/>
    <cellStyle name="Comma 6 12" xfId="28701" xr:uid="{00000000-0005-0000-0000-0000574E0000}"/>
    <cellStyle name="Comma 6 12 2" xfId="28954" xr:uid="{00000000-0005-0000-0000-0000584E0000}"/>
    <cellStyle name="Comma 6 13" xfId="28702" xr:uid="{00000000-0005-0000-0000-0000594E0000}"/>
    <cellStyle name="Comma 6 13 2" xfId="28955" xr:uid="{00000000-0005-0000-0000-00005A4E0000}"/>
    <cellStyle name="Comma 6 2" xfId="399" xr:uid="{00000000-0005-0000-0000-00005B4E0000}"/>
    <cellStyle name="Comma 6 2 2" xfId="24319" xr:uid="{00000000-0005-0000-0000-00005C4E0000}"/>
    <cellStyle name="Comma 6 2 2 2" xfId="28956" xr:uid="{00000000-0005-0000-0000-00005D4E0000}"/>
    <cellStyle name="Comma 6 2 3" xfId="24783" xr:uid="{00000000-0005-0000-0000-00005E4E0000}"/>
    <cellStyle name="Comma 6 2 4" xfId="25150" xr:uid="{00000000-0005-0000-0000-00005F4E0000}"/>
    <cellStyle name="Comma 6 2 5" xfId="26008" xr:uid="{00000000-0005-0000-0000-0000604E0000}"/>
    <cellStyle name="Comma 6 3" xfId="376" xr:uid="{00000000-0005-0000-0000-0000614E0000}"/>
    <cellStyle name="Comma 6 3 2" xfId="28957" xr:uid="{00000000-0005-0000-0000-0000624E0000}"/>
    <cellStyle name="Comma 6 3 3" xfId="28703" xr:uid="{00000000-0005-0000-0000-0000634E0000}"/>
    <cellStyle name="Comma 6 4" xfId="23931" xr:uid="{00000000-0005-0000-0000-0000644E0000}"/>
    <cellStyle name="Comma 6 4 2" xfId="28958" xr:uid="{00000000-0005-0000-0000-0000654E0000}"/>
    <cellStyle name="Comma 6 4 3" xfId="28704" xr:uid="{00000000-0005-0000-0000-0000664E0000}"/>
    <cellStyle name="Comma 6 5" xfId="24558" xr:uid="{00000000-0005-0000-0000-0000674E0000}"/>
    <cellStyle name="Comma 6 5 2" xfId="28959" xr:uid="{00000000-0005-0000-0000-0000684E0000}"/>
    <cellStyle name="Comma 6 5 3" xfId="28705" xr:uid="{00000000-0005-0000-0000-0000694E0000}"/>
    <cellStyle name="Comma 6 6" xfId="24948" xr:uid="{00000000-0005-0000-0000-00006A4E0000}"/>
    <cellStyle name="Comma 6 6 2" xfId="28960" xr:uid="{00000000-0005-0000-0000-00006B4E0000}"/>
    <cellStyle name="Comma 6 6 3" xfId="28706" xr:uid="{00000000-0005-0000-0000-00006C4E0000}"/>
    <cellStyle name="Comma 6 7" xfId="25808" xr:uid="{00000000-0005-0000-0000-00006D4E0000}"/>
    <cellStyle name="Comma 6 7 2" xfId="28961" xr:uid="{00000000-0005-0000-0000-00006E4E0000}"/>
    <cellStyle name="Comma 6 8" xfId="28707" xr:uid="{00000000-0005-0000-0000-00006F4E0000}"/>
    <cellStyle name="Comma 6 8 2" xfId="28962" xr:uid="{00000000-0005-0000-0000-0000704E0000}"/>
    <cellStyle name="Comma 6 9" xfId="28708" xr:uid="{00000000-0005-0000-0000-0000714E0000}"/>
    <cellStyle name="Comma 6 9 2" xfId="28963" xr:uid="{00000000-0005-0000-0000-0000724E0000}"/>
    <cellStyle name="Comma 60" xfId="29172" xr:uid="{00000000-0005-0000-0000-0000734E0000}"/>
    <cellStyle name="Comma 61" xfId="29171" xr:uid="{00000000-0005-0000-0000-0000744E0000}"/>
    <cellStyle name="Comma 62" xfId="29169" xr:uid="{00000000-0005-0000-0000-0000754E0000}"/>
    <cellStyle name="Comma 63" xfId="29176" xr:uid="{00000000-0005-0000-0000-0000764E0000}"/>
    <cellStyle name="Comma 64" xfId="29179" xr:uid="{00000000-0005-0000-0000-0000774E0000}"/>
    <cellStyle name="Comma 65" xfId="29177" xr:uid="{00000000-0005-0000-0000-0000784E0000}"/>
    <cellStyle name="Comma 66" xfId="29178" xr:uid="{00000000-0005-0000-0000-0000794E0000}"/>
    <cellStyle name="Comma 67" xfId="33382" xr:uid="{2ECDA545-2A84-42FE-AE64-67E97BAAF282}"/>
    <cellStyle name="Comma 7" xfId="186" xr:uid="{00000000-0005-0000-0000-00007A4E0000}"/>
    <cellStyle name="Comma 7 10" xfId="28709" xr:uid="{00000000-0005-0000-0000-00007B4E0000}"/>
    <cellStyle name="Comma 7 10 2" xfId="28964" xr:uid="{00000000-0005-0000-0000-00007C4E0000}"/>
    <cellStyle name="Comma 7 11" xfId="28710" xr:uid="{00000000-0005-0000-0000-00007D4E0000}"/>
    <cellStyle name="Comma 7 11 2" xfId="28965" xr:uid="{00000000-0005-0000-0000-00007E4E0000}"/>
    <cellStyle name="Comma 7 12" xfId="28711" xr:uid="{00000000-0005-0000-0000-00007F4E0000}"/>
    <cellStyle name="Comma 7 12 2" xfId="28966" xr:uid="{00000000-0005-0000-0000-0000804E0000}"/>
    <cellStyle name="Comma 7 13" xfId="28712" xr:uid="{00000000-0005-0000-0000-0000814E0000}"/>
    <cellStyle name="Comma 7 13 2" xfId="28967" xr:uid="{00000000-0005-0000-0000-0000824E0000}"/>
    <cellStyle name="Comma 7 2" xfId="642" xr:uid="{00000000-0005-0000-0000-0000834E0000}"/>
    <cellStyle name="Comma 7 2 2" xfId="24406" xr:uid="{00000000-0005-0000-0000-0000844E0000}"/>
    <cellStyle name="Comma 7 2 2 2" xfId="28968" xr:uid="{00000000-0005-0000-0000-0000854E0000}"/>
    <cellStyle name="Comma 7 2 3" xfId="24858" xr:uid="{00000000-0005-0000-0000-0000864E0000}"/>
    <cellStyle name="Comma 7 2 4" xfId="25223" xr:uid="{00000000-0005-0000-0000-0000874E0000}"/>
    <cellStyle name="Comma 7 2 5" xfId="28713" xr:uid="{00000000-0005-0000-0000-0000884E0000}"/>
    <cellStyle name="Comma 7 3" xfId="24070" xr:uid="{00000000-0005-0000-0000-0000894E0000}"/>
    <cellStyle name="Comma 7 3 2" xfId="28969" xr:uid="{00000000-0005-0000-0000-00008A4E0000}"/>
    <cellStyle name="Comma 7 3 3" xfId="28714" xr:uid="{00000000-0005-0000-0000-00008B4E0000}"/>
    <cellStyle name="Comma 7 4" xfId="24703" xr:uid="{00000000-0005-0000-0000-00008C4E0000}"/>
    <cellStyle name="Comma 7 4 2" xfId="28970" xr:uid="{00000000-0005-0000-0000-00008D4E0000}"/>
    <cellStyle name="Comma 7 4 3" xfId="28715" xr:uid="{00000000-0005-0000-0000-00008E4E0000}"/>
    <cellStyle name="Comma 7 5" xfId="25025" xr:uid="{00000000-0005-0000-0000-00008F4E0000}"/>
    <cellStyle name="Comma 7 5 2" xfId="28971" xr:uid="{00000000-0005-0000-0000-0000904E0000}"/>
    <cellStyle name="Comma 7 5 3" xfId="28716" xr:uid="{00000000-0005-0000-0000-0000914E0000}"/>
    <cellStyle name="Comma 7 6" xfId="25892" xr:uid="{00000000-0005-0000-0000-0000924E0000}"/>
    <cellStyle name="Comma 7 6 2" xfId="28972" xr:uid="{00000000-0005-0000-0000-0000934E0000}"/>
    <cellStyle name="Comma 7 7" xfId="28717" xr:uid="{00000000-0005-0000-0000-0000944E0000}"/>
    <cellStyle name="Comma 7 7 2" xfId="28973" xr:uid="{00000000-0005-0000-0000-0000954E0000}"/>
    <cellStyle name="Comma 7 8" xfId="28718" xr:uid="{00000000-0005-0000-0000-0000964E0000}"/>
    <cellStyle name="Comma 7 8 2" xfId="28974" xr:uid="{00000000-0005-0000-0000-0000974E0000}"/>
    <cellStyle name="Comma 7 9" xfId="28719" xr:uid="{00000000-0005-0000-0000-0000984E0000}"/>
    <cellStyle name="Comma 7 9 2" xfId="28975" xr:uid="{00000000-0005-0000-0000-0000994E0000}"/>
    <cellStyle name="Comma 8" xfId="187" xr:uid="{00000000-0005-0000-0000-00009A4E0000}"/>
    <cellStyle name="Comma 8 10" xfId="28720" xr:uid="{00000000-0005-0000-0000-00009B4E0000}"/>
    <cellStyle name="Comma 8 10 2" xfId="28976" xr:uid="{00000000-0005-0000-0000-00009C4E0000}"/>
    <cellStyle name="Comma 8 11" xfId="28721" xr:uid="{00000000-0005-0000-0000-00009D4E0000}"/>
    <cellStyle name="Comma 8 11 2" xfId="28977" xr:uid="{00000000-0005-0000-0000-00009E4E0000}"/>
    <cellStyle name="Comma 8 12" xfId="28722" xr:uid="{00000000-0005-0000-0000-00009F4E0000}"/>
    <cellStyle name="Comma 8 12 2" xfId="28978" xr:uid="{00000000-0005-0000-0000-0000A04E0000}"/>
    <cellStyle name="Comma 8 13" xfId="28723" xr:uid="{00000000-0005-0000-0000-0000A14E0000}"/>
    <cellStyle name="Comma 8 13 2" xfId="28979" xr:uid="{00000000-0005-0000-0000-0000A24E0000}"/>
    <cellStyle name="Comma 8 2" xfId="643" xr:uid="{00000000-0005-0000-0000-0000A34E0000}"/>
    <cellStyle name="Comma 8 2 2" xfId="13908" xr:uid="{00000000-0005-0000-0000-0000A44E0000}"/>
    <cellStyle name="Comma 8 2 2 2" xfId="28980" xr:uid="{00000000-0005-0000-0000-0000A54E0000}"/>
    <cellStyle name="Comma 8 2 3" xfId="24481" xr:uid="{00000000-0005-0000-0000-0000A64E0000}"/>
    <cellStyle name="Comma 8 2 4" xfId="24913" xr:uid="{00000000-0005-0000-0000-0000A74E0000}"/>
    <cellStyle name="Comma 8 2 5" xfId="25273" xr:uid="{00000000-0005-0000-0000-0000A84E0000}"/>
    <cellStyle name="Comma 8 2 6" xfId="28724" xr:uid="{00000000-0005-0000-0000-0000A94E0000}"/>
    <cellStyle name="Comma 8 3" xfId="24295" xr:uid="{00000000-0005-0000-0000-0000AA4E0000}"/>
    <cellStyle name="Comma 8 3 2" xfId="28981" xr:uid="{00000000-0005-0000-0000-0000AB4E0000}"/>
    <cellStyle name="Comma 8 3 3" xfId="28725" xr:uid="{00000000-0005-0000-0000-0000AC4E0000}"/>
    <cellStyle name="Comma 8 4" xfId="24776" xr:uid="{00000000-0005-0000-0000-0000AD4E0000}"/>
    <cellStyle name="Comma 8 4 2" xfId="28982" xr:uid="{00000000-0005-0000-0000-0000AE4E0000}"/>
    <cellStyle name="Comma 8 4 3" xfId="28726" xr:uid="{00000000-0005-0000-0000-0000AF4E0000}"/>
    <cellStyle name="Comma 8 5" xfId="25145" xr:uid="{00000000-0005-0000-0000-0000B04E0000}"/>
    <cellStyle name="Comma 8 5 2" xfId="28983" xr:uid="{00000000-0005-0000-0000-0000B14E0000}"/>
    <cellStyle name="Comma 8 5 3" xfId="28727" xr:uid="{00000000-0005-0000-0000-0000B24E0000}"/>
    <cellStyle name="Comma 8 6" xfId="25893" xr:uid="{00000000-0005-0000-0000-0000B34E0000}"/>
    <cellStyle name="Comma 8 6 2" xfId="28984" xr:uid="{00000000-0005-0000-0000-0000B44E0000}"/>
    <cellStyle name="Comma 8 7" xfId="28728" xr:uid="{00000000-0005-0000-0000-0000B54E0000}"/>
    <cellStyle name="Comma 8 7 2" xfId="28985" xr:uid="{00000000-0005-0000-0000-0000B64E0000}"/>
    <cellStyle name="Comma 8 8" xfId="28729" xr:uid="{00000000-0005-0000-0000-0000B74E0000}"/>
    <cellStyle name="Comma 8 8 2" xfId="28986" xr:uid="{00000000-0005-0000-0000-0000B84E0000}"/>
    <cellStyle name="Comma 8 9" xfId="28730" xr:uid="{00000000-0005-0000-0000-0000B94E0000}"/>
    <cellStyle name="Comma 8 9 2" xfId="28987" xr:uid="{00000000-0005-0000-0000-0000BA4E0000}"/>
    <cellStyle name="Comma 9" xfId="188" xr:uid="{00000000-0005-0000-0000-0000BB4E0000}"/>
    <cellStyle name="Comma 9 10" xfId="28731" xr:uid="{00000000-0005-0000-0000-0000BC4E0000}"/>
    <cellStyle name="Comma 9 10 2" xfId="28988" xr:uid="{00000000-0005-0000-0000-0000BD4E0000}"/>
    <cellStyle name="Comma 9 11" xfId="28732" xr:uid="{00000000-0005-0000-0000-0000BE4E0000}"/>
    <cellStyle name="Comma 9 11 2" xfId="28989" xr:uid="{00000000-0005-0000-0000-0000BF4E0000}"/>
    <cellStyle name="Comma 9 12" xfId="28733" xr:uid="{00000000-0005-0000-0000-0000C04E0000}"/>
    <cellStyle name="Comma 9 12 2" xfId="28990" xr:uid="{00000000-0005-0000-0000-0000C14E0000}"/>
    <cellStyle name="Comma 9 13" xfId="28734" xr:uid="{00000000-0005-0000-0000-0000C24E0000}"/>
    <cellStyle name="Comma 9 13 2" xfId="28991" xr:uid="{00000000-0005-0000-0000-0000C34E0000}"/>
    <cellStyle name="Comma 9 2" xfId="24482" xr:uid="{00000000-0005-0000-0000-0000C44E0000}"/>
    <cellStyle name="Comma 9 2 2" xfId="24914" xr:uid="{00000000-0005-0000-0000-0000C54E0000}"/>
    <cellStyle name="Comma 9 2 2 2" xfId="28992" xr:uid="{00000000-0005-0000-0000-0000C64E0000}"/>
    <cellStyle name="Comma 9 2 3" xfId="25274" xr:uid="{00000000-0005-0000-0000-0000C74E0000}"/>
    <cellStyle name="Comma 9 2 4" xfId="28735" xr:uid="{00000000-0005-0000-0000-0000C84E0000}"/>
    <cellStyle name="Comma 9 3" xfId="24296" xr:uid="{00000000-0005-0000-0000-0000C94E0000}"/>
    <cellStyle name="Comma 9 3 2" xfId="28993" xr:uid="{00000000-0005-0000-0000-0000CA4E0000}"/>
    <cellStyle name="Comma 9 3 3" xfId="28736" xr:uid="{00000000-0005-0000-0000-0000CB4E0000}"/>
    <cellStyle name="Comma 9 4" xfId="24777" xr:uid="{00000000-0005-0000-0000-0000CC4E0000}"/>
    <cellStyle name="Comma 9 4 2" xfId="28994" xr:uid="{00000000-0005-0000-0000-0000CD4E0000}"/>
    <cellStyle name="Comma 9 4 3" xfId="28737" xr:uid="{00000000-0005-0000-0000-0000CE4E0000}"/>
    <cellStyle name="Comma 9 5" xfId="25146" xr:uid="{00000000-0005-0000-0000-0000CF4E0000}"/>
    <cellStyle name="Comma 9 5 2" xfId="28995" xr:uid="{00000000-0005-0000-0000-0000D04E0000}"/>
    <cellStyle name="Comma 9 5 3" xfId="28738" xr:uid="{00000000-0005-0000-0000-0000D14E0000}"/>
    <cellStyle name="Comma 9 6" xfId="25894" xr:uid="{00000000-0005-0000-0000-0000D24E0000}"/>
    <cellStyle name="Comma 9 6 2" xfId="28996" xr:uid="{00000000-0005-0000-0000-0000D34E0000}"/>
    <cellStyle name="Comma 9 7" xfId="28739" xr:uid="{00000000-0005-0000-0000-0000D44E0000}"/>
    <cellStyle name="Comma 9 7 2" xfId="28997" xr:uid="{00000000-0005-0000-0000-0000D54E0000}"/>
    <cellStyle name="Comma 9 8" xfId="28740" xr:uid="{00000000-0005-0000-0000-0000D64E0000}"/>
    <cellStyle name="Comma 9 8 2" xfId="28998" xr:uid="{00000000-0005-0000-0000-0000D74E0000}"/>
    <cellStyle name="Comma 9 9" xfId="28741" xr:uid="{00000000-0005-0000-0000-0000D84E0000}"/>
    <cellStyle name="Comma 9 9 2" xfId="28999" xr:uid="{00000000-0005-0000-0000-0000D94E0000}"/>
    <cellStyle name="Comma0" xfId="25" xr:uid="{00000000-0005-0000-0000-0000DA4E0000}"/>
    <cellStyle name="Comma0 - Style3" xfId="26" xr:uid="{00000000-0005-0000-0000-0000DB4E0000}"/>
    <cellStyle name="Comma0 - Style4" xfId="27" xr:uid="{00000000-0005-0000-0000-0000DC4E0000}"/>
    <cellStyle name="Comma0 10" xfId="461" xr:uid="{00000000-0005-0000-0000-0000DD4E0000}"/>
    <cellStyle name="Comma0 10 2" xfId="26026" xr:uid="{00000000-0005-0000-0000-0000DE4E0000}"/>
    <cellStyle name="Comma0 11" xfId="24411" xr:uid="{00000000-0005-0000-0000-0000DF4E0000}"/>
    <cellStyle name="Comma0 11 2" xfId="27161" xr:uid="{00000000-0005-0000-0000-0000E04E0000}"/>
    <cellStyle name="Comma0 12" xfId="24399" xr:uid="{00000000-0005-0000-0000-0000E14E0000}"/>
    <cellStyle name="Comma0 12 2" xfId="27152" xr:uid="{00000000-0005-0000-0000-0000E24E0000}"/>
    <cellStyle name="Comma0 13" xfId="24503" xr:uid="{00000000-0005-0000-0000-0000E34E0000}"/>
    <cellStyle name="Comma0 13 2" xfId="27191" xr:uid="{00000000-0005-0000-0000-0000E44E0000}"/>
    <cellStyle name="Comma0 14" xfId="24400" xr:uid="{00000000-0005-0000-0000-0000E54E0000}"/>
    <cellStyle name="Comma0 14 2" xfId="27153" xr:uid="{00000000-0005-0000-0000-0000E64E0000}"/>
    <cellStyle name="Comma0 15" xfId="24496" xr:uid="{00000000-0005-0000-0000-0000E74E0000}"/>
    <cellStyle name="Comma0 15 2" xfId="27185" xr:uid="{00000000-0005-0000-0000-0000E84E0000}"/>
    <cellStyle name="Comma0 16" xfId="24474" xr:uid="{00000000-0005-0000-0000-0000E94E0000}"/>
    <cellStyle name="Comma0 16 2" xfId="27170" xr:uid="{00000000-0005-0000-0000-0000EA4E0000}"/>
    <cellStyle name="Comma0 17" xfId="24497" xr:uid="{00000000-0005-0000-0000-0000EB4E0000}"/>
    <cellStyle name="Comma0 17 2" xfId="27186" xr:uid="{00000000-0005-0000-0000-0000EC4E0000}"/>
    <cellStyle name="Comma0 18" xfId="24402" xr:uid="{00000000-0005-0000-0000-0000ED4E0000}"/>
    <cellStyle name="Comma0 18 2" xfId="27155" xr:uid="{00000000-0005-0000-0000-0000EE4E0000}"/>
    <cellStyle name="Comma0 19" xfId="24477" xr:uid="{00000000-0005-0000-0000-0000EF4E0000}"/>
    <cellStyle name="Comma0 19 2" xfId="27172" xr:uid="{00000000-0005-0000-0000-0000F04E0000}"/>
    <cellStyle name="Comma0 2" xfId="400" xr:uid="{00000000-0005-0000-0000-0000F14E0000}"/>
    <cellStyle name="Comma0 2 2" xfId="24072" xr:uid="{00000000-0005-0000-0000-0000F24E0000}"/>
    <cellStyle name="Comma0 2 2 2" xfId="27057" xr:uid="{00000000-0005-0000-0000-0000F34E0000}"/>
    <cellStyle name="Comma0 20" xfId="24508" xr:uid="{00000000-0005-0000-0000-0000F44E0000}"/>
    <cellStyle name="Comma0 20 2" xfId="27194" xr:uid="{00000000-0005-0000-0000-0000F54E0000}"/>
    <cellStyle name="Comma0 21" xfId="24509" xr:uid="{00000000-0005-0000-0000-0000F64E0000}"/>
    <cellStyle name="Comma0 21 2" xfId="27195" xr:uid="{00000000-0005-0000-0000-0000F74E0000}"/>
    <cellStyle name="Comma0 22" xfId="24510" xr:uid="{00000000-0005-0000-0000-0000F84E0000}"/>
    <cellStyle name="Comma0 22 2" xfId="27196" xr:uid="{00000000-0005-0000-0000-0000F94E0000}"/>
    <cellStyle name="Comma0 23" xfId="24512" xr:uid="{00000000-0005-0000-0000-0000FA4E0000}"/>
    <cellStyle name="Comma0 23 2" xfId="27198" xr:uid="{00000000-0005-0000-0000-0000FB4E0000}"/>
    <cellStyle name="Comma0 24" xfId="24513" xr:uid="{00000000-0005-0000-0000-0000FC4E0000}"/>
    <cellStyle name="Comma0 24 2" xfId="27199" xr:uid="{00000000-0005-0000-0000-0000FD4E0000}"/>
    <cellStyle name="Comma0 25" xfId="24514" xr:uid="{00000000-0005-0000-0000-0000FE4E0000}"/>
    <cellStyle name="Comma0 25 2" xfId="27200" xr:uid="{00000000-0005-0000-0000-0000FF4E0000}"/>
    <cellStyle name="Comma0 26" xfId="24515" xr:uid="{00000000-0005-0000-0000-0000004F0000}"/>
    <cellStyle name="Comma0 26 2" xfId="27201" xr:uid="{00000000-0005-0000-0000-0000014F0000}"/>
    <cellStyle name="Comma0 27" xfId="24516" xr:uid="{00000000-0005-0000-0000-0000024F0000}"/>
    <cellStyle name="Comma0 27 2" xfId="27202" xr:uid="{00000000-0005-0000-0000-0000034F0000}"/>
    <cellStyle name="Comma0 28" xfId="24517" xr:uid="{00000000-0005-0000-0000-0000044F0000}"/>
    <cellStyle name="Comma0 28 2" xfId="27203" xr:uid="{00000000-0005-0000-0000-0000054F0000}"/>
    <cellStyle name="Comma0 29" xfId="23909" xr:uid="{00000000-0005-0000-0000-0000064F0000}"/>
    <cellStyle name="Comma0 29 2" xfId="27034" xr:uid="{00000000-0005-0000-0000-0000074F0000}"/>
    <cellStyle name="Comma0 3" xfId="377" xr:uid="{00000000-0005-0000-0000-0000084F0000}"/>
    <cellStyle name="Comma0 3 2" xfId="24073" xr:uid="{00000000-0005-0000-0000-0000094F0000}"/>
    <cellStyle name="Comma0 3 2 2" xfId="27058" xr:uid="{00000000-0005-0000-0000-00000A4F0000}"/>
    <cellStyle name="Comma0 3 3" xfId="25994" xr:uid="{00000000-0005-0000-0000-00000B4F0000}"/>
    <cellStyle name="Comma0 30" xfId="23926" xr:uid="{00000000-0005-0000-0000-00000C4F0000}"/>
    <cellStyle name="Comma0 30 2" xfId="27040" xr:uid="{00000000-0005-0000-0000-00000D4F0000}"/>
    <cellStyle name="Comma0 31" xfId="24531" xr:uid="{00000000-0005-0000-0000-00000E4F0000}"/>
    <cellStyle name="Comma0 31 2" xfId="27210" xr:uid="{00000000-0005-0000-0000-00000F4F0000}"/>
    <cellStyle name="Comma0 32" xfId="24012" xr:uid="{00000000-0005-0000-0000-0000104F0000}"/>
    <cellStyle name="Comma0 32 2" xfId="27046" xr:uid="{00000000-0005-0000-0000-0000114F0000}"/>
    <cellStyle name="Comma0 33" xfId="24540" xr:uid="{00000000-0005-0000-0000-0000124F0000}"/>
    <cellStyle name="Comma0 33 2" xfId="27216" xr:uid="{00000000-0005-0000-0000-0000134F0000}"/>
    <cellStyle name="Comma0 34" xfId="24102" xr:uid="{00000000-0005-0000-0000-0000144F0000}"/>
    <cellStyle name="Comma0 34 2" xfId="27066" xr:uid="{00000000-0005-0000-0000-0000154F0000}"/>
    <cellStyle name="Comma0 35" xfId="24032" xr:uid="{00000000-0005-0000-0000-0000164F0000}"/>
    <cellStyle name="Comma0 35 2" xfId="27047" xr:uid="{00000000-0005-0000-0000-0000174F0000}"/>
    <cellStyle name="Comma0 36" xfId="24071" xr:uid="{00000000-0005-0000-0000-0000184F0000}"/>
    <cellStyle name="Comma0 36 2" xfId="27056" xr:uid="{00000000-0005-0000-0000-0000194F0000}"/>
    <cellStyle name="Comma0 37" xfId="24533" xr:uid="{00000000-0005-0000-0000-00001A4F0000}"/>
    <cellStyle name="Comma0 37 2" xfId="27211" xr:uid="{00000000-0005-0000-0000-00001B4F0000}"/>
    <cellStyle name="Comma0 38" xfId="24535" xr:uid="{00000000-0005-0000-0000-00001C4F0000}"/>
    <cellStyle name="Comma0 38 2" xfId="27213" xr:uid="{00000000-0005-0000-0000-00001D4F0000}"/>
    <cellStyle name="Comma0 39" xfId="24524" xr:uid="{00000000-0005-0000-0000-00001E4F0000}"/>
    <cellStyle name="Comma0 39 2" xfId="27205" xr:uid="{00000000-0005-0000-0000-00001F4F0000}"/>
    <cellStyle name="Comma0 4" xfId="435" xr:uid="{00000000-0005-0000-0000-0000204F0000}"/>
    <cellStyle name="Comma0 4 2" xfId="26017" xr:uid="{00000000-0005-0000-0000-0000214F0000}"/>
    <cellStyle name="Comma0 40" xfId="24547" xr:uid="{00000000-0005-0000-0000-0000224F0000}"/>
    <cellStyle name="Comma0 40 2" xfId="27220" xr:uid="{00000000-0005-0000-0000-0000234F0000}"/>
    <cellStyle name="Comma0 41" xfId="24773" xr:uid="{00000000-0005-0000-0000-0000244F0000}"/>
    <cellStyle name="Comma0 41 2" xfId="27314" xr:uid="{00000000-0005-0000-0000-0000254F0000}"/>
    <cellStyle name="Comma0 42" xfId="24922" xr:uid="{00000000-0005-0000-0000-0000264F0000}"/>
    <cellStyle name="Comma0 42 2" xfId="27331" xr:uid="{00000000-0005-0000-0000-0000274F0000}"/>
    <cellStyle name="Comma0 43" xfId="24687" xr:uid="{00000000-0005-0000-0000-0000284F0000}"/>
    <cellStyle name="Comma0 43 2" xfId="27277" xr:uid="{00000000-0005-0000-0000-0000294F0000}"/>
    <cellStyle name="Comma0 44" xfId="24702" xr:uid="{00000000-0005-0000-0000-00002A4F0000}"/>
    <cellStyle name="Comma0 44 2" xfId="27291" xr:uid="{00000000-0005-0000-0000-00002B4F0000}"/>
    <cellStyle name="Comma0 45" xfId="24934" xr:uid="{00000000-0005-0000-0000-00002C4F0000}"/>
    <cellStyle name="Comma0 45 2" xfId="27341" xr:uid="{00000000-0005-0000-0000-00002D4F0000}"/>
    <cellStyle name="Comma0 46" xfId="24765" xr:uid="{00000000-0005-0000-0000-00002E4F0000}"/>
    <cellStyle name="Comma0 46 2" xfId="27307" xr:uid="{00000000-0005-0000-0000-00002F4F0000}"/>
    <cellStyle name="Comma0 47" xfId="24938" xr:uid="{00000000-0005-0000-0000-0000304F0000}"/>
    <cellStyle name="Comma0 47 2" xfId="27343" xr:uid="{00000000-0005-0000-0000-0000314F0000}"/>
    <cellStyle name="Comma0 48" xfId="24706" xr:uid="{00000000-0005-0000-0000-0000324F0000}"/>
    <cellStyle name="Comma0 48 2" xfId="27293" xr:uid="{00000000-0005-0000-0000-0000334F0000}"/>
    <cellStyle name="Comma0 49" xfId="24766" xr:uid="{00000000-0005-0000-0000-0000344F0000}"/>
    <cellStyle name="Comma0 49 2" xfId="27308" xr:uid="{00000000-0005-0000-0000-0000354F0000}"/>
    <cellStyle name="Comma0 5" xfId="430" xr:uid="{00000000-0005-0000-0000-0000364F0000}"/>
    <cellStyle name="Comma0 5 2" xfId="26014" xr:uid="{00000000-0005-0000-0000-0000374F0000}"/>
    <cellStyle name="Comma0 50" xfId="24546" xr:uid="{00000000-0005-0000-0000-0000384F0000}"/>
    <cellStyle name="Comma0 50 2" xfId="27219" xr:uid="{00000000-0005-0000-0000-0000394F0000}"/>
    <cellStyle name="Comma0 51" xfId="24761" xr:uid="{00000000-0005-0000-0000-00003A4F0000}"/>
    <cellStyle name="Comma0 51 2" xfId="27306" xr:uid="{00000000-0005-0000-0000-00003B4F0000}"/>
    <cellStyle name="Comma0 52" xfId="24923" xr:uid="{00000000-0005-0000-0000-00003C4F0000}"/>
    <cellStyle name="Comma0 52 2" xfId="27332" xr:uid="{00000000-0005-0000-0000-00003D4F0000}"/>
    <cellStyle name="Comma0 53" xfId="24942" xr:uid="{00000000-0005-0000-0000-00003E4F0000}"/>
    <cellStyle name="Comma0 53 2" xfId="27346" xr:uid="{00000000-0005-0000-0000-00003F4F0000}"/>
    <cellStyle name="Comma0 6" xfId="433" xr:uid="{00000000-0005-0000-0000-0000404F0000}"/>
    <cellStyle name="Comma0 6 2" xfId="26015" xr:uid="{00000000-0005-0000-0000-0000414F0000}"/>
    <cellStyle name="Comma0 7" xfId="455" xr:uid="{00000000-0005-0000-0000-0000424F0000}"/>
    <cellStyle name="Comma0 7 2" xfId="26020" xr:uid="{00000000-0005-0000-0000-0000434F0000}"/>
    <cellStyle name="Comma0 8" xfId="463" xr:uid="{00000000-0005-0000-0000-0000444F0000}"/>
    <cellStyle name="Comma0 8 2" xfId="26028" xr:uid="{00000000-0005-0000-0000-0000454F0000}"/>
    <cellStyle name="Comma0 9" xfId="456" xr:uid="{00000000-0005-0000-0000-0000464F0000}"/>
    <cellStyle name="Comma0 9 2" xfId="26021" xr:uid="{00000000-0005-0000-0000-0000474F0000}"/>
    <cellStyle name="Comma0_3.7 Revenue Correcting - Dec09" xfId="349" xr:uid="{00000000-0005-0000-0000-0000484F0000}"/>
    <cellStyle name="Comma1 - Style1" xfId="28" xr:uid="{00000000-0005-0000-0000-0000494F0000}"/>
    <cellStyle name="Currency" xfId="25745" builtinId="4"/>
    <cellStyle name="Currency [1]" xfId="550" xr:uid="{00000000-0005-0000-0000-00004B4F0000}"/>
    <cellStyle name="Currency [1] 2" xfId="24074" xr:uid="{00000000-0005-0000-0000-00004C4F0000}"/>
    <cellStyle name="Currency [2]" xfId="551" xr:uid="{00000000-0005-0000-0000-00004D4F0000}"/>
    <cellStyle name="Currency [2] 2" xfId="24075" xr:uid="{00000000-0005-0000-0000-00004E4F0000}"/>
    <cellStyle name="Currency [3]" xfId="552" xr:uid="{00000000-0005-0000-0000-00004F4F0000}"/>
    <cellStyle name="Currency [3] 2" xfId="24076" xr:uid="{00000000-0005-0000-0000-0000504F0000}"/>
    <cellStyle name="Currency 10" xfId="24300" xr:uid="{00000000-0005-0000-0000-0000514F0000}"/>
    <cellStyle name="Currency 10 2" xfId="27136" xr:uid="{00000000-0005-0000-0000-0000524F0000}"/>
    <cellStyle name="Currency 11" xfId="24466" xr:uid="{00000000-0005-0000-0000-0000534F0000}"/>
    <cellStyle name="Currency 11 2" xfId="27167" xr:uid="{00000000-0005-0000-0000-0000544F0000}"/>
    <cellStyle name="Currency 12" xfId="3" xr:uid="{00000000-0005-0000-0000-0000554F0000}"/>
    <cellStyle name="Currency 12 2" xfId="25797" xr:uid="{00000000-0005-0000-0000-0000564F0000}"/>
    <cellStyle name="Currency 13" xfId="24305" xr:uid="{00000000-0005-0000-0000-0000574F0000}"/>
    <cellStyle name="Currency 13 2" xfId="27141" xr:uid="{00000000-0005-0000-0000-0000584F0000}"/>
    <cellStyle name="Currency 14" xfId="25278" xr:uid="{00000000-0005-0000-0000-0000594F0000}"/>
    <cellStyle name="Currency 14 2" xfId="27433" xr:uid="{00000000-0005-0000-0000-00005A4F0000}"/>
    <cellStyle name="Currency 15" xfId="25293" xr:uid="{00000000-0005-0000-0000-00005B4F0000}"/>
    <cellStyle name="Currency 15 2" xfId="27448" xr:uid="{00000000-0005-0000-0000-00005C4F0000}"/>
    <cellStyle name="Currency 16" xfId="24306" xr:uid="{00000000-0005-0000-0000-00005D4F0000}"/>
    <cellStyle name="Currency 16 2" xfId="27142" xr:uid="{00000000-0005-0000-0000-00005E4F0000}"/>
    <cellStyle name="Currency 17" xfId="24307" xr:uid="{00000000-0005-0000-0000-00005F4F0000}"/>
    <cellStyle name="Currency 17 2" xfId="27143" xr:uid="{00000000-0005-0000-0000-0000604F0000}"/>
    <cellStyle name="Currency 18" xfId="25457" xr:uid="{00000000-0005-0000-0000-0000614F0000}"/>
    <cellStyle name="Currency 18 2" xfId="27610" xr:uid="{00000000-0005-0000-0000-0000624F0000}"/>
    <cellStyle name="Currency 19" xfId="33383" xr:uid="{36F625AB-CF89-4A43-BFEC-E2AE82AD9AE4}"/>
    <cellStyle name="Currency 2" xfId="29" xr:uid="{00000000-0005-0000-0000-0000634F0000}"/>
    <cellStyle name="Currency 2 10" xfId="24077" xr:uid="{00000000-0005-0000-0000-0000644F0000}"/>
    <cellStyle name="Currency 2 11" xfId="25751" xr:uid="{00000000-0005-0000-0000-0000654F0000}"/>
    <cellStyle name="Currency 2 2" xfId="354" xr:uid="{00000000-0005-0000-0000-0000664F0000}"/>
    <cellStyle name="Currency 2 2 2" xfId="437" xr:uid="{00000000-0005-0000-0000-0000674F0000}"/>
    <cellStyle name="Currency 2 2 2 2" xfId="523" xr:uid="{00000000-0005-0000-0000-0000684F0000}"/>
    <cellStyle name="Currency 2 2 2 2 2" xfId="13886" xr:uid="{00000000-0005-0000-0000-0000694F0000}"/>
    <cellStyle name="Currency 2 2 2 3" xfId="13809" xr:uid="{00000000-0005-0000-0000-00006A4F0000}"/>
    <cellStyle name="Currency 2 2 3" xfId="486" xr:uid="{00000000-0005-0000-0000-00006B4F0000}"/>
    <cellStyle name="Currency 2 2 3 2" xfId="13849" xr:uid="{00000000-0005-0000-0000-00006C4F0000}"/>
    <cellStyle name="Currency 2 2 4" xfId="13764" xr:uid="{00000000-0005-0000-0000-00006D4F0000}"/>
    <cellStyle name="Currency 2 2 5" xfId="24078" xr:uid="{00000000-0005-0000-0000-00006E4F0000}"/>
    <cellStyle name="Currency 2 2 5 2" xfId="27059" xr:uid="{00000000-0005-0000-0000-00006F4F0000}"/>
    <cellStyle name="Currency 2 3" xfId="401" xr:uid="{00000000-0005-0000-0000-0000704F0000}"/>
    <cellStyle name="Currency 2 3 2" xfId="506" xr:uid="{00000000-0005-0000-0000-0000714F0000}"/>
    <cellStyle name="Currency 2 3 2 2" xfId="13869" xr:uid="{00000000-0005-0000-0000-0000724F0000}"/>
    <cellStyle name="Currency 2 3 3" xfId="13788" xr:uid="{00000000-0005-0000-0000-0000734F0000}"/>
    <cellStyle name="Currency 2 3 4" xfId="24079" xr:uid="{00000000-0005-0000-0000-0000744F0000}"/>
    <cellStyle name="Currency 2 3 4 2" xfId="27060" xr:uid="{00000000-0005-0000-0000-0000754F0000}"/>
    <cellStyle name="Currency 2 4" xfId="378" xr:uid="{00000000-0005-0000-0000-0000764F0000}"/>
    <cellStyle name="Currency 2 5" xfId="468" xr:uid="{00000000-0005-0000-0000-0000774F0000}"/>
    <cellStyle name="Currency 2 5 2" xfId="26031" xr:uid="{00000000-0005-0000-0000-0000784F0000}"/>
    <cellStyle name="Currency 2 6" xfId="471" xr:uid="{00000000-0005-0000-0000-0000794F0000}"/>
    <cellStyle name="Currency 2 6 2" xfId="13834" xr:uid="{00000000-0005-0000-0000-00007A4F0000}"/>
    <cellStyle name="Currency 2 7" xfId="644" xr:uid="{00000000-0005-0000-0000-00007B4F0000}"/>
    <cellStyle name="Currency 2 7 2" xfId="13909" xr:uid="{00000000-0005-0000-0000-00007C4F0000}"/>
    <cellStyle name="Currency 2 8" xfId="23896" xr:uid="{00000000-0005-0000-0000-00007D4F0000}"/>
    <cellStyle name="Currency 2 9" xfId="13606" xr:uid="{00000000-0005-0000-0000-00007E4F0000}"/>
    <cellStyle name="Currency 3" xfId="30" xr:uid="{00000000-0005-0000-0000-00007F4F0000}"/>
    <cellStyle name="Currency 3 2" xfId="402" xr:uid="{00000000-0005-0000-0000-0000804F0000}"/>
    <cellStyle name="Currency 3 2 2" xfId="24302" xr:uid="{00000000-0005-0000-0000-0000814F0000}"/>
    <cellStyle name="Currency 3 2 2 2" xfId="27138" xr:uid="{00000000-0005-0000-0000-0000824F0000}"/>
    <cellStyle name="Currency 3 3" xfId="379" xr:uid="{00000000-0005-0000-0000-0000834F0000}"/>
    <cellStyle name="Currency 3 3 2" xfId="25995" xr:uid="{00000000-0005-0000-0000-0000844F0000}"/>
    <cellStyle name="Currency 3 4" xfId="3620" xr:uid="{00000000-0005-0000-0000-0000854F0000}"/>
    <cellStyle name="Currency 3 5" xfId="24080" xr:uid="{00000000-0005-0000-0000-0000864F0000}"/>
    <cellStyle name="Currency 3 6" xfId="25791" xr:uid="{00000000-0005-0000-0000-0000874F0000}"/>
    <cellStyle name="Currency 31" xfId="33393" xr:uid="{B8CD3C73-DC5B-4CC1-A8D7-5E067EE73E4C}"/>
    <cellStyle name="Currency 4" xfId="168" xr:uid="{00000000-0005-0000-0000-0000884F0000}"/>
    <cellStyle name="Currency 4 2" xfId="25882" xr:uid="{00000000-0005-0000-0000-0000894F0000}"/>
    <cellStyle name="Currency 4 3" xfId="33387" xr:uid="{1E4BDCE6-94F4-4A9D-8223-24602B83FEFA}"/>
    <cellStyle name="Currency 5" xfId="169" xr:uid="{00000000-0005-0000-0000-00008A4F0000}"/>
    <cellStyle name="Currency 5 2" xfId="360" xr:uid="{00000000-0005-0000-0000-00008B4F0000}"/>
    <cellStyle name="Currency 5 2 2" xfId="442" xr:uid="{00000000-0005-0000-0000-00008C4F0000}"/>
    <cellStyle name="Currency 5 2 2 2" xfId="528" xr:uid="{00000000-0005-0000-0000-00008D4F0000}"/>
    <cellStyle name="Currency 5 2 2 2 2" xfId="13891" xr:uid="{00000000-0005-0000-0000-00008E4F0000}"/>
    <cellStyle name="Currency 5 2 2 3" xfId="13814" xr:uid="{00000000-0005-0000-0000-00008F4F0000}"/>
    <cellStyle name="Currency 5 2 3" xfId="491" xr:uid="{00000000-0005-0000-0000-0000904F0000}"/>
    <cellStyle name="Currency 5 2 3 2" xfId="13854" xr:uid="{00000000-0005-0000-0000-0000914F0000}"/>
    <cellStyle name="Currency 5 2 4" xfId="13770" xr:uid="{00000000-0005-0000-0000-0000924F0000}"/>
    <cellStyle name="Currency 5 2 5" xfId="24303" xr:uid="{00000000-0005-0000-0000-0000934F0000}"/>
    <cellStyle name="Currency 5 2 5 2" xfId="27139" xr:uid="{00000000-0005-0000-0000-0000944F0000}"/>
    <cellStyle name="Currency 5 3" xfId="422" xr:uid="{00000000-0005-0000-0000-0000954F0000}"/>
    <cellStyle name="Currency 5 3 2" xfId="513" xr:uid="{00000000-0005-0000-0000-0000964F0000}"/>
    <cellStyle name="Currency 5 3 2 2" xfId="13876" xr:uid="{00000000-0005-0000-0000-0000974F0000}"/>
    <cellStyle name="Currency 5 3 3" xfId="13799" xr:uid="{00000000-0005-0000-0000-0000984F0000}"/>
    <cellStyle name="Currency 5 3 4" xfId="24407" xr:uid="{00000000-0005-0000-0000-0000994F0000}"/>
    <cellStyle name="Currency 5 3 5" xfId="24859" xr:uid="{00000000-0005-0000-0000-00009A4F0000}"/>
    <cellStyle name="Currency 5 3 6" xfId="25224" xr:uid="{00000000-0005-0000-0000-00009B4F0000}"/>
    <cellStyle name="Currency 5 4" xfId="476" xr:uid="{00000000-0005-0000-0000-00009C4F0000}"/>
    <cellStyle name="Currency 5 4 2" xfId="13839" xr:uid="{00000000-0005-0000-0000-00009D4F0000}"/>
    <cellStyle name="Currency 5 5" xfId="13684" xr:uid="{00000000-0005-0000-0000-00009E4F0000}"/>
    <cellStyle name="Currency 5 6" xfId="23903" xr:uid="{00000000-0005-0000-0000-00009F4F0000}"/>
    <cellStyle name="Currency 5 6 2" xfId="27032" xr:uid="{00000000-0005-0000-0000-0000A04F0000}"/>
    <cellStyle name="Currency 5 7" xfId="24081" xr:uid="{00000000-0005-0000-0000-0000A14F0000}"/>
    <cellStyle name="Currency 5 8" xfId="24707" xr:uid="{00000000-0005-0000-0000-0000A24F0000}"/>
    <cellStyle name="Currency 5 9" xfId="25026" xr:uid="{00000000-0005-0000-0000-0000A34F0000}"/>
    <cellStyle name="Currency 6" xfId="395" xr:uid="{00000000-0005-0000-0000-0000A44F0000}"/>
    <cellStyle name="Currency 6 2" xfId="24293" xr:uid="{00000000-0005-0000-0000-0000A54F0000}"/>
    <cellStyle name="Currency 6 3" xfId="26005" xr:uid="{00000000-0005-0000-0000-0000A64F0000}"/>
    <cellStyle name="Currency 6 4" xfId="33386" xr:uid="{1E72D1A8-3977-4258-AD7A-4080E0D93ED0}"/>
    <cellStyle name="Currency 7" xfId="2590" xr:uid="{00000000-0005-0000-0000-0000A74F0000}"/>
    <cellStyle name="Currency 7 2" xfId="24484" xr:uid="{00000000-0005-0000-0000-0000A84F0000}"/>
    <cellStyle name="Currency 7 2 2" xfId="24915" xr:uid="{00000000-0005-0000-0000-0000A94F0000}"/>
    <cellStyle name="Currency 7 2 3" xfId="25275" xr:uid="{00000000-0005-0000-0000-0000AA4F0000}"/>
    <cellStyle name="Currency 7 3" xfId="24297" xr:uid="{00000000-0005-0000-0000-0000AB4F0000}"/>
    <cellStyle name="Currency 7 4" xfId="24778" xr:uid="{00000000-0005-0000-0000-0000AC4F0000}"/>
    <cellStyle name="Currency 7 5" xfId="25147" xr:uid="{00000000-0005-0000-0000-0000AD4F0000}"/>
    <cellStyle name="Currency 7 6" xfId="26146" xr:uid="{00000000-0005-0000-0000-0000AE4F0000}"/>
    <cellStyle name="Currency 8" xfId="13601" xr:uid="{00000000-0005-0000-0000-0000AF4F0000}"/>
    <cellStyle name="Currency 8 2" xfId="23904" xr:uid="{00000000-0005-0000-0000-0000B04F0000}"/>
    <cellStyle name="Currency 8 2 2" xfId="27033" xr:uid="{00000000-0005-0000-0000-0000B14F0000}"/>
    <cellStyle name="Currency 8 3" xfId="26554" xr:uid="{00000000-0005-0000-0000-0000B24F0000}"/>
    <cellStyle name="Currency 9" xfId="23889" xr:uid="{00000000-0005-0000-0000-0000B34F0000}"/>
    <cellStyle name="Currency 9 2" xfId="24299" xr:uid="{00000000-0005-0000-0000-0000B44F0000}"/>
    <cellStyle name="Currency 9 2 2" xfId="27135" xr:uid="{00000000-0005-0000-0000-0000B54F0000}"/>
    <cellStyle name="Currency No Comma" xfId="31" xr:uid="{00000000-0005-0000-0000-0000B64F0000}"/>
    <cellStyle name="Currency(0)" xfId="32" xr:uid="{00000000-0005-0000-0000-0000B74F0000}"/>
    <cellStyle name="Currency0" xfId="33" xr:uid="{00000000-0005-0000-0000-0000B84F0000}"/>
    <cellStyle name="Currency0 2" xfId="403" xr:uid="{00000000-0005-0000-0000-0000B94F0000}"/>
    <cellStyle name="Currency0 2 2" xfId="24082" xr:uid="{00000000-0005-0000-0000-0000BA4F0000}"/>
    <cellStyle name="Currency0 2 2 2" xfId="27061" xr:uid="{00000000-0005-0000-0000-0000BB4F0000}"/>
    <cellStyle name="Currency0 3" xfId="380" xr:uid="{00000000-0005-0000-0000-0000BC4F0000}"/>
    <cellStyle name="Currency0 3 2" xfId="25996" xr:uid="{00000000-0005-0000-0000-0000BD4F0000}"/>
    <cellStyle name="Currency0 4" xfId="23910" xr:uid="{00000000-0005-0000-0000-0000BE4F0000}"/>
    <cellStyle name="Currency0 4 2" xfId="27035" xr:uid="{00000000-0005-0000-0000-0000BF4F0000}"/>
    <cellStyle name="Currsmall" xfId="553" xr:uid="{00000000-0005-0000-0000-0000C04F0000}"/>
    <cellStyle name="Data Link" xfId="554" xr:uid="{00000000-0005-0000-0000-0000C14F0000}"/>
    <cellStyle name="Date" xfId="34" xr:uid="{00000000-0005-0000-0000-0000C24F0000}"/>
    <cellStyle name="Date - Style3" xfId="35" xr:uid="{00000000-0005-0000-0000-0000C34F0000}"/>
    <cellStyle name="Date (mm/dd/yy)" xfId="555" xr:uid="{00000000-0005-0000-0000-0000C44F0000}"/>
    <cellStyle name="Date (mm/dd/yy) 2" xfId="26040" xr:uid="{00000000-0005-0000-0000-0000C54F0000}"/>
    <cellStyle name="Date (mm/yy)" xfId="556" xr:uid="{00000000-0005-0000-0000-0000C64F0000}"/>
    <cellStyle name="Date (mm/yy) 2" xfId="26041" xr:uid="{00000000-0005-0000-0000-0000C74F0000}"/>
    <cellStyle name="Date (mmm/yy)" xfId="557" xr:uid="{00000000-0005-0000-0000-0000C84F0000}"/>
    <cellStyle name="Date (mmm/yy) 2" xfId="26042" xr:uid="{00000000-0005-0000-0000-0000C94F0000}"/>
    <cellStyle name="Date (Mon, Tues, etc)" xfId="558" xr:uid="{00000000-0005-0000-0000-0000CA4F0000}"/>
    <cellStyle name="Date (Mon, Tues, etc) 2" xfId="26043" xr:uid="{00000000-0005-0000-0000-0000CB4F0000}"/>
    <cellStyle name="Date (Monday, Tuesday, etc)" xfId="559" xr:uid="{00000000-0005-0000-0000-0000CC4F0000}"/>
    <cellStyle name="Date (Monday, Tuesday, etc) 2" xfId="26044" xr:uid="{00000000-0005-0000-0000-0000CD4F0000}"/>
    <cellStyle name="Date 10" xfId="460" xr:uid="{00000000-0005-0000-0000-0000CE4F0000}"/>
    <cellStyle name="Date 10 2" xfId="26025" xr:uid="{00000000-0005-0000-0000-0000CF4F0000}"/>
    <cellStyle name="Date 11" xfId="24408" xr:uid="{00000000-0005-0000-0000-0000D04F0000}"/>
    <cellStyle name="Date 11 2" xfId="27159" xr:uid="{00000000-0005-0000-0000-0000D14F0000}"/>
    <cellStyle name="Date 12" xfId="24401" xr:uid="{00000000-0005-0000-0000-0000D24F0000}"/>
    <cellStyle name="Date 12 2" xfId="27154" xr:uid="{00000000-0005-0000-0000-0000D34F0000}"/>
    <cellStyle name="Date 13" xfId="24409" xr:uid="{00000000-0005-0000-0000-0000D44F0000}"/>
    <cellStyle name="Date 13 2" xfId="27160" xr:uid="{00000000-0005-0000-0000-0000D54F0000}"/>
    <cellStyle name="Date 14" xfId="24405" xr:uid="{00000000-0005-0000-0000-0000D64F0000}"/>
    <cellStyle name="Date 14 2" xfId="27158" xr:uid="{00000000-0005-0000-0000-0000D74F0000}"/>
    <cellStyle name="Date 15" xfId="24502" xr:uid="{00000000-0005-0000-0000-0000D84F0000}"/>
    <cellStyle name="Date 15 2" xfId="27190" xr:uid="{00000000-0005-0000-0000-0000D94F0000}"/>
    <cellStyle name="Date 16" xfId="24404" xr:uid="{00000000-0005-0000-0000-0000DA4F0000}"/>
    <cellStyle name="Date 16 2" xfId="27157" xr:uid="{00000000-0005-0000-0000-0000DB4F0000}"/>
    <cellStyle name="Date 17" xfId="24495" xr:uid="{00000000-0005-0000-0000-0000DC4F0000}"/>
    <cellStyle name="Date 17 2" xfId="27184" xr:uid="{00000000-0005-0000-0000-0000DD4F0000}"/>
    <cellStyle name="Date 18" xfId="24315" xr:uid="{00000000-0005-0000-0000-0000DE4F0000}"/>
    <cellStyle name="Date 18 2" xfId="27146" xr:uid="{00000000-0005-0000-0000-0000DF4F0000}"/>
    <cellStyle name="Date 19" xfId="24493" xr:uid="{00000000-0005-0000-0000-0000E04F0000}"/>
    <cellStyle name="Date 19 2" xfId="27182" xr:uid="{00000000-0005-0000-0000-0000E14F0000}"/>
    <cellStyle name="Date 2" xfId="404" xr:uid="{00000000-0005-0000-0000-0000E24F0000}"/>
    <cellStyle name="Date 2 2" xfId="24083" xr:uid="{00000000-0005-0000-0000-0000E34F0000}"/>
    <cellStyle name="Date 2 2 2" xfId="27062" xr:uid="{00000000-0005-0000-0000-0000E44F0000}"/>
    <cellStyle name="Date 20" xfId="24317" xr:uid="{00000000-0005-0000-0000-0000E54F0000}"/>
    <cellStyle name="Date 20 2" xfId="27147" xr:uid="{00000000-0005-0000-0000-0000E64F0000}"/>
    <cellStyle name="Date 21" xfId="24489" xr:uid="{00000000-0005-0000-0000-0000E74F0000}"/>
    <cellStyle name="Date 21 2" xfId="27179" xr:uid="{00000000-0005-0000-0000-0000E84F0000}"/>
    <cellStyle name="Date 22" xfId="24483" xr:uid="{00000000-0005-0000-0000-0000E94F0000}"/>
    <cellStyle name="Date 22 2" xfId="27175" xr:uid="{00000000-0005-0000-0000-0000EA4F0000}"/>
    <cellStyle name="Date 23" xfId="24491" xr:uid="{00000000-0005-0000-0000-0000EB4F0000}"/>
    <cellStyle name="Date 23 2" xfId="27181" xr:uid="{00000000-0005-0000-0000-0000EC4F0000}"/>
    <cellStyle name="Date 24" xfId="24403" xr:uid="{00000000-0005-0000-0000-0000ED4F0000}"/>
    <cellStyle name="Date 24 2" xfId="27156" xr:uid="{00000000-0005-0000-0000-0000EE4F0000}"/>
    <cellStyle name="Date 25" xfId="24488" xr:uid="{00000000-0005-0000-0000-0000EF4F0000}"/>
    <cellStyle name="Date 25 2" xfId="27178" xr:uid="{00000000-0005-0000-0000-0000F04F0000}"/>
    <cellStyle name="Date 26" xfId="24507" xr:uid="{00000000-0005-0000-0000-0000F14F0000}"/>
    <cellStyle name="Date 26 2" xfId="27193" xr:uid="{00000000-0005-0000-0000-0000F24F0000}"/>
    <cellStyle name="Date 27" xfId="23911" xr:uid="{00000000-0005-0000-0000-0000F34F0000}"/>
    <cellStyle name="Date 27 2" xfId="27036" xr:uid="{00000000-0005-0000-0000-0000F44F0000}"/>
    <cellStyle name="Date 28" xfId="23925" xr:uid="{00000000-0005-0000-0000-0000F54F0000}"/>
    <cellStyle name="Date 28 2" xfId="27039" xr:uid="{00000000-0005-0000-0000-0000F64F0000}"/>
    <cellStyle name="Date 29" xfId="24530" xr:uid="{00000000-0005-0000-0000-0000F74F0000}"/>
    <cellStyle name="Date 29 2" xfId="27209" xr:uid="{00000000-0005-0000-0000-0000F84F0000}"/>
    <cellStyle name="Date 3" xfId="381" xr:uid="{00000000-0005-0000-0000-0000F94F0000}"/>
    <cellStyle name="Date 3 2" xfId="25997" xr:uid="{00000000-0005-0000-0000-0000FA4F0000}"/>
    <cellStyle name="Date 30" xfId="24007" xr:uid="{00000000-0005-0000-0000-0000FB4F0000}"/>
    <cellStyle name="Date 30 2" xfId="27045" xr:uid="{00000000-0005-0000-0000-0000FC4F0000}"/>
    <cellStyle name="Date 31" xfId="24539" xr:uid="{00000000-0005-0000-0000-0000FD4F0000}"/>
    <cellStyle name="Date 31 2" xfId="27215" xr:uid="{00000000-0005-0000-0000-0000FE4F0000}"/>
    <cellStyle name="Date 32" xfId="24520" xr:uid="{00000000-0005-0000-0000-0000FF4F0000}"/>
    <cellStyle name="Date 32 2" xfId="27204" xr:uid="{00000000-0005-0000-0000-000000500000}"/>
    <cellStyle name="Date 33" xfId="24084" xr:uid="{00000000-0005-0000-0000-000001500000}"/>
    <cellStyle name="Date 33 2" xfId="27063" xr:uid="{00000000-0005-0000-0000-000002500000}"/>
    <cellStyle name="Date 34" xfId="24527" xr:uid="{00000000-0005-0000-0000-000003500000}"/>
    <cellStyle name="Date 34 2" xfId="27207" xr:uid="{00000000-0005-0000-0000-000004500000}"/>
    <cellStyle name="Date 35" xfId="24538" xr:uid="{00000000-0005-0000-0000-000005500000}"/>
    <cellStyle name="Date 35 2" xfId="27214" xr:uid="{00000000-0005-0000-0000-000006500000}"/>
    <cellStyle name="Date 36" xfId="24097" xr:uid="{00000000-0005-0000-0000-000007500000}"/>
    <cellStyle name="Date 36 2" xfId="27065" xr:uid="{00000000-0005-0000-0000-000008500000}"/>
    <cellStyle name="Date 37" xfId="24534" xr:uid="{00000000-0005-0000-0000-000009500000}"/>
    <cellStyle name="Date 37 2" xfId="27212" xr:uid="{00000000-0005-0000-0000-00000A500000}"/>
    <cellStyle name="Date 38" xfId="24548" xr:uid="{00000000-0005-0000-0000-00000B500000}"/>
    <cellStyle name="Date 38 2" xfId="27221" xr:uid="{00000000-0005-0000-0000-00000C500000}"/>
    <cellStyle name="Date 39" xfId="24772" xr:uid="{00000000-0005-0000-0000-00000D500000}"/>
    <cellStyle name="Date 39 2" xfId="27313" xr:uid="{00000000-0005-0000-0000-00000E500000}"/>
    <cellStyle name="Date 4" xfId="434" xr:uid="{00000000-0005-0000-0000-00000F500000}"/>
    <cellStyle name="Date 4 2" xfId="26016" xr:uid="{00000000-0005-0000-0000-000010500000}"/>
    <cellStyle name="Date 40" xfId="24635" xr:uid="{00000000-0005-0000-0000-000011500000}"/>
    <cellStyle name="Date 40 2" xfId="27229" xr:uid="{00000000-0005-0000-0000-000012500000}"/>
    <cellStyle name="Date 41" xfId="24916" xr:uid="{00000000-0005-0000-0000-000013500000}"/>
    <cellStyle name="Date 41 2" xfId="27327" xr:uid="{00000000-0005-0000-0000-000014500000}"/>
    <cellStyle name="Date 42" xfId="24932" xr:uid="{00000000-0005-0000-0000-000015500000}"/>
    <cellStyle name="Date 42 2" xfId="27339" xr:uid="{00000000-0005-0000-0000-000016500000}"/>
    <cellStyle name="Date 43" xfId="24856" xr:uid="{00000000-0005-0000-0000-000017500000}"/>
    <cellStyle name="Date 43 2" xfId="27317" xr:uid="{00000000-0005-0000-0000-000018500000}"/>
    <cellStyle name="Date 44" xfId="24760" xr:uid="{00000000-0005-0000-0000-000019500000}"/>
    <cellStyle name="Date 44 2" xfId="27305" xr:uid="{00000000-0005-0000-0000-00001A500000}"/>
    <cellStyle name="Date 45" xfId="24930" xr:uid="{00000000-0005-0000-0000-00001B500000}"/>
    <cellStyle name="Date 45 2" xfId="27338" xr:uid="{00000000-0005-0000-0000-00001C500000}"/>
    <cellStyle name="Date 46" xfId="24925" xr:uid="{00000000-0005-0000-0000-00001D500000}"/>
    <cellStyle name="Date 46 2" xfId="27334" xr:uid="{00000000-0005-0000-0000-00001E500000}"/>
    <cellStyle name="Date 47" xfId="24939" xr:uid="{00000000-0005-0000-0000-00001F500000}"/>
    <cellStyle name="Date 47 2" xfId="27344" xr:uid="{00000000-0005-0000-0000-000020500000}"/>
    <cellStyle name="Date 48" xfId="24921" xr:uid="{00000000-0005-0000-0000-000021500000}"/>
    <cellStyle name="Date 48 2" xfId="27330" xr:uid="{00000000-0005-0000-0000-000022500000}"/>
    <cellStyle name="Date 49" xfId="24928" xr:uid="{00000000-0005-0000-0000-000023500000}"/>
    <cellStyle name="Date 49 2" xfId="27337" xr:uid="{00000000-0005-0000-0000-000024500000}"/>
    <cellStyle name="Date 5" xfId="436" xr:uid="{00000000-0005-0000-0000-000025500000}"/>
    <cellStyle name="Date 5 2" xfId="26018" xr:uid="{00000000-0005-0000-0000-000026500000}"/>
    <cellStyle name="Date 50" xfId="24908" xr:uid="{00000000-0005-0000-0000-000027500000}"/>
    <cellStyle name="Date 50 2" xfId="27326" xr:uid="{00000000-0005-0000-0000-000028500000}"/>
    <cellStyle name="Date 51" xfId="24943" xr:uid="{00000000-0005-0000-0000-000029500000}"/>
    <cellStyle name="Date 51 2" xfId="27347" xr:uid="{00000000-0005-0000-0000-00002A500000}"/>
    <cellStyle name="Date 55" xfId="33364" xr:uid="{BBC7429A-2A77-4406-B6F2-60EFC8DDD392}"/>
    <cellStyle name="Date 6" xfId="389" xr:uid="{00000000-0005-0000-0000-00002B500000}"/>
    <cellStyle name="Date 6 2" xfId="26000" xr:uid="{00000000-0005-0000-0000-00002C500000}"/>
    <cellStyle name="Date 7" xfId="457" xr:uid="{00000000-0005-0000-0000-00002D500000}"/>
    <cellStyle name="Date 7 2" xfId="26022" xr:uid="{00000000-0005-0000-0000-00002E500000}"/>
    <cellStyle name="Date 8" xfId="462" xr:uid="{00000000-0005-0000-0000-00002F500000}"/>
    <cellStyle name="Date 8 2" xfId="26027" xr:uid="{00000000-0005-0000-0000-000030500000}"/>
    <cellStyle name="Date 9" xfId="458" xr:uid="{00000000-0005-0000-0000-000031500000}"/>
    <cellStyle name="Date 9 2" xfId="26023" xr:uid="{00000000-0005-0000-0000-000032500000}"/>
    <cellStyle name="Date_2002SavingsIdeasSummary" xfId="560" xr:uid="{00000000-0005-0000-0000-000033500000}"/>
    <cellStyle name="Emphasis 1" xfId="24085" xr:uid="{00000000-0005-0000-0000-000034500000}"/>
    <cellStyle name="Emphasis 2" xfId="24086" xr:uid="{00000000-0005-0000-0000-000035500000}"/>
    <cellStyle name="Emphasis 3" xfId="24087" xr:uid="{00000000-0005-0000-0000-000036500000}"/>
    <cellStyle name="Explanatory Text 10" xfId="2591" xr:uid="{00000000-0005-0000-0000-000037500000}"/>
    <cellStyle name="Explanatory Text 11" xfId="2592" xr:uid="{00000000-0005-0000-0000-000038500000}"/>
    <cellStyle name="Explanatory Text 12" xfId="2593" xr:uid="{00000000-0005-0000-0000-000039500000}"/>
    <cellStyle name="Explanatory Text 13" xfId="2594" xr:uid="{00000000-0005-0000-0000-00003A500000}"/>
    <cellStyle name="Explanatory Text 14" xfId="2595" xr:uid="{00000000-0005-0000-0000-00003B500000}"/>
    <cellStyle name="Explanatory Text 15" xfId="2596" xr:uid="{00000000-0005-0000-0000-00003C500000}"/>
    <cellStyle name="Explanatory Text 16" xfId="2597" xr:uid="{00000000-0005-0000-0000-00003D500000}"/>
    <cellStyle name="Explanatory Text 17" xfId="2598" xr:uid="{00000000-0005-0000-0000-00003E500000}"/>
    <cellStyle name="Explanatory Text 18" xfId="2599" xr:uid="{00000000-0005-0000-0000-00003F500000}"/>
    <cellStyle name="Explanatory Text 19" xfId="2600" xr:uid="{00000000-0005-0000-0000-000040500000}"/>
    <cellStyle name="Explanatory Text 2" xfId="2601" xr:uid="{00000000-0005-0000-0000-000041500000}"/>
    <cellStyle name="Explanatory Text 20" xfId="2602" xr:uid="{00000000-0005-0000-0000-000042500000}"/>
    <cellStyle name="Explanatory Text 21" xfId="2603" xr:uid="{00000000-0005-0000-0000-000043500000}"/>
    <cellStyle name="Explanatory Text 22" xfId="2604" xr:uid="{00000000-0005-0000-0000-000044500000}"/>
    <cellStyle name="Explanatory Text 23" xfId="2605" xr:uid="{00000000-0005-0000-0000-000045500000}"/>
    <cellStyle name="Explanatory Text 24" xfId="2606" xr:uid="{00000000-0005-0000-0000-000046500000}"/>
    <cellStyle name="Explanatory Text 25" xfId="2607" xr:uid="{00000000-0005-0000-0000-000047500000}"/>
    <cellStyle name="Explanatory Text 26" xfId="2608" xr:uid="{00000000-0005-0000-0000-000048500000}"/>
    <cellStyle name="Explanatory Text 27" xfId="2609" xr:uid="{00000000-0005-0000-0000-000049500000}"/>
    <cellStyle name="Explanatory Text 28" xfId="2610" xr:uid="{00000000-0005-0000-0000-00004A500000}"/>
    <cellStyle name="Explanatory Text 29" xfId="2611" xr:uid="{00000000-0005-0000-0000-00004B500000}"/>
    <cellStyle name="Explanatory Text 3" xfId="2612" xr:uid="{00000000-0005-0000-0000-00004C500000}"/>
    <cellStyle name="Explanatory Text 30" xfId="2613" xr:uid="{00000000-0005-0000-0000-00004D500000}"/>
    <cellStyle name="Explanatory Text 31" xfId="2614" xr:uid="{00000000-0005-0000-0000-00004E500000}"/>
    <cellStyle name="Explanatory Text 32" xfId="2615" xr:uid="{00000000-0005-0000-0000-00004F500000}"/>
    <cellStyle name="Explanatory Text 33" xfId="2616" xr:uid="{00000000-0005-0000-0000-000050500000}"/>
    <cellStyle name="Explanatory Text 34" xfId="2617" xr:uid="{00000000-0005-0000-0000-000051500000}"/>
    <cellStyle name="Explanatory Text 35" xfId="2618" xr:uid="{00000000-0005-0000-0000-000052500000}"/>
    <cellStyle name="Explanatory Text 36" xfId="2619" xr:uid="{00000000-0005-0000-0000-000053500000}"/>
    <cellStyle name="Explanatory Text 37" xfId="2620" xr:uid="{00000000-0005-0000-0000-000054500000}"/>
    <cellStyle name="Explanatory Text 38" xfId="2621" xr:uid="{00000000-0005-0000-0000-000055500000}"/>
    <cellStyle name="Explanatory Text 39" xfId="2622" xr:uid="{00000000-0005-0000-0000-000056500000}"/>
    <cellStyle name="Explanatory Text 4" xfId="2623" xr:uid="{00000000-0005-0000-0000-000057500000}"/>
    <cellStyle name="Explanatory Text 40" xfId="2624" xr:uid="{00000000-0005-0000-0000-000058500000}"/>
    <cellStyle name="Explanatory Text 41" xfId="2625" xr:uid="{00000000-0005-0000-0000-000059500000}"/>
    <cellStyle name="Explanatory Text 42" xfId="2626" xr:uid="{00000000-0005-0000-0000-00005A500000}"/>
    <cellStyle name="Explanatory Text 43" xfId="2627" xr:uid="{00000000-0005-0000-0000-00005B500000}"/>
    <cellStyle name="Explanatory Text 44" xfId="2628" xr:uid="{00000000-0005-0000-0000-00005C500000}"/>
    <cellStyle name="Explanatory Text 45" xfId="2629" xr:uid="{00000000-0005-0000-0000-00005D500000}"/>
    <cellStyle name="Explanatory Text 46" xfId="2630" xr:uid="{00000000-0005-0000-0000-00005E500000}"/>
    <cellStyle name="Explanatory Text 47" xfId="2631" xr:uid="{00000000-0005-0000-0000-00005F500000}"/>
    <cellStyle name="Explanatory Text 48" xfId="2632" xr:uid="{00000000-0005-0000-0000-000060500000}"/>
    <cellStyle name="Explanatory Text 49" xfId="2633" xr:uid="{00000000-0005-0000-0000-000061500000}"/>
    <cellStyle name="Explanatory Text 5" xfId="2634" xr:uid="{00000000-0005-0000-0000-000062500000}"/>
    <cellStyle name="Explanatory Text 50" xfId="2635" xr:uid="{00000000-0005-0000-0000-000063500000}"/>
    <cellStyle name="Explanatory Text 51" xfId="2636" xr:uid="{00000000-0005-0000-0000-000064500000}"/>
    <cellStyle name="Explanatory Text 52" xfId="2637" xr:uid="{00000000-0005-0000-0000-000065500000}"/>
    <cellStyle name="Explanatory Text 53" xfId="2638" xr:uid="{00000000-0005-0000-0000-000066500000}"/>
    <cellStyle name="Explanatory Text 54" xfId="2639" xr:uid="{00000000-0005-0000-0000-000067500000}"/>
    <cellStyle name="Explanatory Text 55" xfId="2640" xr:uid="{00000000-0005-0000-0000-000068500000}"/>
    <cellStyle name="Explanatory Text 56" xfId="2641" xr:uid="{00000000-0005-0000-0000-000069500000}"/>
    <cellStyle name="Explanatory Text 57" xfId="2642" xr:uid="{00000000-0005-0000-0000-00006A500000}"/>
    <cellStyle name="Explanatory Text 58" xfId="2643" xr:uid="{00000000-0005-0000-0000-00006B500000}"/>
    <cellStyle name="Explanatory Text 59" xfId="2644" xr:uid="{00000000-0005-0000-0000-00006C500000}"/>
    <cellStyle name="Explanatory Text 6" xfId="2645" xr:uid="{00000000-0005-0000-0000-00006D500000}"/>
    <cellStyle name="Explanatory Text 60" xfId="2646" xr:uid="{00000000-0005-0000-0000-00006E500000}"/>
    <cellStyle name="Explanatory Text 61" xfId="2647" xr:uid="{00000000-0005-0000-0000-00006F500000}"/>
    <cellStyle name="Explanatory Text 62" xfId="2648" xr:uid="{00000000-0005-0000-0000-000070500000}"/>
    <cellStyle name="Explanatory Text 63" xfId="2649" xr:uid="{00000000-0005-0000-0000-000071500000}"/>
    <cellStyle name="Explanatory Text 64" xfId="2650" xr:uid="{00000000-0005-0000-0000-000072500000}"/>
    <cellStyle name="Explanatory Text 65" xfId="2651" xr:uid="{00000000-0005-0000-0000-000073500000}"/>
    <cellStyle name="Explanatory Text 66" xfId="2652" xr:uid="{00000000-0005-0000-0000-000074500000}"/>
    <cellStyle name="Explanatory Text 67" xfId="2653" xr:uid="{00000000-0005-0000-0000-000075500000}"/>
    <cellStyle name="Explanatory Text 68" xfId="2654" xr:uid="{00000000-0005-0000-0000-000076500000}"/>
    <cellStyle name="Explanatory Text 69" xfId="2655" xr:uid="{00000000-0005-0000-0000-000077500000}"/>
    <cellStyle name="Explanatory Text 7" xfId="2656" xr:uid="{00000000-0005-0000-0000-000078500000}"/>
    <cellStyle name="Explanatory Text 70" xfId="2657" xr:uid="{00000000-0005-0000-0000-000079500000}"/>
    <cellStyle name="Explanatory Text 71" xfId="2658" xr:uid="{00000000-0005-0000-0000-00007A500000}"/>
    <cellStyle name="Explanatory Text 72" xfId="2659" xr:uid="{00000000-0005-0000-0000-00007B500000}"/>
    <cellStyle name="Explanatory Text 8" xfId="2660" xr:uid="{00000000-0005-0000-0000-00007C500000}"/>
    <cellStyle name="Explanatory Text 9" xfId="2661" xr:uid="{00000000-0005-0000-0000-00007D500000}"/>
    <cellStyle name="F2" xfId="561" xr:uid="{00000000-0005-0000-0000-00007E500000}"/>
    <cellStyle name="F2 2" xfId="24088" xr:uid="{00000000-0005-0000-0000-00007F500000}"/>
    <cellStyle name="F2 3" xfId="23912" xr:uid="{00000000-0005-0000-0000-000080500000}"/>
    <cellStyle name="F3" xfId="562" xr:uid="{00000000-0005-0000-0000-000081500000}"/>
    <cellStyle name="F3 2" xfId="24089" xr:uid="{00000000-0005-0000-0000-000082500000}"/>
    <cellStyle name="F3 3" xfId="23913" xr:uid="{00000000-0005-0000-0000-000083500000}"/>
    <cellStyle name="F4" xfId="563" xr:uid="{00000000-0005-0000-0000-000084500000}"/>
    <cellStyle name="F4 2" xfId="24090" xr:uid="{00000000-0005-0000-0000-000085500000}"/>
    <cellStyle name="F4 3" xfId="23914" xr:uid="{00000000-0005-0000-0000-000086500000}"/>
    <cellStyle name="F5" xfId="564" xr:uid="{00000000-0005-0000-0000-000087500000}"/>
    <cellStyle name="F5 2" xfId="24091" xr:uid="{00000000-0005-0000-0000-000088500000}"/>
    <cellStyle name="F5 3" xfId="23915" xr:uid="{00000000-0005-0000-0000-000089500000}"/>
    <cellStyle name="F6" xfId="565" xr:uid="{00000000-0005-0000-0000-00008A500000}"/>
    <cellStyle name="F6 2" xfId="24092" xr:uid="{00000000-0005-0000-0000-00008B500000}"/>
    <cellStyle name="F6 3" xfId="23916" xr:uid="{00000000-0005-0000-0000-00008C500000}"/>
    <cellStyle name="F7" xfId="566" xr:uid="{00000000-0005-0000-0000-00008D500000}"/>
    <cellStyle name="F7 2" xfId="24093" xr:uid="{00000000-0005-0000-0000-00008E500000}"/>
    <cellStyle name="F7 3" xfId="23917" xr:uid="{00000000-0005-0000-0000-00008F500000}"/>
    <cellStyle name="F8" xfId="567" xr:uid="{00000000-0005-0000-0000-000090500000}"/>
    <cellStyle name="F8 2" xfId="24094" xr:uid="{00000000-0005-0000-0000-000091500000}"/>
    <cellStyle name="F8 3" xfId="23918" xr:uid="{00000000-0005-0000-0000-000092500000}"/>
    <cellStyle name="Fixed" xfId="36" xr:uid="{00000000-0005-0000-0000-000093500000}"/>
    <cellStyle name="Fixed 2" xfId="405" xr:uid="{00000000-0005-0000-0000-000094500000}"/>
    <cellStyle name="Fixed 2 2" xfId="24095" xr:uid="{00000000-0005-0000-0000-000095500000}"/>
    <cellStyle name="Fixed 2 2 2" xfId="27064" xr:uid="{00000000-0005-0000-0000-000096500000}"/>
    <cellStyle name="Fixed 3" xfId="382" xr:uid="{00000000-0005-0000-0000-000097500000}"/>
    <cellStyle name="Fixed 3 2" xfId="25998" xr:uid="{00000000-0005-0000-0000-000098500000}"/>
    <cellStyle name="Fixed 4" xfId="23919" xr:uid="{00000000-0005-0000-0000-000099500000}"/>
    <cellStyle name="Fixed 4 2" xfId="27037" xr:uid="{00000000-0005-0000-0000-00009A500000}"/>
    <cellStyle name="Fixlong" xfId="568" xr:uid="{00000000-0005-0000-0000-00009B500000}"/>
    <cellStyle name="Followed Hyperlink" xfId="4621" builtinId="9" customBuiltin="1"/>
    <cellStyle name="Followed Hyperlink 2" xfId="2662" xr:uid="{00000000-0005-0000-0000-00009D500000}"/>
    <cellStyle name="Followed Hyperlink 3" xfId="2663" xr:uid="{00000000-0005-0000-0000-00009E500000}"/>
    <cellStyle name="Formula" xfId="569" xr:uid="{00000000-0005-0000-0000-00009F500000}"/>
    <cellStyle name="Formula 2" xfId="24096" xr:uid="{00000000-0005-0000-0000-0000A0500000}"/>
    <cellStyle name="Formula 2 2" xfId="24774" xr:uid="{00000000-0005-0000-0000-0000A1500000}"/>
    <cellStyle name="Formula 3" xfId="24861" xr:uid="{00000000-0005-0000-0000-0000A2500000}"/>
    <cellStyle name="General" xfId="37" xr:uid="{00000000-0005-0000-0000-0000A3500000}"/>
    <cellStyle name="Good 10" xfId="2664" xr:uid="{00000000-0005-0000-0000-0000A4500000}"/>
    <cellStyle name="Good 11" xfId="2665" xr:uid="{00000000-0005-0000-0000-0000A5500000}"/>
    <cellStyle name="Good 12" xfId="2666" xr:uid="{00000000-0005-0000-0000-0000A6500000}"/>
    <cellStyle name="Good 13" xfId="2667" xr:uid="{00000000-0005-0000-0000-0000A7500000}"/>
    <cellStyle name="Good 14" xfId="2668" xr:uid="{00000000-0005-0000-0000-0000A8500000}"/>
    <cellStyle name="Good 15" xfId="2669" xr:uid="{00000000-0005-0000-0000-0000A9500000}"/>
    <cellStyle name="Good 16" xfId="2670" xr:uid="{00000000-0005-0000-0000-0000AA500000}"/>
    <cellStyle name="Good 17" xfId="2671" xr:uid="{00000000-0005-0000-0000-0000AB500000}"/>
    <cellStyle name="Good 18" xfId="2672" xr:uid="{00000000-0005-0000-0000-0000AC500000}"/>
    <cellStyle name="Good 19" xfId="2673" xr:uid="{00000000-0005-0000-0000-0000AD500000}"/>
    <cellStyle name="Good 2" xfId="2674" xr:uid="{00000000-0005-0000-0000-0000AE500000}"/>
    <cellStyle name="Good 2 2" xfId="24099" xr:uid="{00000000-0005-0000-0000-0000AF500000}"/>
    <cellStyle name="Good 2 3" xfId="24098" xr:uid="{00000000-0005-0000-0000-0000B0500000}"/>
    <cellStyle name="Good 20" xfId="2675" xr:uid="{00000000-0005-0000-0000-0000B1500000}"/>
    <cellStyle name="Good 21" xfId="2676" xr:uid="{00000000-0005-0000-0000-0000B2500000}"/>
    <cellStyle name="Good 22" xfId="2677" xr:uid="{00000000-0005-0000-0000-0000B3500000}"/>
    <cellStyle name="Good 23" xfId="2678" xr:uid="{00000000-0005-0000-0000-0000B4500000}"/>
    <cellStyle name="Good 24" xfId="2679" xr:uid="{00000000-0005-0000-0000-0000B5500000}"/>
    <cellStyle name="Good 25" xfId="2680" xr:uid="{00000000-0005-0000-0000-0000B6500000}"/>
    <cellStyle name="Good 26" xfId="2681" xr:uid="{00000000-0005-0000-0000-0000B7500000}"/>
    <cellStyle name="Good 27" xfId="2682" xr:uid="{00000000-0005-0000-0000-0000B8500000}"/>
    <cellStyle name="Good 28" xfId="2683" xr:uid="{00000000-0005-0000-0000-0000B9500000}"/>
    <cellStyle name="Good 29" xfId="2684" xr:uid="{00000000-0005-0000-0000-0000BA500000}"/>
    <cellStyle name="Good 3" xfId="2685" xr:uid="{00000000-0005-0000-0000-0000BB500000}"/>
    <cellStyle name="Good 3 2" xfId="24100" xr:uid="{00000000-0005-0000-0000-0000BC500000}"/>
    <cellStyle name="Good 30" xfId="2686" xr:uid="{00000000-0005-0000-0000-0000BD500000}"/>
    <cellStyle name="Good 31" xfId="2687" xr:uid="{00000000-0005-0000-0000-0000BE500000}"/>
    <cellStyle name="Good 32" xfId="2688" xr:uid="{00000000-0005-0000-0000-0000BF500000}"/>
    <cellStyle name="Good 33" xfId="2689" xr:uid="{00000000-0005-0000-0000-0000C0500000}"/>
    <cellStyle name="Good 34" xfId="2690" xr:uid="{00000000-0005-0000-0000-0000C1500000}"/>
    <cellStyle name="Good 35" xfId="2691" xr:uid="{00000000-0005-0000-0000-0000C2500000}"/>
    <cellStyle name="Good 36" xfId="2692" xr:uid="{00000000-0005-0000-0000-0000C3500000}"/>
    <cellStyle name="Good 37" xfId="2693" xr:uid="{00000000-0005-0000-0000-0000C4500000}"/>
    <cellStyle name="Good 38" xfId="2694" xr:uid="{00000000-0005-0000-0000-0000C5500000}"/>
    <cellStyle name="Good 39" xfId="2695" xr:uid="{00000000-0005-0000-0000-0000C6500000}"/>
    <cellStyle name="Good 4" xfId="2696" xr:uid="{00000000-0005-0000-0000-0000C7500000}"/>
    <cellStyle name="Good 4 2" xfId="24101" xr:uid="{00000000-0005-0000-0000-0000C8500000}"/>
    <cellStyle name="Good 40" xfId="2697" xr:uid="{00000000-0005-0000-0000-0000C9500000}"/>
    <cellStyle name="Good 41" xfId="2698" xr:uid="{00000000-0005-0000-0000-0000CA500000}"/>
    <cellStyle name="Good 42" xfId="2699" xr:uid="{00000000-0005-0000-0000-0000CB500000}"/>
    <cellStyle name="Good 43" xfId="2700" xr:uid="{00000000-0005-0000-0000-0000CC500000}"/>
    <cellStyle name="Good 44" xfId="2701" xr:uid="{00000000-0005-0000-0000-0000CD500000}"/>
    <cellStyle name="Good 45" xfId="2702" xr:uid="{00000000-0005-0000-0000-0000CE500000}"/>
    <cellStyle name="Good 46" xfId="2703" xr:uid="{00000000-0005-0000-0000-0000CF500000}"/>
    <cellStyle name="Good 47" xfId="2704" xr:uid="{00000000-0005-0000-0000-0000D0500000}"/>
    <cellStyle name="Good 48" xfId="2705" xr:uid="{00000000-0005-0000-0000-0000D1500000}"/>
    <cellStyle name="Good 49" xfId="2706" xr:uid="{00000000-0005-0000-0000-0000D2500000}"/>
    <cellStyle name="Good 5" xfId="2707" xr:uid="{00000000-0005-0000-0000-0000D3500000}"/>
    <cellStyle name="Good 50" xfId="2708" xr:uid="{00000000-0005-0000-0000-0000D4500000}"/>
    <cellStyle name="Good 51" xfId="2709" xr:uid="{00000000-0005-0000-0000-0000D5500000}"/>
    <cellStyle name="Good 52" xfId="2710" xr:uid="{00000000-0005-0000-0000-0000D6500000}"/>
    <cellStyle name="Good 53" xfId="2711" xr:uid="{00000000-0005-0000-0000-0000D7500000}"/>
    <cellStyle name="Good 54" xfId="2712" xr:uid="{00000000-0005-0000-0000-0000D8500000}"/>
    <cellStyle name="Good 55" xfId="2713" xr:uid="{00000000-0005-0000-0000-0000D9500000}"/>
    <cellStyle name="Good 56" xfId="2714" xr:uid="{00000000-0005-0000-0000-0000DA500000}"/>
    <cellStyle name="Good 57" xfId="2715" xr:uid="{00000000-0005-0000-0000-0000DB500000}"/>
    <cellStyle name="Good 58" xfId="2716" xr:uid="{00000000-0005-0000-0000-0000DC500000}"/>
    <cellStyle name="Good 59" xfId="2717" xr:uid="{00000000-0005-0000-0000-0000DD500000}"/>
    <cellStyle name="Good 6" xfId="2718" xr:uid="{00000000-0005-0000-0000-0000DE500000}"/>
    <cellStyle name="Good 60" xfId="2719" xr:uid="{00000000-0005-0000-0000-0000DF500000}"/>
    <cellStyle name="Good 61" xfId="2720" xr:uid="{00000000-0005-0000-0000-0000E0500000}"/>
    <cellStyle name="Good 62" xfId="2721" xr:uid="{00000000-0005-0000-0000-0000E1500000}"/>
    <cellStyle name="Good 63" xfId="2722" xr:uid="{00000000-0005-0000-0000-0000E2500000}"/>
    <cellStyle name="Good 64" xfId="2723" xr:uid="{00000000-0005-0000-0000-0000E3500000}"/>
    <cellStyle name="Good 65" xfId="2724" xr:uid="{00000000-0005-0000-0000-0000E4500000}"/>
    <cellStyle name="Good 66" xfId="2725" xr:uid="{00000000-0005-0000-0000-0000E5500000}"/>
    <cellStyle name="Good 67" xfId="2726" xr:uid="{00000000-0005-0000-0000-0000E6500000}"/>
    <cellStyle name="Good 68" xfId="2727" xr:uid="{00000000-0005-0000-0000-0000E7500000}"/>
    <cellStyle name="Good 69" xfId="2728" xr:uid="{00000000-0005-0000-0000-0000E8500000}"/>
    <cellStyle name="Good 7" xfId="2729" xr:uid="{00000000-0005-0000-0000-0000E9500000}"/>
    <cellStyle name="Good 70" xfId="2730" xr:uid="{00000000-0005-0000-0000-0000EA500000}"/>
    <cellStyle name="Good 71" xfId="2731" xr:uid="{00000000-0005-0000-0000-0000EB500000}"/>
    <cellStyle name="Good 72" xfId="2732" xr:uid="{00000000-0005-0000-0000-0000EC500000}"/>
    <cellStyle name="Good 8" xfId="2733" xr:uid="{00000000-0005-0000-0000-0000ED500000}"/>
    <cellStyle name="Good 9" xfId="2734" xr:uid="{00000000-0005-0000-0000-0000EE500000}"/>
    <cellStyle name="Grey" xfId="38" xr:uid="{00000000-0005-0000-0000-0000EF500000}"/>
    <cellStyle name="header" xfId="39" xr:uid="{00000000-0005-0000-0000-0000F0500000}"/>
    <cellStyle name="Header1" xfId="40" xr:uid="{00000000-0005-0000-0000-0000F1500000}"/>
    <cellStyle name="Header1 2" xfId="25809" xr:uid="{00000000-0005-0000-0000-0000F2500000}"/>
    <cellStyle name="Header2" xfId="41" xr:uid="{00000000-0005-0000-0000-0000F3500000}"/>
    <cellStyle name="Header2 2" xfId="383" xr:uid="{00000000-0005-0000-0000-0000F4500000}"/>
    <cellStyle name="Header2 2 2" xfId="13782" xr:uid="{00000000-0005-0000-0000-0000F5500000}"/>
    <cellStyle name="Header2 2 2 2" xfId="25376" xr:uid="{00000000-0005-0000-0000-0000F6500000}"/>
    <cellStyle name="Header2 2 2 2 2" xfId="27530" xr:uid="{00000000-0005-0000-0000-0000F7500000}"/>
    <cellStyle name="Header2 2 2 2 2 2" xfId="32121" xr:uid="{C3B619B0-DC07-42E4-AA2E-9B018473B9F6}"/>
    <cellStyle name="Header2 2 2 2 3" xfId="29204" xr:uid="{00000000-0005-0000-0000-0000F8500000}"/>
    <cellStyle name="Header2 2 2 2 3 2" xfId="33187" xr:uid="{C2F66E54-A1E3-4C20-8A38-B7660639992D}"/>
    <cellStyle name="Header2 2 2 2 4" xfId="26314" xr:uid="{00000000-0005-0000-0000-0000F9500000}"/>
    <cellStyle name="Header2 2 2 2 4 2" xfId="31102" xr:uid="{4639B527-5D2E-4F98-A3F2-114D2F736E4C}"/>
    <cellStyle name="Header2 2 2 2 5" xfId="29362" xr:uid="{00000000-0005-0000-0000-0000FA500000}"/>
    <cellStyle name="Header2 2 2 2 6" xfId="30534" xr:uid="{1D05195A-62B3-43C6-A054-0E815CB92EAA}"/>
    <cellStyle name="Header2 2 2 3" xfId="29363" xr:uid="{00000000-0005-0000-0000-0000FB500000}"/>
    <cellStyle name="Header2 2 3" xfId="25280" xr:uid="{00000000-0005-0000-0000-0000FC500000}"/>
    <cellStyle name="Header2 2 3 2" xfId="27435" xr:uid="{00000000-0005-0000-0000-0000FD500000}"/>
    <cellStyle name="Header2 2 3 2 2" xfId="32030" xr:uid="{AC57F2A6-6527-4364-B8D8-D3A76DA1AFCF}"/>
    <cellStyle name="Header2 2 3 3" xfId="29186" xr:uid="{00000000-0005-0000-0000-0000FE500000}"/>
    <cellStyle name="Header2 2 3 3 2" xfId="33169" xr:uid="{D2BB6EC0-4099-4954-93FA-71AADF8AFB68}"/>
    <cellStyle name="Header2 2 3 4" xfId="26735" xr:uid="{00000000-0005-0000-0000-0000FF500000}"/>
    <cellStyle name="Header2 2 3 4 2" xfId="31496" xr:uid="{B3C7266E-46D2-46F3-A995-9EC2D975A107}"/>
    <cellStyle name="Header2 2 3 5" xfId="29361" xr:uid="{00000000-0005-0000-0000-000000510000}"/>
    <cellStyle name="Header2 2 3 6" xfId="30443" xr:uid="{6F8C5E05-49B9-4CBB-86A3-06197E626730}"/>
    <cellStyle name="Header2 2 4" xfId="29364" xr:uid="{00000000-0005-0000-0000-000001510000}"/>
    <cellStyle name="Header2 3" xfId="13607" xr:uid="{00000000-0005-0000-0000-000002510000}"/>
    <cellStyle name="Header2 3 2" xfId="25374" xr:uid="{00000000-0005-0000-0000-000003510000}"/>
    <cellStyle name="Header2 3 2 2" xfId="27528" xr:uid="{00000000-0005-0000-0000-000004510000}"/>
    <cellStyle name="Header2 3 2 2 2" xfId="32119" xr:uid="{0E0B95F6-27AD-450B-A1CA-C42EF0782D06}"/>
    <cellStyle name="Header2 3 2 3" xfId="29203" xr:uid="{00000000-0005-0000-0000-000005510000}"/>
    <cellStyle name="Header2 3 2 3 2" xfId="33186" xr:uid="{5B9D6D85-F64D-4449-9137-B04F29364A0B}"/>
    <cellStyle name="Header2 3 2 4" xfId="26953" xr:uid="{00000000-0005-0000-0000-000006510000}"/>
    <cellStyle name="Header2 3 2 4 2" xfId="31714" xr:uid="{5EC27C91-0051-4B63-A55A-4DE9120A926E}"/>
    <cellStyle name="Header2 3 2 5" xfId="29359" xr:uid="{00000000-0005-0000-0000-000007510000}"/>
    <cellStyle name="Header2 3 2 6" xfId="30532" xr:uid="{09954C51-BEC0-417A-B083-5782043466BD}"/>
    <cellStyle name="Header2 3 3" xfId="29360" xr:uid="{00000000-0005-0000-0000-000008510000}"/>
    <cellStyle name="Header2 4" xfId="24857" xr:uid="{00000000-0005-0000-0000-000009510000}"/>
    <cellStyle name="Header2 4 2" xfId="27318" xr:uid="{00000000-0005-0000-0000-00000A510000}"/>
    <cellStyle name="Header2 4 2 2" xfId="31937" xr:uid="{82CFEE61-3D7F-434F-8FF3-D49180B080D8}"/>
    <cellStyle name="Header2 4 3" xfId="26315" xr:uid="{00000000-0005-0000-0000-00000B510000}"/>
    <cellStyle name="Header2 4 3 2" xfId="31103" xr:uid="{F01EA148-9022-420A-B4B4-33EBD074D626}"/>
    <cellStyle name="Header2 4 4" xfId="26952" xr:uid="{00000000-0005-0000-0000-00000C510000}"/>
    <cellStyle name="Header2 4 4 2" xfId="31713" xr:uid="{3D47D7A6-1281-4E4A-BB5F-8A4A17244B69}"/>
    <cellStyle name="Header2 4 5" xfId="29404" xr:uid="{00000000-0005-0000-0000-00000D510000}"/>
    <cellStyle name="Header2 4 5 2" xfId="33347" xr:uid="{BEB23629-7218-4220-8871-F6BDF3D3031C}"/>
    <cellStyle name="Header2 4 6" xfId="29358" xr:uid="{00000000-0005-0000-0000-00000E510000}"/>
    <cellStyle name="Header2 5" xfId="29365" xr:uid="{00000000-0005-0000-0000-00000F510000}"/>
    <cellStyle name="Heading 1 10" xfId="2735" xr:uid="{00000000-0005-0000-0000-000010510000}"/>
    <cellStyle name="Heading 1 11" xfId="2736" xr:uid="{00000000-0005-0000-0000-000011510000}"/>
    <cellStyle name="Heading 1 12" xfId="2737" xr:uid="{00000000-0005-0000-0000-000012510000}"/>
    <cellStyle name="Heading 1 13" xfId="2738" xr:uid="{00000000-0005-0000-0000-000013510000}"/>
    <cellStyle name="Heading 1 14" xfId="2739" xr:uid="{00000000-0005-0000-0000-000014510000}"/>
    <cellStyle name="Heading 1 15" xfId="2740" xr:uid="{00000000-0005-0000-0000-000015510000}"/>
    <cellStyle name="Heading 1 16" xfId="2741" xr:uid="{00000000-0005-0000-0000-000016510000}"/>
    <cellStyle name="Heading 1 17" xfId="2742" xr:uid="{00000000-0005-0000-0000-000017510000}"/>
    <cellStyle name="Heading 1 18" xfId="2743" xr:uid="{00000000-0005-0000-0000-000018510000}"/>
    <cellStyle name="Heading 1 19" xfId="2744" xr:uid="{00000000-0005-0000-0000-000019510000}"/>
    <cellStyle name="Heading 1 2" xfId="42" xr:uid="{00000000-0005-0000-0000-00001A510000}"/>
    <cellStyle name="Heading 1 2 2" xfId="2745" xr:uid="{00000000-0005-0000-0000-00001B510000}"/>
    <cellStyle name="Heading 1 2 2 2" xfId="24104" xr:uid="{00000000-0005-0000-0000-00001C510000}"/>
    <cellStyle name="Heading 1 2 3" xfId="13608" xr:uid="{00000000-0005-0000-0000-00001D510000}"/>
    <cellStyle name="Heading 1 2 4" xfId="24103" xr:uid="{00000000-0005-0000-0000-00001E510000}"/>
    <cellStyle name="Heading 1 20" xfId="2746" xr:uid="{00000000-0005-0000-0000-00001F510000}"/>
    <cellStyle name="Heading 1 21" xfId="2747" xr:uid="{00000000-0005-0000-0000-000020510000}"/>
    <cellStyle name="Heading 1 22" xfId="2748" xr:uid="{00000000-0005-0000-0000-000021510000}"/>
    <cellStyle name="Heading 1 23" xfId="2749" xr:uid="{00000000-0005-0000-0000-000022510000}"/>
    <cellStyle name="Heading 1 24" xfId="2750" xr:uid="{00000000-0005-0000-0000-000023510000}"/>
    <cellStyle name="Heading 1 25" xfId="2751" xr:uid="{00000000-0005-0000-0000-000024510000}"/>
    <cellStyle name="Heading 1 26" xfId="2752" xr:uid="{00000000-0005-0000-0000-000025510000}"/>
    <cellStyle name="Heading 1 27" xfId="2753" xr:uid="{00000000-0005-0000-0000-000026510000}"/>
    <cellStyle name="Heading 1 28" xfId="2754" xr:uid="{00000000-0005-0000-0000-000027510000}"/>
    <cellStyle name="Heading 1 29" xfId="2755" xr:uid="{00000000-0005-0000-0000-000028510000}"/>
    <cellStyle name="Heading 1 3" xfId="2756" xr:uid="{00000000-0005-0000-0000-000029510000}"/>
    <cellStyle name="Heading 1 3 2" xfId="24105" xr:uid="{00000000-0005-0000-0000-00002A510000}"/>
    <cellStyle name="Heading 1 30" xfId="2757" xr:uid="{00000000-0005-0000-0000-00002B510000}"/>
    <cellStyle name="Heading 1 31" xfId="2758" xr:uid="{00000000-0005-0000-0000-00002C510000}"/>
    <cellStyle name="Heading 1 32" xfId="2759" xr:uid="{00000000-0005-0000-0000-00002D510000}"/>
    <cellStyle name="Heading 1 33" xfId="2760" xr:uid="{00000000-0005-0000-0000-00002E510000}"/>
    <cellStyle name="Heading 1 34" xfId="2761" xr:uid="{00000000-0005-0000-0000-00002F510000}"/>
    <cellStyle name="Heading 1 35" xfId="2762" xr:uid="{00000000-0005-0000-0000-000030510000}"/>
    <cellStyle name="Heading 1 36" xfId="2763" xr:uid="{00000000-0005-0000-0000-000031510000}"/>
    <cellStyle name="Heading 1 37" xfId="2764" xr:uid="{00000000-0005-0000-0000-000032510000}"/>
    <cellStyle name="Heading 1 38" xfId="2765" xr:uid="{00000000-0005-0000-0000-000033510000}"/>
    <cellStyle name="Heading 1 39" xfId="2766" xr:uid="{00000000-0005-0000-0000-000034510000}"/>
    <cellStyle name="Heading 1 4" xfId="2767" xr:uid="{00000000-0005-0000-0000-000035510000}"/>
    <cellStyle name="Heading 1 4 2" xfId="24106" xr:uid="{00000000-0005-0000-0000-000036510000}"/>
    <cellStyle name="Heading 1 40" xfId="2768" xr:uid="{00000000-0005-0000-0000-000037510000}"/>
    <cellStyle name="Heading 1 41" xfId="2769" xr:uid="{00000000-0005-0000-0000-000038510000}"/>
    <cellStyle name="Heading 1 42" xfId="2770" xr:uid="{00000000-0005-0000-0000-000039510000}"/>
    <cellStyle name="Heading 1 43" xfId="2771" xr:uid="{00000000-0005-0000-0000-00003A510000}"/>
    <cellStyle name="Heading 1 44" xfId="2772" xr:uid="{00000000-0005-0000-0000-00003B510000}"/>
    <cellStyle name="Heading 1 45" xfId="2773" xr:uid="{00000000-0005-0000-0000-00003C510000}"/>
    <cellStyle name="Heading 1 46" xfId="2774" xr:uid="{00000000-0005-0000-0000-00003D510000}"/>
    <cellStyle name="Heading 1 47" xfId="2775" xr:uid="{00000000-0005-0000-0000-00003E510000}"/>
    <cellStyle name="Heading 1 48" xfId="2776" xr:uid="{00000000-0005-0000-0000-00003F510000}"/>
    <cellStyle name="Heading 1 49" xfId="2777" xr:uid="{00000000-0005-0000-0000-000040510000}"/>
    <cellStyle name="Heading 1 5" xfId="2778" xr:uid="{00000000-0005-0000-0000-000041510000}"/>
    <cellStyle name="Heading 1 50" xfId="2779" xr:uid="{00000000-0005-0000-0000-000042510000}"/>
    <cellStyle name="Heading 1 51" xfId="2780" xr:uid="{00000000-0005-0000-0000-000043510000}"/>
    <cellStyle name="Heading 1 52" xfId="2781" xr:uid="{00000000-0005-0000-0000-000044510000}"/>
    <cellStyle name="Heading 1 53" xfId="2782" xr:uid="{00000000-0005-0000-0000-000045510000}"/>
    <cellStyle name="Heading 1 54" xfId="2783" xr:uid="{00000000-0005-0000-0000-000046510000}"/>
    <cellStyle name="Heading 1 55" xfId="2784" xr:uid="{00000000-0005-0000-0000-000047510000}"/>
    <cellStyle name="Heading 1 56" xfId="2785" xr:uid="{00000000-0005-0000-0000-000048510000}"/>
    <cellStyle name="Heading 1 57" xfId="2786" xr:uid="{00000000-0005-0000-0000-000049510000}"/>
    <cellStyle name="Heading 1 58" xfId="2787" xr:uid="{00000000-0005-0000-0000-00004A510000}"/>
    <cellStyle name="Heading 1 59" xfId="2788" xr:uid="{00000000-0005-0000-0000-00004B510000}"/>
    <cellStyle name="Heading 1 6" xfId="2789" xr:uid="{00000000-0005-0000-0000-00004C510000}"/>
    <cellStyle name="Heading 1 60" xfId="2790" xr:uid="{00000000-0005-0000-0000-00004D510000}"/>
    <cellStyle name="Heading 1 61" xfId="2791" xr:uid="{00000000-0005-0000-0000-00004E510000}"/>
    <cellStyle name="Heading 1 62" xfId="2792" xr:uid="{00000000-0005-0000-0000-00004F510000}"/>
    <cellStyle name="Heading 1 63" xfId="2793" xr:uid="{00000000-0005-0000-0000-000050510000}"/>
    <cellStyle name="Heading 1 64" xfId="2794" xr:uid="{00000000-0005-0000-0000-000051510000}"/>
    <cellStyle name="Heading 1 65" xfId="2795" xr:uid="{00000000-0005-0000-0000-000052510000}"/>
    <cellStyle name="Heading 1 66" xfId="2796" xr:uid="{00000000-0005-0000-0000-000053510000}"/>
    <cellStyle name="Heading 1 67" xfId="2797" xr:uid="{00000000-0005-0000-0000-000054510000}"/>
    <cellStyle name="Heading 1 68" xfId="2798" xr:uid="{00000000-0005-0000-0000-000055510000}"/>
    <cellStyle name="Heading 1 69" xfId="2799" xr:uid="{00000000-0005-0000-0000-000056510000}"/>
    <cellStyle name="Heading 1 7" xfId="2800" xr:uid="{00000000-0005-0000-0000-000057510000}"/>
    <cellStyle name="Heading 1 70" xfId="2801" xr:uid="{00000000-0005-0000-0000-000058510000}"/>
    <cellStyle name="Heading 1 71" xfId="2802" xr:uid="{00000000-0005-0000-0000-000059510000}"/>
    <cellStyle name="Heading 1 72" xfId="2803" xr:uid="{00000000-0005-0000-0000-00005A510000}"/>
    <cellStyle name="Heading 1 73" xfId="23920" xr:uid="{00000000-0005-0000-0000-00005B510000}"/>
    <cellStyle name="Heading 1 74" xfId="33357" xr:uid="{E273C200-7811-44AF-A620-2293EC0FF2E7}"/>
    <cellStyle name="Heading 1 8" xfId="2804" xr:uid="{00000000-0005-0000-0000-00005C510000}"/>
    <cellStyle name="Heading 1 9" xfId="2805" xr:uid="{00000000-0005-0000-0000-00005D510000}"/>
    <cellStyle name="Heading 2 10" xfId="2806" xr:uid="{00000000-0005-0000-0000-00005E510000}"/>
    <cellStyle name="Heading 2 11" xfId="2807" xr:uid="{00000000-0005-0000-0000-00005F510000}"/>
    <cellStyle name="Heading 2 12" xfId="2808" xr:uid="{00000000-0005-0000-0000-000060510000}"/>
    <cellStyle name="Heading 2 13" xfId="2809" xr:uid="{00000000-0005-0000-0000-000061510000}"/>
    <cellStyle name="Heading 2 14" xfId="2810" xr:uid="{00000000-0005-0000-0000-000062510000}"/>
    <cellStyle name="Heading 2 15" xfId="2811" xr:uid="{00000000-0005-0000-0000-000063510000}"/>
    <cellStyle name="Heading 2 16" xfId="2812" xr:uid="{00000000-0005-0000-0000-000064510000}"/>
    <cellStyle name="Heading 2 17" xfId="2813" xr:uid="{00000000-0005-0000-0000-000065510000}"/>
    <cellStyle name="Heading 2 18" xfId="2814" xr:uid="{00000000-0005-0000-0000-000066510000}"/>
    <cellStyle name="Heading 2 19" xfId="2815" xr:uid="{00000000-0005-0000-0000-000067510000}"/>
    <cellStyle name="Heading 2 2" xfId="43" xr:uid="{00000000-0005-0000-0000-000068510000}"/>
    <cellStyle name="Heading 2 2 2" xfId="2816" xr:uid="{00000000-0005-0000-0000-000069510000}"/>
    <cellStyle name="Heading 2 2 2 2" xfId="24108" xr:uid="{00000000-0005-0000-0000-00006A510000}"/>
    <cellStyle name="Heading 2 2 3" xfId="13609" xr:uid="{00000000-0005-0000-0000-00006B510000}"/>
    <cellStyle name="Heading 2 2 4" xfId="24107" xr:uid="{00000000-0005-0000-0000-00006C510000}"/>
    <cellStyle name="Heading 2 20" xfId="2817" xr:uid="{00000000-0005-0000-0000-00006D510000}"/>
    <cellStyle name="Heading 2 21" xfId="2818" xr:uid="{00000000-0005-0000-0000-00006E510000}"/>
    <cellStyle name="Heading 2 22" xfId="2819" xr:uid="{00000000-0005-0000-0000-00006F510000}"/>
    <cellStyle name="Heading 2 23" xfId="2820" xr:uid="{00000000-0005-0000-0000-000070510000}"/>
    <cellStyle name="Heading 2 24" xfId="2821" xr:uid="{00000000-0005-0000-0000-000071510000}"/>
    <cellStyle name="Heading 2 25" xfId="2822" xr:uid="{00000000-0005-0000-0000-000072510000}"/>
    <cellStyle name="Heading 2 26" xfId="2823" xr:uid="{00000000-0005-0000-0000-000073510000}"/>
    <cellStyle name="Heading 2 27" xfId="2824" xr:uid="{00000000-0005-0000-0000-000074510000}"/>
    <cellStyle name="Heading 2 28" xfId="2825" xr:uid="{00000000-0005-0000-0000-000075510000}"/>
    <cellStyle name="Heading 2 29" xfId="2826" xr:uid="{00000000-0005-0000-0000-000076510000}"/>
    <cellStyle name="Heading 2 3" xfId="2827" xr:uid="{00000000-0005-0000-0000-000077510000}"/>
    <cellStyle name="Heading 2 3 2" xfId="24109" xr:uid="{00000000-0005-0000-0000-000078510000}"/>
    <cellStyle name="Heading 2 30" xfId="2828" xr:uid="{00000000-0005-0000-0000-000079510000}"/>
    <cellStyle name="Heading 2 31" xfId="2829" xr:uid="{00000000-0005-0000-0000-00007A510000}"/>
    <cellStyle name="Heading 2 32" xfId="2830" xr:uid="{00000000-0005-0000-0000-00007B510000}"/>
    <cellStyle name="Heading 2 33" xfId="2831" xr:uid="{00000000-0005-0000-0000-00007C510000}"/>
    <cellStyle name="Heading 2 34" xfId="2832" xr:uid="{00000000-0005-0000-0000-00007D510000}"/>
    <cellStyle name="Heading 2 35" xfId="2833" xr:uid="{00000000-0005-0000-0000-00007E510000}"/>
    <cellStyle name="Heading 2 36" xfId="2834" xr:uid="{00000000-0005-0000-0000-00007F510000}"/>
    <cellStyle name="Heading 2 37" xfId="2835" xr:uid="{00000000-0005-0000-0000-000080510000}"/>
    <cellStyle name="Heading 2 38" xfId="2836" xr:uid="{00000000-0005-0000-0000-000081510000}"/>
    <cellStyle name="Heading 2 39" xfId="2837" xr:uid="{00000000-0005-0000-0000-000082510000}"/>
    <cellStyle name="Heading 2 4" xfId="2838" xr:uid="{00000000-0005-0000-0000-000083510000}"/>
    <cellStyle name="Heading 2 4 2" xfId="24110" xr:uid="{00000000-0005-0000-0000-000084510000}"/>
    <cellStyle name="Heading 2 40" xfId="2839" xr:uid="{00000000-0005-0000-0000-000085510000}"/>
    <cellStyle name="Heading 2 41" xfId="2840" xr:uid="{00000000-0005-0000-0000-000086510000}"/>
    <cellStyle name="Heading 2 42" xfId="2841" xr:uid="{00000000-0005-0000-0000-000087510000}"/>
    <cellStyle name="Heading 2 43" xfId="2842" xr:uid="{00000000-0005-0000-0000-000088510000}"/>
    <cellStyle name="Heading 2 44" xfId="2843" xr:uid="{00000000-0005-0000-0000-000089510000}"/>
    <cellStyle name="Heading 2 45" xfId="2844" xr:uid="{00000000-0005-0000-0000-00008A510000}"/>
    <cellStyle name="Heading 2 46" xfId="2845" xr:uid="{00000000-0005-0000-0000-00008B510000}"/>
    <cellStyle name="Heading 2 47" xfId="2846" xr:uid="{00000000-0005-0000-0000-00008C510000}"/>
    <cellStyle name="Heading 2 48" xfId="2847" xr:uid="{00000000-0005-0000-0000-00008D510000}"/>
    <cellStyle name="Heading 2 49" xfId="2848" xr:uid="{00000000-0005-0000-0000-00008E510000}"/>
    <cellStyle name="Heading 2 5" xfId="2849" xr:uid="{00000000-0005-0000-0000-00008F510000}"/>
    <cellStyle name="Heading 2 50" xfId="2850" xr:uid="{00000000-0005-0000-0000-000090510000}"/>
    <cellStyle name="Heading 2 51" xfId="2851" xr:uid="{00000000-0005-0000-0000-000091510000}"/>
    <cellStyle name="Heading 2 52" xfId="2852" xr:uid="{00000000-0005-0000-0000-000092510000}"/>
    <cellStyle name="Heading 2 53" xfId="2853" xr:uid="{00000000-0005-0000-0000-000093510000}"/>
    <cellStyle name="Heading 2 54" xfId="2854" xr:uid="{00000000-0005-0000-0000-000094510000}"/>
    <cellStyle name="Heading 2 55" xfId="2855" xr:uid="{00000000-0005-0000-0000-000095510000}"/>
    <cellStyle name="Heading 2 56" xfId="2856" xr:uid="{00000000-0005-0000-0000-000096510000}"/>
    <cellStyle name="Heading 2 57" xfId="2857" xr:uid="{00000000-0005-0000-0000-000097510000}"/>
    <cellStyle name="Heading 2 58" xfId="2858" xr:uid="{00000000-0005-0000-0000-000098510000}"/>
    <cellStyle name="Heading 2 59" xfId="2859" xr:uid="{00000000-0005-0000-0000-000099510000}"/>
    <cellStyle name="Heading 2 6" xfId="2860" xr:uid="{00000000-0005-0000-0000-00009A510000}"/>
    <cellStyle name="Heading 2 60" xfId="2861" xr:uid="{00000000-0005-0000-0000-00009B510000}"/>
    <cellStyle name="Heading 2 61" xfId="2862" xr:uid="{00000000-0005-0000-0000-00009C510000}"/>
    <cellStyle name="Heading 2 62" xfId="2863" xr:uid="{00000000-0005-0000-0000-00009D510000}"/>
    <cellStyle name="Heading 2 63" xfId="2864" xr:uid="{00000000-0005-0000-0000-00009E510000}"/>
    <cellStyle name="Heading 2 64" xfId="2865" xr:uid="{00000000-0005-0000-0000-00009F510000}"/>
    <cellStyle name="Heading 2 65" xfId="2866" xr:uid="{00000000-0005-0000-0000-0000A0510000}"/>
    <cellStyle name="Heading 2 66" xfId="2867" xr:uid="{00000000-0005-0000-0000-0000A1510000}"/>
    <cellStyle name="Heading 2 67" xfId="2868" xr:uid="{00000000-0005-0000-0000-0000A2510000}"/>
    <cellStyle name="Heading 2 68" xfId="2869" xr:uid="{00000000-0005-0000-0000-0000A3510000}"/>
    <cellStyle name="Heading 2 69" xfId="2870" xr:uid="{00000000-0005-0000-0000-0000A4510000}"/>
    <cellStyle name="Heading 2 7" xfId="2871" xr:uid="{00000000-0005-0000-0000-0000A5510000}"/>
    <cellStyle name="Heading 2 70" xfId="2872" xr:uid="{00000000-0005-0000-0000-0000A6510000}"/>
    <cellStyle name="Heading 2 71" xfId="2873" xr:uid="{00000000-0005-0000-0000-0000A7510000}"/>
    <cellStyle name="Heading 2 72" xfId="2874" xr:uid="{00000000-0005-0000-0000-0000A8510000}"/>
    <cellStyle name="Heading 2 73" xfId="23921" xr:uid="{00000000-0005-0000-0000-0000A9510000}"/>
    <cellStyle name="Heading 2 74" xfId="33359" xr:uid="{E1B7260C-D08E-44E9-9AED-388897F7F3B4}"/>
    <cellStyle name="Heading 2 8" xfId="2875" xr:uid="{00000000-0005-0000-0000-0000AA510000}"/>
    <cellStyle name="Heading 2 9" xfId="2876" xr:uid="{00000000-0005-0000-0000-0000AB510000}"/>
    <cellStyle name="Heading 3 10" xfId="2877" xr:uid="{00000000-0005-0000-0000-0000AC510000}"/>
    <cellStyle name="Heading 3 11" xfId="2878" xr:uid="{00000000-0005-0000-0000-0000AD510000}"/>
    <cellStyle name="Heading 3 12" xfId="2879" xr:uid="{00000000-0005-0000-0000-0000AE510000}"/>
    <cellStyle name="Heading 3 13" xfId="2880" xr:uid="{00000000-0005-0000-0000-0000AF510000}"/>
    <cellStyle name="Heading 3 14" xfId="2881" xr:uid="{00000000-0005-0000-0000-0000B0510000}"/>
    <cellStyle name="Heading 3 15" xfId="2882" xr:uid="{00000000-0005-0000-0000-0000B1510000}"/>
    <cellStyle name="Heading 3 16" xfId="2883" xr:uid="{00000000-0005-0000-0000-0000B2510000}"/>
    <cellStyle name="Heading 3 17" xfId="2884" xr:uid="{00000000-0005-0000-0000-0000B3510000}"/>
    <cellStyle name="Heading 3 18" xfId="2885" xr:uid="{00000000-0005-0000-0000-0000B4510000}"/>
    <cellStyle name="Heading 3 19" xfId="2886" xr:uid="{00000000-0005-0000-0000-0000B5510000}"/>
    <cellStyle name="Heading 3 2" xfId="2887" xr:uid="{00000000-0005-0000-0000-0000B6510000}"/>
    <cellStyle name="Heading 3 2 2" xfId="24112" xr:uid="{00000000-0005-0000-0000-0000B7510000}"/>
    <cellStyle name="Heading 3 2 3" xfId="24111" xr:uid="{00000000-0005-0000-0000-0000B8510000}"/>
    <cellStyle name="Heading 3 20" xfId="2888" xr:uid="{00000000-0005-0000-0000-0000B9510000}"/>
    <cellStyle name="Heading 3 21" xfId="2889" xr:uid="{00000000-0005-0000-0000-0000BA510000}"/>
    <cellStyle name="Heading 3 22" xfId="2890" xr:uid="{00000000-0005-0000-0000-0000BB510000}"/>
    <cellStyle name="Heading 3 23" xfId="2891" xr:uid="{00000000-0005-0000-0000-0000BC510000}"/>
    <cellStyle name="Heading 3 24" xfId="2892" xr:uid="{00000000-0005-0000-0000-0000BD510000}"/>
    <cellStyle name="Heading 3 25" xfId="2893" xr:uid="{00000000-0005-0000-0000-0000BE510000}"/>
    <cellStyle name="Heading 3 26" xfId="2894" xr:uid="{00000000-0005-0000-0000-0000BF510000}"/>
    <cellStyle name="Heading 3 27" xfId="2895" xr:uid="{00000000-0005-0000-0000-0000C0510000}"/>
    <cellStyle name="Heading 3 28" xfId="2896" xr:uid="{00000000-0005-0000-0000-0000C1510000}"/>
    <cellStyle name="Heading 3 29" xfId="2897" xr:uid="{00000000-0005-0000-0000-0000C2510000}"/>
    <cellStyle name="Heading 3 3" xfId="2898" xr:uid="{00000000-0005-0000-0000-0000C3510000}"/>
    <cellStyle name="Heading 3 3 2" xfId="24113" xr:uid="{00000000-0005-0000-0000-0000C4510000}"/>
    <cellStyle name="Heading 3 30" xfId="2899" xr:uid="{00000000-0005-0000-0000-0000C5510000}"/>
    <cellStyle name="Heading 3 31" xfId="2900" xr:uid="{00000000-0005-0000-0000-0000C6510000}"/>
    <cellStyle name="Heading 3 32" xfId="2901" xr:uid="{00000000-0005-0000-0000-0000C7510000}"/>
    <cellStyle name="Heading 3 33" xfId="2902" xr:uid="{00000000-0005-0000-0000-0000C8510000}"/>
    <cellStyle name="Heading 3 34" xfId="2903" xr:uid="{00000000-0005-0000-0000-0000C9510000}"/>
    <cellStyle name="Heading 3 35" xfId="2904" xr:uid="{00000000-0005-0000-0000-0000CA510000}"/>
    <cellStyle name="Heading 3 36" xfId="2905" xr:uid="{00000000-0005-0000-0000-0000CB510000}"/>
    <cellStyle name="Heading 3 37" xfId="2906" xr:uid="{00000000-0005-0000-0000-0000CC510000}"/>
    <cellStyle name="Heading 3 38" xfId="2907" xr:uid="{00000000-0005-0000-0000-0000CD510000}"/>
    <cellStyle name="Heading 3 39" xfId="2908" xr:uid="{00000000-0005-0000-0000-0000CE510000}"/>
    <cellStyle name="Heading 3 4" xfId="2909" xr:uid="{00000000-0005-0000-0000-0000CF510000}"/>
    <cellStyle name="Heading 3 4 2" xfId="24114" xr:uid="{00000000-0005-0000-0000-0000D0510000}"/>
    <cellStyle name="Heading 3 40" xfId="2910" xr:uid="{00000000-0005-0000-0000-0000D1510000}"/>
    <cellStyle name="Heading 3 41" xfId="2911" xr:uid="{00000000-0005-0000-0000-0000D2510000}"/>
    <cellStyle name="Heading 3 42" xfId="2912" xr:uid="{00000000-0005-0000-0000-0000D3510000}"/>
    <cellStyle name="Heading 3 43" xfId="2913" xr:uid="{00000000-0005-0000-0000-0000D4510000}"/>
    <cellStyle name="Heading 3 44" xfId="2914" xr:uid="{00000000-0005-0000-0000-0000D5510000}"/>
    <cellStyle name="Heading 3 45" xfId="2915" xr:uid="{00000000-0005-0000-0000-0000D6510000}"/>
    <cellStyle name="Heading 3 46" xfId="2916" xr:uid="{00000000-0005-0000-0000-0000D7510000}"/>
    <cellStyle name="Heading 3 47" xfId="2917" xr:uid="{00000000-0005-0000-0000-0000D8510000}"/>
    <cellStyle name="Heading 3 48" xfId="2918" xr:uid="{00000000-0005-0000-0000-0000D9510000}"/>
    <cellStyle name="Heading 3 49" xfId="2919" xr:uid="{00000000-0005-0000-0000-0000DA510000}"/>
    <cellStyle name="Heading 3 5" xfId="2920" xr:uid="{00000000-0005-0000-0000-0000DB510000}"/>
    <cellStyle name="Heading 3 50" xfId="2921" xr:uid="{00000000-0005-0000-0000-0000DC510000}"/>
    <cellStyle name="Heading 3 51" xfId="2922" xr:uid="{00000000-0005-0000-0000-0000DD510000}"/>
    <cellStyle name="Heading 3 52" xfId="2923" xr:uid="{00000000-0005-0000-0000-0000DE510000}"/>
    <cellStyle name="Heading 3 53" xfId="2924" xr:uid="{00000000-0005-0000-0000-0000DF510000}"/>
    <cellStyle name="Heading 3 54" xfId="2925" xr:uid="{00000000-0005-0000-0000-0000E0510000}"/>
    <cellStyle name="Heading 3 55" xfId="2926" xr:uid="{00000000-0005-0000-0000-0000E1510000}"/>
    <cellStyle name="Heading 3 56" xfId="2927" xr:uid="{00000000-0005-0000-0000-0000E2510000}"/>
    <cellStyle name="Heading 3 57" xfId="2928" xr:uid="{00000000-0005-0000-0000-0000E3510000}"/>
    <cellStyle name="Heading 3 58" xfId="2929" xr:uid="{00000000-0005-0000-0000-0000E4510000}"/>
    <cellStyle name="Heading 3 59" xfId="2930" xr:uid="{00000000-0005-0000-0000-0000E5510000}"/>
    <cellStyle name="Heading 3 6" xfId="2931" xr:uid="{00000000-0005-0000-0000-0000E6510000}"/>
    <cellStyle name="Heading 3 60" xfId="2932" xr:uid="{00000000-0005-0000-0000-0000E7510000}"/>
    <cellStyle name="Heading 3 61" xfId="2933" xr:uid="{00000000-0005-0000-0000-0000E8510000}"/>
    <cellStyle name="Heading 3 62" xfId="2934" xr:uid="{00000000-0005-0000-0000-0000E9510000}"/>
    <cellStyle name="Heading 3 63" xfId="2935" xr:uid="{00000000-0005-0000-0000-0000EA510000}"/>
    <cellStyle name="Heading 3 64" xfId="2936" xr:uid="{00000000-0005-0000-0000-0000EB510000}"/>
    <cellStyle name="Heading 3 65" xfId="2937" xr:uid="{00000000-0005-0000-0000-0000EC510000}"/>
    <cellStyle name="Heading 3 66" xfId="2938" xr:uid="{00000000-0005-0000-0000-0000ED510000}"/>
    <cellStyle name="Heading 3 67" xfId="2939" xr:uid="{00000000-0005-0000-0000-0000EE510000}"/>
    <cellStyle name="Heading 3 68" xfId="2940" xr:uid="{00000000-0005-0000-0000-0000EF510000}"/>
    <cellStyle name="Heading 3 69" xfId="2941" xr:uid="{00000000-0005-0000-0000-0000F0510000}"/>
    <cellStyle name="Heading 3 7" xfId="2942" xr:uid="{00000000-0005-0000-0000-0000F1510000}"/>
    <cellStyle name="Heading 3 70" xfId="2943" xr:uid="{00000000-0005-0000-0000-0000F2510000}"/>
    <cellStyle name="Heading 3 71" xfId="2944" xr:uid="{00000000-0005-0000-0000-0000F3510000}"/>
    <cellStyle name="Heading 3 72" xfId="2945" xr:uid="{00000000-0005-0000-0000-0000F4510000}"/>
    <cellStyle name="Heading 3 73" xfId="33360" xr:uid="{8E858AB4-509D-4212-857D-BE7289B4A4E6}"/>
    <cellStyle name="Heading 3 8" xfId="2946" xr:uid="{00000000-0005-0000-0000-0000F5510000}"/>
    <cellStyle name="Heading 3 9" xfId="2947" xr:uid="{00000000-0005-0000-0000-0000F6510000}"/>
    <cellStyle name="Heading 4 10" xfId="2948" xr:uid="{00000000-0005-0000-0000-0000F7510000}"/>
    <cellStyle name="Heading 4 11" xfId="2949" xr:uid="{00000000-0005-0000-0000-0000F8510000}"/>
    <cellStyle name="Heading 4 12" xfId="2950" xr:uid="{00000000-0005-0000-0000-0000F9510000}"/>
    <cellStyle name="Heading 4 13" xfId="2951" xr:uid="{00000000-0005-0000-0000-0000FA510000}"/>
    <cellStyle name="Heading 4 14" xfId="2952" xr:uid="{00000000-0005-0000-0000-0000FB510000}"/>
    <cellStyle name="Heading 4 15" xfId="2953" xr:uid="{00000000-0005-0000-0000-0000FC510000}"/>
    <cellStyle name="Heading 4 16" xfId="2954" xr:uid="{00000000-0005-0000-0000-0000FD510000}"/>
    <cellStyle name="Heading 4 17" xfId="2955" xr:uid="{00000000-0005-0000-0000-0000FE510000}"/>
    <cellStyle name="Heading 4 18" xfId="2956" xr:uid="{00000000-0005-0000-0000-0000FF510000}"/>
    <cellStyle name="Heading 4 19" xfId="2957" xr:uid="{00000000-0005-0000-0000-000000520000}"/>
    <cellStyle name="Heading 4 2" xfId="2958" xr:uid="{00000000-0005-0000-0000-000001520000}"/>
    <cellStyle name="Heading 4 2 2" xfId="24116" xr:uid="{00000000-0005-0000-0000-000002520000}"/>
    <cellStyle name="Heading 4 2 3" xfId="24115" xr:uid="{00000000-0005-0000-0000-000003520000}"/>
    <cellStyle name="Heading 4 20" xfId="2959" xr:uid="{00000000-0005-0000-0000-000004520000}"/>
    <cellStyle name="Heading 4 21" xfId="2960" xr:uid="{00000000-0005-0000-0000-000005520000}"/>
    <cellStyle name="Heading 4 22" xfId="2961" xr:uid="{00000000-0005-0000-0000-000006520000}"/>
    <cellStyle name="Heading 4 23" xfId="2962" xr:uid="{00000000-0005-0000-0000-000007520000}"/>
    <cellStyle name="Heading 4 24" xfId="2963" xr:uid="{00000000-0005-0000-0000-000008520000}"/>
    <cellStyle name="Heading 4 25" xfId="2964" xr:uid="{00000000-0005-0000-0000-000009520000}"/>
    <cellStyle name="Heading 4 26" xfId="2965" xr:uid="{00000000-0005-0000-0000-00000A520000}"/>
    <cellStyle name="Heading 4 27" xfId="2966" xr:uid="{00000000-0005-0000-0000-00000B520000}"/>
    <cellStyle name="Heading 4 28" xfId="2967" xr:uid="{00000000-0005-0000-0000-00000C520000}"/>
    <cellStyle name="Heading 4 29" xfId="2968" xr:uid="{00000000-0005-0000-0000-00000D520000}"/>
    <cellStyle name="Heading 4 3" xfId="2969" xr:uid="{00000000-0005-0000-0000-00000E520000}"/>
    <cellStyle name="Heading 4 3 2" xfId="24117" xr:uid="{00000000-0005-0000-0000-00000F520000}"/>
    <cellStyle name="Heading 4 30" xfId="2970" xr:uid="{00000000-0005-0000-0000-000010520000}"/>
    <cellStyle name="Heading 4 31" xfId="2971" xr:uid="{00000000-0005-0000-0000-000011520000}"/>
    <cellStyle name="Heading 4 32" xfId="2972" xr:uid="{00000000-0005-0000-0000-000012520000}"/>
    <cellStyle name="Heading 4 33" xfId="2973" xr:uid="{00000000-0005-0000-0000-000013520000}"/>
    <cellStyle name="Heading 4 34" xfId="2974" xr:uid="{00000000-0005-0000-0000-000014520000}"/>
    <cellStyle name="Heading 4 35" xfId="2975" xr:uid="{00000000-0005-0000-0000-000015520000}"/>
    <cellStyle name="Heading 4 36" xfId="2976" xr:uid="{00000000-0005-0000-0000-000016520000}"/>
    <cellStyle name="Heading 4 37" xfId="2977" xr:uid="{00000000-0005-0000-0000-000017520000}"/>
    <cellStyle name="Heading 4 38" xfId="2978" xr:uid="{00000000-0005-0000-0000-000018520000}"/>
    <cellStyle name="Heading 4 39" xfId="2979" xr:uid="{00000000-0005-0000-0000-000019520000}"/>
    <cellStyle name="Heading 4 4" xfId="2980" xr:uid="{00000000-0005-0000-0000-00001A520000}"/>
    <cellStyle name="Heading 4 4 2" xfId="24118" xr:uid="{00000000-0005-0000-0000-00001B520000}"/>
    <cellStyle name="Heading 4 40" xfId="2981" xr:uid="{00000000-0005-0000-0000-00001C520000}"/>
    <cellStyle name="Heading 4 41" xfId="2982" xr:uid="{00000000-0005-0000-0000-00001D520000}"/>
    <cellStyle name="Heading 4 42" xfId="2983" xr:uid="{00000000-0005-0000-0000-00001E520000}"/>
    <cellStyle name="Heading 4 43" xfId="2984" xr:uid="{00000000-0005-0000-0000-00001F520000}"/>
    <cellStyle name="Heading 4 44" xfId="2985" xr:uid="{00000000-0005-0000-0000-000020520000}"/>
    <cellStyle name="Heading 4 45" xfId="2986" xr:uid="{00000000-0005-0000-0000-000021520000}"/>
    <cellStyle name="Heading 4 46" xfId="2987" xr:uid="{00000000-0005-0000-0000-000022520000}"/>
    <cellStyle name="Heading 4 47" xfId="2988" xr:uid="{00000000-0005-0000-0000-000023520000}"/>
    <cellStyle name="Heading 4 48" xfId="2989" xr:uid="{00000000-0005-0000-0000-000024520000}"/>
    <cellStyle name="Heading 4 49" xfId="2990" xr:uid="{00000000-0005-0000-0000-000025520000}"/>
    <cellStyle name="Heading 4 5" xfId="2991" xr:uid="{00000000-0005-0000-0000-000026520000}"/>
    <cellStyle name="Heading 4 50" xfId="2992" xr:uid="{00000000-0005-0000-0000-000027520000}"/>
    <cellStyle name="Heading 4 51" xfId="2993" xr:uid="{00000000-0005-0000-0000-000028520000}"/>
    <cellStyle name="Heading 4 52" xfId="2994" xr:uid="{00000000-0005-0000-0000-000029520000}"/>
    <cellStyle name="Heading 4 53" xfId="2995" xr:uid="{00000000-0005-0000-0000-00002A520000}"/>
    <cellStyle name="Heading 4 54" xfId="2996" xr:uid="{00000000-0005-0000-0000-00002B520000}"/>
    <cellStyle name="Heading 4 55" xfId="2997" xr:uid="{00000000-0005-0000-0000-00002C520000}"/>
    <cellStyle name="Heading 4 56" xfId="2998" xr:uid="{00000000-0005-0000-0000-00002D520000}"/>
    <cellStyle name="Heading 4 57" xfId="2999" xr:uid="{00000000-0005-0000-0000-00002E520000}"/>
    <cellStyle name="Heading 4 58" xfId="3000" xr:uid="{00000000-0005-0000-0000-00002F520000}"/>
    <cellStyle name="Heading 4 59" xfId="3001" xr:uid="{00000000-0005-0000-0000-000030520000}"/>
    <cellStyle name="Heading 4 6" xfId="3002" xr:uid="{00000000-0005-0000-0000-000031520000}"/>
    <cellStyle name="Heading 4 60" xfId="3003" xr:uid="{00000000-0005-0000-0000-000032520000}"/>
    <cellStyle name="Heading 4 61" xfId="3004" xr:uid="{00000000-0005-0000-0000-000033520000}"/>
    <cellStyle name="Heading 4 62" xfId="3005" xr:uid="{00000000-0005-0000-0000-000034520000}"/>
    <cellStyle name="Heading 4 63" xfId="3006" xr:uid="{00000000-0005-0000-0000-000035520000}"/>
    <cellStyle name="Heading 4 64" xfId="3007" xr:uid="{00000000-0005-0000-0000-000036520000}"/>
    <cellStyle name="Heading 4 65" xfId="3008" xr:uid="{00000000-0005-0000-0000-000037520000}"/>
    <cellStyle name="Heading 4 66" xfId="3009" xr:uid="{00000000-0005-0000-0000-000038520000}"/>
    <cellStyle name="Heading 4 67" xfId="3010" xr:uid="{00000000-0005-0000-0000-000039520000}"/>
    <cellStyle name="Heading 4 68" xfId="3011" xr:uid="{00000000-0005-0000-0000-00003A520000}"/>
    <cellStyle name="Heading 4 69" xfId="3012" xr:uid="{00000000-0005-0000-0000-00003B520000}"/>
    <cellStyle name="Heading 4 7" xfId="3013" xr:uid="{00000000-0005-0000-0000-00003C520000}"/>
    <cellStyle name="Heading 4 70" xfId="3014" xr:uid="{00000000-0005-0000-0000-00003D520000}"/>
    <cellStyle name="Heading 4 71" xfId="3015" xr:uid="{00000000-0005-0000-0000-00003E520000}"/>
    <cellStyle name="Heading 4 72" xfId="3016" xr:uid="{00000000-0005-0000-0000-00003F520000}"/>
    <cellStyle name="Heading 4 8" xfId="3017" xr:uid="{00000000-0005-0000-0000-000040520000}"/>
    <cellStyle name="Heading 4 9" xfId="3018" xr:uid="{00000000-0005-0000-0000-000041520000}"/>
    <cellStyle name="HEADING1" xfId="570" xr:uid="{00000000-0005-0000-0000-000042520000}"/>
    <cellStyle name="HEADING2" xfId="571" xr:uid="{00000000-0005-0000-0000-000043520000}"/>
    <cellStyle name="HEADING2 2" xfId="24119" xr:uid="{00000000-0005-0000-0000-000044520000}"/>
    <cellStyle name="Hyperlink" xfId="4620" builtinId="8" customBuiltin="1"/>
    <cellStyle name="Hyperlink 2" xfId="645" xr:uid="{00000000-0005-0000-0000-000046520000}"/>
    <cellStyle name="Hyperlink 2 2" xfId="3019" xr:uid="{00000000-0005-0000-0000-000047520000}"/>
    <cellStyle name="Hyperlink 3" xfId="3020" xr:uid="{00000000-0005-0000-0000-000048520000}"/>
    <cellStyle name="Hyperlink 4" xfId="23892" xr:uid="{00000000-0005-0000-0000-000049520000}"/>
    <cellStyle name="Hyperlink 5" xfId="33358" xr:uid="{4890475D-DAAD-4B59-ACD7-CBDDB3FEF2DB}"/>
    <cellStyle name="Hyperlink 6" xfId="33366" xr:uid="{AE549A7D-FC96-4DE0-A8BC-C13C7B1FA584}"/>
    <cellStyle name="Input [yellow]" xfId="44" xr:uid="{00000000-0005-0000-0000-00004A520000}"/>
    <cellStyle name="Input [yellow] 2" xfId="24553" xr:uid="{00000000-0005-0000-0000-00004B520000}"/>
    <cellStyle name="Input 10" xfId="189" xr:uid="{00000000-0005-0000-0000-00004C520000}"/>
    <cellStyle name="Input 10 2" xfId="3021" xr:uid="{00000000-0005-0000-0000-00004D520000}"/>
    <cellStyle name="Input 10 3" xfId="13690" xr:uid="{00000000-0005-0000-0000-00004E520000}"/>
    <cellStyle name="Input 11" xfId="190" xr:uid="{00000000-0005-0000-0000-00004F520000}"/>
    <cellStyle name="Input 11 2" xfId="3022" xr:uid="{00000000-0005-0000-0000-000050520000}"/>
    <cellStyle name="Input 11 3" xfId="13691" xr:uid="{00000000-0005-0000-0000-000051520000}"/>
    <cellStyle name="Input 12" xfId="191" xr:uid="{00000000-0005-0000-0000-000052520000}"/>
    <cellStyle name="Input 12 2" xfId="3023" xr:uid="{00000000-0005-0000-0000-000053520000}"/>
    <cellStyle name="Input 12 3" xfId="13692" xr:uid="{00000000-0005-0000-0000-000054520000}"/>
    <cellStyle name="Input 13" xfId="192" xr:uid="{00000000-0005-0000-0000-000055520000}"/>
    <cellStyle name="Input 13 2" xfId="3024" xr:uid="{00000000-0005-0000-0000-000056520000}"/>
    <cellStyle name="Input 13 3" xfId="13693" xr:uid="{00000000-0005-0000-0000-000057520000}"/>
    <cellStyle name="Input 14" xfId="193" xr:uid="{00000000-0005-0000-0000-000058520000}"/>
    <cellStyle name="Input 14 2" xfId="3025" xr:uid="{00000000-0005-0000-0000-000059520000}"/>
    <cellStyle name="Input 14 3" xfId="13694" xr:uid="{00000000-0005-0000-0000-00005A520000}"/>
    <cellStyle name="Input 15" xfId="284" xr:uid="{00000000-0005-0000-0000-00005B520000}"/>
    <cellStyle name="Input 15 2" xfId="3026" xr:uid="{00000000-0005-0000-0000-00005C520000}"/>
    <cellStyle name="Input 15 3" xfId="13737" xr:uid="{00000000-0005-0000-0000-00005D520000}"/>
    <cellStyle name="Input 16" xfId="285" xr:uid="{00000000-0005-0000-0000-00005E520000}"/>
    <cellStyle name="Input 16 2" xfId="3027" xr:uid="{00000000-0005-0000-0000-00005F520000}"/>
    <cellStyle name="Input 16 3" xfId="13738" xr:uid="{00000000-0005-0000-0000-000060520000}"/>
    <cellStyle name="Input 17" xfId="292" xr:uid="{00000000-0005-0000-0000-000061520000}"/>
    <cellStyle name="Input 17 2" xfId="3028" xr:uid="{00000000-0005-0000-0000-000062520000}"/>
    <cellStyle name="Input 17 3" xfId="13739" xr:uid="{00000000-0005-0000-0000-000063520000}"/>
    <cellStyle name="Input 18" xfId="293" xr:uid="{00000000-0005-0000-0000-000064520000}"/>
    <cellStyle name="Input 18 2" xfId="3029" xr:uid="{00000000-0005-0000-0000-000065520000}"/>
    <cellStyle name="Input 18 3" xfId="13740" xr:uid="{00000000-0005-0000-0000-000066520000}"/>
    <cellStyle name="Input 19" xfId="294" xr:uid="{00000000-0005-0000-0000-000067520000}"/>
    <cellStyle name="Input 19 2" xfId="3030" xr:uid="{00000000-0005-0000-0000-000068520000}"/>
    <cellStyle name="Input 19 3" xfId="13741" xr:uid="{00000000-0005-0000-0000-000069520000}"/>
    <cellStyle name="Input 2" xfId="45" xr:uid="{00000000-0005-0000-0000-00006A520000}"/>
    <cellStyle name="Input 2 2" xfId="3031" xr:uid="{00000000-0005-0000-0000-00006B520000}"/>
    <cellStyle name="Input 2 2 2" xfId="24121" xr:uid="{00000000-0005-0000-0000-00006C520000}"/>
    <cellStyle name="Input 2 2 2 2" xfId="25560" xr:uid="{00000000-0005-0000-0000-00006D520000}"/>
    <cellStyle name="Input 2 2 2 2 2" xfId="27713" xr:uid="{00000000-0005-0000-0000-00006E520000}"/>
    <cellStyle name="Input 2 2 2 2 2 2" xfId="32300" xr:uid="{DEA2D1D5-199E-48CA-A0DB-B513A9775CCE}"/>
    <cellStyle name="Input 2 2 2 2 3" xfId="29228" xr:uid="{00000000-0005-0000-0000-00006F520000}"/>
    <cellStyle name="Input 2 2 2 2 3 2" xfId="33211" xr:uid="{B04B477A-67A8-4A5B-BAF9-D885E02499ED}"/>
    <cellStyle name="Input 2 2 2 2 4" xfId="26097" xr:uid="{00000000-0005-0000-0000-000070520000}"/>
    <cellStyle name="Input 2 2 2 2 4 2" xfId="30887" xr:uid="{B109BE65-4712-4529-B976-DB09ED88CF8A}"/>
    <cellStyle name="Input 2 2 2 2 5" xfId="29355" xr:uid="{00000000-0005-0000-0000-000071520000}"/>
    <cellStyle name="Input 2 2 2 2 5 2" xfId="33311" xr:uid="{9C3CF01C-5325-4230-946D-CFEC6DF56141}"/>
    <cellStyle name="Input 2 2 2 2 6" xfId="30617" xr:uid="{BFBE8EEA-6541-44C2-B770-1BDE6C949BEE}"/>
    <cellStyle name="Input 2 2 2 3" xfId="27068" xr:uid="{00000000-0005-0000-0000-000072520000}"/>
    <cellStyle name="Input 2 2 2 3 2" xfId="31801" xr:uid="{7E461B77-A311-4934-9C3C-43910E96F261}"/>
    <cellStyle name="Input 2 2 2 4" xfId="26796" xr:uid="{00000000-0005-0000-0000-000073520000}"/>
    <cellStyle name="Input 2 2 2 4 2" xfId="31557" xr:uid="{95C4C1D9-07F4-4568-BB07-EFB490918427}"/>
    <cellStyle name="Input 2 2 2 5" xfId="27324" xr:uid="{00000000-0005-0000-0000-000074520000}"/>
    <cellStyle name="Input 2 2 2 5 2" xfId="31943" xr:uid="{4DFCC6AC-5BCB-4622-9B2C-D5AEEACC4971}"/>
    <cellStyle name="Input 2 2 2 6" xfId="29356" xr:uid="{00000000-0005-0000-0000-000075520000}"/>
    <cellStyle name="Input 2 2 2 6 2" xfId="33312" xr:uid="{133058CB-2289-4180-83BF-A6B001240682}"/>
    <cellStyle name="Input 2 2 2 7" xfId="30262" xr:uid="{0BCB8DDA-0ACA-41C2-8742-BA203BBE6B36}"/>
    <cellStyle name="Input 2 2 3" xfId="24710" xr:uid="{00000000-0005-0000-0000-000076520000}"/>
    <cellStyle name="Input 2 2 3 2" xfId="25356" xr:uid="{00000000-0005-0000-0000-000077520000}"/>
    <cellStyle name="Input 2 2 3 2 2" xfId="27510" xr:uid="{00000000-0005-0000-0000-000078520000}"/>
    <cellStyle name="Input 2 2 3 2 2 2" xfId="32101" xr:uid="{A0313D1B-7297-4813-8187-DF3881D2DA4A}"/>
    <cellStyle name="Input 2 2 3 2 3" xfId="29199" xr:uid="{00000000-0005-0000-0000-000079520000}"/>
    <cellStyle name="Input 2 2 3 2 3 2" xfId="33182" xr:uid="{3A1E0125-B66D-4725-AFE8-A4156A219724}"/>
    <cellStyle name="Input 2 2 3 2 4" xfId="26713" xr:uid="{00000000-0005-0000-0000-00007A520000}"/>
    <cellStyle name="Input 2 2 3 2 4 2" xfId="31475" xr:uid="{7CD6E85F-40CE-49CD-AFFF-E70E73E10EAD}"/>
    <cellStyle name="Input 2 2 3 2 5" xfId="29353" xr:uid="{00000000-0005-0000-0000-00007B520000}"/>
    <cellStyle name="Input 2 2 3 2 5 2" xfId="33309" xr:uid="{C7320FA5-4AEF-47C5-8CE4-E926F3C9CE12}"/>
    <cellStyle name="Input 2 2 3 2 6" xfId="30514" xr:uid="{DCE24F50-9276-46EC-B930-E24A00BF8D1C}"/>
    <cellStyle name="Input 2 2 3 3" xfId="25662" xr:uid="{00000000-0005-0000-0000-00007C520000}"/>
    <cellStyle name="Input 2 2 3 3 2" xfId="27815" xr:uid="{00000000-0005-0000-0000-00007D520000}"/>
    <cellStyle name="Input 2 2 3 3 2 2" xfId="32402" xr:uid="{0CA1B413-17A3-460B-8285-9157B99C7B63}"/>
    <cellStyle name="Input 2 2 3 3 3" xfId="29242" xr:uid="{00000000-0005-0000-0000-00007E520000}"/>
    <cellStyle name="Input 2 2 3 3 3 2" xfId="33224" xr:uid="{A0B0A56B-4143-4E83-822D-A4A74806F409}"/>
    <cellStyle name="Input 2 2 3 3 4" xfId="26954" xr:uid="{00000000-0005-0000-0000-00007F520000}"/>
    <cellStyle name="Input 2 2 3 3 4 2" xfId="31715" xr:uid="{99E4D923-DEF0-439B-89CE-4EDB2821EEA8}"/>
    <cellStyle name="Input 2 2 3 3 5" xfId="29352" xr:uid="{00000000-0005-0000-0000-000080520000}"/>
    <cellStyle name="Input 2 2 3 3 5 2" xfId="33308" xr:uid="{81ABE99A-C2F5-41E7-B400-A098F44E4612}"/>
    <cellStyle name="Input 2 2 3 3 6" xfId="30656" xr:uid="{16896517-7BA3-4675-9EA6-06F1AC3E99C8}"/>
    <cellStyle name="Input 2 2 3 4" xfId="27295" xr:uid="{00000000-0005-0000-0000-000081520000}"/>
    <cellStyle name="Input 2 2 3 4 2" xfId="31924" xr:uid="{5F25D721-1B10-4712-B609-3982A858B093}"/>
    <cellStyle name="Input 2 2 3 5" xfId="26038" xr:uid="{00000000-0005-0000-0000-000082520000}"/>
    <cellStyle name="Input 2 2 3 5 2" xfId="30839" xr:uid="{A9960FBB-36FD-4E20-9596-57038B673E55}"/>
    <cellStyle name="Input 2 2 3 6" xfId="26143" xr:uid="{00000000-0005-0000-0000-000083520000}"/>
    <cellStyle name="Input 2 2 3 6 2" xfId="30933" xr:uid="{C4F499B5-2B02-4389-91F5-30A5688CCF6D}"/>
    <cellStyle name="Input 2 2 3 7" xfId="29354" xr:uid="{00000000-0005-0000-0000-000084520000}"/>
    <cellStyle name="Input 2 2 3 7 2" xfId="33310" xr:uid="{FA0C7424-CDDD-4A07-B67B-5F3FCC98AB21}"/>
    <cellStyle name="Input 2 2 3 8" xfId="30364" xr:uid="{1D83FA6D-C027-4B1E-811A-477D6A3E2A72}"/>
    <cellStyle name="Input 2 2 4" xfId="25028" xr:uid="{00000000-0005-0000-0000-000085520000}"/>
    <cellStyle name="Input 2 2 4 2" xfId="25368" xr:uid="{00000000-0005-0000-0000-000086520000}"/>
    <cellStyle name="Input 2 2 4 2 2" xfId="27522" xr:uid="{00000000-0005-0000-0000-000087520000}"/>
    <cellStyle name="Input 2 2 4 2 2 2" xfId="32113" xr:uid="{C91D4BD8-606A-43A7-99DB-0604BBA0D8C6}"/>
    <cellStyle name="Input 2 2 4 2 3" xfId="29201" xr:uid="{00000000-0005-0000-0000-000088520000}"/>
    <cellStyle name="Input 2 2 4 2 3 2" xfId="33184" xr:uid="{5F13D847-9897-4A22-B67E-7637E22EAD3B}"/>
    <cellStyle name="Input 2 2 4 2 4" xfId="26536" xr:uid="{00000000-0005-0000-0000-000089520000}"/>
    <cellStyle name="Input 2 2 4 2 4 2" xfId="31323" xr:uid="{3293237A-DA33-4389-A332-4C597C3E8402}"/>
    <cellStyle name="Input 2 2 4 2 5" xfId="29350" xr:uid="{00000000-0005-0000-0000-00008A520000}"/>
    <cellStyle name="Input 2 2 4 2 5 2" xfId="33306" xr:uid="{735608FB-094D-424C-94BD-D78B25ED86E7}"/>
    <cellStyle name="Input 2 2 4 2 6" xfId="30526" xr:uid="{36522225-C871-47DD-B0E5-9346439AB56D}"/>
    <cellStyle name="Input 2 2 4 3" xfId="25673" xr:uid="{00000000-0005-0000-0000-00008B520000}"/>
    <cellStyle name="Input 2 2 4 3 2" xfId="27826" xr:uid="{00000000-0005-0000-0000-00008C520000}"/>
    <cellStyle name="Input 2 2 4 3 2 2" xfId="32413" xr:uid="{6487B191-648A-47EF-8A70-E6E63FFD29E0}"/>
    <cellStyle name="Input 2 2 4 3 3" xfId="29253" xr:uid="{00000000-0005-0000-0000-00008D520000}"/>
    <cellStyle name="Input 2 2 4 3 3 2" xfId="33235" xr:uid="{C7FC3181-CE11-4178-BB07-9601F16DA8EF}"/>
    <cellStyle name="Input 2 2 4 3 4" xfId="27428" xr:uid="{00000000-0005-0000-0000-00008E520000}"/>
    <cellStyle name="Input 2 2 4 3 4 2" xfId="32026" xr:uid="{3A00AA27-F5D1-4583-A4F0-13D8997BF157}"/>
    <cellStyle name="Input 2 2 4 3 5" xfId="29349" xr:uid="{00000000-0005-0000-0000-00008F520000}"/>
    <cellStyle name="Input 2 2 4 3 5 2" xfId="33305" xr:uid="{1EFBD8C1-9036-4EF5-8065-FCE76B4834B3}"/>
    <cellStyle name="Input 2 2 4 3 6" xfId="30667" xr:uid="{1915A571-A1C9-4B81-BFD3-B7CD704BFCB9}"/>
    <cellStyle name="Input 2 2 4 4" xfId="27356" xr:uid="{00000000-0005-0000-0000-000090520000}"/>
    <cellStyle name="Input 2 2 4 4 2" xfId="31954" xr:uid="{C5CFA7BA-698D-4B9E-B679-00C73229E2CB}"/>
    <cellStyle name="Input 2 2 4 5" xfId="26193" xr:uid="{00000000-0005-0000-0000-000091520000}"/>
    <cellStyle name="Input 2 2 4 5 2" xfId="30981" xr:uid="{E9A45585-B266-430D-8BC3-0AED55736E98}"/>
    <cellStyle name="Input 2 2 4 6" xfId="26544" xr:uid="{00000000-0005-0000-0000-000092520000}"/>
    <cellStyle name="Input 2 2 4 6 2" xfId="31331" xr:uid="{55855F09-CB8F-4BFF-A4ED-B7CA22461897}"/>
    <cellStyle name="Input 2 2 4 7" xfId="29351" xr:uid="{00000000-0005-0000-0000-000093520000}"/>
    <cellStyle name="Input 2 2 4 7 2" xfId="33307" xr:uid="{433B46DA-A25E-462F-9AE9-B9810E9014E7}"/>
    <cellStyle name="Input 2 2 4 8" xfId="30375" xr:uid="{5418D3A4-7580-47B9-A3FF-AD83428849E6}"/>
    <cellStyle name="Input 2 3" xfId="13610" xr:uid="{00000000-0005-0000-0000-000094520000}"/>
    <cellStyle name="Input 2 4" xfId="24120" xr:uid="{00000000-0005-0000-0000-000095520000}"/>
    <cellStyle name="Input 2 4 2" xfId="25559" xr:uid="{00000000-0005-0000-0000-000096520000}"/>
    <cellStyle name="Input 2 4 2 2" xfId="27712" xr:uid="{00000000-0005-0000-0000-000097520000}"/>
    <cellStyle name="Input 2 4 2 2 2" xfId="32299" xr:uid="{D1A9F778-B7C5-4FB9-8087-66C34CC4364E}"/>
    <cellStyle name="Input 2 4 2 3" xfId="29227" xr:uid="{00000000-0005-0000-0000-000098520000}"/>
    <cellStyle name="Input 2 4 2 3 2" xfId="33210" xr:uid="{6E0D8B2D-7C7F-41B2-9ADD-896FCBFEB2D9}"/>
    <cellStyle name="Input 2 4 2 4" xfId="27004" xr:uid="{00000000-0005-0000-0000-000099520000}"/>
    <cellStyle name="Input 2 4 2 4 2" xfId="31764" xr:uid="{EF3A1B28-0DB0-4B92-91B5-330902F02C45}"/>
    <cellStyle name="Input 2 4 2 5" xfId="29347" xr:uid="{00000000-0005-0000-0000-00009A520000}"/>
    <cellStyle name="Input 2 4 2 5 2" xfId="33303" xr:uid="{FB1B48CC-AF9B-4F2D-AB96-3F8957756894}"/>
    <cellStyle name="Input 2 4 2 6" xfId="30616" xr:uid="{B40FDEA0-8303-4956-8460-55DE1807072C}"/>
    <cellStyle name="Input 2 4 3" xfId="27067" xr:uid="{00000000-0005-0000-0000-00009B520000}"/>
    <cellStyle name="Input 2 4 3 2" xfId="31800" xr:uid="{7721FA45-A001-4BE5-8DE9-1FC1997F6AB6}"/>
    <cellStyle name="Input 2 4 4" xfId="26272" xr:uid="{00000000-0005-0000-0000-00009C520000}"/>
    <cellStyle name="Input 2 4 4 2" xfId="31060" xr:uid="{AA08323D-F021-483B-B751-D6A3F30394CC}"/>
    <cellStyle name="Input 2 4 5" xfId="26322" xr:uid="{00000000-0005-0000-0000-00009D520000}"/>
    <cellStyle name="Input 2 4 5 2" xfId="31110" xr:uid="{923598D2-5E15-45B9-A526-8ED30F8D768D}"/>
    <cellStyle name="Input 2 4 6" xfId="29348" xr:uid="{00000000-0005-0000-0000-00009E520000}"/>
    <cellStyle name="Input 2 4 6 2" xfId="33304" xr:uid="{8A0B3D24-CCC7-4D53-95DE-E91C392A7B8E}"/>
    <cellStyle name="Input 2 4 7" xfId="30261" xr:uid="{E707517C-CE5B-4D1D-B03F-52A2F441A067}"/>
    <cellStyle name="Input 2 5" xfId="24709" xr:uid="{00000000-0005-0000-0000-00009F520000}"/>
    <cellStyle name="Input 2 5 2" xfId="25439" xr:uid="{00000000-0005-0000-0000-0000A0520000}"/>
    <cellStyle name="Input 2 5 2 2" xfId="27593" xr:uid="{00000000-0005-0000-0000-0000A1520000}"/>
    <cellStyle name="Input 2 5 2 2 2" xfId="32184" xr:uid="{5BB2B5BD-4AB4-4E69-990C-6AA34077698F}"/>
    <cellStyle name="Input 2 5 2 3" xfId="29212" xr:uid="{00000000-0005-0000-0000-0000A2520000}"/>
    <cellStyle name="Input 2 5 2 3 2" xfId="33195" xr:uid="{87EDA0D4-C745-470F-BE1D-131F33AB05C7}"/>
    <cellStyle name="Input 2 5 2 4" xfId="26974" xr:uid="{00000000-0005-0000-0000-0000A3520000}"/>
    <cellStyle name="Input 2 5 2 4 2" xfId="31735" xr:uid="{31B1362A-E0BA-4C83-B6B4-D182AAEF943D}"/>
    <cellStyle name="Input 2 5 2 5" xfId="29345" xr:uid="{00000000-0005-0000-0000-0000A4520000}"/>
    <cellStyle name="Input 2 5 2 5 2" xfId="33301" xr:uid="{7A76B636-B932-4298-9645-47BE108FEEE1}"/>
    <cellStyle name="Input 2 5 2 6" xfId="30597" xr:uid="{7415661F-9239-4950-B80E-18709865A38F}"/>
    <cellStyle name="Input 2 5 3" xfId="25661" xr:uid="{00000000-0005-0000-0000-0000A5520000}"/>
    <cellStyle name="Input 2 5 3 2" xfId="27814" xr:uid="{00000000-0005-0000-0000-0000A6520000}"/>
    <cellStyle name="Input 2 5 3 2 2" xfId="32401" xr:uid="{9E5F11BB-B96A-495B-8795-A31B46D47E3D}"/>
    <cellStyle name="Input 2 5 3 3" xfId="29241" xr:uid="{00000000-0005-0000-0000-0000A7520000}"/>
    <cellStyle name="Input 2 5 3 3 2" xfId="33223" xr:uid="{6CC98C51-27A5-4523-B992-85AC5E60F363}"/>
    <cellStyle name="Input 2 5 3 4" xfId="26916" xr:uid="{00000000-0005-0000-0000-0000A8520000}"/>
    <cellStyle name="Input 2 5 3 4 2" xfId="31677" xr:uid="{AD2A09C2-67EC-4DA9-A562-03F38577B11B}"/>
    <cellStyle name="Input 2 5 3 5" xfId="29344" xr:uid="{00000000-0005-0000-0000-0000A9520000}"/>
    <cellStyle name="Input 2 5 3 5 2" xfId="33300" xr:uid="{346696C3-9588-48C1-9314-68E023406BFF}"/>
    <cellStyle name="Input 2 5 3 6" xfId="30655" xr:uid="{552BAE60-52DF-4955-B9D3-968B258058BA}"/>
    <cellStyle name="Input 2 5 4" xfId="27294" xr:uid="{00000000-0005-0000-0000-0000AA520000}"/>
    <cellStyle name="Input 2 5 4 2" xfId="31923" xr:uid="{70824F6A-F7DF-4A02-9F58-31FE177D5B7F}"/>
    <cellStyle name="Input 2 5 5" xfId="26673" xr:uid="{00000000-0005-0000-0000-0000AB520000}"/>
    <cellStyle name="Input 2 5 5 2" xfId="31441" xr:uid="{45C1AD18-1CDF-4EA3-BFC2-0E1D29D9632C}"/>
    <cellStyle name="Input 2 5 6" xfId="26283" xr:uid="{00000000-0005-0000-0000-0000AC520000}"/>
    <cellStyle name="Input 2 5 6 2" xfId="31071" xr:uid="{E6414BC8-4C8A-4E6F-9B26-2B3E9A047C70}"/>
    <cellStyle name="Input 2 5 7" xfId="29346" xr:uid="{00000000-0005-0000-0000-0000AD520000}"/>
    <cellStyle name="Input 2 5 7 2" xfId="33302" xr:uid="{9E1139AD-BA38-4916-96C9-F3F10826B6D7}"/>
    <cellStyle name="Input 2 5 8" xfId="30363" xr:uid="{17833192-E91B-480A-9D4F-40999972B5BE}"/>
    <cellStyle name="Input 2 6" xfId="25027" xr:uid="{00000000-0005-0000-0000-0000AE520000}"/>
    <cellStyle name="Input 2 6 2" xfId="25285" xr:uid="{00000000-0005-0000-0000-0000AF520000}"/>
    <cellStyle name="Input 2 6 2 2" xfId="27440" xr:uid="{00000000-0005-0000-0000-0000B0520000}"/>
    <cellStyle name="Input 2 6 2 2 2" xfId="32035" xr:uid="{E700BDEB-E790-4B05-AC58-9B909AA1C6F2}"/>
    <cellStyle name="Input 2 6 2 3" xfId="29187" xr:uid="{00000000-0005-0000-0000-0000B1520000}"/>
    <cellStyle name="Input 2 6 2 3 2" xfId="33170" xr:uid="{8FFAA850-CD61-404E-87C2-EDECB3AA2F11}"/>
    <cellStyle name="Input 2 6 2 4" xfId="26415" xr:uid="{00000000-0005-0000-0000-0000B2520000}"/>
    <cellStyle name="Input 2 6 2 4 2" xfId="31203" xr:uid="{0EEB58C7-8BAB-4243-BB7E-7E5178F0132A}"/>
    <cellStyle name="Input 2 6 2 5" xfId="29342" xr:uid="{00000000-0005-0000-0000-0000B3520000}"/>
    <cellStyle name="Input 2 6 2 5 2" xfId="33298" xr:uid="{422A13E5-D6E0-4ADD-8BBF-2AE7BE0DC22F}"/>
    <cellStyle name="Input 2 6 2 6" xfId="30448" xr:uid="{2648E5B0-1BAA-4CD5-B023-FB3AB3587A72}"/>
    <cellStyle name="Input 2 6 3" xfId="25672" xr:uid="{00000000-0005-0000-0000-0000B4520000}"/>
    <cellStyle name="Input 2 6 3 2" xfId="27825" xr:uid="{00000000-0005-0000-0000-0000B5520000}"/>
    <cellStyle name="Input 2 6 3 2 2" xfId="32412" xr:uid="{B94292EC-7BC6-4335-AECF-39C181E07332}"/>
    <cellStyle name="Input 2 6 3 3" xfId="29252" xr:uid="{00000000-0005-0000-0000-0000B6520000}"/>
    <cellStyle name="Input 2 6 3 3 2" xfId="33234" xr:uid="{F4A78A2E-278D-4C0A-9D21-4581E3E03710}"/>
    <cellStyle name="Input 2 6 3 4" xfId="26307" xr:uid="{00000000-0005-0000-0000-0000B7520000}"/>
    <cellStyle name="Input 2 6 3 4 2" xfId="31095" xr:uid="{1A950E0D-EA5E-4763-BE00-9D102F03609D}"/>
    <cellStyle name="Input 2 6 3 5" xfId="29341" xr:uid="{00000000-0005-0000-0000-0000B8520000}"/>
    <cellStyle name="Input 2 6 3 5 2" xfId="33297" xr:uid="{F92B8533-F057-47D1-BB76-3105334961E7}"/>
    <cellStyle name="Input 2 6 3 6" xfId="30666" xr:uid="{5B83E03A-D9AD-411D-9E45-F25C21B3D7FB}"/>
    <cellStyle name="Input 2 6 4" xfId="27355" xr:uid="{00000000-0005-0000-0000-0000B9520000}"/>
    <cellStyle name="Input 2 6 4 2" xfId="31953" xr:uid="{4AE862CF-1F5A-4D02-B1A7-4F1281C95743}"/>
    <cellStyle name="Input 2 6 5" xfId="27134" xr:uid="{00000000-0005-0000-0000-0000BA520000}"/>
    <cellStyle name="Input 2 6 5 2" xfId="31848" xr:uid="{12AB2457-5B4B-4CED-91E7-95DB6340BCCF}"/>
    <cellStyle name="Input 2 6 6" xfId="26082" xr:uid="{00000000-0005-0000-0000-0000BB520000}"/>
    <cellStyle name="Input 2 6 6 2" xfId="30872" xr:uid="{05C02FF8-C50A-4BBC-BD83-8657B76320D6}"/>
    <cellStyle name="Input 2 6 7" xfId="29343" xr:uid="{00000000-0005-0000-0000-0000BC520000}"/>
    <cellStyle name="Input 2 6 7 2" xfId="33299" xr:uid="{100FC168-FF29-4586-B1EC-4DFC0E1C4A5A}"/>
    <cellStyle name="Input 2 6 8" xfId="30374" xr:uid="{AFBB2A88-41FA-4F53-A856-199FD478F98B}"/>
    <cellStyle name="Input 20" xfId="295" xr:uid="{00000000-0005-0000-0000-0000BD520000}"/>
    <cellStyle name="Input 20 2" xfId="3032" xr:uid="{00000000-0005-0000-0000-0000BE520000}"/>
    <cellStyle name="Input 20 3" xfId="13742" xr:uid="{00000000-0005-0000-0000-0000BF520000}"/>
    <cellStyle name="Input 21" xfId="302" xr:uid="{00000000-0005-0000-0000-0000C0520000}"/>
    <cellStyle name="Input 21 2" xfId="3033" xr:uid="{00000000-0005-0000-0000-0000C1520000}"/>
    <cellStyle name="Input 21 3" xfId="13743" xr:uid="{00000000-0005-0000-0000-0000C2520000}"/>
    <cellStyle name="Input 22" xfId="303" xr:uid="{00000000-0005-0000-0000-0000C3520000}"/>
    <cellStyle name="Input 22 2" xfId="3034" xr:uid="{00000000-0005-0000-0000-0000C4520000}"/>
    <cellStyle name="Input 22 3" xfId="13744" xr:uid="{00000000-0005-0000-0000-0000C5520000}"/>
    <cellStyle name="Input 23" xfId="316" xr:uid="{00000000-0005-0000-0000-0000C6520000}"/>
    <cellStyle name="Input 23 2" xfId="3035" xr:uid="{00000000-0005-0000-0000-0000C7520000}"/>
    <cellStyle name="Input 23 3" xfId="13747" xr:uid="{00000000-0005-0000-0000-0000C8520000}"/>
    <cellStyle name="Input 24" xfId="317" xr:uid="{00000000-0005-0000-0000-0000C9520000}"/>
    <cellStyle name="Input 24 2" xfId="3036" xr:uid="{00000000-0005-0000-0000-0000CA520000}"/>
    <cellStyle name="Input 24 3" xfId="13748" xr:uid="{00000000-0005-0000-0000-0000CB520000}"/>
    <cellStyle name="Input 25" xfId="318" xr:uid="{00000000-0005-0000-0000-0000CC520000}"/>
    <cellStyle name="Input 25 2" xfId="3037" xr:uid="{00000000-0005-0000-0000-0000CD520000}"/>
    <cellStyle name="Input 25 3" xfId="13749" xr:uid="{00000000-0005-0000-0000-0000CE520000}"/>
    <cellStyle name="Input 26" xfId="319" xr:uid="{00000000-0005-0000-0000-0000CF520000}"/>
    <cellStyle name="Input 26 2" xfId="3038" xr:uid="{00000000-0005-0000-0000-0000D0520000}"/>
    <cellStyle name="Input 26 3" xfId="13750" xr:uid="{00000000-0005-0000-0000-0000D1520000}"/>
    <cellStyle name="Input 27" xfId="320" xr:uid="{00000000-0005-0000-0000-0000D2520000}"/>
    <cellStyle name="Input 27 2" xfId="3039" xr:uid="{00000000-0005-0000-0000-0000D3520000}"/>
    <cellStyle name="Input 27 3" xfId="13751" xr:uid="{00000000-0005-0000-0000-0000D4520000}"/>
    <cellStyle name="Input 28" xfId="321" xr:uid="{00000000-0005-0000-0000-0000D5520000}"/>
    <cellStyle name="Input 28 2" xfId="3040" xr:uid="{00000000-0005-0000-0000-0000D6520000}"/>
    <cellStyle name="Input 28 3" xfId="13752" xr:uid="{00000000-0005-0000-0000-0000D7520000}"/>
    <cellStyle name="Input 29" xfId="322" xr:uid="{00000000-0005-0000-0000-0000D8520000}"/>
    <cellStyle name="Input 29 2" xfId="3041" xr:uid="{00000000-0005-0000-0000-0000D9520000}"/>
    <cellStyle name="Input 29 3" xfId="13753" xr:uid="{00000000-0005-0000-0000-0000DA520000}"/>
    <cellStyle name="Input 3" xfId="194" xr:uid="{00000000-0005-0000-0000-0000DB520000}"/>
    <cellStyle name="Input 3 2" xfId="3042" xr:uid="{00000000-0005-0000-0000-0000DC520000}"/>
    <cellStyle name="Input 3 3" xfId="13695" xr:uid="{00000000-0005-0000-0000-0000DD520000}"/>
    <cellStyle name="Input 3 4" xfId="24122" xr:uid="{00000000-0005-0000-0000-0000DE520000}"/>
    <cellStyle name="Input 3 4 2" xfId="25561" xr:uid="{00000000-0005-0000-0000-0000DF520000}"/>
    <cellStyle name="Input 3 4 2 2" xfId="27714" xr:uid="{00000000-0005-0000-0000-0000E0520000}"/>
    <cellStyle name="Input 3 4 2 2 2" xfId="32301" xr:uid="{6E23F5EC-513C-4D59-AD8D-D3B93B4AFD5C}"/>
    <cellStyle name="Input 3 4 2 3" xfId="29229" xr:uid="{00000000-0005-0000-0000-0000E1520000}"/>
    <cellStyle name="Input 3 4 2 3 2" xfId="33212" xr:uid="{E162EF87-FEEE-4A48-A2F4-BA005722565C}"/>
    <cellStyle name="Input 3 4 2 4" xfId="26770" xr:uid="{00000000-0005-0000-0000-0000E2520000}"/>
    <cellStyle name="Input 3 4 2 4 2" xfId="31531" xr:uid="{4D94989F-EC26-4ABA-A5D3-8CEA6B0D9456}"/>
    <cellStyle name="Input 3 4 2 5" xfId="29339" xr:uid="{00000000-0005-0000-0000-0000E3520000}"/>
    <cellStyle name="Input 3 4 2 5 2" xfId="33295" xr:uid="{866F3327-B456-4E21-A19D-AEF6CA60ABE3}"/>
    <cellStyle name="Input 3 4 2 6" xfId="30618" xr:uid="{A8FCCB5A-1F61-4E31-A8D2-95200B37010B}"/>
    <cellStyle name="Input 3 4 3" xfId="27069" xr:uid="{00000000-0005-0000-0000-0000E4520000}"/>
    <cellStyle name="Input 3 4 3 2" xfId="31802" xr:uid="{A125AC63-A9EE-41DE-9BD1-46BF316AD0A5}"/>
    <cellStyle name="Input 3 4 4" xfId="26717" xr:uid="{00000000-0005-0000-0000-0000E5520000}"/>
    <cellStyle name="Input 3 4 4 2" xfId="31479" xr:uid="{37D5CB7B-EE79-4F2A-B1D2-3F299DBCEBED}"/>
    <cellStyle name="Input 3 4 5" xfId="26292" xr:uid="{00000000-0005-0000-0000-0000E6520000}"/>
    <cellStyle name="Input 3 4 5 2" xfId="31080" xr:uid="{CB946FDF-8694-4FE7-9FF7-2089DECD88C6}"/>
    <cellStyle name="Input 3 4 6" xfId="29340" xr:uid="{00000000-0005-0000-0000-0000E7520000}"/>
    <cellStyle name="Input 3 4 6 2" xfId="33296" xr:uid="{3577AE6F-ED7B-47A3-8625-3583A588D619}"/>
    <cellStyle name="Input 3 4 7" xfId="30263" xr:uid="{9739CE83-9659-4DD5-A29C-02A263AC56B4}"/>
    <cellStyle name="Input 3 5" xfId="24711" xr:uid="{00000000-0005-0000-0000-0000E8520000}"/>
    <cellStyle name="Input 3 5 2" xfId="25390" xr:uid="{00000000-0005-0000-0000-0000E9520000}"/>
    <cellStyle name="Input 3 5 2 2" xfId="27544" xr:uid="{00000000-0005-0000-0000-0000EA520000}"/>
    <cellStyle name="Input 3 5 2 2 2" xfId="32135" xr:uid="{EA1E8058-75A5-4582-893B-D3203D51F000}"/>
    <cellStyle name="Input 3 5 2 3" xfId="29207" xr:uid="{00000000-0005-0000-0000-0000EB520000}"/>
    <cellStyle name="Input 3 5 2 3 2" xfId="33190" xr:uid="{A69C41E3-D08A-427A-97C4-9C54BF273EDF}"/>
    <cellStyle name="Input 3 5 2 4" xfId="27162" xr:uid="{00000000-0005-0000-0000-0000EC520000}"/>
    <cellStyle name="Input 3 5 2 4 2" xfId="31853" xr:uid="{67843EBB-98DB-4552-9D34-A127669A1A25}"/>
    <cellStyle name="Input 3 5 2 5" xfId="29337" xr:uid="{00000000-0005-0000-0000-0000ED520000}"/>
    <cellStyle name="Input 3 5 2 5 2" xfId="33293" xr:uid="{1103E0F6-184A-48DA-A05F-89EF07426AFA}"/>
    <cellStyle name="Input 3 5 2 6" xfId="30548" xr:uid="{2A090ED8-8131-44B8-A289-F9F419761521}"/>
    <cellStyle name="Input 3 5 3" xfId="25663" xr:uid="{00000000-0005-0000-0000-0000EE520000}"/>
    <cellStyle name="Input 3 5 3 2" xfId="27816" xr:uid="{00000000-0005-0000-0000-0000EF520000}"/>
    <cellStyle name="Input 3 5 3 2 2" xfId="32403" xr:uid="{1B1E0633-749B-4DFA-8F34-F63FAF7AEA30}"/>
    <cellStyle name="Input 3 5 3 3" xfId="29243" xr:uid="{00000000-0005-0000-0000-0000F0520000}"/>
    <cellStyle name="Input 3 5 3 3 2" xfId="33225" xr:uid="{AAD34447-89FB-48E9-A74D-CFD33B3189DF}"/>
    <cellStyle name="Input 3 5 3 4" xfId="26710" xr:uid="{00000000-0005-0000-0000-0000F1520000}"/>
    <cellStyle name="Input 3 5 3 4 2" xfId="31472" xr:uid="{93143187-349A-4759-BC4F-53B76002E818}"/>
    <cellStyle name="Input 3 5 3 5" xfId="29336" xr:uid="{00000000-0005-0000-0000-0000F2520000}"/>
    <cellStyle name="Input 3 5 3 5 2" xfId="33292" xr:uid="{7ED6891E-6AB3-4E0D-A22D-27156C617EE9}"/>
    <cellStyle name="Input 3 5 3 6" xfId="30657" xr:uid="{88375DD6-53E9-4A55-BCCF-344EB6F243E1}"/>
    <cellStyle name="Input 3 5 4" xfId="27296" xr:uid="{00000000-0005-0000-0000-0000F3520000}"/>
    <cellStyle name="Input 3 5 4 2" xfId="31925" xr:uid="{AAF78B55-887E-4732-858F-11C071F04D12}"/>
    <cellStyle name="Input 3 5 5" xfId="26683" xr:uid="{00000000-0005-0000-0000-0000F4520000}"/>
    <cellStyle name="Input 3 5 5 2" xfId="31446" xr:uid="{3DD51965-0292-40FB-934D-83EBA31EEE98}"/>
    <cellStyle name="Input 3 5 6" xfId="26215" xr:uid="{00000000-0005-0000-0000-0000F5520000}"/>
    <cellStyle name="Input 3 5 6 2" xfId="31003" xr:uid="{09C222D4-131E-4ACA-9BD8-CA09E82DAC07}"/>
    <cellStyle name="Input 3 5 7" xfId="29338" xr:uid="{00000000-0005-0000-0000-0000F6520000}"/>
    <cellStyle name="Input 3 5 7 2" xfId="33294" xr:uid="{85F5CD05-09AD-4A71-845D-E427633ACDA9}"/>
    <cellStyle name="Input 3 5 8" xfId="30365" xr:uid="{3CD0362C-D6C9-4A0B-8EA2-C44952FDEABF}"/>
    <cellStyle name="Input 3 6" xfId="25029" xr:uid="{00000000-0005-0000-0000-0000F7520000}"/>
    <cellStyle name="Input 3 6 2" xfId="25382" xr:uid="{00000000-0005-0000-0000-0000F8520000}"/>
    <cellStyle name="Input 3 6 2 2" xfId="27536" xr:uid="{00000000-0005-0000-0000-0000F9520000}"/>
    <cellStyle name="Input 3 6 2 2 2" xfId="32127" xr:uid="{E31BC8A2-08AB-45D3-8161-E024CAA8EC71}"/>
    <cellStyle name="Input 3 6 2 3" xfId="29205" xr:uid="{00000000-0005-0000-0000-0000FA520000}"/>
    <cellStyle name="Input 3 6 2 3 2" xfId="33188" xr:uid="{634AB881-CA41-4006-BCC9-7AC3E16E935D}"/>
    <cellStyle name="Input 3 6 2 4" xfId="26949" xr:uid="{00000000-0005-0000-0000-0000FB520000}"/>
    <cellStyle name="Input 3 6 2 4 2" xfId="31710" xr:uid="{8BE9D352-97BA-4813-AD2F-C50A93132CFC}"/>
    <cellStyle name="Input 3 6 2 5" xfId="29334" xr:uid="{00000000-0005-0000-0000-0000FC520000}"/>
    <cellStyle name="Input 3 6 2 5 2" xfId="33290" xr:uid="{AC09C109-1572-43ED-B9C2-B55893BF3DCD}"/>
    <cellStyle name="Input 3 6 2 6" xfId="30540" xr:uid="{975DEB3E-45C7-4AB9-88D8-81FD138CFCC4}"/>
    <cellStyle name="Input 3 6 3" xfId="25674" xr:uid="{00000000-0005-0000-0000-0000FD520000}"/>
    <cellStyle name="Input 3 6 3 2" xfId="27827" xr:uid="{00000000-0005-0000-0000-0000FE520000}"/>
    <cellStyle name="Input 3 6 3 2 2" xfId="32414" xr:uid="{269B84FB-3DB4-48B2-99C6-479E85C9FF7F}"/>
    <cellStyle name="Input 3 6 3 3" xfId="29254" xr:uid="{00000000-0005-0000-0000-0000FF520000}"/>
    <cellStyle name="Input 3 6 3 3 2" xfId="33236" xr:uid="{03CB5E48-2A58-488C-AFFD-640C6E6C1EC5}"/>
    <cellStyle name="Input 3 6 3 4" xfId="26984" xr:uid="{00000000-0005-0000-0000-000000530000}"/>
    <cellStyle name="Input 3 6 3 4 2" xfId="31745" xr:uid="{CE23C582-41A1-4D17-88BE-2A97E2EA2C7E}"/>
    <cellStyle name="Input 3 6 3 5" xfId="29333" xr:uid="{00000000-0005-0000-0000-000001530000}"/>
    <cellStyle name="Input 3 6 3 5 2" xfId="33289" xr:uid="{62300809-9220-47B5-9704-5C3E5082ED5A}"/>
    <cellStyle name="Input 3 6 3 6" xfId="30668" xr:uid="{DEA6DB75-E682-4802-9058-BD6207F2F736}"/>
    <cellStyle name="Input 3 6 4" xfId="27357" xr:uid="{00000000-0005-0000-0000-000002530000}"/>
    <cellStyle name="Input 3 6 4 2" xfId="31955" xr:uid="{01546079-5209-40CE-B341-16DD8A79E68D}"/>
    <cellStyle name="Input 3 6 5" xfId="26194" xr:uid="{00000000-0005-0000-0000-000003530000}"/>
    <cellStyle name="Input 3 6 5 2" xfId="30982" xr:uid="{6080B1F0-6E6B-4E6E-9356-CEAF10DBCC46}"/>
    <cellStyle name="Input 3 6 6" xfId="26729" xr:uid="{00000000-0005-0000-0000-000004530000}"/>
    <cellStyle name="Input 3 6 6 2" xfId="31490" xr:uid="{49D03351-7551-4FFE-8735-4E8D0BC6E4A2}"/>
    <cellStyle name="Input 3 6 7" xfId="29335" xr:uid="{00000000-0005-0000-0000-000005530000}"/>
    <cellStyle name="Input 3 6 7 2" xfId="33291" xr:uid="{C4853979-678D-4761-8389-532AA084EDBC}"/>
    <cellStyle name="Input 3 6 8" xfId="30376" xr:uid="{0D6E5B60-A9B6-4528-B859-2219A1D7B027}"/>
    <cellStyle name="Input 30" xfId="323" xr:uid="{00000000-0005-0000-0000-000006530000}"/>
    <cellStyle name="Input 30 2" xfId="3043" xr:uid="{00000000-0005-0000-0000-000007530000}"/>
    <cellStyle name="Input 30 3" xfId="13754" xr:uid="{00000000-0005-0000-0000-000008530000}"/>
    <cellStyle name="Input 31" xfId="339" xr:uid="{00000000-0005-0000-0000-000009530000}"/>
    <cellStyle name="Input 31 2" xfId="3044" xr:uid="{00000000-0005-0000-0000-00000A530000}"/>
    <cellStyle name="Input 31 3" xfId="13758" xr:uid="{00000000-0005-0000-0000-00000B530000}"/>
    <cellStyle name="Input 32" xfId="340" xr:uid="{00000000-0005-0000-0000-00000C530000}"/>
    <cellStyle name="Input 32 2" xfId="3045" xr:uid="{00000000-0005-0000-0000-00000D530000}"/>
    <cellStyle name="Input 32 3" xfId="13759" xr:uid="{00000000-0005-0000-0000-00000E530000}"/>
    <cellStyle name="Input 33" xfId="341" xr:uid="{00000000-0005-0000-0000-00000F530000}"/>
    <cellStyle name="Input 33 2" xfId="3046" xr:uid="{00000000-0005-0000-0000-000010530000}"/>
    <cellStyle name="Input 33 3" xfId="13760" xr:uid="{00000000-0005-0000-0000-000011530000}"/>
    <cellStyle name="Input 34" xfId="342" xr:uid="{00000000-0005-0000-0000-000012530000}"/>
    <cellStyle name="Input 34 2" xfId="3047" xr:uid="{00000000-0005-0000-0000-000013530000}"/>
    <cellStyle name="Input 34 3" xfId="13761" xr:uid="{00000000-0005-0000-0000-000014530000}"/>
    <cellStyle name="Input 35" xfId="3048" xr:uid="{00000000-0005-0000-0000-000015530000}"/>
    <cellStyle name="Input 36" xfId="3049" xr:uid="{00000000-0005-0000-0000-000016530000}"/>
    <cellStyle name="Input 37" xfId="3050" xr:uid="{00000000-0005-0000-0000-000017530000}"/>
    <cellStyle name="Input 38" xfId="3051" xr:uid="{00000000-0005-0000-0000-000018530000}"/>
    <cellStyle name="Input 39" xfId="3052" xr:uid="{00000000-0005-0000-0000-000019530000}"/>
    <cellStyle name="Input 4" xfId="195" xr:uid="{00000000-0005-0000-0000-00001A530000}"/>
    <cellStyle name="Input 4 2" xfId="3053" xr:uid="{00000000-0005-0000-0000-00001B530000}"/>
    <cellStyle name="Input 4 3" xfId="13696" xr:uid="{00000000-0005-0000-0000-00001C530000}"/>
    <cellStyle name="Input 4 4" xfId="24123" xr:uid="{00000000-0005-0000-0000-00001D530000}"/>
    <cellStyle name="Input 4 4 2" xfId="25562" xr:uid="{00000000-0005-0000-0000-00001E530000}"/>
    <cellStyle name="Input 4 4 2 2" xfId="27715" xr:uid="{00000000-0005-0000-0000-00001F530000}"/>
    <cellStyle name="Input 4 4 2 2 2" xfId="32302" xr:uid="{AD9383F4-0CAD-4EF2-965A-78BF30AB7329}"/>
    <cellStyle name="Input 4 4 2 3" xfId="29230" xr:uid="{00000000-0005-0000-0000-000020530000}"/>
    <cellStyle name="Input 4 4 2 3 2" xfId="33213" xr:uid="{AC0A2D11-F218-442C-B9D8-FF5F675A1F42}"/>
    <cellStyle name="Input 4 4 2 4" xfId="26159" xr:uid="{00000000-0005-0000-0000-000021530000}"/>
    <cellStyle name="Input 4 4 2 4 2" xfId="30948" xr:uid="{02D13495-9FA8-413C-BF5A-BE9D5EE011B5}"/>
    <cellStyle name="Input 4 4 2 5" xfId="29331" xr:uid="{00000000-0005-0000-0000-000022530000}"/>
    <cellStyle name="Input 4 4 2 5 2" xfId="33287" xr:uid="{29989921-EBA1-440B-8024-F26209036A54}"/>
    <cellStyle name="Input 4 4 2 6" xfId="30619" xr:uid="{292B09CF-C0B4-42A9-8820-EB8ABD5FF17D}"/>
    <cellStyle name="Input 4 4 3" xfId="27070" xr:uid="{00000000-0005-0000-0000-000023530000}"/>
    <cellStyle name="Input 4 4 3 2" xfId="31803" xr:uid="{234973DF-C1C3-4BF6-9691-486D15CD9DAE}"/>
    <cellStyle name="Input 4 4 4" xfId="26551" xr:uid="{00000000-0005-0000-0000-000024530000}"/>
    <cellStyle name="Input 4 4 4 2" xfId="31338" xr:uid="{1FD9942E-4190-4844-82F2-B959B75B6822}"/>
    <cellStyle name="Input 4 4 5" xfId="26842" xr:uid="{00000000-0005-0000-0000-000025530000}"/>
    <cellStyle name="Input 4 4 5 2" xfId="31603" xr:uid="{A220F3F2-21DA-46BE-B70D-51D351352EEF}"/>
    <cellStyle name="Input 4 4 6" xfId="29332" xr:uid="{00000000-0005-0000-0000-000026530000}"/>
    <cellStyle name="Input 4 4 6 2" xfId="33288" xr:uid="{74CA933B-CC88-4E70-B4BD-04F353F88B64}"/>
    <cellStyle name="Input 4 4 7" xfId="30264" xr:uid="{E521E43A-B0BB-4F35-B3CC-6E2FC8CA4FBC}"/>
    <cellStyle name="Input 4 5" xfId="24712" xr:uid="{00000000-0005-0000-0000-000027530000}"/>
    <cellStyle name="Input 4 5 2" xfId="25404" xr:uid="{00000000-0005-0000-0000-000028530000}"/>
    <cellStyle name="Input 4 5 2 2" xfId="27558" xr:uid="{00000000-0005-0000-0000-000029530000}"/>
    <cellStyle name="Input 4 5 2 2 2" xfId="32149" xr:uid="{361E3422-0ED0-49A3-B155-C64B3C6A945F}"/>
    <cellStyle name="Input 4 5 2 3" xfId="29210" xr:uid="{00000000-0005-0000-0000-00002A530000}"/>
    <cellStyle name="Input 4 5 2 3 2" xfId="33193" xr:uid="{F52C6C50-09E6-481E-B030-B701B758964E}"/>
    <cellStyle name="Input 4 5 2 4" xfId="26258" xr:uid="{00000000-0005-0000-0000-00002B530000}"/>
    <cellStyle name="Input 4 5 2 4 2" xfId="31046" xr:uid="{58C69855-BE3D-4551-B524-8F3A1AACDAFE}"/>
    <cellStyle name="Input 4 5 2 5" xfId="29329" xr:uid="{00000000-0005-0000-0000-00002C530000}"/>
    <cellStyle name="Input 4 5 2 5 2" xfId="33285" xr:uid="{E50134C1-5398-4EEF-92DF-8536AB476855}"/>
    <cellStyle name="Input 4 5 2 6" xfId="30562" xr:uid="{9DB2E606-64BC-441D-959B-0C351AD4E5E5}"/>
    <cellStyle name="Input 4 5 3" xfId="25664" xr:uid="{00000000-0005-0000-0000-00002D530000}"/>
    <cellStyle name="Input 4 5 3 2" xfId="27817" xr:uid="{00000000-0005-0000-0000-00002E530000}"/>
    <cellStyle name="Input 4 5 3 2 2" xfId="32404" xr:uid="{97A9A552-3755-4EDD-AC42-E4B0037F2B74}"/>
    <cellStyle name="Input 4 5 3 3" xfId="29244" xr:uid="{00000000-0005-0000-0000-00002F530000}"/>
    <cellStyle name="Input 4 5 3 3 2" xfId="33226" xr:uid="{721CD8CB-90E4-4745-AF32-38BC72D4072D}"/>
    <cellStyle name="Input 4 5 3 4" xfId="26694" xr:uid="{00000000-0005-0000-0000-000030530000}"/>
    <cellStyle name="Input 4 5 3 4 2" xfId="31456" xr:uid="{651D5E28-C38C-45D4-8546-81AF4F93749D}"/>
    <cellStyle name="Input 4 5 3 5" xfId="29328" xr:uid="{00000000-0005-0000-0000-000031530000}"/>
    <cellStyle name="Input 4 5 3 5 2" xfId="33284" xr:uid="{F0F2360A-24D1-40A6-AF56-8A6D185B347E}"/>
    <cellStyle name="Input 4 5 3 6" xfId="30658" xr:uid="{147F26AE-F437-4E92-B9C7-EDB9331E6ACD}"/>
    <cellStyle name="Input 4 5 4" xfId="27297" xr:uid="{00000000-0005-0000-0000-000032530000}"/>
    <cellStyle name="Input 4 5 4 2" xfId="31926" xr:uid="{9F660A37-99AF-48B3-BE06-EA1B8383F4B2}"/>
    <cellStyle name="Input 4 5 5" xfId="26665" xr:uid="{00000000-0005-0000-0000-000033530000}"/>
    <cellStyle name="Input 4 5 5 2" xfId="31434" xr:uid="{0F35B2AF-FF29-4ECE-9F1A-A05EF78A2067}"/>
    <cellStyle name="Input 4 5 6" xfId="27027" xr:uid="{00000000-0005-0000-0000-000034530000}"/>
    <cellStyle name="Input 4 5 6 2" xfId="31787" xr:uid="{E8A15901-586B-434D-AE3A-92DCC4D424A0}"/>
    <cellStyle name="Input 4 5 7" xfId="29330" xr:uid="{00000000-0005-0000-0000-000035530000}"/>
    <cellStyle name="Input 4 5 7 2" xfId="33286" xr:uid="{A8A71B7B-6B5E-4DA1-841E-DEC26C100AD4}"/>
    <cellStyle name="Input 4 5 8" xfId="30366" xr:uid="{0AF9FB74-C4A5-48E0-882E-11F864C356CC}"/>
    <cellStyle name="Input 4 6" xfId="25030" xr:uid="{00000000-0005-0000-0000-000036530000}"/>
    <cellStyle name="Input 4 6 2" xfId="25397" xr:uid="{00000000-0005-0000-0000-000037530000}"/>
    <cellStyle name="Input 4 6 2 2" xfId="27551" xr:uid="{00000000-0005-0000-0000-000038530000}"/>
    <cellStyle name="Input 4 6 2 2 2" xfId="32142" xr:uid="{5F05A1A7-BAD8-46D6-8CDA-532098FE6BB8}"/>
    <cellStyle name="Input 4 6 2 3" xfId="29208" xr:uid="{00000000-0005-0000-0000-000039530000}"/>
    <cellStyle name="Input 4 6 2 3 2" xfId="33191" xr:uid="{7D168F9B-BC40-4929-A88D-ECD7C661A83D}"/>
    <cellStyle name="Input 4 6 2 4" xfId="26908" xr:uid="{00000000-0005-0000-0000-00003A530000}"/>
    <cellStyle name="Input 4 6 2 4 2" xfId="31669" xr:uid="{DD163B9F-3B4F-47BF-97C5-ED049997C0B7}"/>
    <cellStyle name="Input 4 6 2 5" xfId="29326" xr:uid="{00000000-0005-0000-0000-00003B530000}"/>
    <cellStyle name="Input 4 6 2 5 2" xfId="33282" xr:uid="{D005D653-090D-4BC8-8553-80FF809D8BFA}"/>
    <cellStyle name="Input 4 6 2 6" xfId="30555" xr:uid="{30622848-1D74-45B2-92D5-946668B8ABB3}"/>
    <cellStyle name="Input 4 6 3" xfId="25675" xr:uid="{00000000-0005-0000-0000-00003C530000}"/>
    <cellStyle name="Input 4 6 3 2" xfId="27828" xr:uid="{00000000-0005-0000-0000-00003D530000}"/>
    <cellStyle name="Input 4 6 3 2 2" xfId="32415" xr:uid="{574839EA-679B-410F-BBF5-07730250D67D}"/>
    <cellStyle name="Input 4 6 3 3" xfId="29255" xr:uid="{00000000-0005-0000-0000-00003E530000}"/>
    <cellStyle name="Input 4 6 3 3 2" xfId="33237" xr:uid="{DB2302E6-2AFA-4172-9BBF-91EAE97E26B6}"/>
    <cellStyle name="Input 4 6 3 4" xfId="26476" xr:uid="{00000000-0005-0000-0000-00003F530000}"/>
    <cellStyle name="Input 4 6 3 4 2" xfId="31264" xr:uid="{8125D50F-5F7E-4913-9C38-24AB884B266A}"/>
    <cellStyle name="Input 4 6 3 5" xfId="29325" xr:uid="{00000000-0005-0000-0000-000040530000}"/>
    <cellStyle name="Input 4 6 3 5 2" xfId="33281" xr:uid="{35A8E568-B7D6-4CAA-9B2E-B8ACD90A6AE0}"/>
    <cellStyle name="Input 4 6 3 6" xfId="30669" xr:uid="{EA477A84-0135-4A97-8B3A-2F9091AA4262}"/>
    <cellStyle name="Input 4 6 4" xfId="27358" xr:uid="{00000000-0005-0000-0000-000041530000}"/>
    <cellStyle name="Input 4 6 4 2" xfId="31956" xr:uid="{6623F5E4-BE65-4BCF-8F94-9A9E74E5A8C7}"/>
    <cellStyle name="Input 4 6 5" xfId="26195" xr:uid="{00000000-0005-0000-0000-000042530000}"/>
    <cellStyle name="Input 4 6 5 2" xfId="30983" xr:uid="{EC771229-312B-4A63-BF99-FE4607370926}"/>
    <cellStyle name="Input 4 6 6" xfId="26405" xr:uid="{00000000-0005-0000-0000-000043530000}"/>
    <cellStyle name="Input 4 6 6 2" xfId="31193" xr:uid="{43202ED2-88D1-4D0D-9257-72E11B82E1B8}"/>
    <cellStyle name="Input 4 6 7" xfId="29327" xr:uid="{00000000-0005-0000-0000-000044530000}"/>
    <cellStyle name="Input 4 6 7 2" xfId="33283" xr:uid="{9B34BF07-3611-4266-8485-01AF8E98ED06}"/>
    <cellStyle name="Input 4 6 8" xfId="30377" xr:uid="{4AEC6F09-3A57-49F7-A9E0-86F7A56D1D70}"/>
    <cellStyle name="Input 40" xfId="3054" xr:uid="{00000000-0005-0000-0000-000045530000}"/>
    <cellStyle name="Input 41" xfId="3055" xr:uid="{00000000-0005-0000-0000-000046530000}"/>
    <cellStyle name="Input 42" xfId="3056" xr:uid="{00000000-0005-0000-0000-000047530000}"/>
    <cellStyle name="Input 43" xfId="3057" xr:uid="{00000000-0005-0000-0000-000048530000}"/>
    <cellStyle name="Input 44" xfId="3058" xr:uid="{00000000-0005-0000-0000-000049530000}"/>
    <cellStyle name="Input 45" xfId="3059" xr:uid="{00000000-0005-0000-0000-00004A530000}"/>
    <cellStyle name="Input 46" xfId="3060" xr:uid="{00000000-0005-0000-0000-00004B530000}"/>
    <cellStyle name="Input 47" xfId="3061" xr:uid="{00000000-0005-0000-0000-00004C530000}"/>
    <cellStyle name="Input 48" xfId="3062" xr:uid="{00000000-0005-0000-0000-00004D530000}"/>
    <cellStyle name="Input 49" xfId="3063" xr:uid="{00000000-0005-0000-0000-00004E530000}"/>
    <cellStyle name="Input 5" xfId="196" xr:uid="{00000000-0005-0000-0000-00004F530000}"/>
    <cellStyle name="Input 5 2" xfId="3064" xr:uid="{00000000-0005-0000-0000-000050530000}"/>
    <cellStyle name="Input 5 3" xfId="13697" xr:uid="{00000000-0005-0000-0000-000051530000}"/>
    <cellStyle name="Input 50" xfId="3065" xr:uid="{00000000-0005-0000-0000-000052530000}"/>
    <cellStyle name="Input 51" xfId="3066" xr:uid="{00000000-0005-0000-0000-000053530000}"/>
    <cellStyle name="Input 52" xfId="3067" xr:uid="{00000000-0005-0000-0000-000054530000}"/>
    <cellStyle name="Input 53" xfId="3068" xr:uid="{00000000-0005-0000-0000-000055530000}"/>
    <cellStyle name="Input 54" xfId="3069" xr:uid="{00000000-0005-0000-0000-000056530000}"/>
    <cellStyle name="Input 55" xfId="3070" xr:uid="{00000000-0005-0000-0000-000057530000}"/>
    <cellStyle name="Input 56" xfId="3071" xr:uid="{00000000-0005-0000-0000-000058530000}"/>
    <cellStyle name="Input 57" xfId="3072" xr:uid="{00000000-0005-0000-0000-000059530000}"/>
    <cellStyle name="Input 58" xfId="3073" xr:uid="{00000000-0005-0000-0000-00005A530000}"/>
    <cellStyle name="Input 59" xfId="3074" xr:uid="{00000000-0005-0000-0000-00005B530000}"/>
    <cellStyle name="Input 6" xfId="197" xr:uid="{00000000-0005-0000-0000-00005C530000}"/>
    <cellStyle name="Input 6 2" xfId="3075" xr:uid="{00000000-0005-0000-0000-00005D530000}"/>
    <cellStyle name="Input 6 3" xfId="13698" xr:uid="{00000000-0005-0000-0000-00005E530000}"/>
    <cellStyle name="Input 60" xfId="3076" xr:uid="{00000000-0005-0000-0000-00005F530000}"/>
    <cellStyle name="Input 61" xfId="3077" xr:uid="{00000000-0005-0000-0000-000060530000}"/>
    <cellStyle name="Input 62" xfId="3078" xr:uid="{00000000-0005-0000-0000-000061530000}"/>
    <cellStyle name="Input 63" xfId="3079" xr:uid="{00000000-0005-0000-0000-000062530000}"/>
    <cellStyle name="Input 64" xfId="3080" xr:uid="{00000000-0005-0000-0000-000063530000}"/>
    <cellStyle name="Input 65" xfId="3081" xr:uid="{00000000-0005-0000-0000-000064530000}"/>
    <cellStyle name="Input 66" xfId="3082" xr:uid="{00000000-0005-0000-0000-000065530000}"/>
    <cellStyle name="Input 67" xfId="3083" xr:uid="{00000000-0005-0000-0000-000066530000}"/>
    <cellStyle name="Input 68" xfId="3084" xr:uid="{00000000-0005-0000-0000-000067530000}"/>
    <cellStyle name="Input 69" xfId="3085" xr:uid="{00000000-0005-0000-0000-000068530000}"/>
    <cellStyle name="Input 7" xfId="198" xr:uid="{00000000-0005-0000-0000-000069530000}"/>
    <cellStyle name="Input 7 2" xfId="3086" xr:uid="{00000000-0005-0000-0000-00006A530000}"/>
    <cellStyle name="Input 7 3" xfId="13699" xr:uid="{00000000-0005-0000-0000-00006B530000}"/>
    <cellStyle name="Input 70" xfId="3087" xr:uid="{00000000-0005-0000-0000-00006C530000}"/>
    <cellStyle name="Input 71" xfId="3088" xr:uid="{00000000-0005-0000-0000-00006D530000}"/>
    <cellStyle name="Input 72" xfId="3089" xr:uid="{00000000-0005-0000-0000-00006E530000}"/>
    <cellStyle name="Input 73" xfId="23922" xr:uid="{00000000-0005-0000-0000-00006F530000}"/>
    <cellStyle name="Input 74" xfId="24261" xr:uid="{00000000-0005-0000-0000-000070530000}"/>
    <cellStyle name="Input 75" xfId="23924" xr:uid="{00000000-0005-0000-0000-000071530000}"/>
    <cellStyle name="Input 76" xfId="24209" xr:uid="{00000000-0005-0000-0000-000072530000}"/>
    <cellStyle name="Input 77" xfId="24519" xr:uid="{00000000-0005-0000-0000-000073530000}"/>
    <cellStyle name="Input 78" xfId="24020" xr:uid="{00000000-0005-0000-0000-000074530000}"/>
    <cellStyle name="Input 79" xfId="24536" xr:uid="{00000000-0005-0000-0000-000075530000}"/>
    <cellStyle name="Input 8" xfId="199" xr:uid="{00000000-0005-0000-0000-000076530000}"/>
    <cellStyle name="Input 8 2" xfId="3090" xr:uid="{00000000-0005-0000-0000-000077530000}"/>
    <cellStyle name="Input 8 3" xfId="13700" xr:uid="{00000000-0005-0000-0000-000078530000}"/>
    <cellStyle name="Input 80" xfId="24541" xr:uid="{00000000-0005-0000-0000-000079530000}"/>
    <cellStyle name="Input 81" xfId="24245" xr:uid="{00000000-0005-0000-0000-00007A530000}"/>
    <cellStyle name="Input 82" xfId="24537" xr:uid="{00000000-0005-0000-0000-00007B530000}"/>
    <cellStyle name="Input 83" xfId="24031" xr:uid="{00000000-0005-0000-0000-00007C530000}"/>
    <cellStyle name="Input 84" xfId="24550" xr:uid="{00000000-0005-0000-0000-00007D530000}"/>
    <cellStyle name="Input 85" xfId="24552" xr:uid="{00000000-0005-0000-0000-00007E530000}"/>
    <cellStyle name="Input 86" xfId="24636" xr:uid="{00000000-0005-0000-0000-00007F530000}"/>
    <cellStyle name="Input 87" xfId="24715" xr:uid="{00000000-0005-0000-0000-000080530000}"/>
    <cellStyle name="Input 88" xfId="24708" xr:uid="{00000000-0005-0000-0000-000081530000}"/>
    <cellStyle name="Input 89" xfId="24918" xr:uid="{00000000-0005-0000-0000-000082530000}"/>
    <cellStyle name="Input 9" xfId="200" xr:uid="{00000000-0005-0000-0000-000083530000}"/>
    <cellStyle name="Input 9 2" xfId="3091" xr:uid="{00000000-0005-0000-0000-000084530000}"/>
    <cellStyle name="Input 9 3" xfId="13701" xr:uid="{00000000-0005-0000-0000-000085530000}"/>
    <cellStyle name="Input 90" xfId="24937" xr:uid="{00000000-0005-0000-0000-000086530000}"/>
    <cellStyle name="Input 91" xfId="24911" xr:uid="{00000000-0005-0000-0000-000087530000}"/>
    <cellStyle name="Input 92" xfId="24672" xr:uid="{00000000-0005-0000-0000-000088530000}"/>
    <cellStyle name="Input 93" xfId="24713" xr:uid="{00000000-0005-0000-0000-000089530000}"/>
    <cellStyle name="Input 94" xfId="24544" xr:uid="{00000000-0005-0000-0000-00008A530000}"/>
    <cellStyle name="Input 95" xfId="24691" xr:uid="{00000000-0005-0000-0000-00008B530000}"/>
    <cellStyle name="Input 96" xfId="24549" xr:uid="{00000000-0005-0000-0000-00008C530000}"/>
    <cellStyle name="Input 97" xfId="24944" xr:uid="{00000000-0005-0000-0000-00008D530000}"/>
    <cellStyle name="Input1" xfId="572" xr:uid="{00000000-0005-0000-0000-00008E530000}"/>
    <cellStyle name="Input1 2" xfId="24124" xr:uid="{00000000-0005-0000-0000-00008F530000}"/>
    <cellStyle name="Input2" xfId="573" xr:uid="{00000000-0005-0000-0000-000090530000}"/>
    <cellStyle name="Input2 2" xfId="24125" xr:uid="{00000000-0005-0000-0000-000091530000}"/>
    <cellStyle name="Input2 2 2" xfId="25312" xr:uid="{00000000-0005-0000-0000-000092530000}"/>
    <cellStyle name="Input2 2 2 2" xfId="27466" xr:uid="{00000000-0005-0000-0000-000093530000}"/>
    <cellStyle name="Input2 2 2 3" xfId="26207" xr:uid="{00000000-0005-0000-0000-000094530000}"/>
    <cellStyle name="Input2 2 2 3 2" xfId="30995" xr:uid="{166DCC96-61D8-4742-9727-5F5EBFB90CB4}"/>
    <cellStyle name="Input2 2 2 4" xfId="29408" xr:uid="{00000000-0005-0000-0000-000095530000}"/>
    <cellStyle name="Input2 2 2 4 2" xfId="33350" xr:uid="{FE33547C-70F4-45BA-9B9E-C2E4570DBBDB}"/>
    <cellStyle name="Input2 2 3" xfId="27071" xr:uid="{00000000-0005-0000-0000-000096530000}"/>
    <cellStyle name="Input2 2 4" xfId="29407" xr:uid="{00000000-0005-0000-0000-000097530000}"/>
    <cellStyle name="Input2 2 4 2" xfId="33349" xr:uid="{6CBECA70-7D2E-4B0A-A5EC-39419953C586}"/>
    <cellStyle name="Input2 3" xfId="25454" xr:uid="{00000000-0005-0000-0000-000098530000}"/>
    <cellStyle name="Input2 3 2" xfId="27608" xr:uid="{00000000-0005-0000-0000-000099530000}"/>
    <cellStyle name="Input2 3 3" xfId="26064" xr:uid="{00000000-0005-0000-0000-00009A530000}"/>
    <cellStyle name="Input2 3 3 2" xfId="30854" xr:uid="{25FD0D2A-680D-4B66-9424-28FEC4ECEC85}"/>
    <cellStyle name="Input2 3 4" xfId="29409" xr:uid="{00000000-0005-0000-0000-00009B530000}"/>
    <cellStyle name="Input2 3 4 2" xfId="33351" xr:uid="{D4CAD5DB-4BD6-4239-968D-EB7CB4708AF4}"/>
    <cellStyle name="Input2 4" xfId="26045" xr:uid="{00000000-0005-0000-0000-00009C530000}"/>
    <cellStyle name="Input2 5" xfId="29406" xr:uid="{00000000-0005-0000-0000-00009D530000}"/>
    <cellStyle name="Input2 5 2" xfId="33348" xr:uid="{656B9B71-B906-4AC2-8C1E-C9F5E39BDC29}"/>
    <cellStyle name="LineItemPrompt" xfId="3092" xr:uid="{00000000-0005-0000-0000-00009E530000}"/>
    <cellStyle name="LineItemValue" xfId="3093" xr:uid="{00000000-0005-0000-0000-00009F530000}"/>
    <cellStyle name="Linked Cell 10" xfId="3094" xr:uid="{00000000-0005-0000-0000-0000A0530000}"/>
    <cellStyle name="Linked Cell 11" xfId="3095" xr:uid="{00000000-0005-0000-0000-0000A1530000}"/>
    <cellStyle name="Linked Cell 12" xfId="3096" xr:uid="{00000000-0005-0000-0000-0000A2530000}"/>
    <cellStyle name="Linked Cell 13" xfId="3097" xr:uid="{00000000-0005-0000-0000-0000A3530000}"/>
    <cellStyle name="Linked Cell 14" xfId="3098" xr:uid="{00000000-0005-0000-0000-0000A4530000}"/>
    <cellStyle name="Linked Cell 15" xfId="3099" xr:uid="{00000000-0005-0000-0000-0000A5530000}"/>
    <cellStyle name="Linked Cell 16" xfId="3100" xr:uid="{00000000-0005-0000-0000-0000A6530000}"/>
    <cellStyle name="Linked Cell 17" xfId="3101" xr:uid="{00000000-0005-0000-0000-0000A7530000}"/>
    <cellStyle name="Linked Cell 18" xfId="3102" xr:uid="{00000000-0005-0000-0000-0000A8530000}"/>
    <cellStyle name="Linked Cell 19" xfId="3103" xr:uid="{00000000-0005-0000-0000-0000A9530000}"/>
    <cellStyle name="Linked Cell 2" xfId="3104" xr:uid="{00000000-0005-0000-0000-0000AA530000}"/>
    <cellStyle name="Linked Cell 2 2" xfId="24127" xr:uid="{00000000-0005-0000-0000-0000AB530000}"/>
    <cellStyle name="Linked Cell 2 3" xfId="24126" xr:uid="{00000000-0005-0000-0000-0000AC530000}"/>
    <cellStyle name="Linked Cell 20" xfId="3105" xr:uid="{00000000-0005-0000-0000-0000AD530000}"/>
    <cellStyle name="Linked Cell 21" xfId="3106" xr:uid="{00000000-0005-0000-0000-0000AE530000}"/>
    <cellStyle name="Linked Cell 22" xfId="3107" xr:uid="{00000000-0005-0000-0000-0000AF530000}"/>
    <cellStyle name="Linked Cell 23" xfId="3108" xr:uid="{00000000-0005-0000-0000-0000B0530000}"/>
    <cellStyle name="Linked Cell 24" xfId="3109" xr:uid="{00000000-0005-0000-0000-0000B1530000}"/>
    <cellStyle name="Linked Cell 25" xfId="3110" xr:uid="{00000000-0005-0000-0000-0000B2530000}"/>
    <cellStyle name="Linked Cell 26" xfId="3111" xr:uid="{00000000-0005-0000-0000-0000B3530000}"/>
    <cellStyle name="Linked Cell 27" xfId="3112" xr:uid="{00000000-0005-0000-0000-0000B4530000}"/>
    <cellStyle name="Linked Cell 28" xfId="3113" xr:uid="{00000000-0005-0000-0000-0000B5530000}"/>
    <cellStyle name="Linked Cell 29" xfId="3114" xr:uid="{00000000-0005-0000-0000-0000B6530000}"/>
    <cellStyle name="Linked Cell 3" xfId="3115" xr:uid="{00000000-0005-0000-0000-0000B7530000}"/>
    <cellStyle name="Linked Cell 3 2" xfId="24128" xr:uid="{00000000-0005-0000-0000-0000B8530000}"/>
    <cellStyle name="Linked Cell 30" xfId="3116" xr:uid="{00000000-0005-0000-0000-0000B9530000}"/>
    <cellStyle name="Linked Cell 31" xfId="3117" xr:uid="{00000000-0005-0000-0000-0000BA530000}"/>
    <cellStyle name="Linked Cell 32" xfId="3118" xr:uid="{00000000-0005-0000-0000-0000BB530000}"/>
    <cellStyle name="Linked Cell 33" xfId="3119" xr:uid="{00000000-0005-0000-0000-0000BC530000}"/>
    <cellStyle name="Linked Cell 34" xfId="3120" xr:uid="{00000000-0005-0000-0000-0000BD530000}"/>
    <cellStyle name="Linked Cell 35" xfId="3121" xr:uid="{00000000-0005-0000-0000-0000BE530000}"/>
    <cellStyle name="Linked Cell 36" xfId="3122" xr:uid="{00000000-0005-0000-0000-0000BF530000}"/>
    <cellStyle name="Linked Cell 37" xfId="3123" xr:uid="{00000000-0005-0000-0000-0000C0530000}"/>
    <cellStyle name="Linked Cell 38" xfId="3124" xr:uid="{00000000-0005-0000-0000-0000C1530000}"/>
    <cellStyle name="Linked Cell 39" xfId="3125" xr:uid="{00000000-0005-0000-0000-0000C2530000}"/>
    <cellStyle name="Linked Cell 4" xfId="3126" xr:uid="{00000000-0005-0000-0000-0000C3530000}"/>
    <cellStyle name="Linked Cell 4 2" xfId="24129" xr:uid="{00000000-0005-0000-0000-0000C4530000}"/>
    <cellStyle name="Linked Cell 40" xfId="3127" xr:uid="{00000000-0005-0000-0000-0000C5530000}"/>
    <cellStyle name="Linked Cell 41" xfId="3128" xr:uid="{00000000-0005-0000-0000-0000C6530000}"/>
    <cellStyle name="Linked Cell 42" xfId="3129" xr:uid="{00000000-0005-0000-0000-0000C7530000}"/>
    <cellStyle name="Linked Cell 43" xfId="3130" xr:uid="{00000000-0005-0000-0000-0000C8530000}"/>
    <cellStyle name="Linked Cell 44" xfId="3131" xr:uid="{00000000-0005-0000-0000-0000C9530000}"/>
    <cellStyle name="Linked Cell 45" xfId="3132" xr:uid="{00000000-0005-0000-0000-0000CA530000}"/>
    <cellStyle name="Linked Cell 46" xfId="3133" xr:uid="{00000000-0005-0000-0000-0000CB530000}"/>
    <cellStyle name="Linked Cell 47" xfId="3134" xr:uid="{00000000-0005-0000-0000-0000CC530000}"/>
    <cellStyle name="Linked Cell 48" xfId="3135" xr:uid="{00000000-0005-0000-0000-0000CD530000}"/>
    <cellStyle name="Linked Cell 49" xfId="3136" xr:uid="{00000000-0005-0000-0000-0000CE530000}"/>
    <cellStyle name="Linked Cell 5" xfId="3137" xr:uid="{00000000-0005-0000-0000-0000CF530000}"/>
    <cellStyle name="Linked Cell 50" xfId="3138" xr:uid="{00000000-0005-0000-0000-0000D0530000}"/>
    <cellStyle name="Linked Cell 51" xfId="3139" xr:uid="{00000000-0005-0000-0000-0000D1530000}"/>
    <cellStyle name="Linked Cell 52" xfId="3140" xr:uid="{00000000-0005-0000-0000-0000D2530000}"/>
    <cellStyle name="Linked Cell 53" xfId="3141" xr:uid="{00000000-0005-0000-0000-0000D3530000}"/>
    <cellStyle name="Linked Cell 54" xfId="3142" xr:uid="{00000000-0005-0000-0000-0000D4530000}"/>
    <cellStyle name="Linked Cell 55" xfId="3143" xr:uid="{00000000-0005-0000-0000-0000D5530000}"/>
    <cellStyle name="Linked Cell 56" xfId="3144" xr:uid="{00000000-0005-0000-0000-0000D6530000}"/>
    <cellStyle name="Linked Cell 57" xfId="3145" xr:uid="{00000000-0005-0000-0000-0000D7530000}"/>
    <cellStyle name="Linked Cell 58" xfId="3146" xr:uid="{00000000-0005-0000-0000-0000D8530000}"/>
    <cellStyle name="Linked Cell 59" xfId="3147" xr:uid="{00000000-0005-0000-0000-0000D9530000}"/>
    <cellStyle name="Linked Cell 6" xfId="3148" xr:uid="{00000000-0005-0000-0000-0000DA530000}"/>
    <cellStyle name="Linked Cell 60" xfId="3149" xr:uid="{00000000-0005-0000-0000-0000DB530000}"/>
    <cellStyle name="Linked Cell 61" xfId="3150" xr:uid="{00000000-0005-0000-0000-0000DC530000}"/>
    <cellStyle name="Linked Cell 62" xfId="3151" xr:uid="{00000000-0005-0000-0000-0000DD530000}"/>
    <cellStyle name="Linked Cell 63" xfId="3152" xr:uid="{00000000-0005-0000-0000-0000DE530000}"/>
    <cellStyle name="Linked Cell 64" xfId="3153" xr:uid="{00000000-0005-0000-0000-0000DF530000}"/>
    <cellStyle name="Linked Cell 65" xfId="3154" xr:uid="{00000000-0005-0000-0000-0000E0530000}"/>
    <cellStyle name="Linked Cell 66" xfId="3155" xr:uid="{00000000-0005-0000-0000-0000E1530000}"/>
    <cellStyle name="Linked Cell 67" xfId="3156" xr:uid="{00000000-0005-0000-0000-0000E2530000}"/>
    <cellStyle name="Linked Cell 68" xfId="3157" xr:uid="{00000000-0005-0000-0000-0000E3530000}"/>
    <cellStyle name="Linked Cell 69" xfId="3158" xr:uid="{00000000-0005-0000-0000-0000E4530000}"/>
    <cellStyle name="Linked Cell 7" xfId="3159" xr:uid="{00000000-0005-0000-0000-0000E5530000}"/>
    <cellStyle name="Linked Cell 70" xfId="3160" xr:uid="{00000000-0005-0000-0000-0000E6530000}"/>
    <cellStyle name="Linked Cell 71" xfId="3161" xr:uid="{00000000-0005-0000-0000-0000E7530000}"/>
    <cellStyle name="Linked Cell 72" xfId="3162" xr:uid="{00000000-0005-0000-0000-0000E8530000}"/>
    <cellStyle name="Linked Cell 8" xfId="3163" xr:uid="{00000000-0005-0000-0000-0000E9530000}"/>
    <cellStyle name="Linked Cell 9" xfId="3164" xr:uid="{00000000-0005-0000-0000-0000EA530000}"/>
    <cellStyle name="Manual-Input" xfId="3165" xr:uid="{00000000-0005-0000-0000-0000EB530000}"/>
    <cellStyle name="Marathon" xfId="46" xr:uid="{00000000-0005-0000-0000-0000EC530000}"/>
    <cellStyle name="Marathon 2" xfId="25810" xr:uid="{00000000-0005-0000-0000-0000ED530000}"/>
    <cellStyle name="MCP" xfId="47" xr:uid="{00000000-0005-0000-0000-0000EE530000}"/>
    <cellStyle name="Multiple" xfId="574" xr:uid="{00000000-0005-0000-0000-0000EF530000}"/>
    <cellStyle name="Multiple [1]" xfId="575" xr:uid="{00000000-0005-0000-0000-0000F0530000}"/>
    <cellStyle name="Multiple [1] 2" xfId="26047" xr:uid="{00000000-0005-0000-0000-0000F1530000}"/>
    <cellStyle name="Multiple 10" xfId="30152" xr:uid="{00000000-0005-0000-0000-0000F2530000}"/>
    <cellStyle name="Multiple 11" xfId="29366" xr:uid="{00000000-0005-0000-0000-0000F3530000}"/>
    <cellStyle name="Multiple 12" xfId="29402" xr:uid="{00000000-0005-0000-0000-0000F4530000}"/>
    <cellStyle name="Multiple 13" xfId="30154" xr:uid="{00000000-0005-0000-0000-0000F5530000}"/>
    <cellStyle name="Multiple 14" xfId="29399" xr:uid="{00000000-0005-0000-0000-0000F6530000}"/>
    <cellStyle name="Multiple 15" xfId="29273" xr:uid="{00000000-0005-0000-0000-0000F7530000}"/>
    <cellStyle name="Multiple 16" xfId="29421" xr:uid="{00000000-0005-0000-0000-0000F8530000}"/>
    <cellStyle name="Multiple 17" xfId="29275" xr:uid="{00000000-0005-0000-0000-0000F9530000}"/>
    <cellStyle name="Multiple 18" xfId="29419" xr:uid="{00000000-0005-0000-0000-0000FA530000}"/>
    <cellStyle name="Multiple 19" xfId="29277" xr:uid="{00000000-0005-0000-0000-0000FB530000}"/>
    <cellStyle name="Multiple 2" xfId="26046" xr:uid="{00000000-0005-0000-0000-0000FC530000}"/>
    <cellStyle name="Multiple 20" xfId="29417" xr:uid="{00000000-0005-0000-0000-0000FD530000}"/>
    <cellStyle name="Multiple 21" xfId="29303" xr:uid="{00000000-0005-0000-0000-0000FE530000}"/>
    <cellStyle name="Multiple 22" xfId="29415" xr:uid="{00000000-0005-0000-0000-0000FF530000}"/>
    <cellStyle name="Multiple 23" xfId="29317" xr:uid="{00000000-0005-0000-0000-000000540000}"/>
    <cellStyle name="Multiple 24" xfId="30156" xr:uid="{00000000-0005-0000-0000-000001540000}"/>
    <cellStyle name="Multiple 25" xfId="29319" xr:uid="{00000000-0005-0000-0000-000002540000}"/>
    <cellStyle name="Multiple 26" xfId="29413" xr:uid="{00000000-0005-0000-0000-000003540000}"/>
    <cellStyle name="Multiple 27" xfId="29321" xr:uid="{00000000-0005-0000-0000-000004540000}"/>
    <cellStyle name="Multiple 28" xfId="30155" xr:uid="{00000000-0005-0000-0000-000005540000}"/>
    <cellStyle name="Multiple 29" xfId="29323" xr:uid="{00000000-0005-0000-0000-000006540000}"/>
    <cellStyle name="Multiple 3" xfId="27000" xr:uid="{00000000-0005-0000-0000-000007540000}"/>
    <cellStyle name="Multiple 30" xfId="29405" xr:uid="{00000000-0005-0000-0000-000008540000}"/>
    <cellStyle name="Multiple 31" xfId="29265" xr:uid="{00000000-0005-0000-0000-000009540000}"/>
    <cellStyle name="Multiple 32" xfId="29428" xr:uid="{00000000-0005-0000-0000-00000A540000}"/>
    <cellStyle name="Multiple 33" xfId="29274" xr:uid="{00000000-0005-0000-0000-00000B540000}"/>
    <cellStyle name="Multiple 34" xfId="29420" xr:uid="{00000000-0005-0000-0000-00000C540000}"/>
    <cellStyle name="Multiple 35" xfId="29276" xr:uid="{00000000-0005-0000-0000-00000D540000}"/>
    <cellStyle name="Multiple 36" xfId="29418" xr:uid="{00000000-0005-0000-0000-00000E540000}"/>
    <cellStyle name="Multiple 37" xfId="29284" xr:uid="{00000000-0005-0000-0000-00000F540000}"/>
    <cellStyle name="Multiple 38" xfId="29416" xr:uid="{00000000-0005-0000-0000-000010540000}"/>
    <cellStyle name="Multiple 39" xfId="29316" xr:uid="{00000000-0005-0000-0000-000011540000}"/>
    <cellStyle name="Multiple 4" xfId="26719" xr:uid="{00000000-0005-0000-0000-000012540000}"/>
    <cellStyle name="Multiple 40" xfId="29414" xr:uid="{00000000-0005-0000-0000-000013540000}"/>
    <cellStyle name="Multiple 41" xfId="29318" xr:uid="{00000000-0005-0000-0000-000014540000}"/>
    <cellStyle name="Multiple 42" xfId="30153" xr:uid="{00000000-0005-0000-0000-000015540000}"/>
    <cellStyle name="Multiple 43" xfId="29320" xr:uid="{00000000-0005-0000-0000-000016540000}"/>
    <cellStyle name="Multiple 44" xfId="29412" xr:uid="{00000000-0005-0000-0000-000017540000}"/>
    <cellStyle name="Multiple 45" xfId="29322" xr:uid="{00000000-0005-0000-0000-000018540000}"/>
    <cellStyle name="Multiple 46" xfId="30160" xr:uid="{DD151B50-0191-4EF8-A8B6-3F913C95CD9E}"/>
    <cellStyle name="Multiple 5" xfId="29235" xr:uid="{00000000-0005-0000-0000-000019540000}"/>
    <cellStyle name="Multiple 6" xfId="29410" xr:uid="{00000000-0005-0000-0000-00001A540000}"/>
    <cellStyle name="Multiple 7" xfId="29324" xr:uid="{00000000-0005-0000-0000-00001B540000}"/>
    <cellStyle name="Multiple 8" xfId="29403" xr:uid="{00000000-0005-0000-0000-00001C540000}"/>
    <cellStyle name="Multiple 9" xfId="29357" xr:uid="{00000000-0005-0000-0000-00001D540000}"/>
    <cellStyle name="Multiple_10_21 A&amp;G Review" xfId="576" xr:uid="{00000000-0005-0000-0000-00001E540000}"/>
    <cellStyle name="Name" xfId="33362" xr:uid="{744636E4-6EF7-4B22-B1B1-E6AF7504D087}"/>
    <cellStyle name="Neutral 10" xfId="3166" xr:uid="{00000000-0005-0000-0000-00001F540000}"/>
    <cellStyle name="Neutral 11" xfId="3167" xr:uid="{00000000-0005-0000-0000-000020540000}"/>
    <cellStyle name="Neutral 12" xfId="3168" xr:uid="{00000000-0005-0000-0000-000021540000}"/>
    <cellStyle name="Neutral 13" xfId="3169" xr:uid="{00000000-0005-0000-0000-000022540000}"/>
    <cellStyle name="Neutral 14" xfId="3170" xr:uid="{00000000-0005-0000-0000-000023540000}"/>
    <cellStyle name="Neutral 15" xfId="3171" xr:uid="{00000000-0005-0000-0000-000024540000}"/>
    <cellStyle name="Neutral 16" xfId="3172" xr:uid="{00000000-0005-0000-0000-000025540000}"/>
    <cellStyle name="Neutral 17" xfId="3173" xr:uid="{00000000-0005-0000-0000-000026540000}"/>
    <cellStyle name="Neutral 18" xfId="3174" xr:uid="{00000000-0005-0000-0000-000027540000}"/>
    <cellStyle name="Neutral 19" xfId="3175" xr:uid="{00000000-0005-0000-0000-000028540000}"/>
    <cellStyle name="Neutral 2" xfId="3176" xr:uid="{00000000-0005-0000-0000-000029540000}"/>
    <cellStyle name="Neutral 2 2" xfId="24132" xr:uid="{00000000-0005-0000-0000-00002A540000}"/>
    <cellStyle name="Neutral 2 3" xfId="24131" xr:uid="{00000000-0005-0000-0000-00002B540000}"/>
    <cellStyle name="Neutral 20" xfId="3177" xr:uid="{00000000-0005-0000-0000-00002C540000}"/>
    <cellStyle name="Neutral 21" xfId="3178" xr:uid="{00000000-0005-0000-0000-00002D540000}"/>
    <cellStyle name="Neutral 22" xfId="3179" xr:uid="{00000000-0005-0000-0000-00002E540000}"/>
    <cellStyle name="Neutral 23" xfId="3180" xr:uid="{00000000-0005-0000-0000-00002F540000}"/>
    <cellStyle name="Neutral 24" xfId="3181" xr:uid="{00000000-0005-0000-0000-000030540000}"/>
    <cellStyle name="Neutral 25" xfId="3182" xr:uid="{00000000-0005-0000-0000-000031540000}"/>
    <cellStyle name="Neutral 26" xfId="3183" xr:uid="{00000000-0005-0000-0000-000032540000}"/>
    <cellStyle name="Neutral 27" xfId="3184" xr:uid="{00000000-0005-0000-0000-000033540000}"/>
    <cellStyle name="Neutral 28" xfId="3185" xr:uid="{00000000-0005-0000-0000-000034540000}"/>
    <cellStyle name="Neutral 29" xfId="3186" xr:uid="{00000000-0005-0000-0000-000035540000}"/>
    <cellStyle name="Neutral 3" xfId="3187" xr:uid="{00000000-0005-0000-0000-000036540000}"/>
    <cellStyle name="Neutral 3 2" xfId="24133" xr:uid="{00000000-0005-0000-0000-000037540000}"/>
    <cellStyle name="Neutral 30" xfId="3188" xr:uid="{00000000-0005-0000-0000-000038540000}"/>
    <cellStyle name="Neutral 31" xfId="3189" xr:uid="{00000000-0005-0000-0000-000039540000}"/>
    <cellStyle name="Neutral 32" xfId="3190" xr:uid="{00000000-0005-0000-0000-00003A540000}"/>
    <cellStyle name="Neutral 33" xfId="3191" xr:uid="{00000000-0005-0000-0000-00003B540000}"/>
    <cellStyle name="Neutral 34" xfId="3192" xr:uid="{00000000-0005-0000-0000-00003C540000}"/>
    <cellStyle name="Neutral 35" xfId="3193" xr:uid="{00000000-0005-0000-0000-00003D540000}"/>
    <cellStyle name="Neutral 36" xfId="3194" xr:uid="{00000000-0005-0000-0000-00003E540000}"/>
    <cellStyle name="Neutral 37" xfId="3195" xr:uid="{00000000-0005-0000-0000-00003F540000}"/>
    <cellStyle name="Neutral 38" xfId="3196" xr:uid="{00000000-0005-0000-0000-000040540000}"/>
    <cellStyle name="Neutral 39" xfId="3197" xr:uid="{00000000-0005-0000-0000-000041540000}"/>
    <cellStyle name="Neutral 4" xfId="3198" xr:uid="{00000000-0005-0000-0000-000042540000}"/>
    <cellStyle name="Neutral 4 2" xfId="24134" xr:uid="{00000000-0005-0000-0000-000043540000}"/>
    <cellStyle name="Neutral 40" xfId="3199" xr:uid="{00000000-0005-0000-0000-000044540000}"/>
    <cellStyle name="Neutral 41" xfId="3200" xr:uid="{00000000-0005-0000-0000-000045540000}"/>
    <cellStyle name="Neutral 42" xfId="3201" xr:uid="{00000000-0005-0000-0000-000046540000}"/>
    <cellStyle name="Neutral 43" xfId="3202" xr:uid="{00000000-0005-0000-0000-000047540000}"/>
    <cellStyle name="Neutral 44" xfId="3203" xr:uid="{00000000-0005-0000-0000-000048540000}"/>
    <cellStyle name="Neutral 45" xfId="3204" xr:uid="{00000000-0005-0000-0000-000049540000}"/>
    <cellStyle name="Neutral 46" xfId="3205" xr:uid="{00000000-0005-0000-0000-00004A540000}"/>
    <cellStyle name="Neutral 47" xfId="3206" xr:uid="{00000000-0005-0000-0000-00004B540000}"/>
    <cellStyle name="Neutral 48" xfId="3207" xr:uid="{00000000-0005-0000-0000-00004C540000}"/>
    <cellStyle name="Neutral 49" xfId="3208" xr:uid="{00000000-0005-0000-0000-00004D540000}"/>
    <cellStyle name="Neutral 5" xfId="3209" xr:uid="{00000000-0005-0000-0000-00004E540000}"/>
    <cellStyle name="Neutral 50" xfId="3210" xr:uid="{00000000-0005-0000-0000-00004F540000}"/>
    <cellStyle name="Neutral 51" xfId="3211" xr:uid="{00000000-0005-0000-0000-000050540000}"/>
    <cellStyle name="Neutral 52" xfId="3212" xr:uid="{00000000-0005-0000-0000-000051540000}"/>
    <cellStyle name="Neutral 53" xfId="3213" xr:uid="{00000000-0005-0000-0000-000052540000}"/>
    <cellStyle name="Neutral 54" xfId="3214" xr:uid="{00000000-0005-0000-0000-000053540000}"/>
    <cellStyle name="Neutral 55" xfId="3215" xr:uid="{00000000-0005-0000-0000-000054540000}"/>
    <cellStyle name="Neutral 56" xfId="3216" xr:uid="{00000000-0005-0000-0000-000055540000}"/>
    <cellStyle name="Neutral 57" xfId="3217" xr:uid="{00000000-0005-0000-0000-000056540000}"/>
    <cellStyle name="Neutral 58" xfId="3218" xr:uid="{00000000-0005-0000-0000-000057540000}"/>
    <cellStyle name="Neutral 59" xfId="3219" xr:uid="{00000000-0005-0000-0000-000058540000}"/>
    <cellStyle name="Neutral 6" xfId="3220" xr:uid="{00000000-0005-0000-0000-000059540000}"/>
    <cellStyle name="Neutral 60" xfId="3221" xr:uid="{00000000-0005-0000-0000-00005A540000}"/>
    <cellStyle name="Neutral 61" xfId="3222" xr:uid="{00000000-0005-0000-0000-00005B540000}"/>
    <cellStyle name="Neutral 62" xfId="3223" xr:uid="{00000000-0005-0000-0000-00005C540000}"/>
    <cellStyle name="Neutral 63" xfId="3224" xr:uid="{00000000-0005-0000-0000-00005D540000}"/>
    <cellStyle name="Neutral 64" xfId="3225" xr:uid="{00000000-0005-0000-0000-00005E540000}"/>
    <cellStyle name="Neutral 65" xfId="3226" xr:uid="{00000000-0005-0000-0000-00005F540000}"/>
    <cellStyle name="Neutral 66" xfId="3227" xr:uid="{00000000-0005-0000-0000-000060540000}"/>
    <cellStyle name="Neutral 67" xfId="3228" xr:uid="{00000000-0005-0000-0000-000061540000}"/>
    <cellStyle name="Neutral 68" xfId="3229" xr:uid="{00000000-0005-0000-0000-000062540000}"/>
    <cellStyle name="Neutral 69" xfId="3230" xr:uid="{00000000-0005-0000-0000-000063540000}"/>
    <cellStyle name="Neutral 7" xfId="3231" xr:uid="{00000000-0005-0000-0000-000064540000}"/>
    <cellStyle name="Neutral 70" xfId="3232" xr:uid="{00000000-0005-0000-0000-000065540000}"/>
    <cellStyle name="Neutral 71" xfId="3233" xr:uid="{00000000-0005-0000-0000-000066540000}"/>
    <cellStyle name="Neutral 72" xfId="3234" xr:uid="{00000000-0005-0000-0000-000067540000}"/>
    <cellStyle name="Neutral 8" xfId="3235" xr:uid="{00000000-0005-0000-0000-000068540000}"/>
    <cellStyle name="Neutral 9" xfId="3236" xr:uid="{00000000-0005-0000-0000-000069540000}"/>
    <cellStyle name="nONE" xfId="48" xr:uid="{00000000-0005-0000-0000-00006A540000}"/>
    <cellStyle name="nONE 2" xfId="201" xr:uid="{00000000-0005-0000-0000-00006B540000}"/>
    <cellStyle name="noninput" xfId="49" xr:uid="{00000000-0005-0000-0000-00006C540000}"/>
    <cellStyle name="Normal" xfId="0" builtinId="0"/>
    <cellStyle name="Normal - Style1" xfId="50" xr:uid="{00000000-0005-0000-0000-00006E540000}"/>
    <cellStyle name="Normal - Style1 2" xfId="25811" xr:uid="{00000000-0005-0000-0000-00006F540000}"/>
    <cellStyle name="Normal 10" xfId="309" xr:uid="{00000000-0005-0000-0000-000070540000}"/>
    <cellStyle name="Normal 10 10" xfId="25764" xr:uid="{00000000-0005-0000-0000-000071540000}"/>
    <cellStyle name="Normal 10 10 2" xfId="29000" xr:uid="{00000000-0005-0000-0000-000072540000}"/>
    <cellStyle name="Normal 10 11" xfId="25789" xr:uid="{00000000-0005-0000-0000-000073540000}"/>
    <cellStyle name="Normal 10 11 2" xfId="29001" xr:uid="{00000000-0005-0000-0000-000074540000}"/>
    <cellStyle name="Normal 10 11 3" xfId="28742" xr:uid="{00000000-0005-0000-0000-000075540000}"/>
    <cellStyle name="Normal 10 12" xfId="28743" xr:uid="{00000000-0005-0000-0000-000076540000}"/>
    <cellStyle name="Normal 10 12 2" xfId="29002" xr:uid="{00000000-0005-0000-0000-000077540000}"/>
    <cellStyle name="Normal 10 13" xfId="28744" xr:uid="{00000000-0005-0000-0000-000078540000}"/>
    <cellStyle name="Normal 10 13 2" xfId="29003" xr:uid="{00000000-0005-0000-0000-000079540000}"/>
    <cellStyle name="Normal 10 2" xfId="646" xr:uid="{00000000-0005-0000-0000-00007A540000}"/>
    <cellStyle name="Normal 10 2 2" xfId="12453" xr:uid="{00000000-0005-0000-0000-00007B540000}"/>
    <cellStyle name="Normal 10 2 2 2" xfId="23741" xr:uid="{00000000-0005-0000-0000-00007C540000}"/>
    <cellStyle name="Normal 10 2 2 3" xfId="29004" xr:uid="{00000000-0005-0000-0000-00007D540000}"/>
    <cellStyle name="Normal 10 2 2 4" xfId="33365" xr:uid="{B5ACB6D4-F25B-4919-B5F9-530F29439C4A}"/>
    <cellStyle name="Normal 10 2 3" xfId="10459" xr:uid="{00000000-0005-0000-0000-00007E540000}"/>
    <cellStyle name="Normal 10 2 3 2" xfId="21747" xr:uid="{00000000-0005-0000-0000-00007F540000}"/>
    <cellStyle name="Normal 10 2 4" xfId="8465" xr:uid="{00000000-0005-0000-0000-000080540000}"/>
    <cellStyle name="Normal 10 2 4 2" xfId="19753" xr:uid="{00000000-0005-0000-0000-000081540000}"/>
    <cellStyle name="Normal 10 2 5" xfId="6471" xr:uid="{00000000-0005-0000-0000-000082540000}"/>
    <cellStyle name="Normal 10 2 5 2" xfId="17759" xr:uid="{00000000-0005-0000-0000-000083540000}"/>
    <cellStyle name="Normal 10 2 6" xfId="4474" xr:uid="{00000000-0005-0000-0000-000084540000}"/>
    <cellStyle name="Normal 10 2 6 2" xfId="15765" xr:uid="{00000000-0005-0000-0000-000085540000}"/>
    <cellStyle name="Normal 10 2 7" xfId="24135" xr:uid="{00000000-0005-0000-0000-000086540000}"/>
    <cellStyle name="Normal 10 2 7 2" xfId="27075" xr:uid="{00000000-0005-0000-0000-000087540000}"/>
    <cellStyle name="Normal 10 3" xfId="11456" xr:uid="{00000000-0005-0000-0000-000088540000}"/>
    <cellStyle name="Normal 10 3 2" xfId="22744" xr:uid="{00000000-0005-0000-0000-000089540000}"/>
    <cellStyle name="Normal 10 3 2 2" xfId="29005" xr:uid="{00000000-0005-0000-0000-00008A540000}"/>
    <cellStyle name="Normal 10 3 3" xfId="28745" xr:uid="{00000000-0005-0000-0000-00008B540000}"/>
    <cellStyle name="Normal 10 4" xfId="9462" xr:uid="{00000000-0005-0000-0000-00008C540000}"/>
    <cellStyle name="Normal 10 4 2" xfId="20750" xr:uid="{00000000-0005-0000-0000-00008D540000}"/>
    <cellStyle name="Normal 10 4 2 2" xfId="29006" xr:uid="{00000000-0005-0000-0000-00008E540000}"/>
    <cellStyle name="Normal 10 4 3" xfId="28746" xr:uid="{00000000-0005-0000-0000-00008F540000}"/>
    <cellStyle name="Normal 10 5" xfId="7468" xr:uid="{00000000-0005-0000-0000-000090540000}"/>
    <cellStyle name="Normal 10 5 2" xfId="18756" xr:uid="{00000000-0005-0000-0000-000091540000}"/>
    <cellStyle name="Normal 10 5 2 2" xfId="29007" xr:uid="{00000000-0005-0000-0000-000092540000}"/>
    <cellStyle name="Normal 10 5 3" xfId="28747" xr:uid="{00000000-0005-0000-0000-000093540000}"/>
    <cellStyle name="Normal 10 6" xfId="5474" xr:uid="{00000000-0005-0000-0000-000094540000}"/>
    <cellStyle name="Normal 10 6 2" xfId="16762" xr:uid="{00000000-0005-0000-0000-000095540000}"/>
    <cellStyle name="Normal 10 6 2 2" xfId="29008" xr:uid="{00000000-0005-0000-0000-000096540000}"/>
    <cellStyle name="Normal 10 6 3" xfId="28748" xr:uid="{00000000-0005-0000-0000-000097540000}"/>
    <cellStyle name="Normal 10 7" xfId="3237" xr:uid="{00000000-0005-0000-0000-000098540000}"/>
    <cellStyle name="Normal 10 7 2" xfId="14768" xr:uid="{00000000-0005-0000-0000-000099540000}"/>
    <cellStyle name="Normal 10 7 2 2" xfId="29009" xr:uid="{00000000-0005-0000-0000-00009A540000}"/>
    <cellStyle name="Normal 10 7 3" xfId="28749" xr:uid="{00000000-0005-0000-0000-00009B540000}"/>
    <cellStyle name="Normal 10 8" xfId="13746" xr:uid="{00000000-0005-0000-0000-00009C540000}"/>
    <cellStyle name="Normal 10 8 2" xfId="26658" xr:uid="{00000000-0005-0000-0000-00009D540000}"/>
    <cellStyle name="Normal 10 8 2 2" xfId="29010" xr:uid="{00000000-0005-0000-0000-00009E540000}"/>
    <cellStyle name="Normal 10 9" xfId="13454" xr:uid="{00000000-0005-0000-0000-00009F540000}"/>
    <cellStyle name="Normal 10 9 2" xfId="29011" xr:uid="{00000000-0005-0000-0000-0000A0540000}"/>
    <cellStyle name="Normal 10 9 3" xfId="28750" xr:uid="{00000000-0005-0000-0000-0000A1540000}"/>
    <cellStyle name="Normal 100" xfId="25761" xr:uid="{00000000-0005-0000-0000-0000A2540000}"/>
    <cellStyle name="Normal 100 2" xfId="27899" xr:uid="{00000000-0005-0000-0000-0000A3540000}"/>
    <cellStyle name="Normal 101" xfId="25795" xr:uid="{00000000-0005-0000-0000-0000A4540000}"/>
    <cellStyle name="Normal 101 2" xfId="29411" xr:uid="{00000000-0005-0000-0000-0000A5540000}"/>
    <cellStyle name="Normal 102" xfId="28612" xr:uid="{00000000-0005-0000-0000-0000A6540000}"/>
    <cellStyle name="Normal 103" xfId="27901" xr:uid="{00000000-0005-0000-0000-0000A7540000}"/>
    <cellStyle name="Normal 103 2" xfId="33385" xr:uid="{2FDB0B5C-F07A-41E8-A607-0FF604EDEFA9}"/>
    <cellStyle name="Normal 104" xfId="29170" xr:uid="{00000000-0005-0000-0000-0000A8540000}"/>
    <cellStyle name="Normal 105" xfId="29173" xr:uid="{00000000-0005-0000-0000-0000A9540000}"/>
    <cellStyle name="Normal 106" xfId="29174" xr:uid="{00000000-0005-0000-0000-0000AA540000}"/>
    <cellStyle name="Normal 107" xfId="29175" xr:uid="{00000000-0005-0000-0000-0000AB540000}"/>
    <cellStyle name="Normal 108" xfId="29180" xr:uid="{00000000-0005-0000-0000-0000AC540000}"/>
    <cellStyle name="Normal 109" xfId="27920" xr:uid="{00000000-0005-0000-0000-0000AD540000}"/>
    <cellStyle name="Normal 11" xfId="167" xr:uid="{00000000-0005-0000-0000-0000AE540000}"/>
    <cellStyle name="Normal 11 10" xfId="25881" xr:uid="{00000000-0005-0000-0000-0000AF540000}"/>
    <cellStyle name="Normal 11 10 2" xfId="29012" xr:uid="{00000000-0005-0000-0000-0000B0540000}"/>
    <cellStyle name="Normal 11 11" xfId="28751" xr:uid="{00000000-0005-0000-0000-0000B1540000}"/>
    <cellStyle name="Normal 11 11 2" xfId="29013" xr:uid="{00000000-0005-0000-0000-0000B2540000}"/>
    <cellStyle name="Normal 11 12" xfId="28752" xr:uid="{00000000-0005-0000-0000-0000B3540000}"/>
    <cellStyle name="Normal 11 12 2" xfId="29014" xr:uid="{00000000-0005-0000-0000-0000B4540000}"/>
    <cellStyle name="Normal 11 13" xfId="28753" xr:uid="{00000000-0005-0000-0000-0000B5540000}"/>
    <cellStyle name="Normal 11 13 2" xfId="29015" xr:uid="{00000000-0005-0000-0000-0000B6540000}"/>
    <cellStyle name="Normal 11 2" xfId="647" xr:uid="{00000000-0005-0000-0000-0000B7540000}"/>
    <cellStyle name="Normal 11 2 2" xfId="12454" xr:uid="{00000000-0005-0000-0000-0000B8540000}"/>
    <cellStyle name="Normal 11 2 2 2" xfId="23742" xr:uid="{00000000-0005-0000-0000-0000B9540000}"/>
    <cellStyle name="Normal 11 2 2 3" xfId="29016" xr:uid="{00000000-0005-0000-0000-0000BA540000}"/>
    <cellStyle name="Normal 11 2 3" xfId="10460" xr:uid="{00000000-0005-0000-0000-0000BB540000}"/>
    <cellStyle name="Normal 11 2 3 2" xfId="21748" xr:uid="{00000000-0005-0000-0000-0000BC540000}"/>
    <cellStyle name="Normal 11 2 4" xfId="8466" xr:uid="{00000000-0005-0000-0000-0000BD540000}"/>
    <cellStyle name="Normal 11 2 4 2" xfId="19754" xr:uid="{00000000-0005-0000-0000-0000BE540000}"/>
    <cellStyle name="Normal 11 2 5" xfId="6472" xr:uid="{00000000-0005-0000-0000-0000BF540000}"/>
    <cellStyle name="Normal 11 2 5 2" xfId="17760" xr:uid="{00000000-0005-0000-0000-0000C0540000}"/>
    <cellStyle name="Normal 11 2 6" xfId="4475" xr:uid="{00000000-0005-0000-0000-0000C1540000}"/>
    <cellStyle name="Normal 11 2 6 2" xfId="15766" xr:uid="{00000000-0005-0000-0000-0000C2540000}"/>
    <cellStyle name="Normal 11 2 7" xfId="28754" xr:uid="{00000000-0005-0000-0000-0000C3540000}"/>
    <cellStyle name="Normal 11 3" xfId="11457" xr:uid="{00000000-0005-0000-0000-0000C4540000}"/>
    <cellStyle name="Normal 11 3 2" xfId="22745" xr:uid="{00000000-0005-0000-0000-0000C5540000}"/>
    <cellStyle name="Normal 11 3 2 2" xfId="29017" xr:uid="{00000000-0005-0000-0000-0000C6540000}"/>
    <cellStyle name="Normal 11 3 3" xfId="28755" xr:uid="{00000000-0005-0000-0000-0000C7540000}"/>
    <cellStyle name="Normal 11 4" xfId="9463" xr:uid="{00000000-0005-0000-0000-0000C8540000}"/>
    <cellStyle name="Normal 11 4 2" xfId="20751" xr:uid="{00000000-0005-0000-0000-0000C9540000}"/>
    <cellStyle name="Normal 11 4 2 2" xfId="29018" xr:uid="{00000000-0005-0000-0000-0000CA540000}"/>
    <cellStyle name="Normal 11 4 3" xfId="28756" xr:uid="{00000000-0005-0000-0000-0000CB540000}"/>
    <cellStyle name="Normal 11 5" xfId="7469" xr:uid="{00000000-0005-0000-0000-0000CC540000}"/>
    <cellStyle name="Normal 11 5 2" xfId="18757" xr:uid="{00000000-0005-0000-0000-0000CD540000}"/>
    <cellStyle name="Normal 11 5 2 2" xfId="29019" xr:uid="{00000000-0005-0000-0000-0000CE540000}"/>
    <cellStyle name="Normal 11 5 3" xfId="28757" xr:uid="{00000000-0005-0000-0000-0000CF540000}"/>
    <cellStyle name="Normal 11 6" xfId="5475" xr:uid="{00000000-0005-0000-0000-0000D0540000}"/>
    <cellStyle name="Normal 11 6 2" xfId="16763" xr:uid="{00000000-0005-0000-0000-0000D1540000}"/>
    <cellStyle name="Normal 11 6 2 2" xfId="29020" xr:uid="{00000000-0005-0000-0000-0000D2540000}"/>
    <cellStyle name="Normal 11 6 3" xfId="28758" xr:uid="{00000000-0005-0000-0000-0000D3540000}"/>
    <cellStyle name="Normal 11 7" xfId="3238" xr:uid="{00000000-0005-0000-0000-0000D4540000}"/>
    <cellStyle name="Normal 11 7 2" xfId="14769" xr:uid="{00000000-0005-0000-0000-0000D5540000}"/>
    <cellStyle name="Normal 11 7 2 2" xfId="29021" xr:uid="{00000000-0005-0000-0000-0000D6540000}"/>
    <cellStyle name="Normal 11 7 3" xfId="28759" xr:uid="{00000000-0005-0000-0000-0000D7540000}"/>
    <cellStyle name="Normal 11 8" xfId="13683" xr:uid="{00000000-0005-0000-0000-0000D8540000}"/>
    <cellStyle name="Normal 11 8 2" xfId="26623" xr:uid="{00000000-0005-0000-0000-0000D9540000}"/>
    <cellStyle name="Normal 11 8 2 2" xfId="29022" xr:uid="{00000000-0005-0000-0000-0000DA540000}"/>
    <cellStyle name="Normal 11 9" xfId="13455" xr:uid="{00000000-0005-0000-0000-0000DB540000}"/>
    <cellStyle name="Normal 11 9 2" xfId="29023" xr:uid="{00000000-0005-0000-0000-0000DC540000}"/>
    <cellStyle name="Normal 11 9 3" xfId="28760" xr:uid="{00000000-0005-0000-0000-0000DD540000}"/>
    <cellStyle name="Normal 110" xfId="27921" xr:uid="{00000000-0005-0000-0000-0000DE540000}"/>
    <cellStyle name="Normal 111" xfId="33369" xr:uid="{8A262B1E-3B57-424C-855C-9C3F1D40EBAC}"/>
    <cellStyle name="Normal 112" xfId="33381" xr:uid="{4A94EEC0-1CB0-45B0-A8C5-E1E7336AFA48}"/>
    <cellStyle name="Normal 113" xfId="33392" xr:uid="{1FD2F6F3-D0E6-495C-B55F-D67C4A4897D7}"/>
    <cellStyle name="Normal 12" xfId="307" xr:uid="{00000000-0005-0000-0000-0000DF540000}"/>
    <cellStyle name="Normal 12 10" xfId="24136" xr:uid="{00000000-0005-0000-0000-0000E0540000}"/>
    <cellStyle name="Normal 12 10 2" xfId="29024" xr:uid="{00000000-0005-0000-0000-0000E1540000}"/>
    <cellStyle name="Normal 12 10 3" xfId="28761" xr:uid="{00000000-0005-0000-0000-0000E2540000}"/>
    <cellStyle name="Normal 12 11" xfId="25958" xr:uid="{00000000-0005-0000-0000-0000E3540000}"/>
    <cellStyle name="Normal 12 11 2" xfId="29025" xr:uid="{00000000-0005-0000-0000-0000E4540000}"/>
    <cellStyle name="Normal 12 12" xfId="28762" xr:uid="{00000000-0005-0000-0000-0000E5540000}"/>
    <cellStyle name="Normal 12 12 2" xfId="29026" xr:uid="{00000000-0005-0000-0000-0000E6540000}"/>
    <cellStyle name="Normal 12 13" xfId="28763" xr:uid="{00000000-0005-0000-0000-0000E7540000}"/>
    <cellStyle name="Normal 12 13 2" xfId="29027" xr:uid="{00000000-0005-0000-0000-0000E8540000}"/>
    <cellStyle name="Normal 12 2" xfId="648" xr:uid="{00000000-0005-0000-0000-0000E9540000}"/>
    <cellStyle name="Normal 12 2 2" xfId="12455" xr:uid="{00000000-0005-0000-0000-0000EA540000}"/>
    <cellStyle name="Normal 12 2 2 2" xfId="23743" xr:uid="{00000000-0005-0000-0000-0000EB540000}"/>
    <cellStyle name="Normal 12 2 2 3" xfId="29028" xr:uid="{00000000-0005-0000-0000-0000EC540000}"/>
    <cellStyle name="Normal 12 2 3" xfId="10461" xr:uid="{00000000-0005-0000-0000-0000ED540000}"/>
    <cellStyle name="Normal 12 2 3 2" xfId="21749" xr:uid="{00000000-0005-0000-0000-0000EE540000}"/>
    <cellStyle name="Normal 12 2 4" xfId="8467" xr:uid="{00000000-0005-0000-0000-0000EF540000}"/>
    <cellStyle name="Normal 12 2 4 2" xfId="19755" xr:uid="{00000000-0005-0000-0000-0000F0540000}"/>
    <cellStyle name="Normal 12 2 5" xfId="6473" xr:uid="{00000000-0005-0000-0000-0000F1540000}"/>
    <cellStyle name="Normal 12 2 5 2" xfId="17761" xr:uid="{00000000-0005-0000-0000-0000F2540000}"/>
    <cellStyle name="Normal 12 2 6" xfId="4476" xr:uid="{00000000-0005-0000-0000-0000F3540000}"/>
    <cellStyle name="Normal 12 2 6 2" xfId="15767" xr:uid="{00000000-0005-0000-0000-0000F4540000}"/>
    <cellStyle name="Normal 12 2 7" xfId="24137" xr:uid="{00000000-0005-0000-0000-0000F5540000}"/>
    <cellStyle name="Normal 12 2 8" xfId="28764" xr:uid="{00000000-0005-0000-0000-0000F6540000}"/>
    <cellStyle name="Normal 12 3" xfId="11458" xr:uid="{00000000-0005-0000-0000-0000F7540000}"/>
    <cellStyle name="Normal 12 3 2" xfId="22746" xr:uid="{00000000-0005-0000-0000-0000F8540000}"/>
    <cellStyle name="Normal 12 3 2 2" xfId="29029" xr:uid="{00000000-0005-0000-0000-0000F9540000}"/>
    <cellStyle name="Normal 12 3 3" xfId="24301" xr:uid="{00000000-0005-0000-0000-0000FA540000}"/>
    <cellStyle name="Normal 12 3 3 2" xfId="27137" xr:uid="{00000000-0005-0000-0000-0000FB540000}"/>
    <cellStyle name="Normal 12 4" xfId="9464" xr:uid="{00000000-0005-0000-0000-0000FC540000}"/>
    <cellStyle name="Normal 12 4 2" xfId="20752" xr:uid="{00000000-0005-0000-0000-0000FD540000}"/>
    <cellStyle name="Normal 12 4 2 2" xfId="29030" xr:uid="{00000000-0005-0000-0000-0000FE540000}"/>
    <cellStyle name="Normal 12 4 3" xfId="28765" xr:uid="{00000000-0005-0000-0000-0000FF540000}"/>
    <cellStyle name="Normal 12 5" xfId="7470" xr:uid="{00000000-0005-0000-0000-000000550000}"/>
    <cellStyle name="Normal 12 5 2" xfId="18758" xr:uid="{00000000-0005-0000-0000-000001550000}"/>
    <cellStyle name="Normal 12 5 2 2" xfId="29031" xr:uid="{00000000-0005-0000-0000-000002550000}"/>
    <cellStyle name="Normal 12 5 3" xfId="28766" xr:uid="{00000000-0005-0000-0000-000003550000}"/>
    <cellStyle name="Normal 12 6" xfId="5476" xr:uid="{00000000-0005-0000-0000-000004550000}"/>
    <cellStyle name="Normal 12 6 2" xfId="16764" xr:uid="{00000000-0005-0000-0000-000005550000}"/>
    <cellStyle name="Normal 12 6 2 2" xfId="29032" xr:uid="{00000000-0005-0000-0000-000006550000}"/>
    <cellStyle name="Normal 12 6 3" xfId="28767" xr:uid="{00000000-0005-0000-0000-000007550000}"/>
    <cellStyle name="Normal 12 7" xfId="3239" xr:uid="{00000000-0005-0000-0000-000008550000}"/>
    <cellStyle name="Normal 12 7 2" xfId="14770" xr:uid="{00000000-0005-0000-0000-000009550000}"/>
    <cellStyle name="Normal 12 7 2 2" xfId="29033" xr:uid="{00000000-0005-0000-0000-00000A550000}"/>
    <cellStyle name="Normal 12 7 3" xfId="28768" xr:uid="{00000000-0005-0000-0000-00000B550000}"/>
    <cellStyle name="Normal 12 8" xfId="13745" xr:uid="{00000000-0005-0000-0000-00000C550000}"/>
    <cellStyle name="Normal 12 8 2" xfId="26657" xr:uid="{00000000-0005-0000-0000-00000D550000}"/>
    <cellStyle name="Normal 12 8 2 2" xfId="29034" xr:uid="{00000000-0005-0000-0000-00000E550000}"/>
    <cellStyle name="Normal 12 9" xfId="13456" xr:uid="{00000000-0005-0000-0000-00000F550000}"/>
    <cellStyle name="Normal 12 9 2" xfId="29035" xr:uid="{00000000-0005-0000-0000-000010550000}"/>
    <cellStyle name="Normal 12 9 3" xfId="28769" xr:uid="{00000000-0005-0000-0000-000011550000}"/>
    <cellStyle name="Normal 13" xfId="324" xr:uid="{00000000-0005-0000-0000-000012550000}"/>
    <cellStyle name="Normal 13 10" xfId="23930" xr:uid="{00000000-0005-0000-0000-000013550000}"/>
    <cellStyle name="Normal 13 10 2" xfId="29036" xr:uid="{00000000-0005-0000-0000-000014550000}"/>
    <cellStyle name="Normal 13 10 3" xfId="28770" xr:uid="{00000000-0005-0000-0000-000015550000}"/>
    <cellStyle name="Normal 13 11" xfId="24557" xr:uid="{00000000-0005-0000-0000-000016550000}"/>
    <cellStyle name="Normal 13 11 2" xfId="29037" xr:uid="{00000000-0005-0000-0000-000017550000}"/>
    <cellStyle name="Normal 13 11 3" xfId="28771" xr:uid="{00000000-0005-0000-0000-000018550000}"/>
    <cellStyle name="Normal 13 12" xfId="24947" xr:uid="{00000000-0005-0000-0000-000019550000}"/>
    <cellStyle name="Normal 13 12 2" xfId="29038" xr:uid="{00000000-0005-0000-0000-00001A550000}"/>
    <cellStyle name="Normal 13 12 3" xfId="28772" xr:uid="{00000000-0005-0000-0000-00001B550000}"/>
    <cellStyle name="Normal 13 13" xfId="25966" xr:uid="{00000000-0005-0000-0000-00001C550000}"/>
    <cellStyle name="Normal 13 13 2" xfId="29039" xr:uid="{00000000-0005-0000-0000-00001D550000}"/>
    <cellStyle name="Normal 13 2" xfId="649" xr:uid="{00000000-0005-0000-0000-00001E550000}"/>
    <cellStyle name="Normal 13 2 10" xfId="28773" xr:uid="{00000000-0005-0000-0000-00001F550000}"/>
    <cellStyle name="Normal 13 2 2" xfId="12456" xr:uid="{00000000-0005-0000-0000-000020550000}"/>
    <cellStyle name="Normal 13 2 2 2" xfId="23744" xr:uid="{00000000-0005-0000-0000-000021550000}"/>
    <cellStyle name="Normal 13 2 2 3" xfId="29040" xr:uid="{00000000-0005-0000-0000-000022550000}"/>
    <cellStyle name="Normal 13 2 3" xfId="10462" xr:uid="{00000000-0005-0000-0000-000023550000}"/>
    <cellStyle name="Normal 13 2 3 2" xfId="21750" xr:uid="{00000000-0005-0000-0000-000024550000}"/>
    <cellStyle name="Normal 13 2 4" xfId="8468" xr:uid="{00000000-0005-0000-0000-000025550000}"/>
    <cellStyle name="Normal 13 2 4 2" xfId="19756" xr:uid="{00000000-0005-0000-0000-000026550000}"/>
    <cellStyle name="Normal 13 2 5" xfId="6474" xr:uid="{00000000-0005-0000-0000-000027550000}"/>
    <cellStyle name="Normal 13 2 5 2" xfId="17762" xr:uid="{00000000-0005-0000-0000-000028550000}"/>
    <cellStyle name="Normal 13 2 6" xfId="4477" xr:uid="{00000000-0005-0000-0000-000029550000}"/>
    <cellStyle name="Normal 13 2 6 2" xfId="15768" xr:uid="{00000000-0005-0000-0000-00002A550000}"/>
    <cellStyle name="Normal 13 2 7" xfId="24318" xr:uid="{00000000-0005-0000-0000-00002B550000}"/>
    <cellStyle name="Normal 13 2 8" xfId="24782" xr:uid="{00000000-0005-0000-0000-00002C550000}"/>
    <cellStyle name="Normal 13 2 9" xfId="25149" xr:uid="{00000000-0005-0000-0000-00002D550000}"/>
    <cellStyle name="Normal 13 3" xfId="11459" xr:uid="{00000000-0005-0000-0000-00002E550000}"/>
    <cellStyle name="Normal 13 3 2" xfId="22747" xr:uid="{00000000-0005-0000-0000-00002F550000}"/>
    <cellStyle name="Normal 13 3 2 2" xfId="29041" xr:uid="{00000000-0005-0000-0000-000030550000}"/>
    <cellStyle name="Normal 13 3 3" xfId="28774" xr:uid="{00000000-0005-0000-0000-000031550000}"/>
    <cellStyle name="Normal 13 4" xfId="9465" xr:uid="{00000000-0005-0000-0000-000032550000}"/>
    <cellStyle name="Normal 13 4 2" xfId="20753" xr:uid="{00000000-0005-0000-0000-000033550000}"/>
    <cellStyle name="Normal 13 4 2 2" xfId="29042" xr:uid="{00000000-0005-0000-0000-000034550000}"/>
    <cellStyle name="Normal 13 4 3" xfId="28775" xr:uid="{00000000-0005-0000-0000-000035550000}"/>
    <cellStyle name="Normal 13 5" xfId="7471" xr:uid="{00000000-0005-0000-0000-000036550000}"/>
    <cellStyle name="Normal 13 5 2" xfId="18759" xr:uid="{00000000-0005-0000-0000-000037550000}"/>
    <cellStyle name="Normal 13 5 2 2" xfId="29043" xr:uid="{00000000-0005-0000-0000-000038550000}"/>
    <cellStyle name="Normal 13 5 3" xfId="28776" xr:uid="{00000000-0005-0000-0000-000039550000}"/>
    <cellStyle name="Normal 13 6" xfId="5477" xr:uid="{00000000-0005-0000-0000-00003A550000}"/>
    <cellStyle name="Normal 13 6 2" xfId="16765" xr:uid="{00000000-0005-0000-0000-00003B550000}"/>
    <cellStyle name="Normal 13 6 2 2" xfId="29044" xr:uid="{00000000-0005-0000-0000-00003C550000}"/>
    <cellStyle name="Normal 13 6 3" xfId="28777" xr:uid="{00000000-0005-0000-0000-00003D550000}"/>
    <cellStyle name="Normal 13 7" xfId="3240" xr:uid="{00000000-0005-0000-0000-00003E550000}"/>
    <cellStyle name="Normal 13 7 2" xfId="14771" xr:uid="{00000000-0005-0000-0000-00003F550000}"/>
    <cellStyle name="Normal 13 7 2 2" xfId="29045" xr:uid="{00000000-0005-0000-0000-000040550000}"/>
    <cellStyle name="Normal 13 7 3" xfId="28778" xr:uid="{00000000-0005-0000-0000-000041550000}"/>
    <cellStyle name="Normal 13 8" xfId="13755" xr:uid="{00000000-0005-0000-0000-000042550000}"/>
    <cellStyle name="Normal 13 8 2" xfId="26659" xr:uid="{00000000-0005-0000-0000-000043550000}"/>
    <cellStyle name="Normal 13 8 2 2" xfId="29046" xr:uid="{00000000-0005-0000-0000-000044550000}"/>
    <cellStyle name="Normal 13 9" xfId="13457" xr:uid="{00000000-0005-0000-0000-000045550000}"/>
    <cellStyle name="Normal 13 9 2" xfId="29047" xr:uid="{00000000-0005-0000-0000-000046550000}"/>
    <cellStyle name="Normal 13 9 3" xfId="28779" xr:uid="{00000000-0005-0000-0000-000047550000}"/>
    <cellStyle name="Normal 14" xfId="333" xr:uid="{00000000-0005-0000-0000-000048550000}"/>
    <cellStyle name="Normal 14 10" xfId="24138" xr:uid="{00000000-0005-0000-0000-000049550000}"/>
    <cellStyle name="Normal 14 11" xfId="24714" xr:uid="{00000000-0005-0000-0000-00004A550000}"/>
    <cellStyle name="Normal 14 12" xfId="25031" xr:uid="{00000000-0005-0000-0000-00004B550000}"/>
    <cellStyle name="Normal 14 13" xfId="27919" xr:uid="{00000000-0005-0000-0000-00004C550000}"/>
    <cellStyle name="Normal 14 14" xfId="25975" xr:uid="{00000000-0005-0000-0000-00004D550000}"/>
    <cellStyle name="Normal 14 2" xfId="650" xr:uid="{00000000-0005-0000-0000-00004E550000}"/>
    <cellStyle name="Normal 14 2 10" xfId="29048" xr:uid="{00000000-0005-0000-0000-00004F550000}"/>
    <cellStyle name="Normal 14 2 2" xfId="12457" xr:uid="{00000000-0005-0000-0000-000050550000}"/>
    <cellStyle name="Normal 14 2 2 2" xfId="23745" xr:uid="{00000000-0005-0000-0000-000051550000}"/>
    <cellStyle name="Normal 14 2 3" xfId="10463" xr:uid="{00000000-0005-0000-0000-000052550000}"/>
    <cellStyle name="Normal 14 2 3 2" xfId="21751" xr:uid="{00000000-0005-0000-0000-000053550000}"/>
    <cellStyle name="Normal 14 2 4" xfId="8469" xr:uid="{00000000-0005-0000-0000-000054550000}"/>
    <cellStyle name="Normal 14 2 4 2" xfId="19757" xr:uid="{00000000-0005-0000-0000-000055550000}"/>
    <cellStyle name="Normal 14 2 5" xfId="6475" xr:uid="{00000000-0005-0000-0000-000056550000}"/>
    <cellStyle name="Normal 14 2 5 2" xfId="17763" xr:uid="{00000000-0005-0000-0000-000057550000}"/>
    <cellStyle name="Normal 14 2 6" xfId="4478" xr:uid="{00000000-0005-0000-0000-000058550000}"/>
    <cellStyle name="Normal 14 2 6 2" xfId="15769" xr:uid="{00000000-0005-0000-0000-000059550000}"/>
    <cellStyle name="Normal 14 2 7" xfId="24417" xr:uid="{00000000-0005-0000-0000-00005A550000}"/>
    <cellStyle name="Normal 14 2 8" xfId="24862" xr:uid="{00000000-0005-0000-0000-00005B550000}"/>
    <cellStyle name="Normal 14 2 9" xfId="25225" xr:uid="{00000000-0005-0000-0000-00005C550000}"/>
    <cellStyle name="Normal 14 3" xfId="11460" xr:uid="{00000000-0005-0000-0000-00005D550000}"/>
    <cellStyle name="Normal 14 3 2" xfId="22748" xr:uid="{00000000-0005-0000-0000-00005E550000}"/>
    <cellStyle name="Normal 14 4" xfId="9466" xr:uid="{00000000-0005-0000-0000-00005F550000}"/>
    <cellStyle name="Normal 14 4 2" xfId="20754" xr:uid="{00000000-0005-0000-0000-000060550000}"/>
    <cellStyle name="Normal 14 5" xfId="7472" xr:uid="{00000000-0005-0000-0000-000061550000}"/>
    <cellStyle name="Normal 14 5 2" xfId="18760" xr:uid="{00000000-0005-0000-0000-000062550000}"/>
    <cellStyle name="Normal 14 6" xfId="5478" xr:uid="{00000000-0005-0000-0000-000063550000}"/>
    <cellStyle name="Normal 14 6 2" xfId="16766" xr:uid="{00000000-0005-0000-0000-000064550000}"/>
    <cellStyle name="Normal 14 7" xfId="3241" xr:uid="{00000000-0005-0000-0000-000065550000}"/>
    <cellStyle name="Normal 14 7 2" xfId="14772" xr:uid="{00000000-0005-0000-0000-000066550000}"/>
    <cellStyle name="Normal 14 8" xfId="13756" xr:uid="{00000000-0005-0000-0000-000067550000}"/>
    <cellStyle name="Normal 14 8 2" xfId="26660" xr:uid="{00000000-0005-0000-0000-000068550000}"/>
    <cellStyle name="Normal 14 9" xfId="13458" xr:uid="{00000000-0005-0000-0000-000069550000}"/>
    <cellStyle name="Normal 15" xfId="166" xr:uid="{00000000-0005-0000-0000-00006A550000}"/>
    <cellStyle name="Normal 15 10" xfId="28780" xr:uid="{00000000-0005-0000-0000-00006B550000}"/>
    <cellStyle name="Normal 15 11" xfId="33388" xr:uid="{D9B39184-D9BF-4079-86F7-40D7DDDBC23A}"/>
    <cellStyle name="Normal 15 2" xfId="651" xr:uid="{00000000-0005-0000-0000-00006C550000}"/>
    <cellStyle name="Normal 15 2 2" xfId="12458" xr:uid="{00000000-0005-0000-0000-00006D550000}"/>
    <cellStyle name="Normal 15 2 2 2" xfId="23746" xr:uid="{00000000-0005-0000-0000-00006E550000}"/>
    <cellStyle name="Normal 15 2 3" xfId="10464" xr:uid="{00000000-0005-0000-0000-00006F550000}"/>
    <cellStyle name="Normal 15 2 3 2" xfId="21752" xr:uid="{00000000-0005-0000-0000-000070550000}"/>
    <cellStyle name="Normal 15 2 4" xfId="8470" xr:uid="{00000000-0005-0000-0000-000071550000}"/>
    <cellStyle name="Normal 15 2 4 2" xfId="19758" xr:uid="{00000000-0005-0000-0000-000072550000}"/>
    <cellStyle name="Normal 15 2 5" xfId="6476" xr:uid="{00000000-0005-0000-0000-000073550000}"/>
    <cellStyle name="Normal 15 2 5 2" xfId="17764" xr:uid="{00000000-0005-0000-0000-000074550000}"/>
    <cellStyle name="Normal 15 2 6" xfId="4479" xr:uid="{00000000-0005-0000-0000-000075550000}"/>
    <cellStyle name="Normal 15 2 6 2" xfId="15770" xr:uid="{00000000-0005-0000-0000-000076550000}"/>
    <cellStyle name="Normal 15 2 7" xfId="29049" xr:uid="{00000000-0005-0000-0000-000077550000}"/>
    <cellStyle name="Normal 15 3" xfId="11461" xr:uid="{00000000-0005-0000-0000-000078550000}"/>
    <cellStyle name="Normal 15 3 2" xfId="22749" xr:uid="{00000000-0005-0000-0000-000079550000}"/>
    <cellStyle name="Normal 15 4" xfId="9467" xr:uid="{00000000-0005-0000-0000-00007A550000}"/>
    <cellStyle name="Normal 15 4 2" xfId="20755" xr:uid="{00000000-0005-0000-0000-00007B550000}"/>
    <cellStyle name="Normal 15 5" xfId="7473" xr:uid="{00000000-0005-0000-0000-00007C550000}"/>
    <cellStyle name="Normal 15 5 2" xfId="18761" xr:uid="{00000000-0005-0000-0000-00007D550000}"/>
    <cellStyle name="Normal 15 6" xfId="5479" xr:uid="{00000000-0005-0000-0000-00007E550000}"/>
    <cellStyle name="Normal 15 6 2" xfId="16767" xr:uid="{00000000-0005-0000-0000-00007F550000}"/>
    <cellStyle name="Normal 15 7" xfId="3242" xr:uid="{00000000-0005-0000-0000-000080550000}"/>
    <cellStyle name="Normal 15 7 2" xfId="14773" xr:uid="{00000000-0005-0000-0000-000081550000}"/>
    <cellStyle name="Normal 15 8" xfId="13682" xr:uid="{00000000-0005-0000-0000-000082550000}"/>
    <cellStyle name="Normal 15 9" xfId="13459" xr:uid="{00000000-0005-0000-0000-000083550000}"/>
    <cellStyle name="Normal 16" xfId="335" xr:uid="{00000000-0005-0000-0000-000084550000}"/>
    <cellStyle name="Normal 16 10" xfId="24298" xr:uid="{00000000-0005-0000-0000-000085550000}"/>
    <cellStyle name="Normal 16 11" xfId="25977" xr:uid="{00000000-0005-0000-0000-000086550000}"/>
    <cellStyle name="Normal 16 2" xfId="4480" xr:uid="{00000000-0005-0000-0000-000087550000}"/>
    <cellStyle name="Normal 16 2 2" xfId="12459" xr:uid="{00000000-0005-0000-0000-000088550000}"/>
    <cellStyle name="Normal 16 2 2 2" xfId="23747" xr:uid="{00000000-0005-0000-0000-000089550000}"/>
    <cellStyle name="Normal 16 2 3" xfId="10465" xr:uid="{00000000-0005-0000-0000-00008A550000}"/>
    <cellStyle name="Normal 16 2 3 2" xfId="21753" xr:uid="{00000000-0005-0000-0000-00008B550000}"/>
    <cellStyle name="Normal 16 2 4" xfId="8471" xr:uid="{00000000-0005-0000-0000-00008C550000}"/>
    <cellStyle name="Normal 16 2 4 2" xfId="19759" xr:uid="{00000000-0005-0000-0000-00008D550000}"/>
    <cellStyle name="Normal 16 2 5" xfId="6477" xr:uid="{00000000-0005-0000-0000-00008E550000}"/>
    <cellStyle name="Normal 16 2 5 2" xfId="17765" xr:uid="{00000000-0005-0000-0000-00008F550000}"/>
    <cellStyle name="Normal 16 2 6" xfId="15771" xr:uid="{00000000-0005-0000-0000-000090550000}"/>
    <cellStyle name="Normal 16 2 7" xfId="29050" xr:uid="{00000000-0005-0000-0000-000091550000}"/>
    <cellStyle name="Normal 16 3" xfId="11462" xr:uid="{00000000-0005-0000-0000-000092550000}"/>
    <cellStyle name="Normal 16 3 2" xfId="22750" xr:uid="{00000000-0005-0000-0000-000093550000}"/>
    <cellStyle name="Normal 16 4" xfId="9468" xr:uid="{00000000-0005-0000-0000-000094550000}"/>
    <cellStyle name="Normal 16 4 2" xfId="20756" xr:uid="{00000000-0005-0000-0000-000095550000}"/>
    <cellStyle name="Normal 16 5" xfId="7474" xr:uid="{00000000-0005-0000-0000-000096550000}"/>
    <cellStyle name="Normal 16 5 2" xfId="18762" xr:uid="{00000000-0005-0000-0000-000097550000}"/>
    <cellStyle name="Normal 16 6" xfId="5480" xr:uid="{00000000-0005-0000-0000-000098550000}"/>
    <cellStyle name="Normal 16 6 2" xfId="16768" xr:uid="{00000000-0005-0000-0000-000099550000}"/>
    <cellStyle name="Normal 16 7" xfId="3243" xr:uid="{00000000-0005-0000-0000-00009A550000}"/>
    <cellStyle name="Normal 16 7 2" xfId="14774" xr:uid="{00000000-0005-0000-0000-00009B550000}"/>
    <cellStyle name="Normal 16 8" xfId="13757" xr:uid="{00000000-0005-0000-0000-00009C550000}"/>
    <cellStyle name="Normal 16 8 2" xfId="26661" xr:uid="{00000000-0005-0000-0000-00009D550000}"/>
    <cellStyle name="Normal 16 9" xfId="13460" xr:uid="{00000000-0005-0000-0000-00009E550000}"/>
    <cellStyle name="Normal 17" xfId="343" xr:uid="{00000000-0005-0000-0000-00009F550000}"/>
    <cellStyle name="Normal 17 10" xfId="23928" xr:uid="{00000000-0005-0000-0000-0000A0550000}"/>
    <cellStyle name="Normal 17 11" xfId="24556" xr:uid="{00000000-0005-0000-0000-0000A1550000}"/>
    <cellStyle name="Normal 17 12" xfId="24946" xr:uid="{00000000-0005-0000-0000-0000A2550000}"/>
    <cellStyle name="Normal 17 13" xfId="27906" xr:uid="{00000000-0005-0000-0000-0000A3550000}"/>
    <cellStyle name="Normal 17 14" xfId="25981" xr:uid="{00000000-0005-0000-0000-0000A4550000}"/>
    <cellStyle name="Normal 17 2" xfId="4481" xr:uid="{00000000-0005-0000-0000-0000A5550000}"/>
    <cellStyle name="Normal 17 2 10" xfId="29051" xr:uid="{00000000-0005-0000-0000-0000A6550000}"/>
    <cellStyle name="Normal 17 2 2" xfId="12460" xr:uid="{00000000-0005-0000-0000-0000A7550000}"/>
    <cellStyle name="Normal 17 2 2 2" xfId="23748" xr:uid="{00000000-0005-0000-0000-0000A8550000}"/>
    <cellStyle name="Normal 17 2 3" xfId="10466" xr:uid="{00000000-0005-0000-0000-0000A9550000}"/>
    <cellStyle name="Normal 17 2 3 2" xfId="21754" xr:uid="{00000000-0005-0000-0000-0000AA550000}"/>
    <cellStyle name="Normal 17 2 4" xfId="8472" xr:uid="{00000000-0005-0000-0000-0000AB550000}"/>
    <cellStyle name="Normal 17 2 4 2" xfId="19760" xr:uid="{00000000-0005-0000-0000-0000AC550000}"/>
    <cellStyle name="Normal 17 2 5" xfId="6478" xr:uid="{00000000-0005-0000-0000-0000AD550000}"/>
    <cellStyle name="Normal 17 2 5 2" xfId="17766" xr:uid="{00000000-0005-0000-0000-0000AE550000}"/>
    <cellStyle name="Normal 17 2 6" xfId="15772" xr:uid="{00000000-0005-0000-0000-0000AF550000}"/>
    <cellStyle name="Normal 17 2 7" xfId="24316" xr:uid="{00000000-0005-0000-0000-0000B0550000}"/>
    <cellStyle name="Normal 17 2 8" xfId="24781" xr:uid="{00000000-0005-0000-0000-0000B1550000}"/>
    <cellStyle name="Normal 17 2 9" xfId="25148" xr:uid="{00000000-0005-0000-0000-0000B2550000}"/>
    <cellStyle name="Normal 17 3" xfId="11463" xr:uid="{00000000-0005-0000-0000-0000B3550000}"/>
    <cellStyle name="Normal 17 3 2" xfId="22751" xr:uid="{00000000-0005-0000-0000-0000B4550000}"/>
    <cellStyle name="Normal 17 4" xfId="9469" xr:uid="{00000000-0005-0000-0000-0000B5550000}"/>
    <cellStyle name="Normal 17 4 2" xfId="20757" xr:uid="{00000000-0005-0000-0000-0000B6550000}"/>
    <cellStyle name="Normal 17 5" xfId="7475" xr:uid="{00000000-0005-0000-0000-0000B7550000}"/>
    <cellStyle name="Normal 17 5 2" xfId="18763" xr:uid="{00000000-0005-0000-0000-0000B8550000}"/>
    <cellStyle name="Normal 17 6" xfId="5481" xr:uid="{00000000-0005-0000-0000-0000B9550000}"/>
    <cellStyle name="Normal 17 6 2" xfId="16769" xr:uid="{00000000-0005-0000-0000-0000BA550000}"/>
    <cellStyle name="Normal 17 7" xfId="3244" xr:uid="{00000000-0005-0000-0000-0000BB550000}"/>
    <cellStyle name="Normal 17 7 2" xfId="14775" xr:uid="{00000000-0005-0000-0000-0000BC550000}"/>
    <cellStyle name="Normal 17 8" xfId="13762" xr:uid="{00000000-0005-0000-0000-0000BD550000}"/>
    <cellStyle name="Normal 17 8 2" xfId="26662" xr:uid="{00000000-0005-0000-0000-0000BE550000}"/>
    <cellStyle name="Normal 17 9" xfId="13461" xr:uid="{00000000-0005-0000-0000-0000BF550000}"/>
    <cellStyle name="Normal 18" xfId="350" xr:uid="{00000000-0005-0000-0000-0000C0550000}"/>
    <cellStyle name="Normal 18 10" xfId="25987" xr:uid="{00000000-0005-0000-0000-0000C1550000}"/>
    <cellStyle name="Normal 18 2" xfId="4482" xr:uid="{00000000-0005-0000-0000-0000C2550000}"/>
    <cellStyle name="Normal 18 2 2" xfId="12461" xr:uid="{00000000-0005-0000-0000-0000C3550000}"/>
    <cellStyle name="Normal 18 2 2 2" xfId="23749" xr:uid="{00000000-0005-0000-0000-0000C4550000}"/>
    <cellStyle name="Normal 18 2 3" xfId="10467" xr:uid="{00000000-0005-0000-0000-0000C5550000}"/>
    <cellStyle name="Normal 18 2 3 2" xfId="21755" xr:uid="{00000000-0005-0000-0000-0000C6550000}"/>
    <cellStyle name="Normal 18 2 4" xfId="8473" xr:uid="{00000000-0005-0000-0000-0000C7550000}"/>
    <cellStyle name="Normal 18 2 4 2" xfId="19761" xr:uid="{00000000-0005-0000-0000-0000C8550000}"/>
    <cellStyle name="Normal 18 2 5" xfId="6479" xr:uid="{00000000-0005-0000-0000-0000C9550000}"/>
    <cellStyle name="Normal 18 2 5 2" xfId="17767" xr:uid="{00000000-0005-0000-0000-0000CA550000}"/>
    <cellStyle name="Normal 18 2 6" xfId="15773" xr:uid="{00000000-0005-0000-0000-0000CB550000}"/>
    <cellStyle name="Normal 18 2 7" xfId="29052" xr:uid="{00000000-0005-0000-0000-0000CC550000}"/>
    <cellStyle name="Normal 18 3" xfId="11464" xr:uid="{00000000-0005-0000-0000-0000CD550000}"/>
    <cellStyle name="Normal 18 3 2" xfId="22752" xr:uid="{00000000-0005-0000-0000-0000CE550000}"/>
    <cellStyle name="Normal 18 4" xfId="9470" xr:uid="{00000000-0005-0000-0000-0000CF550000}"/>
    <cellStyle name="Normal 18 4 2" xfId="20758" xr:uid="{00000000-0005-0000-0000-0000D0550000}"/>
    <cellStyle name="Normal 18 5" xfId="7476" xr:uid="{00000000-0005-0000-0000-0000D1550000}"/>
    <cellStyle name="Normal 18 5 2" xfId="18764" xr:uid="{00000000-0005-0000-0000-0000D2550000}"/>
    <cellStyle name="Normal 18 6" xfId="5482" xr:uid="{00000000-0005-0000-0000-0000D3550000}"/>
    <cellStyle name="Normal 18 6 2" xfId="16770" xr:uid="{00000000-0005-0000-0000-0000D4550000}"/>
    <cellStyle name="Normal 18 7" xfId="3245" xr:uid="{00000000-0005-0000-0000-0000D5550000}"/>
    <cellStyle name="Normal 18 7 2" xfId="14776" xr:uid="{00000000-0005-0000-0000-0000D6550000}"/>
    <cellStyle name="Normal 18 8" xfId="13763" xr:uid="{00000000-0005-0000-0000-0000D7550000}"/>
    <cellStyle name="Normal 18 8 2" xfId="26663" xr:uid="{00000000-0005-0000-0000-0000D8550000}"/>
    <cellStyle name="Normal 18 9" xfId="13462" xr:uid="{00000000-0005-0000-0000-0000D9550000}"/>
    <cellStyle name="Normal 19" xfId="359" xr:uid="{00000000-0005-0000-0000-0000DA550000}"/>
    <cellStyle name="Normal 19 10" xfId="27905" xr:uid="{00000000-0005-0000-0000-0000DB550000}"/>
    <cellStyle name="Normal 19 11" xfId="25991" xr:uid="{00000000-0005-0000-0000-0000DC550000}"/>
    <cellStyle name="Normal 19 2" xfId="4483" xr:uid="{00000000-0005-0000-0000-0000DD550000}"/>
    <cellStyle name="Normal 19 2 2" xfId="12462" xr:uid="{00000000-0005-0000-0000-0000DE550000}"/>
    <cellStyle name="Normal 19 2 2 2" xfId="23750" xr:uid="{00000000-0005-0000-0000-0000DF550000}"/>
    <cellStyle name="Normal 19 2 3" xfId="10468" xr:uid="{00000000-0005-0000-0000-0000E0550000}"/>
    <cellStyle name="Normal 19 2 3 2" xfId="21756" xr:uid="{00000000-0005-0000-0000-0000E1550000}"/>
    <cellStyle name="Normal 19 2 4" xfId="8474" xr:uid="{00000000-0005-0000-0000-0000E2550000}"/>
    <cellStyle name="Normal 19 2 4 2" xfId="19762" xr:uid="{00000000-0005-0000-0000-0000E3550000}"/>
    <cellStyle name="Normal 19 2 5" xfId="6480" xr:uid="{00000000-0005-0000-0000-0000E4550000}"/>
    <cellStyle name="Normal 19 2 5 2" xfId="17768" xr:uid="{00000000-0005-0000-0000-0000E5550000}"/>
    <cellStyle name="Normal 19 2 6" xfId="15774" xr:uid="{00000000-0005-0000-0000-0000E6550000}"/>
    <cellStyle name="Normal 19 2 7" xfId="29053" xr:uid="{00000000-0005-0000-0000-0000E7550000}"/>
    <cellStyle name="Normal 19 3" xfId="11465" xr:uid="{00000000-0005-0000-0000-0000E8550000}"/>
    <cellStyle name="Normal 19 3 2" xfId="22753" xr:uid="{00000000-0005-0000-0000-0000E9550000}"/>
    <cellStyle name="Normal 19 4" xfId="9471" xr:uid="{00000000-0005-0000-0000-0000EA550000}"/>
    <cellStyle name="Normal 19 4 2" xfId="20759" xr:uid="{00000000-0005-0000-0000-0000EB550000}"/>
    <cellStyle name="Normal 19 5" xfId="7477" xr:uid="{00000000-0005-0000-0000-0000EC550000}"/>
    <cellStyle name="Normal 19 5 2" xfId="18765" xr:uid="{00000000-0005-0000-0000-0000ED550000}"/>
    <cellStyle name="Normal 19 6" xfId="5483" xr:uid="{00000000-0005-0000-0000-0000EE550000}"/>
    <cellStyle name="Normal 19 6 2" xfId="16771" xr:uid="{00000000-0005-0000-0000-0000EF550000}"/>
    <cellStyle name="Normal 19 7" xfId="3246" xr:uid="{00000000-0005-0000-0000-0000F0550000}"/>
    <cellStyle name="Normal 19 7 2" xfId="14777" xr:uid="{00000000-0005-0000-0000-0000F1550000}"/>
    <cellStyle name="Normal 19 8" xfId="13769" xr:uid="{00000000-0005-0000-0000-0000F2550000}"/>
    <cellStyle name="Normal 19 8 2" xfId="26664" xr:uid="{00000000-0005-0000-0000-0000F3550000}"/>
    <cellStyle name="Normal 19 9" xfId="13463" xr:uid="{00000000-0005-0000-0000-0000F4550000}"/>
    <cellStyle name="Normal 2" xfId="9" xr:uid="{00000000-0005-0000-0000-0000F5550000}"/>
    <cellStyle name="Normal 2 10" xfId="24139" xr:uid="{00000000-0005-0000-0000-0000F6550000}"/>
    <cellStyle name="Normal 2 10 2" xfId="29054" xr:uid="{00000000-0005-0000-0000-0000F7550000}"/>
    <cellStyle name="Normal 2 10 2 2" xfId="33380" xr:uid="{1F50887F-3466-4D11-84DF-71B476864AE0}"/>
    <cellStyle name="Normal 2 10 3" xfId="28781" xr:uid="{00000000-0005-0000-0000-0000F8550000}"/>
    <cellStyle name="Normal 2 11" xfId="25750" xr:uid="{00000000-0005-0000-0000-0000F9550000}"/>
    <cellStyle name="Normal 2 11 2" xfId="29055" xr:uid="{00000000-0005-0000-0000-0000FA550000}"/>
    <cellStyle name="Normal 2 12" xfId="28782" xr:uid="{00000000-0005-0000-0000-0000FB550000}"/>
    <cellStyle name="Normal 2 12 2" xfId="29056" xr:uid="{00000000-0005-0000-0000-0000FC550000}"/>
    <cellStyle name="Normal 2 13" xfId="28783" xr:uid="{00000000-0005-0000-0000-0000FD550000}"/>
    <cellStyle name="Normal 2 13 2" xfId="29057" xr:uid="{00000000-0005-0000-0000-0000FE550000}"/>
    <cellStyle name="Normal 2 14" xfId="28784" xr:uid="{00000000-0005-0000-0000-0000FF550000}"/>
    <cellStyle name="Normal 2 15" xfId="28855" xr:uid="{00000000-0005-0000-0000-000000560000}"/>
    <cellStyle name="Normal 2 16" xfId="33390" xr:uid="{0C293921-A744-4A7A-8257-4372421C5F83}"/>
    <cellStyle name="Normal 2 2" xfId="51" xr:uid="{00000000-0005-0000-0000-000001560000}"/>
    <cellStyle name="Normal 2 2 10" xfId="33379" xr:uid="{7AF394B2-2A91-4094-9D12-BB595E5FDD28}"/>
    <cellStyle name="Normal 2 2 2" xfId="202" xr:uid="{00000000-0005-0000-0000-000002560000}"/>
    <cellStyle name="Normal 2 2 2 2" xfId="348" xr:uid="{00000000-0005-0000-0000-000003560000}"/>
    <cellStyle name="Normal 2 2 2 2 2" xfId="654" xr:uid="{00000000-0005-0000-0000-000004560000}"/>
    <cellStyle name="Normal 2 2 2 2 3" xfId="653" xr:uid="{00000000-0005-0000-0000-000005560000}"/>
    <cellStyle name="Normal 2 2 2 2 4" xfId="25986" xr:uid="{00000000-0005-0000-0000-000006560000}"/>
    <cellStyle name="Normal 2 2 2 3" xfId="366" xr:uid="{00000000-0005-0000-0000-000007560000}"/>
    <cellStyle name="Normal 2 2 2 3 2" xfId="448" xr:uid="{00000000-0005-0000-0000-000008560000}"/>
    <cellStyle name="Normal 2 2 2 3 2 2" xfId="534" xr:uid="{00000000-0005-0000-0000-000009560000}"/>
    <cellStyle name="Normal 2 2 2 3 2 2 2" xfId="13897" xr:uid="{00000000-0005-0000-0000-00000A560000}"/>
    <cellStyle name="Normal 2 2 2 3 2 3" xfId="13820" xr:uid="{00000000-0005-0000-0000-00000B560000}"/>
    <cellStyle name="Normal 2 2 2 3 3" xfId="497" xr:uid="{00000000-0005-0000-0000-00000C560000}"/>
    <cellStyle name="Normal 2 2 2 3 3 2" xfId="13860" xr:uid="{00000000-0005-0000-0000-00000D560000}"/>
    <cellStyle name="Normal 2 2 2 3 4" xfId="13776" xr:uid="{00000000-0005-0000-0000-00000E560000}"/>
    <cellStyle name="Normal 2 2 2 4" xfId="428" xr:uid="{00000000-0005-0000-0000-00000F560000}"/>
    <cellStyle name="Normal 2 2 2 4 2" xfId="519" xr:uid="{00000000-0005-0000-0000-000010560000}"/>
    <cellStyle name="Normal 2 2 2 4 2 2" xfId="13882" xr:uid="{00000000-0005-0000-0000-000011560000}"/>
    <cellStyle name="Normal 2 2 2 4 3" xfId="13805" xr:uid="{00000000-0005-0000-0000-000012560000}"/>
    <cellStyle name="Normal 2 2 2 5" xfId="482" xr:uid="{00000000-0005-0000-0000-000013560000}"/>
    <cellStyle name="Normal 2 2 2 5 2" xfId="13845" xr:uid="{00000000-0005-0000-0000-000014560000}"/>
    <cellStyle name="Normal 2 2 2 6" xfId="652" xr:uid="{00000000-0005-0000-0000-000015560000}"/>
    <cellStyle name="Normal 2 2 2 7" xfId="13702" xr:uid="{00000000-0005-0000-0000-000016560000}"/>
    <cellStyle name="Normal 2 2 2 8" xfId="29059" xr:uid="{00000000-0005-0000-0000-000017560000}"/>
    <cellStyle name="Normal 2 2 3" xfId="406" xr:uid="{00000000-0005-0000-0000-000018560000}"/>
    <cellStyle name="Normal 2 2 4" xfId="384" xr:uid="{00000000-0005-0000-0000-000019560000}"/>
    <cellStyle name="Normal 2 3" xfId="165" xr:uid="{00000000-0005-0000-0000-00001A560000}"/>
    <cellStyle name="Normal 2 3 2" xfId="421" xr:uid="{00000000-0005-0000-0000-00001B560000}"/>
    <cellStyle name="Normal 2 3 2 2" xfId="25783" xr:uid="{00000000-0005-0000-0000-00001C560000}"/>
    <cellStyle name="Normal 2 3 2 3" xfId="29060" xr:uid="{00000000-0005-0000-0000-00001D560000}"/>
    <cellStyle name="Normal 2 3 3" xfId="385" xr:uid="{00000000-0005-0000-0000-00001E560000}"/>
    <cellStyle name="Normal 2 3 3 2" xfId="25999" xr:uid="{00000000-0005-0000-0000-00001F560000}"/>
    <cellStyle name="Normal 2 3 3 3" xfId="30157" xr:uid="{00000000-0005-0000-0000-000020560000}"/>
    <cellStyle name="Normal 2 3 4" xfId="655" xr:uid="{00000000-0005-0000-0000-000021560000}"/>
    <cellStyle name="Normal 2 3 4 2" xfId="13910" xr:uid="{00000000-0005-0000-0000-000022560000}"/>
    <cellStyle name="Normal 2 4" xfId="656" xr:uid="{00000000-0005-0000-0000-000023560000}"/>
    <cellStyle name="Normal 2 4 2" xfId="3248" xr:uid="{00000000-0005-0000-0000-000024560000}"/>
    <cellStyle name="Normal 2 4 2 2" xfId="25784" xr:uid="{00000000-0005-0000-0000-000025560000}"/>
    <cellStyle name="Normal 2 4 2 3" xfId="29061" xr:uid="{00000000-0005-0000-0000-000026560000}"/>
    <cellStyle name="Normal 2 4 3" xfId="25770" xr:uid="{00000000-0005-0000-0000-000027560000}"/>
    <cellStyle name="Normal 2 4 4" xfId="26053" xr:uid="{00000000-0005-0000-0000-000028560000}"/>
    <cellStyle name="Normal 2 5" xfId="657" xr:uid="{00000000-0005-0000-0000-000029560000}"/>
    <cellStyle name="Normal 2 5 2" xfId="11466" xr:uid="{00000000-0005-0000-0000-00002A560000}"/>
    <cellStyle name="Normal 2 5 2 2" xfId="22754" xr:uid="{00000000-0005-0000-0000-00002B560000}"/>
    <cellStyle name="Normal 2 5 2 3" xfId="29062" xr:uid="{00000000-0005-0000-0000-00002C560000}"/>
    <cellStyle name="Normal 2 5 3" xfId="9472" xr:uid="{00000000-0005-0000-0000-00002D560000}"/>
    <cellStyle name="Normal 2 5 3 2" xfId="20760" xr:uid="{00000000-0005-0000-0000-00002E560000}"/>
    <cellStyle name="Normal 2 5 4" xfId="7478" xr:uid="{00000000-0005-0000-0000-00002F560000}"/>
    <cellStyle name="Normal 2 5 4 2" xfId="18766" xr:uid="{00000000-0005-0000-0000-000030560000}"/>
    <cellStyle name="Normal 2 5 5" xfId="5484" xr:uid="{00000000-0005-0000-0000-000031560000}"/>
    <cellStyle name="Normal 2 5 5 2" xfId="16772" xr:uid="{00000000-0005-0000-0000-000032560000}"/>
    <cellStyle name="Normal 2 5 6" xfId="3249" xr:uid="{00000000-0005-0000-0000-000033560000}"/>
    <cellStyle name="Normal 2 5 6 2" xfId="14778" xr:uid="{00000000-0005-0000-0000-000034560000}"/>
    <cellStyle name="Normal 2 5 7" xfId="24140" xr:uid="{00000000-0005-0000-0000-000035560000}"/>
    <cellStyle name="Normal 2 5 7 2" xfId="27076" xr:uid="{00000000-0005-0000-0000-000036560000}"/>
    <cellStyle name="Normal 2 6" xfId="4484" xr:uid="{00000000-0005-0000-0000-000037560000}"/>
    <cellStyle name="Normal 2 6 2" xfId="12463" xr:uid="{00000000-0005-0000-0000-000038560000}"/>
    <cellStyle name="Normal 2 6 2 2" xfId="23751" xr:uid="{00000000-0005-0000-0000-000039560000}"/>
    <cellStyle name="Normal 2 6 2 3" xfId="29063" xr:uid="{00000000-0005-0000-0000-00003A560000}"/>
    <cellStyle name="Normal 2 6 3" xfId="10469" xr:uid="{00000000-0005-0000-0000-00003B560000}"/>
    <cellStyle name="Normal 2 6 3 2" xfId="21757" xr:uid="{00000000-0005-0000-0000-00003C560000}"/>
    <cellStyle name="Normal 2 6 4" xfId="8475" xr:uid="{00000000-0005-0000-0000-00003D560000}"/>
    <cellStyle name="Normal 2 6 4 2" xfId="19763" xr:uid="{00000000-0005-0000-0000-00003E560000}"/>
    <cellStyle name="Normal 2 6 5" xfId="6481" xr:uid="{00000000-0005-0000-0000-00003F560000}"/>
    <cellStyle name="Normal 2 6 5 2" xfId="17769" xr:uid="{00000000-0005-0000-0000-000040560000}"/>
    <cellStyle name="Normal 2 6 6" xfId="15775" xr:uid="{00000000-0005-0000-0000-000041560000}"/>
    <cellStyle name="Normal 2 6 7" xfId="24141" xr:uid="{00000000-0005-0000-0000-000042560000}"/>
    <cellStyle name="Normal 2 6 7 2" xfId="27077" xr:uid="{00000000-0005-0000-0000-000043560000}"/>
    <cellStyle name="Normal 2 6 8" xfId="25778" xr:uid="{00000000-0005-0000-0000-000044560000}"/>
    <cellStyle name="Normal 2 7" xfId="3247" xr:uid="{00000000-0005-0000-0000-000045560000}"/>
    <cellStyle name="Normal 2 7 2" xfId="24142" xr:uid="{00000000-0005-0000-0000-000046560000}"/>
    <cellStyle name="Normal 2 7 2 2" xfId="27078" xr:uid="{00000000-0005-0000-0000-000047560000}"/>
    <cellStyle name="Normal 2 7 2 2 2" xfId="29064" xr:uid="{00000000-0005-0000-0000-000048560000}"/>
    <cellStyle name="Normal 2 8" xfId="13604" xr:uid="{00000000-0005-0000-0000-000049560000}"/>
    <cellStyle name="Normal 2 8 2" xfId="26557" xr:uid="{00000000-0005-0000-0000-00004A560000}"/>
    <cellStyle name="Normal 2 8 2 2" xfId="29065" xr:uid="{00000000-0005-0000-0000-00004B560000}"/>
    <cellStyle name="Normal 2 9" xfId="23906" xr:uid="{00000000-0005-0000-0000-00004C560000}"/>
    <cellStyle name="Normal 2 9 2" xfId="29066" xr:uid="{00000000-0005-0000-0000-00004D560000}"/>
    <cellStyle name="Normal 2 9 3" xfId="28785" xr:uid="{00000000-0005-0000-0000-00004E560000}"/>
    <cellStyle name="Normal 20" xfId="393" xr:uid="{00000000-0005-0000-0000-00004F560000}"/>
    <cellStyle name="Normal 20 10" xfId="27904" xr:uid="{00000000-0005-0000-0000-000050560000}"/>
    <cellStyle name="Normal 20 11" xfId="26003" xr:uid="{00000000-0005-0000-0000-000051560000}"/>
    <cellStyle name="Normal 20 2" xfId="4485" xr:uid="{00000000-0005-0000-0000-000052560000}"/>
    <cellStyle name="Normal 20 2 2" xfId="12464" xr:uid="{00000000-0005-0000-0000-000053560000}"/>
    <cellStyle name="Normal 20 2 2 2" xfId="23752" xr:uid="{00000000-0005-0000-0000-000054560000}"/>
    <cellStyle name="Normal 20 2 3" xfId="10470" xr:uid="{00000000-0005-0000-0000-000055560000}"/>
    <cellStyle name="Normal 20 2 3 2" xfId="21758" xr:uid="{00000000-0005-0000-0000-000056560000}"/>
    <cellStyle name="Normal 20 2 4" xfId="8476" xr:uid="{00000000-0005-0000-0000-000057560000}"/>
    <cellStyle name="Normal 20 2 4 2" xfId="19764" xr:uid="{00000000-0005-0000-0000-000058560000}"/>
    <cellStyle name="Normal 20 2 5" xfId="6482" xr:uid="{00000000-0005-0000-0000-000059560000}"/>
    <cellStyle name="Normal 20 2 5 2" xfId="17770" xr:uid="{00000000-0005-0000-0000-00005A560000}"/>
    <cellStyle name="Normal 20 2 6" xfId="15776" xr:uid="{00000000-0005-0000-0000-00005B560000}"/>
    <cellStyle name="Normal 20 2 7" xfId="29067" xr:uid="{00000000-0005-0000-0000-00005C560000}"/>
    <cellStyle name="Normal 20 3" xfId="11467" xr:uid="{00000000-0005-0000-0000-00005D560000}"/>
    <cellStyle name="Normal 20 3 2" xfId="22755" xr:uid="{00000000-0005-0000-0000-00005E560000}"/>
    <cellStyle name="Normal 20 4" xfId="9473" xr:uid="{00000000-0005-0000-0000-00005F560000}"/>
    <cellStyle name="Normal 20 4 2" xfId="20761" xr:uid="{00000000-0005-0000-0000-000060560000}"/>
    <cellStyle name="Normal 20 5" xfId="7479" xr:uid="{00000000-0005-0000-0000-000061560000}"/>
    <cellStyle name="Normal 20 5 2" xfId="18767" xr:uid="{00000000-0005-0000-0000-000062560000}"/>
    <cellStyle name="Normal 20 6" xfId="5485" xr:uid="{00000000-0005-0000-0000-000063560000}"/>
    <cellStyle name="Normal 20 6 2" xfId="16773" xr:uid="{00000000-0005-0000-0000-000064560000}"/>
    <cellStyle name="Normal 20 7" xfId="3250" xr:uid="{00000000-0005-0000-0000-000065560000}"/>
    <cellStyle name="Normal 20 7 2" xfId="14779" xr:uid="{00000000-0005-0000-0000-000066560000}"/>
    <cellStyle name="Normal 20 8" xfId="13787" xr:uid="{00000000-0005-0000-0000-000067560000}"/>
    <cellStyle name="Normal 20 8 2" xfId="26667" xr:uid="{00000000-0005-0000-0000-000068560000}"/>
    <cellStyle name="Normal 20 9" xfId="13464" xr:uid="{00000000-0005-0000-0000-000069560000}"/>
    <cellStyle name="Normal 21" xfId="370" xr:uid="{00000000-0005-0000-0000-00006A560000}"/>
    <cellStyle name="Normal 21 10" xfId="24130" xr:uid="{00000000-0005-0000-0000-00006B560000}"/>
    <cellStyle name="Normal 21 10 2" xfId="27072" xr:uid="{00000000-0005-0000-0000-00006C560000}"/>
    <cellStyle name="Normal 21 2" xfId="500" xr:uid="{00000000-0005-0000-0000-00006D560000}"/>
    <cellStyle name="Normal 21 2 2" xfId="12465" xr:uid="{00000000-0005-0000-0000-00006E560000}"/>
    <cellStyle name="Normal 21 2 2 2" xfId="23753" xr:uid="{00000000-0005-0000-0000-00006F560000}"/>
    <cellStyle name="Normal 21 2 3" xfId="10471" xr:uid="{00000000-0005-0000-0000-000070560000}"/>
    <cellStyle name="Normal 21 2 3 2" xfId="21759" xr:uid="{00000000-0005-0000-0000-000071560000}"/>
    <cellStyle name="Normal 21 2 4" xfId="8477" xr:uid="{00000000-0005-0000-0000-000072560000}"/>
    <cellStyle name="Normal 21 2 4 2" xfId="19765" xr:uid="{00000000-0005-0000-0000-000073560000}"/>
    <cellStyle name="Normal 21 2 5" xfId="6483" xr:uid="{00000000-0005-0000-0000-000074560000}"/>
    <cellStyle name="Normal 21 2 5 2" xfId="17771" xr:uid="{00000000-0005-0000-0000-000075560000}"/>
    <cellStyle name="Normal 21 2 6" xfId="4486" xr:uid="{00000000-0005-0000-0000-000076560000}"/>
    <cellStyle name="Normal 21 2 6 2" xfId="15777" xr:uid="{00000000-0005-0000-0000-000077560000}"/>
    <cellStyle name="Normal 21 2 7" xfId="13863" xr:uid="{00000000-0005-0000-0000-000078560000}"/>
    <cellStyle name="Normal 21 2 8" xfId="29068" xr:uid="{00000000-0005-0000-0000-000079560000}"/>
    <cellStyle name="Normal 21 3" xfId="11468" xr:uid="{00000000-0005-0000-0000-00007A560000}"/>
    <cellStyle name="Normal 21 3 2" xfId="22756" xr:uid="{00000000-0005-0000-0000-00007B560000}"/>
    <cellStyle name="Normal 21 4" xfId="9474" xr:uid="{00000000-0005-0000-0000-00007C560000}"/>
    <cellStyle name="Normal 21 4 2" xfId="20762" xr:uid="{00000000-0005-0000-0000-00007D560000}"/>
    <cellStyle name="Normal 21 5" xfId="7480" xr:uid="{00000000-0005-0000-0000-00007E560000}"/>
    <cellStyle name="Normal 21 5 2" xfId="18768" xr:uid="{00000000-0005-0000-0000-00007F560000}"/>
    <cellStyle name="Normal 21 6" xfId="5486" xr:uid="{00000000-0005-0000-0000-000080560000}"/>
    <cellStyle name="Normal 21 6 2" xfId="16774" xr:uid="{00000000-0005-0000-0000-000081560000}"/>
    <cellStyle name="Normal 21 7" xfId="3251" xr:uid="{00000000-0005-0000-0000-000082560000}"/>
    <cellStyle name="Normal 21 7 2" xfId="14780" xr:uid="{00000000-0005-0000-0000-000083560000}"/>
    <cellStyle name="Normal 21 8" xfId="13779" xr:uid="{00000000-0005-0000-0000-000084560000}"/>
    <cellStyle name="Normal 21 9" xfId="13465" xr:uid="{00000000-0005-0000-0000-000085560000}"/>
    <cellStyle name="Normal 22" xfId="419" xr:uid="{00000000-0005-0000-0000-000086560000}"/>
    <cellStyle name="Normal 22 10" xfId="24314" xr:uid="{00000000-0005-0000-0000-000087560000}"/>
    <cellStyle name="Normal 22 10 2" xfId="27145" xr:uid="{00000000-0005-0000-0000-000088560000}"/>
    <cellStyle name="Normal 22 2" xfId="512" xr:uid="{00000000-0005-0000-0000-000089560000}"/>
    <cellStyle name="Normal 22 2 2" xfId="12466" xr:uid="{00000000-0005-0000-0000-00008A560000}"/>
    <cellStyle name="Normal 22 2 2 2" xfId="23754" xr:uid="{00000000-0005-0000-0000-00008B560000}"/>
    <cellStyle name="Normal 22 2 3" xfId="10472" xr:uid="{00000000-0005-0000-0000-00008C560000}"/>
    <cellStyle name="Normal 22 2 3 2" xfId="21760" xr:uid="{00000000-0005-0000-0000-00008D560000}"/>
    <cellStyle name="Normal 22 2 4" xfId="8478" xr:uid="{00000000-0005-0000-0000-00008E560000}"/>
    <cellStyle name="Normal 22 2 4 2" xfId="19766" xr:uid="{00000000-0005-0000-0000-00008F560000}"/>
    <cellStyle name="Normal 22 2 5" xfId="6484" xr:uid="{00000000-0005-0000-0000-000090560000}"/>
    <cellStyle name="Normal 22 2 5 2" xfId="17772" xr:uid="{00000000-0005-0000-0000-000091560000}"/>
    <cellStyle name="Normal 22 2 6" xfId="4487" xr:uid="{00000000-0005-0000-0000-000092560000}"/>
    <cellStyle name="Normal 22 2 6 2" xfId="15778" xr:uid="{00000000-0005-0000-0000-000093560000}"/>
    <cellStyle name="Normal 22 2 7" xfId="13875" xr:uid="{00000000-0005-0000-0000-000094560000}"/>
    <cellStyle name="Normal 22 2 8" xfId="29069" xr:uid="{00000000-0005-0000-0000-000095560000}"/>
    <cellStyle name="Normal 22 3" xfId="11469" xr:uid="{00000000-0005-0000-0000-000096560000}"/>
    <cellStyle name="Normal 22 3 2" xfId="22757" xr:uid="{00000000-0005-0000-0000-000097560000}"/>
    <cellStyle name="Normal 22 4" xfId="9475" xr:uid="{00000000-0005-0000-0000-000098560000}"/>
    <cellStyle name="Normal 22 4 2" xfId="20763" xr:uid="{00000000-0005-0000-0000-000099560000}"/>
    <cellStyle name="Normal 22 5" xfId="7481" xr:uid="{00000000-0005-0000-0000-00009A560000}"/>
    <cellStyle name="Normal 22 5 2" xfId="18769" xr:uid="{00000000-0005-0000-0000-00009B560000}"/>
    <cellStyle name="Normal 22 6" xfId="5487" xr:uid="{00000000-0005-0000-0000-00009C560000}"/>
    <cellStyle name="Normal 22 6 2" xfId="16775" xr:uid="{00000000-0005-0000-0000-00009D560000}"/>
    <cellStyle name="Normal 22 7" xfId="3252" xr:uid="{00000000-0005-0000-0000-00009E560000}"/>
    <cellStyle name="Normal 22 7 2" xfId="14781" xr:uid="{00000000-0005-0000-0000-00009F560000}"/>
    <cellStyle name="Normal 22 8" xfId="13798" xr:uid="{00000000-0005-0000-0000-0000A0560000}"/>
    <cellStyle name="Normal 22 9" xfId="13466" xr:uid="{00000000-0005-0000-0000-0000A1560000}"/>
    <cellStyle name="Normal 23" xfId="52" xr:uid="{00000000-0005-0000-0000-0000A2560000}"/>
    <cellStyle name="Normal 23 10" xfId="24478" xr:uid="{00000000-0005-0000-0000-0000A3560000}"/>
    <cellStyle name="Normal 23 10 2" xfId="27173" xr:uid="{00000000-0005-0000-0000-0000A4560000}"/>
    <cellStyle name="Normal 23 2" xfId="4488" xr:uid="{00000000-0005-0000-0000-0000A5560000}"/>
    <cellStyle name="Normal 23 2 2" xfId="12467" xr:uid="{00000000-0005-0000-0000-0000A6560000}"/>
    <cellStyle name="Normal 23 2 2 2" xfId="23755" xr:uid="{00000000-0005-0000-0000-0000A7560000}"/>
    <cellStyle name="Normal 23 2 3" xfId="10473" xr:uid="{00000000-0005-0000-0000-0000A8560000}"/>
    <cellStyle name="Normal 23 2 3 2" xfId="21761" xr:uid="{00000000-0005-0000-0000-0000A9560000}"/>
    <cellStyle name="Normal 23 2 4" xfId="8479" xr:uid="{00000000-0005-0000-0000-0000AA560000}"/>
    <cellStyle name="Normal 23 2 4 2" xfId="19767" xr:uid="{00000000-0005-0000-0000-0000AB560000}"/>
    <cellStyle name="Normal 23 2 5" xfId="6485" xr:uid="{00000000-0005-0000-0000-0000AC560000}"/>
    <cellStyle name="Normal 23 2 5 2" xfId="17773" xr:uid="{00000000-0005-0000-0000-0000AD560000}"/>
    <cellStyle name="Normal 23 2 6" xfId="15779" xr:uid="{00000000-0005-0000-0000-0000AE560000}"/>
    <cellStyle name="Normal 23 2 7" xfId="29070" xr:uid="{00000000-0005-0000-0000-0000AF560000}"/>
    <cellStyle name="Normal 23 3" xfId="4619" xr:uid="{00000000-0005-0000-0000-0000B0560000}"/>
    <cellStyle name="Normal 23 3 2" xfId="11470" xr:uid="{00000000-0005-0000-0000-0000B1560000}"/>
    <cellStyle name="Normal 23 3 2 2" xfId="22758" xr:uid="{00000000-0005-0000-0000-0000B2560000}"/>
    <cellStyle name="Normal 23 4" xfId="9476" xr:uid="{00000000-0005-0000-0000-0000B3560000}"/>
    <cellStyle name="Normal 23 4 2" xfId="20764" xr:uid="{00000000-0005-0000-0000-0000B4560000}"/>
    <cellStyle name="Normal 23 5" xfId="7482" xr:uid="{00000000-0005-0000-0000-0000B5560000}"/>
    <cellStyle name="Normal 23 5 2" xfId="18770" xr:uid="{00000000-0005-0000-0000-0000B6560000}"/>
    <cellStyle name="Normal 23 6" xfId="5488" xr:uid="{00000000-0005-0000-0000-0000B7560000}"/>
    <cellStyle name="Normal 23 6 2" xfId="16776" xr:uid="{00000000-0005-0000-0000-0000B8560000}"/>
    <cellStyle name="Normal 23 7" xfId="3253" xr:uid="{00000000-0005-0000-0000-0000B9560000}"/>
    <cellStyle name="Normal 23 7 2" xfId="14782" xr:uid="{00000000-0005-0000-0000-0000BA560000}"/>
    <cellStyle name="Normal 23 8" xfId="13611" xr:uid="{00000000-0005-0000-0000-0000BB560000}"/>
    <cellStyle name="Normal 23 9" xfId="13467" xr:uid="{00000000-0005-0000-0000-0000BC560000}"/>
    <cellStyle name="Normal 24" xfId="409" xr:uid="{00000000-0005-0000-0000-0000BD560000}"/>
    <cellStyle name="Normal 24 10" xfId="24500" xr:uid="{00000000-0005-0000-0000-0000BE560000}"/>
    <cellStyle name="Normal 24 10 2" xfId="27188" xr:uid="{00000000-0005-0000-0000-0000BF560000}"/>
    <cellStyle name="Normal 24 2" xfId="509" xr:uid="{00000000-0005-0000-0000-0000C0560000}"/>
    <cellStyle name="Normal 24 2 2" xfId="12468" xr:uid="{00000000-0005-0000-0000-0000C1560000}"/>
    <cellStyle name="Normal 24 2 2 2" xfId="23756" xr:uid="{00000000-0005-0000-0000-0000C2560000}"/>
    <cellStyle name="Normal 24 2 3" xfId="10474" xr:uid="{00000000-0005-0000-0000-0000C3560000}"/>
    <cellStyle name="Normal 24 2 3 2" xfId="21762" xr:uid="{00000000-0005-0000-0000-0000C4560000}"/>
    <cellStyle name="Normal 24 2 4" xfId="8480" xr:uid="{00000000-0005-0000-0000-0000C5560000}"/>
    <cellStyle name="Normal 24 2 4 2" xfId="19768" xr:uid="{00000000-0005-0000-0000-0000C6560000}"/>
    <cellStyle name="Normal 24 2 5" xfId="6486" xr:uid="{00000000-0005-0000-0000-0000C7560000}"/>
    <cellStyle name="Normal 24 2 5 2" xfId="17774" xr:uid="{00000000-0005-0000-0000-0000C8560000}"/>
    <cellStyle name="Normal 24 2 6" xfId="4489" xr:uid="{00000000-0005-0000-0000-0000C9560000}"/>
    <cellStyle name="Normal 24 2 6 2" xfId="15780" xr:uid="{00000000-0005-0000-0000-0000CA560000}"/>
    <cellStyle name="Normal 24 2 7" xfId="13872" xr:uid="{00000000-0005-0000-0000-0000CB560000}"/>
    <cellStyle name="Normal 24 2 8" xfId="29071" xr:uid="{00000000-0005-0000-0000-0000CC560000}"/>
    <cellStyle name="Normal 24 3" xfId="11471" xr:uid="{00000000-0005-0000-0000-0000CD560000}"/>
    <cellStyle name="Normal 24 3 2" xfId="22759" xr:uid="{00000000-0005-0000-0000-0000CE560000}"/>
    <cellStyle name="Normal 24 4" xfId="9477" xr:uid="{00000000-0005-0000-0000-0000CF560000}"/>
    <cellStyle name="Normal 24 4 2" xfId="20765" xr:uid="{00000000-0005-0000-0000-0000D0560000}"/>
    <cellStyle name="Normal 24 5" xfId="7483" xr:uid="{00000000-0005-0000-0000-0000D1560000}"/>
    <cellStyle name="Normal 24 5 2" xfId="18771" xr:uid="{00000000-0005-0000-0000-0000D2560000}"/>
    <cellStyle name="Normal 24 6" xfId="5489" xr:uid="{00000000-0005-0000-0000-0000D3560000}"/>
    <cellStyle name="Normal 24 6 2" xfId="16777" xr:uid="{00000000-0005-0000-0000-0000D4560000}"/>
    <cellStyle name="Normal 24 7" xfId="3254" xr:uid="{00000000-0005-0000-0000-0000D5560000}"/>
    <cellStyle name="Normal 24 7 2" xfId="14783" xr:uid="{00000000-0005-0000-0000-0000D6560000}"/>
    <cellStyle name="Normal 24 8" xfId="13791" xr:uid="{00000000-0005-0000-0000-0000D7560000}"/>
    <cellStyle name="Normal 24 9" xfId="13468" xr:uid="{00000000-0005-0000-0000-0000D8560000}"/>
    <cellStyle name="Normal 25" xfId="451" xr:uid="{00000000-0005-0000-0000-0000D9560000}"/>
    <cellStyle name="Normal 25 10" xfId="24476" xr:uid="{00000000-0005-0000-0000-0000DA560000}"/>
    <cellStyle name="Normal 25 10 2" xfId="27171" xr:uid="{00000000-0005-0000-0000-0000DB560000}"/>
    <cellStyle name="Normal 25 2" xfId="537" xr:uid="{00000000-0005-0000-0000-0000DC560000}"/>
    <cellStyle name="Normal 25 2 2" xfId="12469" xr:uid="{00000000-0005-0000-0000-0000DD560000}"/>
    <cellStyle name="Normal 25 2 2 2" xfId="23757" xr:uid="{00000000-0005-0000-0000-0000DE560000}"/>
    <cellStyle name="Normal 25 2 3" xfId="10475" xr:uid="{00000000-0005-0000-0000-0000DF560000}"/>
    <cellStyle name="Normal 25 2 3 2" xfId="21763" xr:uid="{00000000-0005-0000-0000-0000E0560000}"/>
    <cellStyle name="Normal 25 2 4" xfId="8481" xr:uid="{00000000-0005-0000-0000-0000E1560000}"/>
    <cellStyle name="Normal 25 2 4 2" xfId="19769" xr:uid="{00000000-0005-0000-0000-0000E2560000}"/>
    <cellStyle name="Normal 25 2 5" xfId="6487" xr:uid="{00000000-0005-0000-0000-0000E3560000}"/>
    <cellStyle name="Normal 25 2 5 2" xfId="17775" xr:uid="{00000000-0005-0000-0000-0000E4560000}"/>
    <cellStyle name="Normal 25 2 6" xfId="4490" xr:uid="{00000000-0005-0000-0000-0000E5560000}"/>
    <cellStyle name="Normal 25 2 6 2" xfId="15781" xr:uid="{00000000-0005-0000-0000-0000E6560000}"/>
    <cellStyle name="Normal 25 2 7" xfId="13900" xr:uid="{00000000-0005-0000-0000-0000E7560000}"/>
    <cellStyle name="Normal 25 2 8" xfId="29072" xr:uid="{00000000-0005-0000-0000-0000E8560000}"/>
    <cellStyle name="Normal 25 3" xfId="11472" xr:uid="{00000000-0005-0000-0000-0000E9560000}"/>
    <cellStyle name="Normal 25 3 2" xfId="22760" xr:uid="{00000000-0005-0000-0000-0000EA560000}"/>
    <cellStyle name="Normal 25 4" xfId="9478" xr:uid="{00000000-0005-0000-0000-0000EB560000}"/>
    <cellStyle name="Normal 25 4 2" xfId="20766" xr:uid="{00000000-0005-0000-0000-0000EC560000}"/>
    <cellStyle name="Normal 25 5" xfId="7484" xr:uid="{00000000-0005-0000-0000-0000ED560000}"/>
    <cellStyle name="Normal 25 5 2" xfId="18772" xr:uid="{00000000-0005-0000-0000-0000EE560000}"/>
    <cellStyle name="Normal 25 6" xfId="5490" xr:uid="{00000000-0005-0000-0000-0000EF560000}"/>
    <cellStyle name="Normal 25 6 2" xfId="16778" xr:uid="{00000000-0005-0000-0000-0000F0560000}"/>
    <cellStyle name="Normal 25 7" xfId="3255" xr:uid="{00000000-0005-0000-0000-0000F1560000}"/>
    <cellStyle name="Normal 25 7 2" xfId="14784" xr:uid="{00000000-0005-0000-0000-0000F2560000}"/>
    <cellStyle name="Normal 25 8" xfId="13823" xr:uid="{00000000-0005-0000-0000-0000F3560000}"/>
    <cellStyle name="Normal 25 9" xfId="13469" xr:uid="{00000000-0005-0000-0000-0000F4560000}"/>
    <cellStyle name="Normal 26" xfId="454" xr:uid="{00000000-0005-0000-0000-0000F5560000}"/>
    <cellStyle name="Normal 26 10" xfId="26019" xr:uid="{00000000-0005-0000-0000-0000F6560000}"/>
    <cellStyle name="Normal 26 2" xfId="4491" xr:uid="{00000000-0005-0000-0000-0000F7560000}"/>
    <cellStyle name="Normal 26 2 2" xfId="12470" xr:uid="{00000000-0005-0000-0000-0000F8560000}"/>
    <cellStyle name="Normal 26 2 2 2" xfId="23758" xr:uid="{00000000-0005-0000-0000-0000F9560000}"/>
    <cellStyle name="Normal 26 2 3" xfId="10476" xr:uid="{00000000-0005-0000-0000-0000FA560000}"/>
    <cellStyle name="Normal 26 2 3 2" xfId="21764" xr:uid="{00000000-0005-0000-0000-0000FB560000}"/>
    <cellStyle name="Normal 26 2 4" xfId="8482" xr:uid="{00000000-0005-0000-0000-0000FC560000}"/>
    <cellStyle name="Normal 26 2 4 2" xfId="19770" xr:uid="{00000000-0005-0000-0000-0000FD560000}"/>
    <cellStyle name="Normal 26 2 5" xfId="6488" xr:uid="{00000000-0005-0000-0000-0000FE560000}"/>
    <cellStyle name="Normal 26 2 5 2" xfId="17776" xr:uid="{00000000-0005-0000-0000-0000FF560000}"/>
    <cellStyle name="Normal 26 2 6" xfId="15782" xr:uid="{00000000-0005-0000-0000-000000570000}"/>
    <cellStyle name="Normal 26 3" xfId="11473" xr:uid="{00000000-0005-0000-0000-000001570000}"/>
    <cellStyle name="Normal 26 3 2" xfId="22761" xr:uid="{00000000-0005-0000-0000-000002570000}"/>
    <cellStyle name="Normal 26 4" xfId="9479" xr:uid="{00000000-0005-0000-0000-000003570000}"/>
    <cellStyle name="Normal 26 4 2" xfId="20767" xr:uid="{00000000-0005-0000-0000-000004570000}"/>
    <cellStyle name="Normal 26 5" xfId="7485" xr:uid="{00000000-0005-0000-0000-000005570000}"/>
    <cellStyle name="Normal 26 5 2" xfId="18773" xr:uid="{00000000-0005-0000-0000-000006570000}"/>
    <cellStyle name="Normal 26 6" xfId="5491" xr:uid="{00000000-0005-0000-0000-000007570000}"/>
    <cellStyle name="Normal 26 6 2" xfId="16779" xr:uid="{00000000-0005-0000-0000-000008570000}"/>
    <cellStyle name="Normal 26 7" xfId="3256" xr:uid="{00000000-0005-0000-0000-000009570000}"/>
    <cellStyle name="Normal 26 7 2" xfId="14785" xr:uid="{00000000-0005-0000-0000-00000A570000}"/>
    <cellStyle name="Normal 26 8" xfId="13826" xr:uid="{00000000-0005-0000-0000-00000B570000}"/>
    <cellStyle name="Normal 26 8 2" xfId="26675" xr:uid="{00000000-0005-0000-0000-00000C570000}"/>
    <cellStyle name="Normal 26 9" xfId="13470" xr:uid="{00000000-0005-0000-0000-00000D570000}"/>
    <cellStyle name="Normal 27" xfId="465" xr:uid="{00000000-0005-0000-0000-00000E570000}"/>
    <cellStyle name="Normal 27 10" xfId="26030" xr:uid="{00000000-0005-0000-0000-00000F570000}"/>
    <cellStyle name="Normal 27 2" xfId="4492" xr:uid="{00000000-0005-0000-0000-000010570000}"/>
    <cellStyle name="Normal 27 2 2" xfId="12471" xr:uid="{00000000-0005-0000-0000-000011570000}"/>
    <cellStyle name="Normal 27 2 2 2" xfId="23759" xr:uid="{00000000-0005-0000-0000-000012570000}"/>
    <cellStyle name="Normal 27 2 3" xfId="10477" xr:uid="{00000000-0005-0000-0000-000013570000}"/>
    <cellStyle name="Normal 27 2 3 2" xfId="21765" xr:uid="{00000000-0005-0000-0000-000014570000}"/>
    <cellStyle name="Normal 27 2 4" xfId="8483" xr:uid="{00000000-0005-0000-0000-000015570000}"/>
    <cellStyle name="Normal 27 2 4 2" xfId="19771" xr:uid="{00000000-0005-0000-0000-000016570000}"/>
    <cellStyle name="Normal 27 2 5" xfId="6489" xr:uid="{00000000-0005-0000-0000-000017570000}"/>
    <cellStyle name="Normal 27 2 5 2" xfId="17777" xr:uid="{00000000-0005-0000-0000-000018570000}"/>
    <cellStyle name="Normal 27 2 6" xfId="15783" xr:uid="{00000000-0005-0000-0000-000019570000}"/>
    <cellStyle name="Normal 27 2 7" xfId="29073" xr:uid="{00000000-0005-0000-0000-00001A570000}"/>
    <cellStyle name="Normal 27 3" xfId="11474" xr:uid="{00000000-0005-0000-0000-00001B570000}"/>
    <cellStyle name="Normal 27 3 2" xfId="22762" xr:uid="{00000000-0005-0000-0000-00001C570000}"/>
    <cellStyle name="Normal 27 4" xfId="9480" xr:uid="{00000000-0005-0000-0000-00001D570000}"/>
    <cellStyle name="Normal 27 4 2" xfId="20768" xr:uid="{00000000-0005-0000-0000-00001E570000}"/>
    <cellStyle name="Normal 27 5" xfId="7486" xr:uid="{00000000-0005-0000-0000-00001F570000}"/>
    <cellStyle name="Normal 27 5 2" xfId="18774" xr:uid="{00000000-0005-0000-0000-000020570000}"/>
    <cellStyle name="Normal 27 6" xfId="5492" xr:uid="{00000000-0005-0000-0000-000021570000}"/>
    <cellStyle name="Normal 27 6 2" xfId="16780" xr:uid="{00000000-0005-0000-0000-000022570000}"/>
    <cellStyle name="Normal 27 7" xfId="3257" xr:uid="{00000000-0005-0000-0000-000023570000}"/>
    <cellStyle name="Normal 27 7 2" xfId="14786" xr:uid="{00000000-0005-0000-0000-000024570000}"/>
    <cellStyle name="Normal 27 8" xfId="13829" xr:uid="{00000000-0005-0000-0000-000025570000}"/>
    <cellStyle name="Normal 27 8 2" xfId="26678" xr:uid="{00000000-0005-0000-0000-000026570000}"/>
    <cellStyle name="Normal 27 9" xfId="13471" xr:uid="{00000000-0005-0000-0000-000027570000}"/>
    <cellStyle name="Normal 28" xfId="469" xr:uid="{00000000-0005-0000-0000-000028570000}"/>
    <cellStyle name="Normal 28 10" xfId="26032" xr:uid="{00000000-0005-0000-0000-000029570000}"/>
    <cellStyle name="Normal 28 2" xfId="4493" xr:uid="{00000000-0005-0000-0000-00002A570000}"/>
    <cellStyle name="Normal 28 2 2" xfId="12472" xr:uid="{00000000-0005-0000-0000-00002B570000}"/>
    <cellStyle name="Normal 28 2 2 2" xfId="23760" xr:uid="{00000000-0005-0000-0000-00002C570000}"/>
    <cellStyle name="Normal 28 2 3" xfId="10478" xr:uid="{00000000-0005-0000-0000-00002D570000}"/>
    <cellStyle name="Normal 28 2 3 2" xfId="21766" xr:uid="{00000000-0005-0000-0000-00002E570000}"/>
    <cellStyle name="Normal 28 2 4" xfId="8484" xr:uid="{00000000-0005-0000-0000-00002F570000}"/>
    <cellStyle name="Normal 28 2 4 2" xfId="19772" xr:uid="{00000000-0005-0000-0000-000030570000}"/>
    <cellStyle name="Normal 28 2 5" xfId="6490" xr:uid="{00000000-0005-0000-0000-000031570000}"/>
    <cellStyle name="Normal 28 2 5 2" xfId="17778" xr:uid="{00000000-0005-0000-0000-000032570000}"/>
    <cellStyle name="Normal 28 2 6" xfId="15784" xr:uid="{00000000-0005-0000-0000-000033570000}"/>
    <cellStyle name="Normal 28 3" xfId="11475" xr:uid="{00000000-0005-0000-0000-000034570000}"/>
    <cellStyle name="Normal 28 3 2" xfId="22763" xr:uid="{00000000-0005-0000-0000-000035570000}"/>
    <cellStyle name="Normal 28 4" xfId="9481" xr:uid="{00000000-0005-0000-0000-000036570000}"/>
    <cellStyle name="Normal 28 4 2" xfId="20769" xr:uid="{00000000-0005-0000-0000-000037570000}"/>
    <cellStyle name="Normal 28 5" xfId="7487" xr:uid="{00000000-0005-0000-0000-000038570000}"/>
    <cellStyle name="Normal 28 5 2" xfId="18775" xr:uid="{00000000-0005-0000-0000-000039570000}"/>
    <cellStyle name="Normal 28 6" xfId="5493" xr:uid="{00000000-0005-0000-0000-00003A570000}"/>
    <cellStyle name="Normal 28 6 2" xfId="16781" xr:uid="{00000000-0005-0000-0000-00003B570000}"/>
    <cellStyle name="Normal 28 7" xfId="3258" xr:uid="{00000000-0005-0000-0000-00003C570000}"/>
    <cellStyle name="Normal 28 7 2" xfId="14787" xr:uid="{00000000-0005-0000-0000-00003D570000}"/>
    <cellStyle name="Normal 28 8" xfId="13832" xr:uid="{00000000-0005-0000-0000-00003E570000}"/>
    <cellStyle name="Normal 28 8 2" xfId="26679" xr:uid="{00000000-0005-0000-0000-00003F570000}"/>
    <cellStyle name="Normal 28 9" xfId="13472" xr:uid="{00000000-0005-0000-0000-000040570000}"/>
    <cellStyle name="Normal 29" xfId="464" xr:uid="{00000000-0005-0000-0000-000041570000}"/>
    <cellStyle name="Normal 29 10" xfId="26029" xr:uid="{00000000-0005-0000-0000-000042570000}"/>
    <cellStyle name="Normal 29 2" xfId="4494" xr:uid="{00000000-0005-0000-0000-000043570000}"/>
    <cellStyle name="Normal 29 2 2" xfId="12473" xr:uid="{00000000-0005-0000-0000-000044570000}"/>
    <cellStyle name="Normal 29 2 2 2" xfId="23761" xr:uid="{00000000-0005-0000-0000-000045570000}"/>
    <cellStyle name="Normal 29 2 3" xfId="10479" xr:uid="{00000000-0005-0000-0000-000046570000}"/>
    <cellStyle name="Normal 29 2 3 2" xfId="21767" xr:uid="{00000000-0005-0000-0000-000047570000}"/>
    <cellStyle name="Normal 29 2 4" xfId="8485" xr:uid="{00000000-0005-0000-0000-000048570000}"/>
    <cellStyle name="Normal 29 2 4 2" xfId="19773" xr:uid="{00000000-0005-0000-0000-000049570000}"/>
    <cellStyle name="Normal 29 2 5" xfId="6491" xr:uid="{00000000-0005-0000-0000-00004A570000}"/>
    <cellStyle name="Normal 29 2 5 2" xfId="17779" xr:uid="{00000000-0005-0000-0000-00004B570000}"/>
    <cellStyle name="Normal 29 2 6" xfId="15785" xr:uid="{00000000-0005-0000-0000-00004C570000}"/>
    <cellStyle name="Normal 29 3" xfId="11476" xr:uid="{00000000-0005-0000-0000-00004D570000}"/>
    <cellStyle name="Normal 29 3 2" xfId="22764" xr:uid="{00000000-0005-0000-0000-00004E570000}"/>
    <cellStyle name="Normal 29 4" xfId="9482" xr:uid="{00000000-0005-0000-0000-00004F570000}"/>
    <cellStyle name="Normal 29 4 2" xfId="20770" xr:uid="{00000000-0005-0000-0000-000050570000}"/>
    <cellStyle name="Normal 29 5" xfId="7488" xr:uid="{00000000-0005-0000-0000-000051570000}"/>
    <cellStyle name="Normal 29 5 2" xfId="18776" xr:uid="{00000000-0005-0000-0000-000052570000}"/>
    <cellStyle name="Normal 29 6" xfId="5494" xr:uid="{00000000-0005-0000-0000-000053570000}"/>
    <cellStyle name="Normal 29 6 2" xfId="16782" xr:uid="{00000000-0005-0000-0000-000054570000}"/>
    <cellStyle name="Normal 29 7" xfId="3259" xr:uid="{00000000-0005-0000-0000-000055570000}"/>
    <cellStyle name="Normal 29 7 2" xfId="14788" xr:uid="{00000000-0005-0000-0000-000056570000}"/>
    <cellStyle name="Normal 29 8" xfId="13828" xr:uid="{00000000-0005-0000-0000-000057570000}"/>
    <cellStyle name="Normal 29 8 2" xfId="26677" xr:uid="{00000000-0005-0000-0000-000058570000}"/>
    <cellStyle name="Normal 29 9" xfId="13473" xr:uid="{00000000-0005-0000-0000-000059570000}"/>
    <cellStyle name="Normal 3" xfId="53" xr:uid="{00000000-0005-0000-0000-00005A570000}"/>
    <cellStyle name="Normal 3 10" xfId="24143" xr:uid="{00000000-0005-0000-0000-00005B570000}"/>
    <cellStyle name="Normal 3 10 2" xfId="29074" xr:uid="{00000000-0005-0000-0000-00005C570000}"/>
    <cellStyle name="Normal 3 10 3" xfId="28786" xr:uid="{00000000-0005-0000-0000-00005D570000}"/>
    <cellStyle name="Normal 3 11" xfId="25771" xr:uid="{00000000-0005-0000-0000-00005E570000}"/>
    <cellStyle name="Normal 3 11 2" xfId="29075" xr:uid="{00000000-0005-0000-0000-00005F570000}"/>
    <cellStyle name="Normal 3 12" xfId="28787" xr:uid="{00000000-0005-0000-0000-000060570000}"/>
    <cellStyle name="Normal 3 12 2" xfId="29076" xr:uid="{00000000-0005-0000-0000-000061570000}"/>
    <cellStyle name="Normal 3 13" xfId="28788" xr:uid="{00000000-0005-0000-0000-000062570000}"/>
    <cellStyle name="Normal 3 13 2" xfId="29077" xr:uid="{00000000-0005-0000-0000-000063570000}"/>
    <cellStyle name="Normal 3 14" xfId="29058" xr:uid="{00000000-0005-0000-0000-000064570000}"/>
    <cellStyle name="Normal 3 15" xfId="30158" xr:uid="{00000000-0005-0000-0000-000065570000}"/>
    <cellStyle name="Normal 3 2" xfId="54" xr:uid="{00000000-0005-0000-0000-000066570000}"/>
    <cellStyle name="Normal 3 2 2" xfId="11477" xr:uid="{00000000-0005-0000-0000-000067570000}"/>
    <cellStyle name="Normal 3 2 2 2" xfId="22765" xr:uid="{00000000-0005-0000-0000-000068570000}"/>
    <cellStyle name="Normal 3 2 2 3" xfId="29078" xr:uid="{00000000-0005-0000-0000-000069570000}"/>
    <cellStyle name="Normal 3 2 3" xfId="9483" xr:uid="{00000000-0005-0000-0000-00006A570000}"/>
    <cellStyle name="Normal 3 2 3 2" xfId="20771" xr:uid="{00000000-0005-0000-0000-00006B570000}"/>
    <cellStyle name="Normal 3 2 4" xfId="7489" xr:uid="{00000000-0005-0000-0000-00006C570000}"/>
    <cellStyle name="Normal 3 2 4 2" xfId="18777" xr:uid="{00000000-0005-0000-0000-00006D570000}"/>
    <cellStyle name="Normal 3 2 5" xfId="5495" xr:uid="{00000000-0005-0000-0000-00006E570000}"/>
    <cellStyle name="Normal 3 2 5 2" xfId="16783" xr:uid="{00000000-0005-0000-0000-00006F570000}"/>
    <cellStyle name="Normal 3 2 6" xfId="3260" xr:uid="{00000000-0005-0000-0000-000070570000}"/>
    <cellStyle name="Normal 3 2 6 2" xfId="14789" xr:uid="{00000000-0005-0000-0000-000071570000}"/>
    <cellStyle name="Normal 3 2 7" xfId="25785" xr:uid="{00000000-0005-0000-0000-000072570000}"/>
    <cellStyle name="Normal 3 3" xfId="355" xr:uid="{00000000-0005-0000-0000-000073570000}"/>
    <cellStyle name="Normal 3 3 2" xfId="438" xr:uid="{00000000-0005-0000-0000-000074570000}"/>
    <cellStyle name="Normal 3 3 2 2" xfId="524" xr:uid="{00000000-0005-0000-0000-000075570000}"/>
    <cellStyle name="Normal 3 3 2 2 2" xfId="13887" xr:uid="{00000000-0005-0000-0000-000076570000}"/>
    <cellStyle name="Normal 3 3 2 3" xfId="12474" xr:uid="{00000000-0005-0000-0000-000077570000}"/>
    <cellStyle name="Normal 3 3 2 3 2" xfId="23762" xr:uid="{00000000-0005-0000-0000-000078570000}"/>
    <cellStyle name="Normal 3 3 2 4" xfId="13810" xr:uid="{00000000-0005-0000-0000-000079570000}"/>
    <cellStyle name="Normal 3 3 2 5" xfId="29079" xr:uid="{00000000-0005-0000-0000-00007A570000}"/>
    <cellStyle name="Normal 3 3 3" xfId="487" xr:uid="{00000000-0005-0000-0000-00007B570000}"/>
    <cellStyle name="Normal 3 3 3 2" xfId="10480" xr:uid="{00000000-0005-0000-0000-00007C570000}"/>
    <cellStyle name="Normal 3 3 3 2 2" xfId="21768" xr:uid="{00000000-0005-0000-0000-00007D570000}"/>
    <cellStyle name="Normal 3 3 3 3" xfId="13850" xr:uid="{00000000-0005-0000-0000-00007E570000}"/>
    <cellStyle name="Normal 3 3 4" xfId="8486" xr:uid="{00000000-0005-0000-0000-00007F570000}"/>
    <cellStyle name="Normal 3 3 4 2" xfId="19774" xr:uid="{00000000-0005-0000-0000-000080570000}"/>
    <cellStyle name="Normal 3 3 5" xfId="6492" xr:uid="{00000000-0005-0000-0000-000081570000}"/>
    <cellStyle name="Normal 3 3 5 2" xfId="17780" xr:uid="{00000000-0005-0000-0000-000082570000}"/>
    <cellStyle name="Normal 3 3 6" xfId="4495" xr:uid="{00000000-0005-0000-0000-000083570000}"/>
    <cellStyle name="Normal 3 3 6 2" xfId="15786" xr:uid="{00000000-0005-0000-0000-000084570000}"/>
    <cellStyle name="Normal 3 3 7" xfId="13765" xr:uid="{00000000-0005-0000-0000-000085570000}"/>
    <cellStyle name="Normal 3 3 8" xfId="24144" xr:uid="{00000000-0005-0000-0000-000086570000}"/>
    <cellStyle name="Normal 3 3 8 2" xfId="27079" xr:uid="{00000000-0005-0000-0000-000087570000}"/>
    <cellStyle name="Normal 3 4" xfId="407" xr:uid="{00000000-0005-0000-0000-000088570000}"/>
    <cellStyle name="Normal 3 4 2" xfId="507" xr:uid="{00000000-0005-0000-0000-000089570000}"/>
    <cellStyle name="Normal 3 4 2 2" xfId="13870" xr:uid="{00000000-0005-0000-0000-00008A570000}"/>
    <cellStyle name="Normal 3 4 2 3" xfId="24419" xr:uid="{00000000-0005-0000-0000-00008B570000}"/>
    <cellStyle name="Normal 3 4 2 4" xfId="24863" xr:uid="{00000000-0005-0000-0000-00008C570000}"/>
    <cellStyle name="Normal 3 4 2 5" xfId="25226" xr:uid="{00000000-0005-0000-0000-00008D570000}"/>
    <cellStyle name="Normal 3 4 2 6" xfId="29080" xr:uid="{00000000-0005-0000-0000-00008E570000}"/>
    <cellStyle name="Normal 3 4 3" xfId="13789" xr:uid="{00000000-0005-0000-0000-00008F570000}"/>
    <cellStyle name="Normal 3 4 4" xfId="24145" xr:uid="{00000000-0005-0000-0000-000090570000}"/>
    <cellStyle name="Normal 3 4 5" xfId="24716" xr:uid="{00000000-0005-0000-0000-000091570000}"/>
    <cellStyle name="Normal 3 4 6" xfId="25032" xr:uid="{00000000-0005-0000-0000-000092570000}"/>
    <cellStyle name="Normal 3 4 7" xfId="28789" xr:uid="{00000000-0005-0000-0000-000093570000}"/>
    <cellStyle name="Normal 3 5" xfId="386" xr:uid="{00000000-0005-0000-0000-000094570000}"/>
    <cellStyle name="Normal 3 5 2" xfId="29081" xr:uid="{00000000-0005-0000-0000-000095570000}"/>
    <cellStyle name="Normal 3 5 3" xfId="28790" xr:uid="{00000000-0005-0000-0000-000096570000}"/>
    <cellStyle name="Normal 3 6" xfId="472" xr:uid="{00000000-0005-0000-0000-000097570000}"/>
    <cellStyle name="Normal 3 6 2" xfId="13835" xr:uid="{00000000-0005-0000-0000-000098570000}"/>
    <cellStyle name="Normal 3 6 2 2" xfId="29082" xr:uid="{00000000-0005-0000-0000-000099570000}"/>
    <cellStyle name="Normal 3 6 3" xfId="28791" xr:uid="{00000000-0005-0000-0000-00009A570000}"/>
    <cellStyle name="Normal 3 7" xfId="658" xr:uid="{00000000-0005-0000-0000-00009B570000}"/>
    <cellStyle name="Normal 3 7 2" xfId="13911" xr:uid="{00000000-0005-0000-0000-00009C570000}"/>
    <cellStyle name="Normal 3 7 2 2" xfId="29083" xr:uid="{00000000-0005-0000-0000-00009D570000}"/>
    <cellStyle name="Normal 3 7 3" xfId="28792" xr:uid="{00000000-0005-0000-0000-00009E570000}"/>
    <cellStyle name="Normal 3 8" xfId="13612" xr:uid="{00000000-0005-0000-0000-00009F570000}"/>
    <cellStyle name="Normal 3 8 2" xfId="29084" xr:uid="{00000000-0005-0000-0000-0000A0570000}"/>
    <cellStyle name="Normal 3 8 3" xfId="28793" xr:uid="{00000000-0005-0000-0000-0000A1570000}"/>
    <cellStyle name="Normal 3 9" xfId="12599" xr:uid="{00000000-0005-0000-0000-0000A2570000}"/>
    <cellStyle name="Normal 3 9 2" xfId="29085" xr:uid="{00000000-0005-0000-0000-0000A3570000}"/>
    <cellStyle name="Normal 3 9 3" xfId="28794" xr:uid="{00000000-0005-0000-0000-0000A4570000}"/>
    <cellStyle name="Normal 30" xfId="470" xr:uid="{00000000-0005-0000-0000-0000A5570000}"/>
    <cellStyle name="Normal 30 10" xfId="27907" xr:uid="{00000000-0005-0000-0000-0000A6570000}"/>
    <cellStyle name="Normal 30 11" xfId="26033" xr:uid="{00000000-0005-0000-0000-0000A7570000}"/>
    <cellStyle name="Normal 30 2" xfId="4496" xr:uid="{00000000-0005-0000-0000-0000A8570000}"/>
    <cellStyle name="Normal 30 2 2" xfId="12475" xr:uid="{00000000-0005-0000-0000-0000A9570000}"/>
    <cellStyle name="Normal 30 2 2 2" xfId="23763" xr:uid="{00000000-0005-0000-0000-0000AA570000}"/>
    <cellStyle name="Normal 30 2 3" xfId="10481" xr:uid="{00000000-0005-0000-0000-0000AB570000}"/>
    <cellStyle name="Normal 30 2 3 2" xfId="21769" xr:uid="{00000000-0005-0000-0000-0000AC570000}"/>
    <cellStyle name="Normal 30 2 4" xfId="8487" xr:uid="{00000000-0005-0000-0000-0000AD570000}"/>
    <cellStyle name="Normal 30 2 4 2" xfId="19775" xr:uid="{00000000-0005-0000-0000-0000AE570000}"/>
    <cellStyle name="Normal 30 2 5" xfId="6493" xr:uid="{00000000-0005-0000-0000-0000AF570000}"/>
    <cellStyle name="Normal 30 2 5 2" xfId="17781" xr:uid="{00000000-0005-0000-0000-0000B0570000}"/>
    <cellStyle name="Normal 30 2 6" xfId="15787" xr:uid="{00000000-0005-0000-0000-0000B1570000}"/>
    <cellStyle name="Normal 30 2 7" xfId="29086" xr:uid="{00000000-0005-0000-0000-0000B2570000}"/>
    <cellStyle name="Normal 30 3" xfId="11478" xr:uid="{00000000-0005-0000-0000-0000B3570000}"/>
    <cellStyle name="Normal 30 3 2" xfId="22766" xr:uid="{00000000-0005-0000-0000-0000B4570000}"/>
    <cellStyle name="Normal 30 4" xfId="9484" xr:uid="{00000000-0005-0000-0000-0000B5570000}"/>
    <cellStyle name="Normal 30 4 2" xfId="20772" xr:uid="{00000000-0005-0000-0000-0000B6570000}"/>
    <cellStyle name="Normal 30 5" xfId="7490" xr:uid="{00000000-0005-0000-0000-0000B7570000}"/>
    <cellStyle name="Normal 30 5 2" xfId="18778" xr:uid="{00000000-0005-0000-0000-0000B8570000}"/>
    <cellStyle name="Normal 30 6" xfId="5496" xr:uid="{00000000-0005-0000-0000-0000B9570000}"/>
    <cellStyle name="Normal 30 6 2" xfId="16784" xr:uid="{00000000-0005-0000-0000-0000BA570000}"/>
    <cellStyle name="Normal 30 7" xfId="3261" xr:uid="{00000000-0005-0000-0000-0000BB570000}"/>
    <cellStyle name="Normal 30 7 2" xfId="14790" xr:uid="{00000000-0005-0000-0000-0000BC570000}"/>
    <cellStyle name="Normal 30 8" xfId="13833" xr:uid="{00000000-0005-0000-0000-0000BD570000}"/>
    <cellStyle name="Normal 30 8 2" xfId="26680" xr:uid="{00000000-0005-0000-0000-0000BE570000}"/>
    <cellStyle name="Normal 30 9" xfId="13474" xr:uid="{00000000-0005-0000-0000-0000BF570000}"/>
    <cellStyle name="Normal 31" xfId="3262" xr:uid="{00000000-0005-0000-0000-0000C0570000}"/>
    <cellStyle name="Normal 31 2" xfId="4497" xr:uid="{00000000-0005-0000-0000-0000C1570000}"/>
    <cellStyle name="Normal 31 2 2" xfId="12476" xr:uid="{00000000-0005-0000-0000-0000C2570000}"/>
    <cellStyle name="Normal 31 2 2 2" xfId="23764" xr:uid="{00000000-0005-0000-0000-0000C3570000}"/>
    <cellStyle name="Normal 31 2 3" xfId="10482" xr:uid="{00000000-0005-0000-0000-0000C4570000}"/>
    <cellStyle name="Normal 31 2 3 2" xfId="21770" xr:uid="{00000000-0005-0000-0000-0000C5570000}"/>
    <cellStyle name="Normal 31 2 4" xfId="8488" xr:uid="{00000000-0005-0000-0000-0000C6570000}"/>
    <cellStyle name="Normal 31 2 4 2" xfId="19776" xr:uid="{00000000-0005-0000-0000-0000C7570000}"/>
    <cellStyle name="Normal 31 2 5" xfId="6494" xr:uid="{00000000-0005-0000-0000-0000C8570000}"/>
    <cellStyle name="Normal 31 2 5 2" xfId="17782" xr:uid="{00000000-0005-0000-0000-0000C9570000}"/>
    <cellStyle name="Normal 31 2 6" xfId="15788" xr:uid="{00000000-0005-0000-0000-0000CA570000}"/>
    <cellStyle name="Normal 31 2 7" xfId="29087" xr:uid="{00000000-0005-0000-0000-0000CB570000}"/>
    <cellStyle name="Normal 31 3" xfId="11479" xr:uid="{00000000-0005-0000-0000-0000CC570000}"/>
    <cellStyle name="Normal 31 3 2" xfId="22767" xr:uid="{00000000-0005-0000-0000-0000CD570000}"/>
    <cellStyle name="Normal 31 4" xfId="9485" xr:uid="{00000000-0005-0000-0000-0000CE570000}"/>
    <cellStyle name="Normal 31 4 2" xfId="20773" xr:uid="{00000000-0005-0000-0000-0000CF570000}"/>
    <cellStyle name="Normal 31 5" xfId="7491" xr:uid="{00000000-0005-0000-0000-0000D0570000}"/>
    <cellStyle name="Normal 31 5 2" xfId="18779" xr:uid="{00000000-0005-0000-0000-0000D1570000}"/>
    <cellStyle name="Normal 31 6" xfId="5497" xr:uid="{00000000-0005-0000-0000-0000D2570000}"/>
    <cellStyle name="Normal 31 6 2" xfId="16785" xr:uid="{00000000-0005-0000-0000-0000D3570000}"/>
    <cellStyle name="Normal 31 7" xfId="14791" xr:uid="{00000000-0005-0000-0000-0000D4570000}"/>
    <cellStyle name="Normal 31 8" xfId="13475" xr:uid="{00000000-0005-0000-0000-0000D5570000}"/>
    <cellStyle name="Normal 31 9" xfId="24471" xr:uid="{00000000-0005-0000-0000-0000D6570000}"/>
    <cellStyle name="Normal 31 9 2" xfId="27169" xr:uid="{00000000-0005-0000-0000-0000D7570000}"/>
    <cellStyle name="Normal 32" xfId="3263" xr:uid="{00000000-0005-0000-0000-0000D8570000}"/>
    <cellStyle name="Normal 32 2" xfId="4498" xr:uid="{00000000-0005-0000-0000-0000D9570000}"/>
    <cellStyle name="Normal 32 2 2" xfId="12477" xr:uid="{00000000-0005-0000-0000-0000DA570000}"/>
    <cellStyle name="Normal 32 2 2 2" xfId="23765" xr:uid="{00000000-0005-0000-0000-0000DB570000}"/>
    <cellStyle name="Normal 32 2 3" xfId="10483" xr:uid="{00000000-0005-0000-0000-0000DC570000}"/>
    <cellStyle name="Normal 32 2 3 2" xfId="21771" xr:uid="{00000000-0005-0000-0000-0000DD570000}"/>
    <cellStyle name="Normal 32 2 4" xfId="8489" xr:uid="{00000000-0005-0000-0000-0000DE570000}"/>
    <cellStyle name="Normal 32 2 4 2" xfId="19777" xr:uid="{00000000-0005-0000-0000-0000DF570000}"/>
    <cellStyle name="Normal 32 2 5" xfId="6495" xr:uid="{00000000-0005-0000-0000-0000E0570000}"/>
    <cellStyle name="Normal 32 2 5 2" xfId="17783" xr:uid="{00000000-0005-0000-0000-0000E1570000}"/>
    <cellStyle name="Normal 32 2 6" xfId="15789" xr:uid="{00000000-0005-0000-0000-0000E2570000}"/>
    <cellStyle name="Normal 32 2 7" xfId="29088" xr:uid="{00000000-0005-0000-0000-0000E3570000}"/>
    <cellStyle name="Normal 32 3" xfId="11480" xr:uid="{00000000-0005-0000-0000-0000E4570000}"/>
    <cellStyle name="Normal 32 3 2" xfId="22768" xr:uid="{00000000-0005-0000-0000-0000E5570000}"/>
    <cellStyle name="Normal 32 4" xfId="9486" xr:uid="{00000000-0005-0000-0000-0000E6570000}"/>
    <cellStyle name="Normal 32 4 2" xfId="20774" xr:uid="{00000000-0005-0000-0000-0000E7570000}"/>
    <cellStyle name="Normal 32 5" xfId="7492" xr:uid="{00000000-0005-0000-0000-0000E8570000}"/>
    <cellStyle name="Normal 32 5 2" xfId="18780" xr:uid="{00000000-0005-0000-0000-0000E9570000}"/>
    <cellStyle name="Normal 32 6" xfId="5498" xr:uid="{00000000-0005-0000-0000-0000EA570000}"/>
    <cellStyle name="Normal 32 6 2" xfId="16786" xr:uid="{00000000-0005-0000-0000-0000EB570000}"/>
    <cellStyle name="Normal 32 7" xfId="14792" xr:uid="{00000000-0005-0000-0000-0000EC570000}"/>
    <cellStyle name="Normal 32 8" xfId="13476" xr:uid="{00000000-0005-0000-0000-0000ED570000}"/>
    <cellStyle name="Normal 32 9" xfId="24392" xr:uid="{00000000-0005-0000-0000-0000EE570000}"/>
    <cellStyle name="Normal 32 9 2" xfId="27150" xr:uid="{00000000-0005-0000-0000-0000EF570000}"/>
    <cellStyle name="Normal 33" xfId="3264" xr:uid="{00000000-0005-0000-0000-0000F0570000}"/>
    <cellStyle name="Normal 33 2" xfId="4499" xr:uid="{00000000-0005-0000-0000-0000F1570000}"/>
    <cellStyle name="Normal 33 2 2" xfId="12478" xr:uid="{00000000-0005-0000-0000-0000F2570000}"/>
    <cellStyle name="Normal 33 2 2 2" xfId="23766" xr:uid="{00000000-0005-0000-0000-0000F3570000}"/>
    <cellStyle name="Normal 33 2 3" xfId="10484" xr:uid="{00000000-0005-0000-0000-0000F4570000}"/>
    <cellStyle name="Normal 33 2 3 2" xfId="21772" xr:uid="{00000000-0005-0000-0000-0000F5570000}"/>
    <cellStyle name="Normal 33 2 4" xfId="8490" xr:uid="{00000000-0005-0000-0000-0000F6570000}"/>
    <cellStyle name="Normal 33 2 4 2" xfId="19778" xr:uid="{00000000-0005-0000-0000-0000F7570000}"/>
    <cellStyle name="Normal 33 2 5" xfId="6496" xr:uid="{00000000-0005-0000-0000-0000F8570000}"/>
    <cellStyle name="Normal 33 2 5 2" xfId="17784" xr:uid="{00000000-0005-0000-0000-0000F9570000}"/>
    <cellStyle name="Normal 33 2 6" xfId="15790" xr:uid="{00000000-0005-0000-0000-0000FA570000}"/>
    <cellStyle name="Normal 33 2 7" xfId="29089" xr:uid="{00000000-0005-0000-0000-0000FB570000}"/>
    <cellStyle name="Normal 33 3" xfId="11481" xr:uid="{00000000-0005-0000-0000-0000FC570000}"/>
    <cellStyle name="Normal 33 3 2" xfId="22769" xr:uid="{00000000-0005-0000-0000-0000FD570000}"/>
    <cellStyle name="Normal 33 4" xfId="9487" xr:uid="{00000000-0005-0000-0000-0000FE570000}"/>
    <cellStyle name="Normal 33 4 2" xfId="20775" xr:uid="{00000000-0005-0000-0000-0000FF570000}"/>
    <cellStyle name="Normal 33 5" xfId="7493" xr:uid="{00000000-0005-0000-0000-000000580000}"/>
    <cellStyle name="Normal 33 5 2" xfId="18781" xr:uid="{00000000-0005-0000-0000-000001580000}"/>
    <cellStyle name="Normal 33 6" xfId="5499" xr:uid="{00000000-0005-0000-0000-000002580000}"/>
    <cellStyle name="Normal 33 6 2" xfId="16787" xr:uid="{00000000-0005-0000-0000-000003580000}"/>
    <cellStyle name="Normal 33 7" xfId="14793" xr:uid="{00000000-0005-0000-0000-000004580000}"/>
    <cellStyle name="Normal 33 8" xfId="13477" xr:uid="{00000000-0005-0000-0000-000005580000}"/>
    <cellStyle name="Normal 33 9" xfId="24487" xr:uid="{00000000-0005-0000-0000-000006580000}"/>
    <cellStyle name="Normal 33 9 2" xfId="27177" xr:uid="{00000000-0005-0000-0000-000007580000}"/>
    <cellStyle name="Normal 34" xfId="3265" xr:uid="{00000000-0005-0000-0000-000008580000}"/>
    <cellStyle name="Normal 34 2" xfId="4500" xr:uid="{00000000-0005-0000-0000-000009580000}"/>
    <cellStyle name="Normal 34 2 2" xfId="12479" xr:uid="{00000000-0005-0000-0000-00000A580000}"/>
    <cellStyle name="Normal 34 2 2 2" xfId="23767" xr:uid="{00000000-0005-0000-0000-00000B580000}"/>
    <cellStyle name="Normal 34 2 3" xfId="10485" xr:uid="{00000000-0005-0000-0000-00000C580000}"/>
    <cellStyle name="Normal 34 2 3 2" xfId="21773" xr:uid="{00000000-0005-0000-0000-00000D580000}"/>
    <cellStyle name="Normal 34 2 4" xfId="8491" xr:uid="{00000000-0005-0000-0000-00000E580000}"/>
    <cellStyle name="Normal 34 2 4 2" xfId="19779" xr:uid="{00000000-0005-0000-0000-00000F580000}"/>
    <cellStyle name="Normal 34 2 5" xfId="6497" xr:uid="{00000000-0005-0000-0000-000010580000}"/>
    <cellStyle name="Normal 34 2 5 2" xfId="17785" xr:uid="{00000000-0005-0000-0000-000011580000}"/>
    <cellStyle name="Normal 34 2 6" xfId="15791" xr:uid="{00000000-0005-0000-0000-000012580000}"/>
    <cellStyle name="Normal 34 2 7" xfId="29090" xr:uid="{00000000-0005-0000-0000-000013580000}"/>
    <cellStyle name="Normal 34 3" xfId="11482" xr:uid="{00000000-0005-0000-0000-000014580000}"/>
    <cellStyle name="Normal 34 3 2" xfId="22770" xr:uid="{00000000-0005-0000-0000-000015580000}"/>
    <cellStyle name="Normal 34 4" xfId="9488" xr:uid="{00000000-0005-0000-0000-000016580000}"/>
    <cellStyle name="Normal 34 4 2" xfId="20776" xr:uid="{00000000-0005-0000-0000-000017580000}"/>
    <cellStyle name="Normal 34 5" xfId="7494" xr:uid="{00000000-0005-0000-0000-000018580000}"/>
    <cellStyle name="Normal 34 5 2" xfId="18782" xr:uid="{00000000-0005-0000-0000-000019580000}"/>
    <cellStyle name="Normal 34 6" xfId="5500" xr:uid="{00000000-0005-0000-0000-00001A580000}"/>
    <cellStyle name="Normal 34 6 2" xfId="16788" xr:uid="{00000000-0005-0000-0000-00001B580000}"/>
    <cellStyle name="Normal 34 7" xfId="14794" xr:uid="{00000000-0005-0000-0000-00001C580000}"/>
    <cellStyle name="Normal 34 8" xfId="13478" xr:uid="{00000000-0005-0000-0000-00001D580000}"/>
    <cellStyle name="Normal 34 9" xfId="24470" xr:uid="{00000000-0005-0000-0000-00001E580000}"/>
    <cellStyle name="Normal 34 9 2" xfId="27168" xr:uid="{00000000-0005-0000-0000-00001F580000}"/>
    <cellStyle name="Normal 35" xfId="3266" xr:uid="{00000000-0005-0000-0000-000020580000}"/>
    <cellStyle name="Normal 35 2" xfId="4501" xr:uid="{00000000-0005-0000-0000-000021580000}"/>
    <cellStyle name="Normal 35 2 2" xfId="12480" xr:uid="{00000000-0005-0000-0000-000022580000}"/>
    <cellStyle name="Normal 35 2 2 2" xfId="23768" xr:uid="{00000000-0005-0000-0000-000023580000}"/>
    <cellStyle name="Normal 35 2 3" xfId="10486" xr:uid="{00000000-0005-0000-0000-000024580000}"/>
    <cellStyle name="Normal 35 2 3 2" xfId="21774" xr:uid="{00000000-0005-0000-0000-000025580000}"/>
    <cellStyle name="Normal 35 2 4" xfId="8492" xr:uid="{00000000-0005-0000-0000-000026580000}"/>
    <cellStyle name="Normal 35 2 4 2" xfId="19780" xr:uid="{00000000-0005-0000-0000-000027580000}"/>
    <cellStyle name="Normal 35 2 5" xfId="6498" xr:uid="{00000000-0005-0000-0000-000028580000}"/>
    <cellStyle name="Normal 35 2 5 2" xfId="17786" xr:uid="{00000000-0005-0000-0000-000029580000}"/>
    <cellStyle name="Normal 35 2 6" xfId="15792" xr:uid="{00000000-0005-0000-0000-00002A580000}"/>
    <cellStyle name="Normal 35 2 7" xfId="29091" xr:uid="{00000000-0005-0000-0000-00002B580000}"/>
    <cellStyle name="Normal 35 3" xfId="11483" xr:uid="{00000000-0005-0000-0000-00002C580000}"/>
    <cellStyle name="Normal 35 3 2" xfId="22771" xr:uid="{00000000-0005-0000-0000-00002D580000}"/>
    <cellStyle name="Normal 35 4" xfId="9489" xr:uid="{00000000-0005-0000-0000-00002E580000}"/>
    <cellStyle name="Normal 35 4 2" xfId="20777" xr:uid="{00000000-0005-0000-0000-00002F580000}"/>
    <cellStyle name="Normal 35 5" xfId="7495" xr:uid="{00000000-0005-0000-0000-000030580000}"/>
    <cellStyle name="Normal 35 5 2" xfId="18783" xr:uid="{00000000-0005-0000-0000-000031580000}"/>
    <cellStyle name="Normal 35 6" xfId="5501" xr:uid="{00000000-0005-0000-0000-000032580000}"/>
    <cellStyle name="Normal 35 6 2" xfId="16789" xr:uid="{00000000-0005-0000-0000-000033580000}"/>
    <cellStyle name="Normal 35 7" xfId="14795" xr:uid="{00000000-0005-0000-0000-000034580000}"/>
    <cellStyle name="Normal 35 8" xfId="13479" xr:uid="{00000000-0005-0000-0000-000035580000}"/>
    <cellStyle name="Normal 35 9" xfId="24501" xr:uid="{00000000-0005-0000-0000-000036580000}"/>
    <cellStyle name="Normal 35 9 2" xfId="27189" xr:uid="{00000000-0005-0000-0000-000037580000}"/>
    <cellStyle name="Normal 36" xfId="3267" xr:uid="{00000000-0005-0000-0000-000038580000}"/>
    <cellStyle name="Normal 36 10" xfId="28795" xr:uid="{00000000-0005-0000-0000-000039580000}"/>
    <cellStyle name="Normal 36 2" xfId="4502" xr:uid="{00000000-0005-0000-0000-00003A580000}"/>
    <cellStyle name="Normal 36 2 2" xfId="12481" xr:uid="{00000000-0005-0000-0000-00003B580000}"/>
    <cellStyle name="Normal 36 2 2 2" xfId="23769" xr:uid="{00000000-0005-0000-0000-00003C580000}"/>
    <cellStyle name="Normal 36 2 3" xfId="10487" xr:uid="{00000000-0005-0000-0000-00003D580000}"/>
    <cellStyle name="Normal 36 2 3 2" xfId="21775" xr:uid="{00000000-0005-0000-0000-00003E580000}"/>
    <cellStyle name="Normal 36 2 4" xfId="8493" xr:uid="{00000000-0005-0000-0000-00003F580000}"/>
    <cellStyle name="Normal 36 2 4 2" xfId="19781" xr:uid="{00000000-0005-0000-0000-000040580000}"/>
    <cellStyle name="Normal 36 2 5" xfId="6499" xr:uid="{00000000-0005-0000-0000-000041580000}"/>
    <cellStyle name="Normal 36 2 5 2" xfId="17787" xr:uid="{00000000-0005-0000-0000-000042580000}"/>
    <cellStyle name="Normal 36 2 6" xfId="15793" xr:uid="{00000000-0005-0000-0000-000043580000}"/>
    <cellStyle name="Normal 36 3" xfId="11484" xr:uid="{00000000-0005-0000-0000-000044580000}"/>
    <cellStyle name="Normal 36 3 2" xfId="22772" xr:uid="{00000000-0005-0000-0000-000045580000}"/>
    <cellStyle name="Normal 36 4" xfId="9490" xr:uid="{00000000-0005-0000-0000-000046580000}"/>
    <cellStyle name="Normal 36 4 2" xfId="20778" xr:uid="{00000000-0005-0000-0000-000047580000}"/>
    <cellStyle name="Normal 36 5" xfId="7496" xr:uid="{00000000-0005-0000-0000-000048580000}"/>
    <cellStyle name="Normal 36 5 2" xfId="18784" xr:uid="{00000000-0005-0000-0000-000049580000}"/>
    <cellStyle name="Normal 36 6" xfId="5502" xr:uid="{00000000-0005-0000-0000-00004A580000}"/>
    <cellStyle name="Normal 36 6 2" xfId="16790" xr:uid="{00000000-0005-0000-0000-00004B580000}"/>
    <cellStyle name="Normal 36 7" xfId="14796" xr:uid="{00000000-0005-0000-0000-00004C580000}"/>
    <cellStyle name="Normal 36 8" xfId="13480" xr:uid="{00000000-0005-0000-0000-00004D580000}"/>
    <cellStyle name="Normal 36 9" xfId="24485" xr:uid="{00000000-0005-0000-0000-00004E580000}"/>
    <cellStyle name="Normal 36 9 2" xfId="27176" xr:uid="{00000000-0005-0000-0000-00004F580000}"/>
    <cellStyle name="Normal 37" xfId="3268" xr:uid="{00000000-0005-0000-0000-000050580000}"/>
    <cellStyle name="Normal 37 2" xfId="4503" xr:uid="{00000000-0005-0000-0000-000051580000}"/>
    <cellStyle name="Normal 37 2 2" xfId="12482" xr:uid="{00000000-0005-0000-0000-000052580000}"/>
    <cellStyle name="Normal 37 2 2 2" xfId="23770" xr:uid="{00000000-0005-0000-0000-000053580000}"/>
    <cellStyle name="Normal 37 2 3" xfId="10488" xr:uid="{00000000-0005-0000-0000-000054580000}"/>
    <cellStyle name="Normal 37 2 3 2" xfId="21776" xr:uid="{00000000-0005-0000-0000-000055580000}"/>
    <cellStyle name="Normal 37 2 4" xfId="8494" xr:uid="{00000000-0005-0000-0000-000056580000}"/>
    <cellStyle name="Normal 37 2 4 2" xfId="19782" xr:uid="{00000000-0005-0000-0000-000057580000}"/>
    <cellStyle name="Normal 37 2 5" xfId="6500" xr:uid="{00000000-0005-0000-0000-000058580000}"/>
    <cellStyle name="Normal 37 2 5 2" xfId="17788" xr:uid="{00000000-0005-0000-0000-000059580000}"/>
    <cellStyle name="Normal 37 2 6" xfId="15794" xr:uid="{00000000-0005-0000-0000-00005A580000}"/>
    <cellStyle name="Normal 37 3" xfId="11485" xr:uid="{00000000-0005-0000-0000-00005B580000}"/>
    <cellStyle name="Normal 37 3 2" xfId="22773" xr:uid="{00000000-0005-0000-0000-00005C580000}"/>
    <cellStyle name="Normal 37 4" xfId="9491" xr:uid="{00000000-0005-0000-0000-00005D580000}"/>
    <cellStyle name="Normal 37 4 2" xfId="20779" xr:uid="{00000000-0005-0000-0000-00005E580000}"/>
    <cellStyle name="Normal 37 5" xfId="7497" xr:uid="{00000000-0005-0000-0000-00005F580000}"/>
    <cellStyle name="Normal 37 5 2" xfId="18785" xr:uid="{00000000-0005-0000-0000-000060580000}"/>
    <cellStyle name="Normal 37 6" xfId="5503" xr:uid="{00000000-0005-0000-0000-000061580000}"/>
    <cellStyle name="Normal 37 6 2" xfId="16791" xr:uid="{00000000-0005-0000-0000-000062580000}"/>
    <cellStyle name="Normal 37 7" xfId="14797" xr:uid="{00000000-0005-0000-0000-000063580000}"/>
    <cellStyle name="Normal 37 8" xfId="13481" xr:uid="{00000000-0005-0000-0000-000064580000}"/>
    <cellStyle name="Normal 37 9" xfId="24498" xr:uid="{00000000-0005-0000-0000-000065580000}"/>
    <cellStyle name="Normal 37 9 2" xfId="27187" xr:uid="{00000000-0005-0000-0000-000066580000}"/>
    <cellStyle name="Normal 38" xfId="3269" xr:uid="{00000000-0005-0000-0000-000067580000}"/>
    <cellStyle name="Normal 38 2" xfId="4504" xr:uid="{00000000-0005-0000-0000-000068580000}"/>
    <cellStyle name="Normal 38 2 2" xfId="12483" xr:uid="{00000000-0005-0000-0000-000069580000}"/>
    <cellStyle name="Normal 38 2 2 2" xfId="23771" xr:uid="{00000000-0005-0000-0000-00006A580000}"/>
    <cellStyle name="Normal 38 2 3" xfId="10489" xr:uid="{00000000-0005-0000-0000-00006B580000}"/>
    <cellStyle name="Normal 38 2 3 2" xfId="21777" xr:uid="{00000000-0005-0000-0000-00006C580000}"/>
    <cellStyle name="Normal 38 2 4" xfId="8495" xr:uid="{00000000-0005-0000-0000-00006D580000}"/>
    <cellStyle name="Normal 38 2 4 2" xfId="19783" xr:uid="{00000000-0005-0000-0000-00006E580000}"/>
    <cellStyle name="Normal 38 2 5" xfId="6501" xr:uid="{00000000-0005-0000-0000-00006F580000}"/>
    <cellStyle name="Normal 38 2 5 2" xfId="17789" xr:uid="{00000000-0005-0000-0000-000070580000}"/>
    <cellStyle name="Normal 38 2 6" xfId="15795" xr:uid="{00000000-0005-0000-0000-000071580000}"/>
    <cellStyle name="Normal 38 3" xfId="11486" xr:uid="{00000000-0005-0000-0000-000072580000}"/>
    <cellStyle name="Normal 38 3 2" xfId="22774" xr:uid="{00000000-0005-0000-0000-000073580000}"/>
    <cellStyle name="Normal 38 4" xfId="9492" xr:uid="{00000000-0005-0000-0000-000074580000}"/>
    <cellStyle name="Normal 38 4 2" xfId="20780" xr:uid="{00000000-0005-0000-0000-000075580000}"/>
    <cellStyle name="Normal 38 5" xfId="7498" xr:uid="{00000000-0005-0000-0000-000076580000}"/>
    <cellStyle name="Normal 38 5 2" xfId="18786" xr:uid="{00000000-0005-0000-0000-000077580000}"/>
    <cellStyle name="Normal 38 6" xfId="5504" xr:uid="{00000000-0005-0000-0000-000078580000}"/>
    <cellStyle name="Normal 38 6 2" xfId="16792" xr:uid="{00000000-0005-0000-0000-000079580000}"/>
    <cellStyle name="Normal 38 7" xfId="14798" xr:uid="{00000000-0005-0000-0000-00007A580000}"/>
    <cellStyle name="Normal 38 8" xfId="13482" xr:uid="{00000000-0005-0000-0000-00007B580000}"/>
    <cellStyle name="Normal 38 9" xfId="24459" xr:uid="{00000000-0005-0000-0000-00007C580000}"/>
    <cellStyle name="Normal 38 9 2" xfId="27165" xr:uid="{00000000-0005-0000-0000-00007D580000}"/>
    <cellStyle name="Normal 39" xfId="3270" xr:uid="{00000000-0005-0000-0000-00007E580000}"/>
    <cellStyle name="Normal 39 2" xfId="4505" xr:uid="{00000000-0005-0000-0000-00007F580000}"/>
    <cellStyle name="Normal 39 2 2" xfId="12484" xr:uid="{00000000-0005-0000-0000-000080580000}"/>
    <cellStyle name="Normal 39 2 2 2" xfId="23772" xr:uid="{00000000-0005-0000-0000-000081580000}"/>
    <cellStyle name="Normal 39 2 3" xfId="10490" xr:uid="{00000000-0005-0000-0000-000082580000}"/>
    <cellStyle name="Normal 39 2 3 2" xfId="21778" xr:uid="{00000000-0005-0000-0000-000083580000}"/>
    <cellStyle name="Normal 39 2 4" xfId="8496" xr:uid="{00000000-0005-0000-0000-000084580000}"/>
    <cellStyle name="Normal 39 2 4 2" xfId="19784" xr:uid="{00000000-0005-0000-0000-000085580000}"/>
    <cellStyle name="Normal 39 2 5" xfId="6502" xr:uid="{00000000-0005-0000-0000-000086580000}"/>
    <cellStyle name="Normal 39 2 5 2" xfId="17790" xr:uid="{00000000-0005-0000-0000-000087580000}"/>
    <cellStyle name="Normal 39 2 6" xfId="15796" xr:uid="{00000000-0005-0000-0000-000088580000}"/>
    <cellStyle name="Normal 39 3" xfId="11487" xr:uid="{00000000-0005-0000-0000-000089580000}"/>
    <cellStyle name="Normal 39 3 2" xfId="22775" xr:uid="{00000000-0005-0000-0000-00008A580000}"/>
    <cellStyle name="Normal 39 4" xfId="9493" xr:uid="{00000000-0005-0000-0000-00008B580000}"/>
    <cellStyle name="Normal 39 4 2" xfId="20781" xr:uid="{00000000-0005-0000-0000-00008C580000}"/>
    <cellStyle name="Normal 39 5" xfId="7499" xr:uid="{00000000-0005-0000-0000-00008D580000}"/>
    <cellStyle name="Normal 39 5 2" xfId="18787" xr:uid="{00000000-0005-0000-0000-00008E580000}"/>
    <cellStyle name="Normal 39 6" xfId="5505" xr:uid="{00000000-0005-0000-0000-00008F580000}"/>
    <cellStyle name="Normal 39 6 2" xfId="16793" xr:uid="{00000000-0005-0000-0000-000090580000}"/>
    <cellStyle name="Normal 39 7" xfId="14799" xr:uid="{00000000-0005-0000-0000-000091580000}"/>
    <cellStyle name="Normal 39 8" xfId="13483" xr:uid="{00000000-0005-0000-0000-000092580000}"/>
    <cellStyle name="Normal 39 9" xfId="24494" xr:uid="{00000000-0005-0000-0000-000093580000}"/>
    <cellStyle name="Normal 39 9 2" xfId="27183" xr:uid="{00000000-0005-0000-0000-000094580000}"/>
    <cellStyle name="Normal 4" xfId="55" xr:uid="{00000000-0005-0000-0000-000095580000}"/>
    <cellStyle name="Normal 4 10" xfId="24146" xr:uid="{00000000-0005-0000-0000-000096580000}"/>
    <cellStyle name="Normal 4 10 2" xfId="29092" xr:uid="{00000000-0005-0000-0000-000097580000}"/>
    <cellStyle name="Normal 4 10 3" xfId="28796" xr:uid="{00000000-0005-0000-0000-000098580000}"/>
    <cellStyle name="Normal 4 11" xfId="24717" xr:uid="{00000000-0005-0000-0000-000099580000}"/>
    <cellStyle name="Normal 4 11 2" xfId="29093" xr:uid="{00000000-0005-0000-0000-00009A580000}"/>
    <cellStyle name="Normal 4 11 3" xfId="28797" xr:uid="{00000000-0005-0000-0000-00009B580000}"/>
    <cellStyle name="Normal 4 12" xfId="25033" xr:uid="{00000000-0005-0000-0000-00009C580000}"/>
    <cellStyle name="Normal 4 12 2" xfId="29094" xr:uid="{00000000-0005-0000-0000-00009D580000}"/>
    <cellStyle name="Normal 4 12 3" xfId="28798" xr:uid="{00000000-0005-0000-0000-00009E580000}"/>
    <cellStyle name="Normal 4 13" xfId="25772" xr:uid="{00000000-0005-0000-0000-00009F580000}"/>
    <cellStyle name="Normal 4 13 2" xfId="29095" xr:uid="{00000000-0005-0000-0000-0000A0580000}"/>
    <cellStyle name="Normal 4 14" xfId="29164" xr:uid="{00000000-0005-0000-0000-0000A1580000}"/>
    <cellStyle name="Normal 4 2" xfId="164" xr:uid="{00000000-0005-0000-0000-0000A2580000}"/>
    <cellStyle name="Normal 4 2 10" xfId="25786" xr:uid="{00000000-0005-0000-0000-0000A3580000}"/>
    <cellStyle name="Normal 4 2 2" xfId="420" xr:uid="{00000000-0005-0000-0000-0000A4580000}"/>
    <cellStyle name="Normal 4 2 2 2" xfId="12485" xr:uid="{00000000-0005-0000-0000-0000A5580000}"/>
    <cellStyle name="Normal 4 2 2 2 2" xfId="23773" xr:uid="{00000000-0005-0000-0000-0000A6580000}"/>
    <cellStyle name="Normal 4 2 2 2 3" xfId="24422" xr:uid="{00000000-0005-0000-0000-0000A7580000}"/>
    <cellStyle name="Normal 4 2 2 2 4" xfId="24866" xr:uid="{00000000-0005-0000-0000-0000A8580000}"/>
    <cellStyle name="Normal 4 2 2 2 5" xfId="25229" xr:uid="{00000000-0005-0000-0000-0000A9580000}"/>
    <cellStyle name="Normal 4 2 2 3" xfId="24148" xr:uid="{00000000-0005-0000-0000-0000AA580000}"/>
    <cellStyle name="Normal 4 2 2 4" xfId="24719" xr:uid="{00000000-0005-0000-0000-0000AB580000}"/>
    <cellStyle name="Normal 4 2 2 5" xfId="25035" xr:uid="{00000000-0005-0000-0000-0000AC580000}"/>
    <cellStyle name="Normal 4 2 2 6" xfId="26013" xr:uid="{00000000-0005-0000-0000-0000AD580000}"/>
    <cellStyle name="Normal 4 2 2 6 2" xfId="29096" xr:uid="{00000000-0005-0000-0000-0000AE580000}"/>
    <cellStyle name="Normal 4 2 3" xfId="387" xr:uid="{00000000-0005-0000-0000-0000AF580000}"/>
    <cellStyle name="Normal 4 2 3 2" xfId="503" xr:uid="{00000000-0005-0000-0000-0000B0580000}"/>
    <cellStyle name="Normal 4 2 3 2 2" xfId="13866" xr:uid="{00000000-0005-0000-0000-0000B1580000}"/>
    <cellStyle name="Normal 4 2 3 3" xfId="10491" xr:uid="{00000000-0005-0000-0000-0000B2580000}"/>
    <cellStyle name="Normal 4 2 3 3 2" xfId="21779" xr:uid="{00000000-0005-0000-0000-0000B3580000}"/>
    <cellStyle name="Normal 4 2 3 4" xfId="13783" xr:uid="{00000000-0005-0000-0000-0000B4580000}"/>
    <cellStyle name="Normal 4 2 3 5" xfId="24421" xr:uid="{00000000-0005-0000-0000-0000B5580000}"/>
    <cellStyle name="Normal 4 2 3 6" xfId="24865" xr:uid="{00000000-0005-0000-0000-0000B6580000}"/>
    <cellStyle name="Normal 4 2 3 7" xfId="25228" xr:uid="{00000000-0005-0000-0000-0000B7580000}"/>
    <cellStyle name="Normal 4 2 4" xfId="8497" xr:uid="{00000000-0005-0000-0000-0000B8580000}"/>
    <cellStyle name="Normal 4 2 4 2" xfId="19785" xr:uid="{00000000-0005-0000-0000-0000B9580000}"/>
    <cellStyle name="Normal 4 2 5" xfId="6503" xr:uid="{00000000-0005-0000-0000-0000BA580000}"/>
    <cellStyle name="Normal 4 2 5 2" xfId="17791" xr:uid="{00000000-0005-0000-0000-0000BB580000}"/>
    <cellStyle name="Normal 4 2 6" xfId="4506" xr:uid="{00000000-0005-0000-0000-0000BC580000}"/>
    <cellStyle name="Normal 4 2 6 2" xfId="15797" xr:uid="{00000000-0005-0000-0000-0000BD580000}"/>
    <cellStyle name="Normal 4 2 7" xfId="24147" xr:uid="{00000000-0005-0000-0000-0000BE580000}"/>
    <cellStyle name="Normal 4 2 8" xfId="24718" xr:uid="{00000000-0005-0000-0000-0000BF580000}"/>
    <cellStyle name="Normal 4 2 9" xfId="25034" xr:uid="{00000000-0005-0000-0000-0000C0580000}"/>
    <cellStyle name="Normal 4 3" xfId="170" xr:uid="{00000000-0005-0000-0000-0000C1580000}"/>
    <cellStyle name="Normal 4 3 10" xfId="28799" xr:uid="{00000000-0005-0000-0000-0000C2580000}"/>
    <cellStyle name="Normal 4 3 2" xfId="361" xr:uid="{00000000-0005-0000-0000-0000C3580000}"/>
    <cellStyle name="Normal 4 3 2 2" xfId="443" xr:uid="{00000000-0005-0000-0000-0000C4580000}"/>
    <cellStyle name="Normal 4 3 2 2 2" xfId="529" xr:uid="{00000000-0005-0000-0000-0000C5580000}"/>
    <cellStyle name="Normal 4 3 2 2 2 2" xfId="13892" xr:uid="{00000000-0005-0000-0000-0000C6580000}"/>
    <cellStyle name="Normal 4 3 2 2 3" xfId="13815" xr:uid="{00000000-0005-0000-0000-0000C7580000}"/>
    <cellStyle name="Normal 4 3 2 2 4" xfId="24424" xr:uid="{00000000-0005-0000-0000-0000C8580000}"/>
    <cellStyle name="Normal 4 3 2 2 5" xfId="24868" xr:uid="{00000000-0005-0000-0000-0000C9580000}"/>
    <cellStyle name="Normal 4 3 2 2 6" xfId="25231" xr:uid="{00000000-0005-0000-0000-0000CA580000}"/>
    <cellStyle name="Normal 4 3 2 3" xfId="492" xr:uid="{00000000-0005-0000-0000-0000CB580000}"/>
    <cellStyle name="Normal 4 3 2 3 2" xfId="13855" xr:uid="{00000000-0005-0000-0000-0000CC580000}"/>
    <cellStyle name="Normal 4 3 2 4" xfId="13771" xr:uid="{00000000-0005-0000-0000-0000CD580000}"/>
    <cellStyle name="Normal 4 3 2 5" xfId="24150" xr:uid="{00000000-0005-0000-0000-0000CE580000}"/>
    <cellStyle name="Normal 4 3 2 6" xfId="24721" xr:uid="{00000000-0005-0000-0000-0000CF580000}"/>
    <cellStyle name="Normal 4 3 2 7" xfId="25037" xr:uid="{00000000-0005-0000-0000-0000D0580000}"/>
    <cellStyle name="Normal 4 3 2 8" xfId="29097" xr:uid="{00000000-0005-0000-0000-0000D1580000}"/>
    <cellStyle name="Normal 4 3 3" xfId="423" xr:uid="{00000000-0005-0000-0000-0000D2580000}"/>
    <cellStyle name="Normal 4 3 3 2" xfId="514" xr:uid="{00000000-0005-0000-0000-0000D3580000}"/>
    <cellStyle name="Normal 4 3 3 2 2" xfId="13877" xr:uid="{00000000-0005-0000-0000-0000D4580000}"/>
    <cellStyle name="Normal 4 3 3 3" xfId="13800" xr:uid="{00000000-0005-0000-0000-0000D5580000}"/>
    <cellStyle name="Normal 4 3 3 4" xfId="24423" xr:uid="{00000000-0005-0000-0000-0000D6580000}"/>
    <cellStyle name="Normal 4 3 3 5" xfId="24867" xr:uid="{00000000-0005-0000-0000-0000D7580000}"/>
    <cellStyle name="Normal 4 3 3 6" xfId="25230" xr:uid="{00000000-0005-0000-0000-0000D8580000}"/>
    <cellStyle name="Normal 4 3 4" xfId="477" xr:uid="{00000000-0005-0000-0000-0000D9580000}"/>
    <cellStyle name="Normal 4 3 4 2" xfId="13840" xr:uid="{00000000-0005-0000-0000-0000DA580000}"/>
    <cellStyle name="Normal 4 3 5" xfId="11488" xr:uid="{00000000-0005-0000-0000-0000DB580000}"/>
    <cellStyle name="Normal 4 3 5 2" xfId="22776" xr:uid="{00000000-0005-0000-0000-0000DC580000}"/>
    <cellStyle name="Normal 4 3 6" xfId="13685" xr:uid="{00000000-0005-0000-0000-0000DD580000}"/>
    <cellStyle name="Normal 4 3 7" xfId="24149" xr:uid="{00000000-0005-0000-0000-0000DE580000}"/>
    <cellStyle name="Normal 4 3 8" xfId="24720" xr:uid="{00000000-0005-0000-0000-0000DF580000}"/>
    <cellStyle name="Normal 4 3 9" xfId="25036" xr:uid="{00000000-0005-0000-0000-0000E0580000}"/>
    <cellStyle name="Normal 4 4" xfId="356" xr:uid="{00000000-0005-0000-0000-0000E1580000}"/>
    <cellStyle name="Normal 4 4 2" xfId="439" xr:uid="{00000000-0005-0000-0000-0000E2580000}"/>
    <cellStyle name="Normal 4 4 2 2" xfId="525" xr:uid="{00000000-0005-0000-0000-0000E3580000}"/>
    <cellStyle name="Normal 4 4 2 2 2" xfId="13888" xr:uid="{00000000-0005-0000-0000-0000E4580000}"/>
    <cellStyle name="Normal 4 4 2 3" xfId="13811" xr:uid="{00000000-0005-0000-0000-0000E5580000}"/>
    <cellStyle name="Normal 4 4 2 4" xfId="29098" xr:uid="{00000000-0005-0000-0000-0000E6580000}"/>
    <cellStyle name="Normal 4 4 3" xfId="488" xr:uid="{00000000-0005-0000-0000-0000E7580000}"/>
    <cellStyle name="Normal 4 4 3 2" xfId="13851" xr:uid="{00000000-0005-0000-0000-0000E8580000}"/>
    <cellStyle name="Normal 4 4 4" xfId="9494" xr:uid="{00000000-0005-0000-0000-0000E9580000}"/>
    <cellStyle name="Normal 4 4 4 2" xfId="20782" xr:uid="{00000000-0005-0000-0000-0000EA580000}"/>
    <cellStyle name="Normal 4 4 5" xfId="13766" xr:uid="{00000000-0005-0000-0000-0000EB580000}"/>
    <cellStyle name="Normal 4 4 6" xfId="24151" xr:uid="{00000000-0005-0000-0000-0000EC580000}"/>
    <cellStyle name="Normal 4 4 6 2" xfId="27080" xr:uid="{00000000-0005-0000-0000-0000ED580000}"/>
    <cellStyle name="Normal 4 5" xfId="473" xr:uid="{00000000-0005-0000-0000-0000EE580000}"/>
    <cellStyle name="Normal 4 5 2" xfId="7500" xr:uid="{00000000-0005-0000-0000-0000EF580000}"/>
    <cellStyle name="Normal 4 5 2 2" xfId="18788" xr:uid="{00000000-0005-0000-0000-0000F0580000}"/>
    <cellStyle name="Normal 4 5 2 3" xfId="29099" xr:uid="{00000000-0005-0000-0000-0000F1580000}"/>
    <cellStyle name="Normal 4 5 3" xfId="13836" xr:uid="{00000000-0005-0000-0000-0000F2580000}"/>
    <cellStyle name="Normal 4 5 4" xfId="24152" xr:uid="{00000000-0005-0000-0000-0000F3580000}"/>
    <cellStyle name="Normal 4 5 4 2" xfId="27081" xr:uid="{00000000-0005-0000-0000-0000F4580000}"/>
    <cellStyle name="Normal 4 6" xfId="659" xr:uid="{00000000-0005-0000-0000-0000F5580000}"/>
    <cellStyle name="Normal 4 6 2" xfId="5506" xr:uid="{00000000-0005-0000-0000-0000F6580000}"/>
    <cellStyle name="Normal 4 6 2 2" xfId="16794" xr:uid="{00000000-0005-0000-0000-0000F7580000}"/>
    <cellStyle name="Normal 4 6 2 3" xfId="24425" xr:uid="{00000000-0005-0000-0000-0000F8580000}"/>
    <cellStyle name="Normal 4 6 2 4" xfId="24869" xr:uid="{00000000-0005-0000-0000-0000F9580000}"/>
    <cellStyle name="Normal 4 6 2 5" xfId="25232" xr:uid="{00000000-0005-0000-0000-0000FA580000}"/>
    <cellStyle name="Normal 4 6 2 6" xfId="29100" xr:uid="{00000000-0005-0000-0000-0000FB580000}"/>
    <cellStyle name="Normal 4 6 3" xfId="13912" xr:uid="{00000000-0005-0000-0000-0000FC580000}"/>
    <cellStyle name="Normal 4 6 4" xfId="24153" xr:uid="{00000000-0005-0000-0000-0000FD580000}"/>
    <cellStyle name="Normal 4 6 5" xfId="24722" xr:uid="{00000000-0005-0000-0000-0000FE580000}"/>
    <cellStyle name="Normal 4 6 6" xfId="25038" xr:uid="{00000000-0005-0000-0000-0000FF580000}"/>
    <cellStyle name="Normal 4 6 7" xfId="28800" xr:uid="{00000000-0005-0000-0000-000000590000}"/>
    <cellStyle name="Normal 4 7" xfId="3271" xr:uid="{00000000-0005-0000-0000-000001590000}"/>
    <cellStyle name="Normal 4 7 2" xfId="14800" xr:uid="{00000000-0005-0000-0000-000002590000}"/>
    <cellStyle name="Normal 4 7 2 2" xfId="29101" xr:uid="{00000000-0005-0000-0000-000003590000}"/>
    <cellStyle name="Normal 4 7 3" xfId="24420" xr:uid="{00000000-0005-0000-0000-000004590000}"/>
    <cellStyle name="Normal 4 7 4" xfId="24864" xr:uid="{00000000-0005-0000-0000-000005590000}"/>
    <cellStyle name="Normal 4 7 5" xfId="25227" xr:uid="{00000000-0005-0000-0000-000006590000}"/>
    <cellStyle name="Normal 4 7 6" xfId="28801" xr:uid="{00000000-0005-0000-0000-000007590000}"/>
    <cellStyle name="Normal 4 8" xfId="13613" xr:uid="{00000000-0005-0000-0000-000008590000}"/>
    <cellStyle name="Normal 4 8 2" xfId="29102" xr:uid="{00000000-0005-0000-0000-000009590000}"/>
    <cellStyle name="Normal 4 8 3" xfId="28802" xr:uid="{00000000-0005-0000-0000-00000A590000}"/>
    <cellStyle name="Normal 4 9" xfId="13484" xr:uid="{00000000-0005-0000-0000-00000B590000}"/>
    <cellStyle name="Normal 4 9 2" xfId="29103" xr:uid="{00000000-0005-0000-0000-00000C590000}"/>
    <cellStyle name="Normal 4 9 3" xfId="28803" xr:uid="{00000000-0005-0000-0000-00000D590000}"/>
    <cellStyle name="Normal 40" xfId="3272" xr:uid="{00000000-0005-0000-0000-00000E590000}"/>
    <cellStyle name="Normal 40 10" xfId="24479" xr:uid="{00000000-0005-0000-0000-00000F590000}"/>
    <cellStyle name="Normal 40 10 2" xfId="27174" xr:uid="{00000000-0005-0000-0000-000010590000}"/>
    <cellStyle name="Normal 40 2" xfId="3273" xr:uid="{00000000-0005-0000-0000-000011590000}"/>
    <cellStyle name="Normal 40 2 2" xfId="4508" xr:uid="{00000000-0005-0000-0000-000012590000}"/>
    <cellStyle name="Normal 40 2 2 2" xfId="12487" xr:uid="{00000000-0005-0000-0000-000013590000}"/>
    <cellStyle name="Normal 40 2 2 2 2" xfId="23775" xr:uid="{00000000-0005-0000-0000-000014590000}"/>
    <cellStyle name="Normal 40 2 2 3" xfId="10493" xr:uid="{00000000-0005-0000-0000-000015590000}"/>
    <cellStyle name="Normal 40 2 2 3 2" xfId="21781" xr:uid="{00000000-0005-0000-0000-000016590000}"/>
    <cellStyle name="Normal 40 2 2 4" xfId="8499" xr:uid="{00000000-0005-0000-0000-000017590000}"/>
    <cellStyle name="Normal 40 2 2 4 2" xfId="19787" xr:uid="{00000000-0005-0000-0000-000018590000}"/>
    <cellStyle name="Normal 40 2 2 5" xfId="6505" xr:uid="{00000000-0005-0000-0000-000019590000}"/>
    <cellStyle name="Normal 40 2 2 5 2" xfId="17793" xr:uid="{00000000-0005-0000-0000-00001A590000}"/>
    <cellStyle name="Normal 40 2 2 6" xfId="15799" xr:uid="{00000000-0005-0000-0000-00001B590000}"/>
    <cellStyle name="Normal 40 2 3" xfId="11490" xr:uid="{00000000-0005-0000-0000-00001C590000}"/>
    <cellStyle name="Normal 40 2 3 2" xfId="22778" xr:uid="{00000000-0005-0000-0000-00001D590000}"/>
    <cellStyle name="Normal 40 2 4" xfId="9496" xr:uid="{00000000-0005-0000-0000-00001E590000}"/>
    <cellStyle name="Normal 40 2 4 2" xfId="20784" xr:uid="{00000000-0005-0000-0000-00001F590000}"/>
    <cellStyle name="Normal 40 2 5" xfId="7502" xr:uid="{00000000-0005-0000-0000-000020590000}"/>
    <cellStyle name="Normal 40 2 5 2" xfId="18790" xr:uid="{00000000-0005-0000-0000-000021590000}"/>
    <cellStyle name="Normal 40 2 6" xfId="5508" xr:uid="{00000000-0005-0000-0000-000022590000}"/>
    <cellStyle name="Normal 40 2 6 2" xfId="16796" xr:uid="{00000000-0005-0000-0000-000023590000}"/>
    <cellStyle name="Normal 40 2 7" xfId="14802" xr:uid="{00000000-0005-0000-0000-000024590000}"/>
    <cellStyle name="Normal 40 2 8" xfId="13486" xr:uid="{00000000-0005-0000-0000-000025590000}"/>
    <cellStyle name="Normal 40 3" xfId="4507" xr:uid="{00000000-0005-0000-0000-000026590000}"/>
    <cellStyle name="Normal 40 3 2" xfId="12486" xr:uid="{00000000-0005-0000-0000-000027590000}"/>
    <cellStyle name="Normal 40 3 2 2" xfId="23774" xr:uid="{00000000-0005-0000-0000-000028590000}"/>
    <cellStyle name="Normal 40 3 3" xfId="10492" xr:uid="{00000000-0005-0000-0000-000029590000}"/>
    <cellStyle name="Normal 40 3 3 2" xfId="21780" xr:uid="{00000000-0005-0000-0000-00002A590000}"/>
    <cellStyle name="Normal 40 3 4" xfId="8498" xr:uid="{00000000-0005-0000-0000-00002B590000}"/>
    <cellStyle name="Normal 40 3 4 2" xfId="19786" xr:uid="{00000000-0005-0000-0000-00002C590000}"/>
    <cellStyle name="Normal 40 3 5" xfId="6504" xr:uid="{00000000-0005-0000-0000-00002D590000}"/>
    <cellStyle name="Normal 40 3 5 2" xfId="17792" xr:uid="{00000000-0005-0000-0000-00002E590000}"/>
    <cellStyle name="Normal 40 3 6" xfId="15798" xr:uid="{00000000-0005-0000-0000-00002F590000}"/>
    <cellStyle name="Normal 40 4" xfId="11489" xr:uid="{00000000-0005-0000-0000-000030590000}"/>
    <cellStyle name="Normal 40 4 2" xfId="22777" xr:uid="{00000000-0005-0000-0000-000031590000}"/>
    <cellStyle name="Normal 40 5" xfId="9495" xr:uid="{00000000-0005-0000-0000-000032590000}"/>
    <cellStyle name="Normal 40 5 2" xfId="20783" xr:uid="{00000000-0005-0000-0000-000033590000}"/>
    <cellStyle name="Normal 40 6" xfId="7501" xr:uid="{00000000-0005-0000-0000-000034590000}"/>
    <cellStyle name="Normal 40 6 2" xfId="18789" xr:uid="{00000000-0005-0000-0000-000035590000}"/>
    <cellStyle name="Normal 40 7" xfId="5507" xr:uid="{00000000-0005-0000-0000-000036590000}"/>
    <cellStyle name="Normal 40 7 2" xfId="16795" xr:uid="{00000000-0005-0000-0000-000037590000}"/>
    <cellStyle name="Normal 40 8" xfId="14801" xr:uid="{00000000-0005-0000-0000-000038590000}"/>
    <cellStyle name="Normal 40 9" xfId="13485" xr:uid="{00000000-0005-0000-0000-000039590000}"/>
    <cellStyle name="Normal 41" xfId="3274" xr:uid="{00000000-0005-0000-0000-00003A590000}"/>
    <cellStyle name="Normal 41 10" xfId="33368" xr:uid="{35C486FB-E6D0-4D75-8515-30F4BA5B5647}"/>
    <cellStyle name="Normal 41 2" xfId="4509" xr:uid="{00000000-0005-0000-0000-00003B590000}"/>
    <cellStyle name="Normal 41 2 2" xfId="12488" xr:uid="{00000000-0005-0000-0000-00003C590000}"/>
    <cellStyle name="Normal 41 2 2 2" xfId="23776" xr:uid="{00000000-0005-0000-0000-00003D590000}"/>
    <cellStyle name="Normal 41 2 3" xfId="10494" xr:uid="{00000000-0005-0000-0000-00003E590000}"/>
    <cellStyle name="Normal 41 2 3 2" xfId="21782" xr:uid="{00000000-0005-0000-0000-00003F590000}"/>
    <cellStyle name="Normal 41 2 4" xfId="8500" xr:uid="{00000000-0005-0000-0000-000040590000}"/>
    <cellStyle name="Normal 41 2 4 2" xfId="19788" xr:uid="{00000000-0005-0000-0000-000041590000}"/>
    <cellStyle name="Normal 41 2 5" xfId="6506" xr:uid="{00000000-0005-0000-0000-000042590000}"/>
    <cellStyle name="Normal 41 2 5 2" xfId="17794" xr:uid="{00000000-0005-0000-0000-000043590000}"/>
    <cellStyle name="Normal 41 2 6" xfId="15800" xr:uid="{00000000-0005-0000-0000-000044590000}"/>
    <cellStyle name="Normal 41 3" xfId="11491" xr:uid="{00000000-0005-0000-0000-000045590000}"/>
    <cellStyle name="Normal 41 3 2" xfId="22779" xr:uid="{00000000-0005-0000-0000-000046590000}"/>
    <cellStyle name="Normal 41 4" xfId="9497" xr:uid="{00000000-0005-0000-0000-000047590000}"/>
    <cellStyle name="Normal 41 4 2" xfId="20785" xr:uid="{00000000-0005-0000-0000-000048590000}"/>
    <cellStyle name="Normal 41 5" xfId="7503" xr:uid="{00000000-0005-0000-0000-000049590000}"/>
    <cellStyle name="Normal 41 5 2" xfId="18791" xr:uid="{00000000-0005-0000-0000-00004A590000}"/>
    <cellStyle name="Normal 41 6" xfId="5509" xr:uid="{00000000-0005-0000-0000-00004B590000}"/>
    <cellStyle name="Normal 41 6 2" xfId="16797" xr:uid="{00000000-0005-0000-0000-00004C590000}"/>
    <cellStyle name="Normal 41 7" xfId="14803" xr:uid="{00000000-0005-0000-0000-00004D590000}"/>
    <cellStyle name="Normal 41 8" xfId="13487" xr:uid="{00000000-0005-0000-0000-00004E590000}"/>
    <cellStyle name="Normal 41 9" xfId="24490" xr:uid="{00000000-0005-0000-0000-00004F590000}"/>
    <cellStyle name="Normal 41 9 2" xfId="27180" xr:uid="{00000000-0005-0000-0000-000050590000}"/>
    <cellStyle name="Normal 42" xfId="3275" xr:uid="{00000000-0005-0000-0000-000051590000}"/>
    <cellStyle name="Normal 42 2" xfId="4510" xr:uid="{00000000-0005-0000-0000-000052590000}"/>
    <cellStyle name="Normal 42 2 2" xfId="12489" xr:uid="{00000000-0005-0000-0000-000053590000}"/>
    <cellStyle name="Normal 42 2 2 2" xfId="23777" xr:uid="{00000000-0005-0000-0000-000054590000}"/>
    <cellStyle name="Normal 42 2 3" xfId="10495" xr:uid="{00000000-0005-0000-0000-000055590000}"/>
    <cellStyle name="Normal 42 2 3 2" xfId="21783" xr:uid="{00000000-0005-0000-0000-000056590000}"/>
    <cellStyle name="Normal 42 2 4" xfId="8501" xr:uid="{00000000-0005-0000-0000-000057590000}"/>
    <cellStyle name="Normal 42 2 4 2" xfId="19789" xr:uid="{00000000-0005-0000-0000-000058590000}"/>
    <cellStyle name="Normal 42 2 5" xfId="6507" xr:uid="{00000000-0005-0000-0000-000059590000}"/>
    <cellStyle name="Normal 42 2 5 2" xfId="17795" xr:uid="{00000000-0005-0000-0000-00005A590000}"/>
    <cellStyle name="Normal 42 2 6" xfId="15801" xr:uid="{00000000-0005-0000-0000-00005B590000}"/>
    <cellStyle name="Normal 42 3" xfId="11492" xr:uid="{00000000-0005-0000-0000-00005C590000}"/>
    <cellStyle name="Normal 42 3 2" xfId="22780" xr:uid="{00000000-0005-0000-0000-00005D590000}"/>
    <cellStyle name="Normal 42 4" xfId="9498" xr:uid="{00000000-0005-0000-0000-00005E590000}"/>
    <cellStyle name="Normal 42 4 2" xfId="20786" xr:uid="{00000000-0005-0000-0000-00005F590000}"/>
    <cellStyle name="Normal 42 5" xfId="7504" xr:uid="{00000000-0005-0000-0000-000060590000}"/>
    <cellStyle name="Normal 42 5 2" xfId="18792" xr:uid="{00000000-0005-0000-0000-000061590000}"/>
    <cellStyle name="Normal 42 6" xfId="5510" xr:uid="{00000000-0005-0000-0000-000062590000}"/>
    <cellStyle name="Normal 42 6 2" xfId="16798" xr:uid="{00000000-0005-0000-0000-000063590000}"/>
    <cellStyle name="Normal 42 7" xfId="14804" xr:uid="{00000000-0005-0000-0000-000064590000}"/>
    <cellStyle name="Normal 42 8" xfId="13488" xr:uid="{00000000-0005-0000-0000-000065590000}"/>
    <cellStyle name="Normal 42 9" xfId="24506" xr:uid="{00000000-0005-0000-0000-000066590000}"/>
    <cellStyle name="Normal 42 9 2" xfId="27192" xr:uid="{00000000-0005-0000-0000-000067590000}"/>
    <cellStyle name="Normal 43" xfId="3276" xr:uid="{00000000-0005-0000-0000-000068590000}"/>
    <cellStyle name="Normal 43 2" xfId="4511" xr:uid="{00000000-0005-0000-0000-000069590000}"/>
    <cellStyle name="Normal 43 2 2" xfId="12490" xr:uid="{00000000-0005-0000-0000-00006A590000}"/>
    <cellStyle name="Normal 43 2 2 2" xfId="23778" xr:uid="{00000000-0005-0000-0000-00006B590000}"/>
    <cellStyle name="Normal 43 2 3" xfId="10496" xr:uid="{00000000-0005-0000-0000-00006C590000}"/>
    <cellStyle name="Normal 43 2 3 2" xfId="21784" xr:uid="{00000000-0005-0000-0000-00006D590000}"/>
    <cellStyle name="Normal 43 2 4" xfId="8502" xr:uid="{00000000-0005-0000-0000-00006E590000}"/>
    <cellStyle name="Normal 43 2 4 2" xfId="19790" xr:uid="{00000000-0005-0000-0000-00006F590000}"/>
    <cellStyle name="Normal 43 2 5" xfId="6508" xr:uid="{00000000-0005-0000-0000-000070590000}"/>
    <cellStyle name="Normal 43 2 5 2" xfId="17796" xr:uid="{00000000-0005-0000-0000-000071590000}"/>
    <cellStyle name="Normal 43 2 6" xfId="15802" xr:uid="{00000000-0005-0000-0000-000072590000}"/>
    <cellStyle name="Normal 43 3" xfId="11493" xr:uid="{00000000-0005-0000-0000-000073590000}"/>
    <cellStyle name="Normal 43 3 2" xfId="22781" xr:uid="{00000000-0005-0000-0000-000074590000}"/>
    <cellStyle name="Normal 43 4" xfId="9499" xr:uid="{00000000-0005-0000-0000-000075590000}"/>
    <cellStyle name="Normal 43 4 2" xfId="20787" xr:uid="{00000000-0005-0000-0000-000076590000}"/>
    <cellStyle name="Normal 43 5" xfId="7505" xr:uid="{00000000-0005-0000-0000-000077590000}"/>
    <cellStyle name="Normal 43 5 2" xfId="18793" xr:uid="{00000000-0005-0000-0000-000078590000}"/>
    <cellStyle name="Normal 43 6" xfId="5511" xr:uid="{00000000-0005-0000-0000-000079590000}"/>
    <cellStyle name="Normal 43 6 2" xfId="16799" xr:uid="{00000000-0005-0000-0000-00007A590000}"/>
    <cellStyle name="Normal 43 7" xfId="14805" xr:uid="{00000000-0005-0000-0000-00007B590000}"/>
    <cellStyle name="Normal 43 8" xfId="13489" xr:uid="{00000000-0005-0000-0000-00007C590000}"/>
    <cellStyle name="Normal 43 9" xfId="24511" xr:uid="{00000000-0005-0000-0000-00007D590000}"/>
    <cellStyle name="Normal 43 9 2" xfId="27197" xr:uid="{00000000-0005-0000-0000-00007E590000}"/>
    <cellStyle name="Normal 44" xfId="3277" xr:uid="{00000000-0005-0000-0000-00007F590000}"/>
    <cellStyle name="Normal 44 2" xfId="4512" xr:uid="{00000000-0005-0000-0000-000080590000}"/>
    <cellStyle name="Normal 44 2 2" xfId="12491" xr:uid="{00000000-0005-0000-0000-000081590000}"/>
    <cellStyle name="Normal 44 2 2 2" xfId="23779" xr:uid="{00000000-0005-0000-0000-000082590000}"/>
    <cellStyle name="Normal 44 2 3" xfId="10497" xr:uid="{00000000-0005-0000-0000-000083590000}"/>
    <cellStyle name="Normal 44 2 3 2" xfId="21785" xr:uid="{00000000-0005-0000-0000-000084590000}"/>
    <cellStyle name="Normal 44 2 4" xfId="8503" xr:uid="{00000000-0005-0000-0000-000085590000}"/>
    <cellStyle name="Normal 44 2 4 2" xfId="19791" xr:uid="{00000000-0005-0000-0000-000086590000}"/>
    <cellStyle name="Normal 44 2 5" xfId="6509" xr:uid="{00000000-0005-0000-0000-000087590000}"/>
    <cellStyle name="Normal 44 2 5 2" xfId="17797" xr:uid="{00000000-0005-0000-0000-000088590000}"/>
    <cellStyle name="Normal 44 2 6" xfId="15803" xr:uid="{00000000-0005-0000-0000-000089590000}"/>
    <cellStyle name="Normal 44 3" xfId="11494" xr:uid="{00000000-0005-0000-0000-00008A590000}"/>
    <cellStyle name="Normal 44 3 2" xfId="22782" xr:uid="{00000000-0005-0000-0000-00008B590000}"/>
    <cellStyle name="Normal 44 4" xfId="9500" xr:uid="{00000000-0005-0000-0000-00008C590000}"/>
    <cellStyle name="Normal 44 4 2" xfId="20788" xr:uid="{00000000-0005-0000-0000-00008D590000}"/>
    <cellStyle name="Normal 44 5" xfId="7506" xr:uid="{00000000-0005-0000-0000-00008E590000}"/>
    <cellStyle name="Normal 44 5 2" xfId="18794" xr:uid="{00000000-0005-0000-0000-00008F590000}"/>
    <cellStyle name="Normal 44 6" xfId="5512" xr:uid="{00000000-0005-0000-0000-000090590000}"/>
    <cellStyle name="Normal 44 6 2" xfId="16800" xr:uid="{00000000-0005-0000-0000-000091590000}"/>
    <cellStyle name="Normal 44 7" xfId="14806" xr:uid="{00000000-0005-0000-0000-000092590000}"/>
    <cellStyle name="Normal 44 8" xfId="13490" xr:uid="{00000000-0005-0000-0000-000093590000}"/>
    <cellStyle name="Normal 45" xfId="3278" xr:uid="{00000000-0005-0000-0000-000094590000}"/>
    <cellStyle name="Normal 45 2" xfId="4513" xr:uid="{00000000-0005-0000-0000-000095590000}"/>
    <cellStyle name="Normal 45 2 2" xfId="12492" xr:uid="{00000000-0005-0000-0000-000096590000}"/>
    <cellStyle name="Normal 45 2 2 2" xfId="23780" xr:uid="{00000000-0005-0000-0000-000097590000}"/>
    <cellStyle name="Normal 45 2 3" xfId="10498" xr:uid="{00000000-0005-0000-0000-000098590000}"/>
    <cellStyle name="Normal 45 2 3 2" xfId="21786" xr:uid="{00000000-0005-0000-0000-000099590000}"/>
    <cellStyle name="Normal 45 2 4" xfId="8504" xr:uid="{00000000-0005-0000-0000-00009A590000}"/>
    <cellStyle name="Normal 45 2 4 2" xfId="19792" xr:uid="{00000000-0005-0000-0000-00009B590000}"/>
    <cellStyle name="Normal 45 2 5" xfId="6510" xr:uid="{00000000-0005-0000-0000-00009C590000}"/>
    <cellStyle name="Normal 45 2 5 2" xfId="17798" xr:uid="{00000000-0005-0000-0000-00009D590000}"/>
    <cellStyle name="Normal 45 2 6" xfId="15804" xr:uid="{00000000-0005-0000-0000-00009E590000}"/>
    <cellStyle name="Normal 45 3" xfId="11495" xr:uid="{00000000-0005-0000-0000-00009F590000}"/>
    <cellStyle name="Normal 45 3 2" xfId="22783" xr:uid="{00000000-0005-0000-0000-0000A0590000}"/>
    <cellStyle name="Normal 45 4" xfId="9501" xr:uid="{00000000-0005-0000-0000-0000A1590000}"/>
    <cellStyle name="Normal 45 4 2" xfId="20789" xr:uid="{00000000-0005-0000-0000-0000A2590000}"/>
    <cellStyle name="Normal 45 5" xfId="7507" xr:uid="{00000000-0005-0000-0000-0000A3590000}"/>
    <cellStyle name="Normal 45 5 2" xfId="18795" xr:uid="{00000000-0005-0000-0000-0000A4590000}"/>
    <cellStyle name="Normal 45 6" xfId="5513" xr:uid="{00000000-0005-0000-0000-0000A5590000}"/>
    <cellStyle name="Normal 45 6 2" xfId="16801" xr:uid="{00000000-0005-0000-0000-0000A6590000}"/>
    <cellStyle name="Normal 45 7" xfId="14807" xr:uid="{00000000-0005-0000-0000-0000A7590000}"/>
    <cellStyle name="Normal 45 8" xfId="13491" xr:uid="{00000000-0005-0000-0000-0000A8590000}"/>
    <cellStyle name="Normal 46" xfId="3279" xr:uid="{00000000-0005-0000-0000-0000A9590000}"/>
    <cellStyle name="Normal 46 2" xfId="4514" xr:uid="{00000000-0005-0000-0000-0000AA590000}"/>
    <cellStyle name="Normal 46 2 2" xfId="12493" xr:uid="{00000000-0005-0000-0000-0000AB590000}"/>
    <cellStyle name="Normal 46 2 2 2" xfId="23781" xr:uid="{00000000-0005-0000-0000-0000AC590000}"/>
    <cellStyle name="Normal 46 2 3" xfId="10499" xr:uid="{00000000-0005-0000-0000-0000AD590000}"/>
    <cellStyle name="Normal 46 2 3 2" xfId="21787" xr:uid="{00000000-0005-0000-0000-0000AE590000}"/>
    <cellStyle name="Normal 46 2 4" xfId="8505" xr:uid="{00000000-0005-0000-0000-0000AF590000}"/>
    <cellStyle name="Normal 46 2 4 2" xfId="19793" xr:uid="{00000000-0005-0000-0000-0000B0590000}"/>
    <cellStyle name="Normal 46 2 5" xfId="6511" xr:uid="{00000000-0005-0000-0000-0000B1590000}"/>
    <cellStyle name="Normal 46 2 5 2" xfId="17799" xr:uid="{00000000-0005-0000-0000-0000B2590000}"/>
    <cellStyle name="Normal 46 2 6" xfId="15805" xr:uid="{00000000-0005-0000-0000-0000B3590000}"/>
    <cellStyle name="Normal 46 3" xfId="11496" xr:uid="{00000000-0005-0000-0000-0000B4590000}"/>
    <cellStyle name="Normal 46 3 2" xfId="22784" xr:uid="{00000000-0005-0000-0000-0000B5590000}"/>
    <cellStyle name="Normal 46 4" xfId="9502" xr:uid="{00000000-0005-0000-0000-0000B6590000}"/>
    <cellStyle name="Normal 46 4 2" xfId="20790" xr:uid="{00000000-0005-0000-0000-0000B7590000}"/>
    <cellStyle name="Normal 46 5" xfId="7508" xr:uid="{00000000-0005-0000-0000-0000B8590000}"/>
    <cellStyle name="Normal 46 5 2" xfId="18796" xr:uid="{00000000-0005-0000-0000-0000B9590000}"/>
    <cellStyle name="Normal 46 6" xfId="5514" xr:uid="{00000000-0005-0000-0000-0000BA590000}"/>
    <cellStyle name="Normal 46 6 2" xfId="16802" xr:uid="{00000000-0005-0000-0000-0000BB590000}"/>
    <cellStyle name="Normal 46 7" xfId="14808" xr:uid="{00000000-0005-0000-0000-0000BC590000}"/>
    <cellStyle name="Normal 46 8" xfId="13492" xr:uid="{00000000-0005-0000-0000-0000BD590000}"/>
    <cellStyle name="Normal 47" xfId="3280" xr:uid="{00000000-0005-0000-0000-0000BE590000}"/>
    <cellStyle name="Normal 47 2" xfId="4515" xr:uid="{00000000-0005-0000-0000-0000BF590000}"/>
    <cellStyle name="Normal 47 2 2" xfId="12494" xr:uid="{00000000-0005-0000-0000-0000C0590000}"/>
    <cellStyle name="Normal 47 2 2 2" xfId="23782" xr:uid="{00000000-0005-0000-0000-0000C1590000}"/>
    <cellStyle name="Normal 47 2 3" xfId="10500" xr:uid="{00000000-0005-0000-0000-0000C2590000}"/>
    <cellStyle name="Normal 47 2 3 2" xfId="21788" xr:uid="{00000000-0005-0000-0000-0000C3590000}"/>
    <cellStyle name="Normal 47 2 4" xfId="8506" xr:uid="{00000000-0005-0000-0000-0000C4590000}"/>
    <cellStyle name="Normal 47 2 4 2" xfId="19794" xr:uid="{00000000-0005-0000-0000-0000C5590000}"/>
    <cellStyle name="Normal 47 2 5" xfId="6512" xr:uid="{00000000-0005-0000-0000-0000C6590000}"/>
    <cellStyle name="Normal 47 2 5 2" xfId="17800" xr:uid="{00000000-0005-0000-0000-0000C7590000}"/>
    <cellStyle name="Normal 47 2 6" xfId="15806" xr:uid="{00000000-0005-0000-0000-0000C8590000}"/>
    <cellStyle name="Normal 47 3" xfId="11497" xr:uid="{00000000-0005-0000-0000-0000C9590000}"/>
    <cellStyle name="Normal 47 3 2" xfId="22785" xr:uid="{00000000-0005-0000-0000-0000CA590000}"/>
    <cellStyle name="Normal 47 4" xfId="9503" xr:uid="{00000000-0005-0000-0000-0000CB590000}"/>
    <cellStyle name="Normal 47 4 2" xfId="20791" xr:uid="{00000000-0005-0000-0000-0000CC590000}"/>
    <cellStyle name="Normal 47 5" xfId="7509" xr:uid="{00000000-0005-0000-0000-0000CD590000}"/>
    <cellStyle name="Normal 47 5 2" xfId="18797" xr:uid="{00000000-0005-0000-0000-0000CE590000}"/>
    <cellStyle name="Normal 47 6" xfId="5515" xr:uid="{00000000-0005-0000-0000-0000CF590000}"/>
    <cellStyle name="Normal 47 6 2" xfId="16803" xr:uid="{00000000-0005-0000-0000-0000D0590000}"/>
    <cellStyle name="Normal 47 7" xfId="14809" xr:uid="{00000000-0005-0000-0000-0000D1590000}"/>
    <cellStyle name="Normal 47 8" xfId="13493" xr:uid="{00000000-0005-0000-0000-0000D2590000}"/>
    <cellStyle name="Normal 48" xfId="3281" xr:uid="{00000000-0005-0000-0000-0000D3590000}"/>
    <cellStyle name="Normal 48 2" xfId="4516" xr:uid="{00000000-0005-0000-0000-0000D4590000}"/>
    <cellStyle name="Normal 48 2 2" xfId="12495" xr:uid="{00000000-0005-0000-0000-0000D5590000}"/>
    <cellStyle name="Normal 48 2 2 2" xfId="23783" xr:uid="{00000000-0005-0000-0000-0000D6590000}"/>
    <cellStyle name="Normal 48 2 3" xfId="10501" xr:uid="{00000000-0005-0000-0000-0000D7590000}"/>
    <cellStyle name="Normal 48 2 3 2" xfId="21789" xr:uid="{00000000-0005-0000-0000-0000D8590000}"/>
    <cellStyle name="Normal 48 2 4" xfId="8507" xr:uid="{00000000-0005-0000-0000-0000D9590000}"/>
    <cellStyle name="Normal 48 2 4 2" xfId="19795" xr:uid="{00000000-0005-0000-0000-0000DA590000}"/>
    <cellStyle name="Normal 48 2 5" xfId="6513" xr:uid="{00000000-0005-0000-0000-0000DB590000}"/>
    <cellStyle name="Normal 48 2 5 2" xfId="17801" xr:uid="{00000000-0005-0000-0000-0000DC590000}"/>
    <cellStyle name="Normal 48 2 6" xfId="15807" xr:uid="{00000000-0005-0000-0000-0000DD590000}"/>
    <cellStyle name="Normal 48 3" xfId="11498" xr:uid="{00000000-0005-0000-0000-0000DE590000}"/>
    <cellStyle name="Normal 48 3 2" xfId="22786" xr:uid="{00000000-0005-0000-0000-0000DF590000}"/>
    <cellStyle name="Normal 48 4" xfId="9504" xr:uid="{00000000-0005-0000-0000-0000E0590000}"/>
    <cellStyle name="Normal 48 4 2" xfId="20792" xr:uid="{00000000-0005-0000-0000-0000E1590000}"/>
    <cellStyle name="Normal 48 5" xfId="7510" xr:uid="{00000000-0005-0000-0000-0000E2590000}"/>
    <cellStyle name="Normal 48 5 2" xfId="18798" xr:uid="{00000000-0005-0000-0000-0000E3590000}"/>
    <cellStyle name="Normal 48 6" xfId="5516" xr:uid="{00000000-0005-0000-0000-0000E4590000}"/>
    <cellStyle name="Normal 48 6 2" xfId="16804" xr:uid="{00000000-0005-0000-0000-0000E5590000}"/>
    <cellStyle name="Normal 48 7" xfId="14810" xr:uid="{00000000-0005-0000-0000-0000E6590000}"/>
    <cellStyle name="Normal 48 8" xfId="13494" xr:uid="{00000000-0005-0000-0000-0000E7590000}"/>
    <cellStyle name="Normal 49" xfId="3282" xr:uid="{00000000-0005-0000-0000-0000E8590000}"/>
    <cellStyle name="Normal 49 2" xfId="4517" xr:uid="{00000000-0005-0000-0000-0000E9590000}"/>
    <cellStyle name="Normal 49 2 2" xfId="12496" xr:uid="{00000000-0005-0000-0000-0000EA590000}"/>
    <cellStyle name="Normal 49 2 2 2" xfId="23784" xr:uid="{00000000-0005-0000-0000-0000EB590000}"/>
    <cellStyle name="Normal 49 2 3" xfId="10502" xr:uid="{00000000-0005-0000-0000-0000EC590000}"/>
    <cellStyle name="Normal 49 2 3 2" xfId="21790" xr:uid="{00000000-0005-0000-0000-0000ED590000}"/>
    <cellStyle name="Normal 49 2 4" xfId="8508" xr:uid="{00000000-0005-0000-0000-0000EE590000}"/>
    <cellStyle name="Normal 49 2 4 2" xfId="19796" xr:uid="{00000000-0005-0000-0000-0000EF590000}"/>
    <cellStyle name="Normal 49 2 5" xfId="6514" xr:uid="{00000000-0005-0000-0000-0000F0590000}"/>
    <cellStyle name="Normal 49 2 5 2" xfId="17802" xr:uid="{00000000-0005-0000-0000-0000F1590000}"/>
    <cellStyle name="Normal 49 2 6" xfId="15808" xr:uid="{00000000-0005-0000-0000-0000F2590000}"/>
    <cellStyle name="Normal 49 3" xfId="11499" xr:uid="{00000000-0005-0000-0000-0000F3590000}"/>
    <cellStyle name="Normal 49 3 2" xfId="22787" xr:uid="{00000000-0005-0000-0000-0000F4590000}"/>
    <cellStyle name="Normal 49 4" xfId="9505" xr:uid="{00000000-0005-0000-0000-0000F5590000}"/>
    <cellStyle name="Normal 49 4 2" xfId="20793" xr:uid="{00000000-0005-0000-0000-0000F6590000}"/>
    <cellStyle name="Normal 49 5" xfId="7511" xr:uid="{00000000-0005-0000-0000-0000F7590000}"/>
    <cellStyle name="Normal 49 5 2" xfId="18799" xr:uid="{00000000-0005-0000-0000-0000F8590000}"/>
    <cellStyle name="Normal 49 6" xfId="5517" xr:uid="{00000000-0005-0000-0000-0000F9590000}"/>
    <cellStyle name="Normal 49 6 2" xfId="16805" xr:uid="{00000000-0005-0000-0000-0000FA590000}"/>
    <cellStyle name="Normal 49 7" xfId="14811" xr:uid="{00000000-0005-0000-0000-0000FB590000}"/>
    <cellStyle name="Normal 49 8" xfId="13495" xr:uid="{00000000-0005-0000-0000-0000FC590000}"/>
    <cellStyle name="Normal 5" xfId="56" xr:uid="{00000000-0005-0000-0000-0000FD590000}"/>
    <cellStyle name="Normal 5 10" xfId="13496" xr:uid="{00000000-0005-0000-0000-0000FE590000}"/>
    <cellStyle name="Normal 5 10 2" xfId="29104" xr:uid="{00000000-0005-0000-0000-0000FF590000}"/>
    <cellStyle name="Normal 5 10 3" xfId="28804" xr:uid="{00000000-0005-0000-0000-0000005A0000}"/>
    <cellStyle name="Normal 5 11" xfId="24154" xr:uid="{00000000-0005-0000-0000-0000015A0000}"/>
    <cellStyle name="Normal 5 11 2" xfId="29105" xr:uid="{00000000-0005-0000-0000-0000025A0000}"/>
    <cellStyle name="Normal 5 11 3" xfId="28805" xr:uid="{00000000-0005-0000-0000-0000035A0000}"/>
    <cellStyle name="Normal 5 12" xfId="24723" xr:uid="{00000000-0005-0000-0000-0000045A0000}"/>
    <cellStyle name="Normal 5 12 2" xfId="29106" xr:uid="{00000000-0005-0000-0000-0000055A0000}"/>
    <cellStyle name="Normal 5 12 3" xfId="28806" xr:uid="{00000000-0005-0000-0000-0000065A0000}"/>
    <cellStyle name="Normal 5 13" xfId="25039" xr:uid="{00000000-0005-0000-0000-0000075A0000}"/>
    <cellStyle name="Normal 5 13 2" xfId="29107" xr:uid="{00000000-0005-0000-0000-0000085A0000}"/>
    <cellStyle name="Normal 5 13 3" xfId="28807" xr:uid="{00000000-0005-0000-0000-0000095A0000}"/>
    <cellStyle name="Normal 5 14" xfId="25773" xr:uid="{00000000-0005-0000-0000-00000A5A0000}"/>
    <cellStyle name="Normal 5 15" xfId="29165" xr:uid="{00000000-0005-0000-0000-00000B5A0000}"/>
    <cellStyle name="Normal 5 2" xfId="203" xr:uid="{00000000-0005-0000-0000-00000C5A0000}"/>
    <cellStyle name="Normal 5 2 10" xfId="25787" xr:uid="{00000000-0005-0000-0000-00000D5A0000}"/>
    <cellStyle name="Normal 5 2 2" xfId="661" xr:uid="{00000000-0005-0000-0000-00000E5A0000}"/>
    <cellStyle name="Normal 5 2 2 2" xfId="12497" xr:uid="{00000000-0005-0000-0000-00000F5A0000}"/>
    <cellStyle name="Normal 5 2 2 2 2" xfId="23785" xr:uid="{00000000-0005-0000-0000-0000105A0000}"/>
    <cellStyle name="Normal 5 2 2 2 3" xfId="24428" xr:uid="{00000000-0005-0000-0000-0000115A0000}"/>
    <cellStyle name="Normal 5 2 2 2 4" xfId="24872" xr:uid="{00000000-0005-0000-0000-0000125A0000}"/>
    <cellStyle name="Normal 5 2 2 2 5" xfId="25235" xr:uid="{00000000-0005-0000-0000-0000135A0000}"/>
    <cellStyle name="Normal 5 2 2 3" xfId="24156" xr:uid="{00000000-0005-0000-0000-0000145A0000}"/>
    <cellStyle name="Normal 5 2 2 4" xfId="24725" xr:uid="{00000000-0005-0000-0000-0000155A0000}"/>
    <cellStyle name="Normal 5 2 2 5" xfId="25041" xr:uid="{00000000-0005-0000-0000-0000165A0000}"/>
    <cellStyle name="Normal 5 2 2 6" xfId="29108" xr:uid="{00000000-0005-0000-0000-0000175A0000}"/>
    <cellStyle name="Normal 5 2 3" xfId="10503" xr:uid="{00000000-0005-0000-0000-0000185A0000}"/>
    <cellStyle name="Normal 5 2 3 2" xfId="21791" xr:uid="{00000000-0005-0000-0000-0000195A0000}"/>
    <cellStyle name="Normal 5 2 3 3" xfId="24427" xr:uid="{00000000-0005-0000-0000-00001A5A0000}"/>
    <cellStyle name="Normal 5 2 3 4" xfId="24871" xr:uid="{00000000-0005-0000-0000-00001B5A0000}"/>
    <cellStyle name="Normal 5 2 3 5" xfId="25234" xr:uid="{00000000-0005-0000-0000-00001C5A0000}"/>
    <cellStyle name="Normal 5 2 4" xfId="8509" xr:uid="{00000000-0005-0000-0000-00001D5A0000}"/>
    <cellStyle name="Normal 5 2 4 2" xfId="19797" xr:uid="{00000000-0005-0000-0000-00001E5A0000}"/>
    <cellStyle name="Normal 5 2 5" xfId="6515" xr:uid="{00000000-0005-0000-0000-00001F5A0000}"/>
    <cellStyle name="Normal 5 2 5 2" xfId="17803" xr:uid="{00000000-0005-0000-0000-0000205A0000}"/>
    <cellStyle name="Normal 5 2 6" xfId="4518" xr:uid="{00000000-0005-0000-0000-0000215A0000}"/>
    <cellStyle name="Normal 5 2 6 2" xfId="15809" xr:uid="{00000000-0005-0000-0000-0000225A0000}"/>
    <cellStyle name="Normal 5 2 7" xfId="24155" xr:uid="{00000000-0005-0000-0000-0000235A0000}"/>
    <cellStyle name="Normal 5 2 8" xfId="24724" xr:uid="{00000000-0005-0000-0000-0000245A0000}"/>
    <cellStyle name="Normal 5 2 9" xfId="25040" xr:uid="{00000000-0005-0000-0000-0000255A0000}"/>
    <cellStyle name="Normal 5 3" xfId="357" xr:uid="{00000000-0005-0000-0000-0000265A0000}"/>
    <cellStyle name="Normal 5 3 2" xfId="440" xr:uid="{00000000-0005-0000-0000-0000275A0000}"/>
    <cellStyle name="Normal 5 3 2 2" xfId="526" xr:uid="{00000000-0005-0000-0000-0000285A0000}"/>
    <cellStyle name="Normal 5 3 2 2 2" xfId="13889" xr:uid="{00000000-0005-0000-0000-0000295A0000}"/>
    <cellStyle name="Normal 5 3 2 2 3" xfId="24430" xr:uid="{00000000-0005-0000-0000-00002A5A0000}"/>
    <cellStyle name="Normal 5 3 2 2 4" xfId="24874" xr:uid="{00000000-0005-0000-0000-00002B5A0000}"/>
    <cellStyle name="Normal 5 3 2 2 5" xfId="25237" xr:uid="{00000000-0005-0000-0000-00002C5A0000}"/>
    <cellStyle name="Normal 5 3 2 3" xfId="13812" xr:uid="{00000000-0005-0000-0000-00002D5A0000}"/>
    <cellStyle name="Normal 5 3 2 4" xfId="24158" xr:uid="{00000000-0005-0000-0000-00002E5A0000}"/>
    <cellStyle name="Normal 5 3 2 5" xfId="24727" xr:uid="{00000000-0005-0000-0000-00002F5A0000}"/>
    <cellStyle name="Normal 5 3 2 6" xfId="25043" xr:uid="{00000000-0005-0000-0000-0000305A0000}"/>
    <cellStyle name="Normal 5 3 2 7" xfId="29109" xr:uid="{00000000-0005-0000-0000-0000315A0000}"/>
    <cellStyle name="Normal 5 3 3" xfId="489" xr:uid="{00000000-0005-0000-0000-0000325A0000}"/>
    <cellStyle name="Normal 5 3 3 2" xfId="13852" xr:uid="{00000000-0005-0000-0000-0000335A0000}"/>
    <cellStyle name="Normal 5 3 3 3" xfId="24429" xr:uid="{00000000-0005-0000-0000-0000345A0000}"/>
    <cellStyle name="Normal 5 3 3 4" xfId="24873" xr:uid="{00000000-0005-0000-0000-0000355A0000}"/>
    <cellStyle name="Normal 5 3 3 5" xfId="25236" xr:uid="{00000000-0005-0000-0000-0000365A0000}"/>
    <cellStyle name="Normal 5 3 4" xfId="11500" xr:uid="{00000000-0005-0000-0000-0000375A0000}"/>
    <cellStyle name="Normal 5 3 4 2" xfId="22788" xr:uid="{00000000-0005-0000-0000-0000385A0000}"/>
    <cellStyle name="Normal 5 3 5" xfId="13767" xr:uid="{00000000-0005-0000-0000-0000395A0000}"/>
    <cellStyle name="Normal 5 3 6" xfId="24157" xr:uid="{00000000-0005-0000-0000-00003A5A0000}"/>
    <cellStyle name="Normal 5 3 7" xfId="24726" xr:uid="{00000000-0005-0000-0000-00003B5A0000}"/>
    <cellStyle name="Normal 5 3 8" xfId="25042" xr:uid="{00000000-0005-0000-0000-00003C5A0000}"/>
    <cellStyle name="Normal 5 3 9" xfId="28808" xr:uid="{00000000-0005-0000-0000-00003D5A0000}"/>
    <cellStyle name="Normal 5 4" xfId="408" xr:uid="{00000000-0005-0000-0000-00003E5A0000}"/>
    <cellStyle name="Normal 5 4 2" xfId="508" xr:uid="{00000000-0005-0000-0000-00003F5A0000}"/>
    <cellStyle name="Normal 5 4 2 2" xfId="13871" xr:uid="{00000000-0005-0000-0000-0000405A0000}"/>
    <cellStyle name="Normal 5 4 2 3" xfId="24431" xr:uid="{00000000-0005-0000-0000-0000415A0000}"/>
    <cellStyle name="Normal 5 4 2 4" xfId="24875" xr:uid="{00000000-0005-0000-0000-0000425A0000}"/>
    <cellStyle name="Normal 5 4 2 5" xfId="25238" xr:uid="{00000000-0005-0000-0000-0000435A0000}"/>
    <cellStyle name="Normal 5 4 2 6" xfId="29110" xr:uid="{00000000-0005-0000-0000-0000445A0000}"/>
    <cellStyle name="Normal 5 4 3" xfId="9506" xr:uid="{00000000-0005-0000-0000-0000455A0000}"/>
    <cellStyle name="Normal 5 4 3 2" xfId="20794" xr:uid="{00000000-0005-0000-0000-0000465A0000}"/>
    <cellStyle name="Normal 5 4 4" xfId="13790" xr:uid="{00000000-0005-0000-0000-0000475A0000}"/>
    <cellStyle name="Normal 5 4 5" xfId="24159" xr:uid="{00000000-0005-0000-0000-0000485A0000}"/>
    <cellStyle name="Normal 5 4 6" xfId="24728" xr:uid="{00000000-0005-0000-0000-0000495A0000}"/>
    <cellStyle name="Normal 5 4 7" xfId="25044" xr:uid="{00000000-0005-0000-0000-00004A5A0000}"/>
    <cellStyle name="Normal 5 4 8" xfId="28809" xr:uid="{00000000-0005-0000-0000-00004B5A0000}"/>
    <cellStyle name="Normal 5 5" xfId="392" xr:uid="{00000000-0005-0000-0000-00004C5A0000}"/>
    <cellStyle name="Normal 5 5 2" xfId="7512" xr:uid="{00000000-0005-0000-0000-00004D5A0000}"/>
    <cellStyle name="Normal 5 5 2 2" xfId="18800" xr:uid="{00000000-0005-0000-0000-00004E5A0000}"/>
    <cellStyle name="Normal 5 5 2 3" xfId="29111" xr:uid="{00000000-0005-0000-0000-00004F5A0000}"/>
    <cellStyle name="Normal 5 5 3" xfId="24426" xr:uid="{00000000-0005-0000-0000-0000505A0000}"/>
    <cellStyle name="Normal 5 5 4" xfId="24870" xr:uid="{00000000-0005-0000-0000-0000515A0000}"/>
    <cellStyle name="Normal 5 5 5" xfId="25233" xr:uid="{00000000-0005-0000-0000-0000525A0000}"/>
    <cellStyle name="Normal 5 5 6" xfId="26002" xr:uid="{00000000-0005-0000-0000-0000535A0000}"/>
    <cellStyle name="Normal 5 6" xfId="474" xr:uid="{00000000-0005-0000-0000-0000545A0000}"/>
    <cellStyle name="Normal 5 6 2" xfId="5518" xr:uid="{00000000-0005-0000-0000-0000555A0000}"/>
    <cellStyle name="Normal 5 6 2 2" xfId="16806" xr:uid="{00000000-0005-0000-0000-0000565A0000}"/>
    <cellStyle name="Normal 5 6 2 3" xfId="29112" xr:uid="{00000000-0005-0000-0000-0000575A0000}"/>
    <cellStyle name="Normal 5 6 3" xfId="13837" xr:uid="{00000000-0005-0000-0000-0000585A0000}"/>
    <cellStyle name="Normal 5 6 4" xfId="28810" xr:uid="{00000000-0005-0000-0000-0000595A0000}"/>
    <cellStyle name="Normal 5 7" xfId="660" xr:uid="{00000000-0005-0000-0000-00005A5A0000}"/>
    <cellStyle name="Normal 5 7 2" xfId="13913" xr:uid="{00000000-0005-0000-0000-00005B5A0000}"/>
    <cellStyle name="Normal 5 7 2 2" xfId="29113" xr:uid="{00000000-0005-0000-0000-00005C5A0000}"/>
    <cellStyle name="Normal 5 7 3" xfId="28811" xr:uid="{00000000-0005-0000-0000-00005D5A0000}"/>
    <cellStyle name="Normal 5 8" xfId="3283" xr:uid="{00000000-0005-0000-0000-00005E5A0000}"/>
    <cellStyle name="Normal 5 8 2" xfId="14812" xr:uid="{00000000-0005-0000-0000-00005F5A0000}"/>
    <cellStyle name="Normal 5 8 2 2" xfId="29114" xr:uid="{00000000-0005-0000-0000-0000605A0000}"/>
    <cellStyle name="Normal 5 8 3" xfId="28812" xr:uid="{00000000-0005-0000-0000-0000615A0000}"/>
    <cellStyle name="Normal 5 9" xfId="13614" xr:uid="{00000000-0005-0000-0000-0000625A0000}"/>
    <cellStyle name="Normal 5 9 2" xfId="29115" xr:uid="{00000000-0005-0000-0000-0000635A0000}"/>
    <cellStyle name="Normal 5 9 3" xfId="28813" xr:uid="{00000000-0005-0000-0000-0000645A0000}"/>
    <cellStyle name="Normal 50" xfId="3284" xr:uid="{00000000-0005-0000-0000-0000655A0000}"/>
    <cellStyle name="Normal 50 2" xfId="3285" xr:uid="{00000000-0005-0000-0000-0000665A0000}"/>
    <cellStyle name="Normal 50 2 2" xfId="4520" xr:uid="{00000000-0005-0000-0000-0000675A0000}"/>
    <cellStyle name="Normal 50 2 2 2" xfId="12499" xr:uid="{00000000-0005-0000-0000-0000685A0000}"/>
    <cellStyle name="Normal 50 2 2 2 2" xfId="23787" xr:uid="{00000000-0005-0000-0000-0000695A0000}"/>
    <cellStyle name="Normal 50 2 2 3" xfId="10505" xr:uid="{00000000-0005-0000-0000-00006A5A0000}"/>
    <cellStyle name="Normal 50 2 2 3 2" xfId="21793" xr:uid="{00000000-0005-0000-0000-00006B5A0000}"/>
    <cellStyle name="Normal 50 2 2 4" xfId="8511" xr:uid="{00000000-0005-0000-0000-00006C5A0000}"/>
    <cellStyle name="Normal 50 2 2 4 2" xfId="19799" xr:uid="{00000000-0005-0000-0000-00006D5A0000}"/>
    <cellStyle name="Normal 50 2 2 5" xfId="6517" xr:uid="{00000000-0005-0000-0000-00006E5A0000}"/>
    <cellStyle name="Normal 50 2 2 5 2" xfId="17805" xr:uid="{00000000-0005-0000-0000-00006F5A0000}"/>
    <cellStyle name="Normal 50 2 2 6" xfId="15811" xr:uid="{00000000-0005-0000-0000-0000705A0000}"/>
    <cellStyle name="Normal 50 2 3" xfId="11502" xr:uid="{00000000-0005-0000-0000-0000715A0000}"/>
    <cellStyle name="Normal 50 2 3 2" xfId="22790" xr:uid="{00000000-0005-0000-0000-0000725A0000}"/>
    <cellStyle name="Normal 50 2 4" xfId="9508" xr:uid="{00000000-0005-0000-0000-0000735A0000}"/>
    <cellStyle name="Normal 50 2 4 2" xfId="20796" xr:uid="{00000000-0005-0000-0000-0000745A0000}"/>
    <cellStyle name="Normal 50 2 5" xfId="7514" xr:uid="{00000000-0005-0000-0000-0000755A0000}"/>
    <cellStyle name="Normal 50 2 5 2" xfId="18802" xr:uid="{00000000-0005-0000-0000-0000765A0000}"/>
    <cellStyle name="Normal 50 2 6" xfId="5520" xr:uid="{00000000-0005-0000-0000-0000775A0000}"/>
    <cellStyle name="Normal 50 2 6 2" xfId="16808" xr:uid="{00000000-0005-0000-0000-0000785A0000}"/>
    <cellStyle name="Normal 50 2 7" xfId="14814" xr:uid="{00000000-0005-0000-0000-0000795A0000}"/>
    <cellStyle name="Normal 50 2 8" xfId="13498" xr:uid="{00000000-0005-0000-0000-00007A5A0000}"/>
    <cellStyle name="Normal 50 3" xfId="4519" xr:uid="{00000000-0005-0000-0000-00007B5A0000}"/>
    <cellStyle name="Normal 50 3 2" xfId="12498" xr:uid="{00000000-0005-0000-0000-00007C5A0000}"/>
    <cellStyle name="Normal 50 3 2 2" xfId="23786" xr:uid="{00000000-0005-0000-0000-00007D5A0000}"/>
    <cellStyle name="Normal 50 3 3" xfId="10504" xr:uid="{00000000-0005-0000-0000-00007E5A0000}"/>
    <cellStyle name="Normal 50 3 3 2" xfId="21792" xr:uid="{00000000-0005-0000-0000-00007F5A0000}"/>
    <cellStyle name="Normal 50 3 4" xfId="8510" xr:uid="{00000000-0005-0000-0000-0000805A0000}"/>
    <cellStyle name="Normal 50 3 4 2" xfId="19798" xr:uid="{00000000-0005-0000-0000-0000815A0000}"/>
    <cellStyle name="Normal 50 3 5" xfId="6516" xr:uid="{00000000-0005-0000-0000-0000825A0000}"/>
    <cellStyle name="Normal 50 3 5 2" xfId="17804" xr:uid="{00000000-0005-0000-0000-0000835A0000}"/>
    <cellStyle name="Normal 50 3 6" xfId="15810" xr:uid="{00000000-0005-0000-0000-0000845A0000}"/>
    <cellStyle name="Normal 50 4" xfId="11501" xr:uid="{00000000-0005-0000-0000-0000855A0000}"/>
    <cellStyle name="Normal 50 4 2" xfId="22789" xr:uid="{00000000-0005-0000-0000-0000865A0000}"/>
    <cellStyle name="Normal 50 5" xfId="9507" xr:uid="{00000000-0005-0000-0000-0000875A0000}"/>
    <cellStyle name="Normal 50 5 2" xfId="20795" xr:uid="{00000000-0005-0000-0000-0000885A0000}"/>
    <cellStyle name="Normal 50 6" xfId="7513" xr:uid="{00000000-0005-0000-0000-0000895A0000}"/>
    <cellStyle name="Normal 50 6 2" xfId="18801" xr:uid="{00000000-0005-0000-0000-00008A5A0000}"/>
    <cellStyle name="Normal 50 7" xfId="5519" xr:uid="{00000000-0005-0000-0000-00008B5A0000}"/>
    <cellStyle name="Normal 50 7 2" xfId="16807" xr:uid="{00000000-0005-0000-0000-00008C5A0000}"/>
    <cellStyle name="Normal 50 8" xfId="14813" xr:uid="{00000000-0005-0000-0000-00008D5A0000}"/>
    <cellStyle name="Normal 50 9" xfId="13497" xr:uid="{00000000-0005-0000-0000-00008E5A0000}"/>
    <cellStyle name="Normal 51" xfId="3286" xr:uid="{00000000-0005-0000-0000-00008F5A0000}"/>
    <cellStyle name="Normal 51 2" xfId="4521" xr:uid="{00000000-0005-0000-0000-0000905A0000}"/>
    <cellStyle name="Normal 51 2 2" xfId="12500" xr:uid="{00000000-0005-0000-0000-0000915A0000}"/>
    <cellStyle name="Normal 51 2 2 2" xfId="23788" xr:uid="{00000000-0005-0000-0000-0000925A0000}"/>
    <cellStyle name="Normal 51 2 3" xfId="10506" xr:uid="{00000000-0005-0000-0000-0000935A0000}"/>
    <cellStyle name="Normal 51 2 3 2" xfId="21794" xr:uid="{00000000-0005-0000-0000-0000945A0000}"/>
    <cellStyle name="Normal 51 2 4" xfId="8512" xr:uid="{00000000-0005-0000-0000-0000955A0000}"/>
    <cellStyle name="Normal 51 2 4 2" xfId="19800" xr:uid="{00000000-0005-0000-0000-0000965A0000}"/>
    <cellStyle name="Normal 51 2 5" xfId="6518" xr:uid="{00000000-0005-0000-0000-0000975A0000}"/>
    <cellStyle name="Normal 51 2 5 2" xfId="17806" xr:uid="{00000000-0005-0000-0000-0000985A0000}"/>
    <cellStyle name="Normal 51 2 6" xfId="15812" xr:uid="{00000000-0005-0000-0000-0000995A0000}"/>
    <cellStyle name="Normal 51 3" xfId="11503" xr:uid="{00000000-0005-0000-0000-00009A5A0000}"/>
    <cellStyle name="Normal 51 3 2" xfId="22791" xr:uid="{00000000-0005-0000-0000-00009B5A0000}"/>
    <cellStyle name="Normal 51 4" xfId="9509" xr:uid="{00000000-0005-0000-0000-00009C5A0000}"/>
    <cellStyle name="Normal 51 4 2" xfId="20797" xr:uid="{00000000-0005-0000-0000-00009D5A0000}"/>
    <cellStyle name="Normal 51 5" xfId="7515" xr:uid="{00000000-0005-0000-0000-00009E5A0000}"/>
    <cellStyle name="Normal 51 5 2" xfId="18803" xr:uid="{00000000-0005-0000-0000-00009F5A0000}"/>
    <cellStyle name="Normal 51 6" xfId="5521" xr:uid="{00000000-0005-0000-0000-0000A05A0000}"/>
    <cellStyle name="Normal 51 6 2" xfId="16809" xr:uid="{00000000-0005-0000-0000-0000A15A0000}"/>
    <cellStyle name="Normal 51 7" xfId="14815" xr:uid="{00000000-0005-0000-0000-0000A25A0000}"/>
    <cellStyle name="Normal 51 8" xfId="13499" xr:uid="{00000000-0005-0000-0000-0000A35A0000}"/>
    <cellStyle name="Normal 52" xfId="3287" xr:uid="{00000000-0005-0000-0000-0000A45A0000}"/>
    <cellStyle name="Normal 52 2" xfId="4522" xr:uid="{00000000-0005-0000-0000-0000A55A0000}"/>
    <cellStyle name="Normal 52 2 2" xfId="12501" xr:uid="{00000000-0005-0000-0000-0000A65A0000}"/>
    <cellStyle name="Normal 52 2 2 2" xfId="23789" xr:uid="{00000000-0005-0000-0000-0000A75A0000}"/>
    <cellStyle name="Normal 52 2 3" xfId="10507" xr:uid="{00000000-0005-0000-0000-0000A85A0000}"/>
    <cellStyle name="Normal 52 2 3 2" xfId="21795" xr:uid="{00000000-0005-0000-0000-0000A95A0000}"/>
    <cellStyle name="Normal 52 2 4" xfId="8513" xr:uid="{00000000-0005-0000-0000-0000AA5A0000}"/>
    <cellStyle name="Normal 52 2 4 2" xfId="19801" xr:uid="{00000000-0005-0000-0000-0000AB5A0000}"/>
    <cellStyle name="Normal 52 2 5" xfId="6519" xr:uid="{00000000-0005-0000-0000-0000AC5A0000}"/>
    <cellStyle name="Normal 52 2 5 2" xfId="17807" xr:uid="{00000000-0005-0000-0000-0000AD5A0000}"/>
    <cellStyle name="Normal 52 2 6" xfId="15813" xr:uid="{00000000-0005-0000-0000-0000AE5A0000}"/>
    <cellStyle name="Normal 52 3" xfId="11504" xr:uid="{00000000-0005-0000-0000-0000AF5A0000}"/>
    <cellStyle name="Normal 52 3 2" xfId="22792" xr:uid="{00000000-0005-0000-0000-0000B05A0000}"/>
    <cellStyle name="Normal 52 4" xfId="9510" xr:uid="{00000000-0005-0000-0000-0000B15A0000}"/>
    <cellStyle name="Normal 52 4 2" xfId="20798" xr:uid="{00000000-0005-0000-0000-0000B25A0000}"/>
    <cellStyle name="Normal 52 5" xfId="7516" xr:uid="{00000000-0005-0000-0000-0000B35A0000}"/>
    <cellStyle name="Normal 52 5 2" xfId="18804" xr:uid="{00000000-0005-0000-0000-0000B45A0000}"/>
    <cellStyle name="Normal 52 6" xfId="5522" xr:uid="{00000000-0005-0000-0000-0000B55A0000}"/>
    <cellStyle name="Normal 52 6 2" xfId="16810" xr:uid="{00000000-0005-0000-0000-0000B65A0000}"/>
    <cellStyle name="Normal 52 7" xfId="14816" xr:uid="{00000000-0005-0000-0000-0000B75A0000}"/>
    <cellStyle name="Normal 52 8" xfId="13500" xr:uid="{00000000-0005-0000-0000-0000B85A0000}"/>
    <cellStyle name="Normal 53" xfId="3288" xr:uid="{00000000-0005-0000-0000-0000B95A0000}"/>
    <cellStyle name="Normal 53 2" xfId="4523" xr:uid="{00000000-0005-0000-0000-0000BA5A0000}"/>
    <cellStyle name="Normal 53 2 2" xfId="12502" xr:uid="{00000000-0005-0000-0000-0000BB5A0000}"/>
    <cellStyle name="Normal 53 2 2 2" xfId="23790" xr:uid="{00000000-0005-0000-0000-0000BC5A0000}"/>
    <cellStyle name="Normal 53 2 3" xfId="10508" xr:uid="{00000000-0005-0000-0000-0000BD5A0000}"/>
    <cellStyle name="Normal 53 2 3 2" xfId="21796" xr:uid="{00000000-0005-0000-0000-0000BE5A0000}"/>
    <cellStyle name="Normal 53 2 4" xfId="8514" xr:uid="{00000000-0005-0000-0000-0000BF5A0000}"/>
    <cellStyle name="Normal 53 2 4 2" xfId="19802" xr:uid="{00000000-0005-0000-0000-0000C05A0000}"/>
    <cellStyle name="Normal 53 2 5" xfId="6520" xr:uid="{00000000-0005-0000-0000-0000C15A0000}"/>
    <cellStyle name="Normal 53 2 5 2" xfId="17808" xr:uid="{00000000-0005-0000-0000-0000C25A0000}"/>
    <cellStyle name="Normal 53 2 6" xfId="15814" xr:uid="{00000000-0005-0000-0000-0000C35A0000}"/>
    <cellStyle name="Normal 53 3" xfId="11505" xr:uid="{00000000-0005-0000-0000-0000C45A0000}"/>
    <cellStyle name="Normal 53 3 2" xfId="22793" xr:uid="{00000000-0005-0000-0000-0000C55A0000}"/>
    <cellStyle name="Normal 53 4" xfId="9511" xr:uid="{00000000-0005-0000-0000-0000C65A0000}"/>
    <cellStyle name="Normal 53 4 2" xfId="20799" xr:uid="{00000000-0005-0000-0000-0000C75A0000}"/>
    <cellStyle name="Normal 53 5" xfId="7517" xr:uid="{00000000-0005-0000-0000-0000C85A0000}"/>
    <cellStyle name="Normal 53 5 2" xfId="18805" xr:uid="{00000000-0005-0000-0000-0000C95A0000}"/>
    <cellStyle name="Normal 53 6" xfId="5523" xr:uid="{00000000-0005-0000-0000-0000CA5A0000}"/>
    <cellStyle name="Normal 53 6 2" xfId="16811" xr:uid="{00000000-0005-0000-0000-0000CB5A0000}"/>
    <cellStyle name="Normal 53 7" xfId="14817" xr:uid="{00000000-0005-0000-0000-0000CC5A0000}"/>
    <cellStyle name="Normal 53 8" xfId="13501" xr:uid="{00000000-0005-0000-0000-0000CD5A0000}"/>
    <cellStyle name="Normal 54" xfId="3289" xr:uid="{00000000-0005-0000-0000-0000CE5A0000}"/>
    <cellStyle name="Normal 54 2" xfId="4524" xr:uid="{00000000-0005-0000-0000-0000CF5A0000}"/>
    <cellStyle name="Normal 54 2 2" xfId="12503" xr:uid="{00000000-0005-0000-0000-0000D05A0000}"/>
    <cellStyle name="Normal 54 2 2 2" xfId="23791" xr:uid="{00000000-0005-0000-0000-0000D15A0000}"/>
    <cellStyle name="Normal 54 2 3" xfId="10509" xr:uid="{00000000-0005-0000-0000-0000D25A0000}"/>
    <cellStyle name="Normal 54 2 3 2" xfId="21797" xr:uid="{00000000-0005-0000-0000-0000D35A0000}"/>
    <cellStyle name="Normal 54 2 4" xfId="8515" xr:uid="{00000000-0005-0000-0000-0000D45A0000}"/>
    <cellStyle name="Normal 54 2 4 2" xfId="19803" xr:uid="{00000000-0005-0000-0000-0000D55A0000}"/>
    <cellStyle name="Normal 54 2 5" xfId="6521" xr:uid="{00000000-0005-0000-0000-0000D65A0000}"/>
    <cellStyle name="Normal 54 2 5 2" xfId="17809" xr:uid="{00000000-0005-0000-0000-0000D75A0000}"/>
    <cellStyle name="Normal 54 2 6" xfId="15815" xr:uid="{00000000-0005-0000-0000-0000D85A0000}"/>
    <cellStyle name="Normal 54 3" xfId="11506" xr:uid="{00000000-0005-0000-0000-0000D95A0000}"/>
    <cellStyle name="Normal 54 3 2" xfId="22794" xr:uid="{00000000-0005-0000-0000-0000DA5A0000}"/>
    <cellStyle name="Normal 54 4" xfId="9512" xr:uid="{00000000-0005-0000-0000-0000DB5A0000}"/>
    <cellStyle name="Normal 54 4 2" xfId="20800" xr:uid="{00000000-0005-0000-0000-0000DC5A0000}"/>
    <cellStyle name="Normal 54 5" xfId="7518" xr:uid="{00000000-0005-0000-0000-0000DD5A0000}"/>
    <cellStyle name="Normal 54 5 2" xfId="18806" xr:uid="{00000000-0005-0000-0000-0000DE5A0000}"/>
    <cellStyle name="Normal 54 6" xfId="5524" xr:uid="{00000000-0005-0000-0000-0000DF5A0000}"/>
    <cellStyle name="Normal 54 6 2" xfId="16812" xr:uid="{00000000-0005-0000-0000-0000E05A0000}"/>
    <cellStyle name="Normal 54 7" xfId="14818" xr:uid="{00000000-0005-0000-0000-0000E15A0000}"/>
    <cellStyle name="Normal 54 8" xfId="13502" xr:uid="{00000000-0005-0000-0000-0000E25A0000}"/>
    <cellStyle name="Normal 55" xfId="3290" xr:uid="{00000000-0005-0000-0000-0000E35A0000}"/>
    <cellStyle name="Normal 55 2" xfId="4525" xr:uid="{00000000-0005-0000-0000-0000E45A0000}"/>
    <cellStyle name="Normal 55 2 2" xfId="12504" xr:uid="{00000000-0005-0000-0000-0000E55A0000}"/>
    <cellStyle name="Normal 55 2 2 2" xfId="23792" xr:uid="{00000000-0005-0000-0000-0000E65A0000}"/>
    <cellStyle name="Normal 55 2 3" xfId="10510" xr:uid="{00000000-0005-0000-0000-0000E75A0000}"/>
    <cellStyle name="Normal 55 2 3 2" xfId="21798" xr:uid="{00000000-0005-0000-0000-0000E85A0000}"/>
    <cellStyle name="Normal 55 2 4" xfId="8516" xr:uid="{00000000-0005-0000-0000-0000E95A0000}"/>
    <cellStyle name="Normal 55 2 4 2" xfId="19804" xr:uid="{00000000-0005-0000-0000-0000EA5A0000}"/>
    <cellStyle name="Normal 55 2 5" xfId="6522" xr:uid="{00000000-0005-0000-0000-0000EB5A0000}"/>
    <cellStyle name="Normal 55 2 5 2" xfId="17810" xr:uid="{00000000-0005-0000-0000-0000EC5A0000}"/>
    <cellStyle name="Normal 55 2 6" xfId="15816" xr:uid="{00000000-0005-0000-0000-0000ED5A0000}"/>
    <cellStyle name="Normal 55 3" xfId="11507" xr:uid="{00000000-0005-0000-0000-0000EE5A0000}"/>
    <cellStyle name="Normal 55 3 2" xfId="22795" xr:uid="{00000000-0005-0000-0000-0000EF5A0000}"/>
    <cellStyle name="Normal 55 4" xfId="9513" xr:uid="{00000000-0005-0000-0000-0000F05A0000}"/>
    <cellStyle name="Normal 55 4 2" xfId="20801" xr:uid="{00000000-0005-0000-0000-0000F15A0000}"/>
    <cellStyle name="Normal 55 5" xfId="7519" xr:uid="{00000000-0005-0000-0000-0000F25A0000}"/>
    <cellStyle name="Normal 55 5 2" xfId="18807" xr:uid="{00000000-0005-0000-0000-0000F35A0000}"/>
    <cellStyle name="Normal 55 6" xfId="5525" xr:uid="{00000000-0005-0000-0000-0000F45A0000}"/>
    <cellStyle name="Normal 55 6 2" xfId="16813" xr:uid="{00000000-0005-0000-0000-0000F55A0000}"/>
    <cellStyle name="Normal 55 7" xfId="14819" xr:uid="{00000000-0005-0000-0000-0000F65A0000}"/>
    <cellStyle name="Normal 55 8" xfId="13503" xr:uid="{00000000-0005-0000-0000-0000F75A0000}"/>
    <cellStyle name="Normal 56" xfId="3291" xr:uid="{00000000-0005-0000-0000-0000F85A0000}"/>
    <cellStyle name="Normal 56 2" xfId="4526" xr:uid="{00000000-0005-0000-0000-0000F95A0000}"/>
    <cellStyle name="Normal 56 2 2" xfId="12505" xr:uid="{00000000-0005-0000-0000-0000FA5A0000}"/>
    <cellStyle name="Normal 56 2 2 2" xfId="23793" xr:uid="{00000000-0005-0000-0000-0000FB5A0000}"/>
    <cellStyle name="Normal 56 2 3" xfId="10511" xr:uid="{00000000-0005-0000-0000-0000FC5A0000}"/>
    <cellStyle name="Normal 56 2 3 2" xfId="21799" xr:uid="{00000000-0005-0000-0000-0000FD5A0000}"/>
    <cellStyle name="Normal 56 2 4" xfId="8517" xr:uid="{00000000-0005-0000-0000-0000FE5A0000}"/>
    <cellStyle name="Normal 56 2 4 2" xfId="19805" xr:uid="{00000000-0005-0000-0000-0000FF5A0000}"/>
    <cellStyle name="Normal 56 2 5" xfId="6523" xr:uid="{00000000-0005-0000-0000-0000005B0000}"/>
    <cellStyle name="Normal 56 2 5 2" xfId="17811" xr:uid="{00000000-0005-0000-0000-0000015B0000}"/>
    <cellStyle name="Normal 56 2 6" xfId="15817" xr:uid="{00000000-0005-0000-0000-0000025B0000}"/>
    <cellStyle name="Normal 56 3" xfId="11508" xr:uid="{00000000-0005-0000-0000-0000035B0000}"/>
    <cellStyle name="Normal 56 3 2" xfId="22796" xr:uid="{00000000-0005-0000-0000-0000045B0000}"/>
    <cellStyle name="Normal 56 4" xfId="9514" xr:uid="{00000000-0005-0000-0000-0000055B0000}"/>
    <cellStyle name="Normal 56 4 2" xfId="20802" xr:uid="{00000000-0005-0000-0000-0000065B0000}"/>
    <cellStyle name="Normal 56 5" xfId="7520" xr:uid="{00000000-0005-0000-0000-0000075B0000}"/>
    <cellStyle name="Normal 56 5 2" xfId="18808" xr:uid="{00000000-0005-0000-0000-0000085B0000}"/>
    <cellStyle name="Normal 56 6" xfId="5526" xr:uid="{00000000-0005-0000-0000-0000095B0000}"/>
    <cellStyle name="Normal 56 6 2" xfId="16814" xr:uid="{00000000-0005-0000-0000-00000A5B0000}"/>
    <cellStyle name="Normal 56 7" xfId="14820" xr:uid="{00000000-0005-0000-0000-00000B5B0000}"/>
    <cellStyle name="Normal 56 8" xfId="13504" xr:uid="{00000000-0005-0000-0000-00000C5B0000}"/>
    <cellStyle name="Normal 57" xfId="3292" xr:uid="{00000000-0005-0000-0000-00000D5B0000}"/>
    <cellStyle name="Normal 57 2" xfId="4527" xr:uid="{00000000-0005-0000-0000-00000E5B0000}"/>
    <cellStyle name="Normal 57 2 2" xfId="12506" xr:uid="{00000000-0005-0000-0000-00000F5B0000}"/>
    <cellStyle name="Normal 57 2 2 2" xfId="23794" xr:uid="{00000000-0005-0000-0000-0000105B0000}"/>
    <cellStyle name="Normal 57 2 3" xfId="10512" xr:uid="{00000000-0005-0000-0000-0000115B0000}"/>
    <cellStyle name="Normal 57 2 3 2" xfId="21800" xr:uid="{00000000-0005-0000-0000-0000125B0000}"/>
    <cellStyle name="Normal 57 2 4" xfId="8518" xr:uid="{00000000-0005-0000-0000-0000135B0000}"/>
    <cellStyle name="Normal 57 2 4 2" xfId="19806" xr:uid="{00000000-0005-0000-0000-0000145B0000}"/>
    <cellStyle name="Normal 57 2 5" xfId="6524" xr:uid="{00000000-0005-0000-0000-0000155B0000}"/>
    <cellStyle name="Normal 57 2 5 2" xfId="17812" xr:uid="{00000000-0005-0000-0000-0000165B0000}"/>
    <cellStyle name="Normal 57 2 6" xfId="15818" xr:uid="{00000000-0005-0000-0000-0000175B0000}"/>
    <cellStyle name="Normal 57 3" xfId="11509" xr:uid="{00000000-0005-0000-0000-0000185B0000}"/>
    <cellStyle name="Normal 57 3 2" xfId="22797" xr:uid="{00000000-0005-0000-0000-0000195B0000}"/>
    <cellStyle name="Normal 57 4" xfId="9515" xr:uid="{00000000-0005-0000-0000-00001A5B0000}"/>
    <cellStyle name="Normal 57 4 2" xfId="20803" xr:uid="{00000000-0005-0000-0000-00001B5B0000}"/>
    <cellStyle name="Normal 57 5" xfId="7521" xr:uid="{00000000-0005-0000-0000-00001C5B0000}"/>
    <cellStyle name="Normal 57 5 2" xfId="18809" xr:uid="{00000000-0005-0000-0000-00001D5B0000}"/>
    <cellStyle name="Normal 57 6" xfId="5527" xr:uid="{00000000-0005-0000-0000-00001E5B0000}"/>
    <cellStyle name="Normal 57 6 2" xfId="16815" xr:uid="{00000000-0005-0000-0000-00001F5B0000}"/>
    <cellStyle name="Normal 57 7" xfId="14821" xr:uid="{00000000-0005-0000-0000-0000205B0000}"/>
    <cellStyle name="Normal 57 8" xfId="13505" xr:uid="{00000000-0005-0000-0000-0000215B0000}"/>
    <cellStyle name="Normal 58" xfId="3293" xr:uid="{00000000-0005-0000-0000-0000225B0000}"/>
    <cellStyle name="Normal 58 2" xfId="4528" xr:uid="{00000000-0005-0000-0000-0000235B0000}"/>
    <cellStyle name="Normal 58 2 2" xfId="12507" xr:uid="{00000000-0005-0000-0000-0000245B0000}"/>
    <cellStyle name="Normal 58 2 2 2" xfId="23795" xr:uid="{00000000-0005-0000-0000-0000255B0000}"/>
    <cellStyle name="Normal 58 2 3" xfId="10513" xr:uid="{00000000-0005-0000-0000-0000265B0000}"/>
    <cellStyle name="Normal 58 2 3 2" xfId="21801" xr:uid="{00000000-0005-0000-0000-0000275B0000}"/>
    <cellStyle name="Normal 58 2 4" xfId="8519" xr:uid="{00000000-0005-0000-0000-0000285B0000}"/>
    <cellStyle name="Normal 58 2 4 2" xfId="19807" xr:uid="{00000000-0005-0000-0000-0000295B0000}"/>
    <cellStyle name="Normal 58 2 5" xfId="6525" xr:uid="{00000000-0005-0000-0000-00002A5B0000}"/>
    <cellStyle name="Normal 58 2 5 2" xfId="17813" xr:uid="{00000000-0005-0000-0000-00002B5B0000}"/>
    <cellStyle name="Normal 58 2 6" xfId="15819" xr:uid="{00000000-0005-0000-0000-00002C5B0000}"/>
    <cellStyle name="Normal 58 3" xfId="11510" xr:uid="{00000000-0005-0000-0000-00002D5B0000}"/>
    <cellStyle name="Normal 58 3 2" xfId="22798" xr:uid="{00000000-0005-0000-0000-00002E5B0000}"/>
    <cellStyle name="Normal 58 4" xfId="9516" xr:uid="{00000000-0005-0000-0000-00002F5B0000}"/>
    <cellStyle name="Normal 58 4 2" xfId="20804" xr:uid="{00000000-0005-0000-0000-0000305B0000}"/>
    <cellStyle name="Normal 58 5" xfId="7522" xr:uid="{00000000-0005-0000-0000-0000315B0000}"/>
    <cellStyle name="Normal 58 5 2" xfId="18810" xr:uid="{00000000-0005-0000-0000-0000325B0000}"/>
    <cellStyle name="Normal 58 6" xfId="5528" xr:uid="{00000000-0005-0000-0000-0000335B0000}"/>
    <cellStyle name="Normal 58 6 2" xfId="16816" xr:uid="{00000000-0005-0000-0000-0000345B0000}"/>
    <cellStyle name="Normal 58 7" xfId="14822" xr:uid="{00000000-0005-0000-0000-0000355B0000}"/>
    <cellStyle name="Normal 58 8" xfId="13506" xr:uid="{00000000-0005-0000-0000-0000365B0000}"/>
    <cellStyle name="Normal 59" xfId="3294" xr:uid="{00000000-0005-0000-0000-0000375B0000}"/>
    <cellStyle name="Normal 59 2" xfId="4529" xr:uid="{00000000-0005-0000-0000-0000385B0000}"/>
    <cellStyle name="Normal 59 2 2" xfId="12508" xr:uid="{00000000-0005-0000-0000-0000395B0000}"/>
    <cellStyle name="Normal 59 2 2 2" xfId="23796" xr:uid="{00000000-0005-0000-0000-00003A5B0000}"/>
    <cellStyle name="Normal 59 2 3" xfId="10514" xr:uid="{00000000-0005-0000-0000-00003B5B0000}"/>
    <cellStyle name="Normal 59 2 3 2" xfId="21802" xr:uid="{00000000-0005-0000-0000-00003C5B0000}"/>
    <cellStyle name="Normal 59 2 4" xfId="8520" xr:uid="{00000000-0005-0000-0000-00003D5B0000}"/>
    <cellStyle name="Normal 59 2 4 2" xfId="19808" xr:uid="{00000000-0005-0000-0000-00003E5B0000}"/>
    <cellStyle name="Normal 59 2 5" xfId="6526" xr:uid="{00000000-0005-0000-0000-00003F5B0000}"/>
    <cellStyle name="Normal 59 2 5 2" xfId="17814" xr:uid="{00000000-0005-0000-0000-0000405B0000}"/>
    <cellStyle name="Normal 59 2 6" xfId="15820" xr:uid="{00000000-0005-0000-0000-0000415B0000}"/>
    <cellStyle name="Normal 59 3" xfId="11511" xr:uid="{00000000-0005-0000-0000-0000425B0000}"/>
    <cellStyle name="Normal 59 3 2" xfId="22799" xr:uid="{00000000-0005-0000-0000-0000435B0000}"/>
    <cellStyle name="Normal 59 4" xfId="9517" xr:uid="{00000000-0005-0000-0000-0000445B0000}"/>
    <cellStyle name="Normal 59 4 2" xfId="20805" xr:uid="{00000000-0005-0000-0000-0000455B0000}"/>
    <cellStyle name="Normal 59 5" xfId="7523" xr:uid="{00000000-0005-0000-0000-0000465B0000}"/>
    <cellStyle name="Normal 59 5 2" xfId="18811" xr:uid="{00000000-0005-0000-0000-0000475B0000}"/>
    <cellStyle name="Normal 59 6" xfId="5529" xr:uid="{00000000-0005-0000-0000-0000485B0000}"/>
    <cellStyle name="Normal 59 6 2" xfId="16817" xr:uid="{00000000-0005-0000-0000-0000495B0000}"/>
    <cellStyle name="Normal 59 7" xfId="14823" xr:uid="{00000000-0005-0000-0000-00004A5B0000}"/>
    <cellStyle name="Normal 59 8" xfId="13507" xr:uid="{00000000-0005-0000-0000-00004B5B0000}"/>
    <cellStyle name="Normal 6" xfId="57" xr:uid="{00000000-0005-0000-0000-00004C5B0000}"/>
    <cellStyle name="Normal 6 10" xfId="25774" xr:uid="{00000000-0005-0000-0000-00004D5B0000}"/>
    <cellStyle name="Normal 6 10 2" xfId="29116" xr:uid="{00000000-0005-0000-0000-00004E5B0000}"/>
    <cellStyle name="Normal 6 11" xfId="28814" xr:uid="{00000000-0005-0000-0000-00004F5B0000}"/>
    <cellStyle name="Normal 6 11 2" xfId="29117" xr:uid="{00000000-0005-0000-0000-0000505B0000}"/>
    <cellStyle name="Normal 6 12" xfId="28815" xr:uid="{00000000-0005-0000-0000-0000515B0000}"/>
    <cellStyle name="Normal 6 12 2" xfId="29118" xr:uid="{00000000-0005-0000-0000-0000525B0000}"/>
    <cellStyle name="Normal 6 13" xfId="28816" xr:uid="{00000000-0005-0000-0000-0000535B0000}"/>
    <cellStyle name="Normal 6 13 2" xfId="29119" xr:uid="{00000000-0005-0000-0000-0000545B0000}"/>
    <cellStyle name="Normal 6 14" xfId="29166" xr:uid="{00000000-0005-0000-0000-0000555B0000}"/>
    <cellStyle name="Normal 6 2" xfId="204" xr:uid="{00000000-0005-0000-0000-0000565B0000}"/>
    <cellStyle name="Normal 6 2 10" xfId="25046" xr:uid="{00000000-0005-0000-0000-0000575B0000}"/>
    <cellStyle name="Normal 6 2 11" xfId="25788" xr:uid="{00000000-0005-0000-0000-0000585B0000}"/>
    <cellStyle name="Normal 6 2 2" xfId="367" xr:uid="{00000000-0005-0000-0000-0000595B0000}"/>
    <cellStyle name="Normal 6 2 2 2" xfId="449" xr:uid="{00000000-0005-0000-0000-00005A5B0000}"/>
    <cellStyle name="Normal 6 2 2 2 2" xfId="535" xr:uid="{00000000-0005-0000-0000-00005B5B0000}"/>
    <cellStyle name="Normal 6 2 2 2 2 2" xfId="13898" xr:uid="{00000000-0005-0000-0000-00005C5B0000}"/>
    <cellStyle name="Normal 6 2 2 2 3" xfId="13821" xr:uid="{00000000-0005-0000-0000-00005D5B0000}"/>
    <cellStyle name="Normal 6 2 2 2 4" xfId="24434" xr:uid="{00000000-0005-0000-0000-00005E5B0000}"/>
    <cellStyle name="Normal 6 2 2 2 5" xfId="24878" xr:uid="{00000000-0005-0000-0000-00005F5B0000}"/>
    <cellStyle name="Normal 6 2 2 2 6" xfId="25241" xr:uid="{00000000-0005-0000-0000-0000605B0000}"/>
    <cellStyle name="Normal 6 2 2 3" xfId="498" xr:uid="{00000000-0005-0000-0000-0000615B0000}"/>
    <cellStyle name="Normal 6 2 2 3 2" xfId="13861" xr:uid="{00000000-0005-0000-0000-0000625B0000}"/>
    <cellStyle name="Normal 6 2 2 4" xfId="11512" xr:uid="{00000000-0005-0000-0000-0000635B0000}"/>
    <cellStyle name="Normal 6 2 2 4 2" xfId="22800" xr:uid="{00000000-0005-0000-0000-0000645B0000}"/>
    <cellStyle name="Normal 6 2 2 5" xfId="13777" xr:uid="{00000000-0005-0000-0000-0000655B0000}"/>
    <cellStyle name="Normal 6 2 2 6" xfId="24162" xr:uid="{00000000-0005-0000-0000-0000665B0000}"/>
    <cellStyle name="Normal 6 2 2 7" xfId="24731" xr:uid="{00000000-0005-0000-0000-0000675B0000}"/>
    <cellStyle name="Normal 6 2 2 8" xfId="25047" xr:uid="{00000000-0005-0000-0000-0000685B0000}"/>
    <cellStyle name="Normal 6 2 2 9" xfId="29120" xr:uid="{00000000-0005-0000-0000-0000695B0000}"/>
    <cellStyle name="Normal 6 2 3" xfId="429" xr:uid="{00000000-0005-0000-0000-00006A5B0000}"/>
    <cellStyle name="Normal 6 2 3 2" xfId="520" xr:uid="{00000000-0005-0000-0000-00006B5B0000}"/>
    <cellStyle name="Normal 6 2 3 2 2" xfId="13883" xr:uid="{00000000-0005-0000-0000-00006C5B0000}"/>
    <cellStyle name="Normal 6 2 3 3" xfId="9518" xr:uid="{00000000-0005-0000-0000-00006D5B0000}"/>
    <cellStyle name="Normal 6 2 3 3 2" xfId="20806" xr:uid="{00000000-0005-0000-0000-00006E5B0000}"/>
    <cellStyle name="Normal 6 2 3 4" xfId="13806" xr:uid="{00000000-0005-0000-0000-00006F5B0000}"/>
    <cellStyle name="Normal 6 2 3 5" xfId="24433" xr:uid="{00000000-0005-0000-0000-0000705B0000}"/>
    <cellStyle name="Normal 6 2 3 6" xfId="24877" xr:uid="{00000000-0005-0000-0000-0000715B0000}"/>
    <cellStyle name="Normal 6 2 3 7" xfId="25240" xr:uid="{00000000-0005-0000-0000-0000725B0000}"/>
    <cellStyle name="Normal 6 2 4" xfId="483" xr:uid="{00000000-0005-0000-0000-0000735B0000}"/>
    <cellStyle name="Normal 6 2 4 2" xfId="7524" xr:uid="{00000000-0005-0000-0000-0000745B0000}"/>
    <cellStyle name="Normal 6 2 4 2 2" xfId="18812" xr:uid="{00000000-0005-0000-0000-0000755B0000}"/>
    <cellStyle name="Normal 6 2 4 3" xfId="13846" xr:uid="{00000000-0005-0000-0000-0000765B0000}"/>
    <cellStyle name="Normal 6 2 5" xfId="5530" xr:uid="{00000000-0005-0000-0000-0000775B0000}"/>
    <cellStyle name="Normal 6 2 5 2" xfId="16818" xr:uid="{00000000-0005-0000-0000-0000785B0000}"/>
    <cellStyle name="Normal 6 2 6" xfId="3296" xr:uid="{00000000-0005-0000-0000-0000795B0000}"/>
    <cellStyle name="Normal 6 2 6 2" xfId="14824" xr:uid="{00000000-0005-0000-0000-00007A5B0000}"/>
    <cellStyle name="Normal 6 2 7" xfId="13703" xr:uid="{00000000-0005-0000-0000-00007B5B0000}"/>
    <cellStyle name="Normal 6 2 8" xfId="24161" xr:uid="{00000000-0005-0000-0000-00007C5B0000}"/>
    <cellStyle name="Normal 6 2 9" xfId="24730" xr:uid="{00000000-0005-0000-0000-00007D5B0000}"/>
    <cellStyle name="Normal 6 3" xfId="4530" xr:uid="{00000000-0005-0000-0000-00007E5B0000}"/>
    <cellStyle name="Normal 6 3 10" xfId="28817" xr:uid="{00000000-0005-0000-0000-00007F5B0000}"/>
    <cellStyle name="Normal 6 3 2" xfId="12509" xr:uid="{00000000-0005-0000-0000-0000805B0000}"/>
    <cellStyle name="Normal 6 3 2 2" xfId="23797" xr:uid="{00000000-0005-0000-0000-0000815B0000}"/>
    <cellStyle name="Normal 6 3 2 2 2" xfId="24436" xr:uid="{00000000-0005-0000-0000-0000825B0000}"/>
    <cellStyle name="Normal 6 3 2 2 3" xfId="24880" xr:uid="{00000000-0005-0000-0000-0000835B0000}"/>
    <cellStyle name="Normal 6 3 2 2 4" xfId="25243" xr:uid="{00000000-0005-0000-0000-0000845B0000}"/>
    <cellStyle name="Normal 6 3 2 3" xfId="24164" xr:uid="{00000000-0005-0000-0000-0000855B0000}"/>
    <cellStyle name="Normal 6 3 2 4" xfId="24733" xr:uid="{00000000-0005-0000-0000-0000865B0000}"/>
    <cellStyle name="Normal 6 3 2 5" xfId="25049" xr:uid="{00000000-0005-0000-0000-0000875B0000}"/>
    <cellStyle name="Normal 6 3 2 6" xfId="29121" xr:uid="{00000000-0005-0000-0000-0000885B0000}"/>
    <cellStyle name="Normal 6 3 3" xfId="10515" xr:uid="{00000000-0005-0000-0000-0000895B0000}"/>
    <cellStyle name="Normal 6 3 3 2" xfId="21803" xr:uid="{00000000-0005-0000-0000-00008A5B0000}"/>
    <cellStyle name="Normal 6 3 3 3" xfId="24435" xr:uid="{00000000-0005-0000-0000-00008B5B0000}"/>
    <cellStyle name="Normal 6 3 3 4" xfId="24879" xr:uid="{00000000-0005-0000-0000-00008C5B0000}"/>
    <cellStyle name="Normal 6 3 3 5" xfId="25242" xr:uid="{00000000-0005-0000-0000-00008D5B0000}"/>
    <cellStyle name="Normal 6 3 4" xfId="8521" xr:uid="{00000000-0005-0000-0000-00008E5B0000}"/>
    <cellStyle name="Normal 6 3 4 2" xfId="19809" xr:uid="{00000000-0005-0000-0000-00008F5B0000}"/>
    <cellStyle name="Normal 6 3 5" xfId="6527" xr:uid="{00000000-0005-0000-0000-0000905B0000}"/>
    <cellStyle name="Normal 6 3 5 2" xfId="17815" xr:uid="{00000000-0005-0000-0000-0000915B0000}"/>
    <cellStyle name="Normal 6 3 6" xfId="15821" xr:uid="{00000000-0005-0000-0000-0000925B0000}"/>
    <cellStyle name="Normal 6 3 7" xfId="24163" xr:uid="{00000000-0005-0000-0000-0000935B0000}"/>
    <cellStyle name="Normal 6 3 8" xfId="24732" xr:uid="{00000000-0005-0000-0000-0000945B0000}"/>
    <cellStyle name="Normal 6 3 9" xfId="25048" xr:uid="{00000000-0005-0000-0000-0000955B0000}"/>
    <cellStyle name="Normal 6 4" xfId="3295" xr:uid="{00000000-0005-0000-0000-0000965B0000}"/>
    <cellStyle name="Normal 6 4 2" xfId="24437" xr:uid="{00000000-0005-0000-0000-0000975B0000}"/>
    <cellStyle name="Normal 6 4 2 2" xfId="24881" xr:uid="{00000000-0005-0000-0000-0000985B0000}"/>
    <cellStyle name="Normal 6 4 2 3" xfId="25244" xr:uid="{00000000-0005-0000-0000-0000995B0000}"/>
    <cellStyle name="Normal 6 4 2 4" xfId="29122" xr:uid="{00000000-0005-0000-0000-00009A5B0000}"/>
    <cellStyle name="Normal 6 4 3" xfId="24165" xr:uid="{00000000-0005-0000-0000-00009B5B0000}"/>
    <cellStyle name="Normal 6 4 4" xfId="24734" xr:uid="{00000000-0005-0000-0000-00009C5B0000}"/>
    <cellStyle name="Normal 6 4 5" xfId="25050" xr:uid="{00000000-0005-0000-0000-00009D5B0000}"/>
    <cellStyle name="Normal 6 4 6" xfId="26181" xr:uid="{00000000-0005-0000-0000-00009E5B0000}"/>
    <cellStyle name="Normal 6 5" xfId="13615" xr:uid="{00000000-0005-0000-0000-00009F5B0000}"/>
    <cellStyle name="Normal 6 5 2" xfId="24432" xr:uid="{00000000-0005-0000-0000-0000A05B0000}"/>
    <cellStyle name="Normal 6 5 2 2" xfId="29123" xr:uid="{00000000-0005-0000-0000-0000A15B0000}"/>
    <cellStyle name="Normal 6 5 3" xfId="24876" xr:uid="{00000000-0005-0000-0000-0000A25B0000}"/>
    <cellStyle name="Normal 6 5 4" xfId="25239" xr:uid="{00000000-0005-0000-0000-0000A35B0000}"/>
    <cellStyle name="Normal 6 5 5" xfId="28818" xr:uid="{00000000-0005-0000-0000-0000A45B0000}"/>
    <cellStyle name="Normal 6 6" xfId="13508" xr:uid="{00000000-0005-0000-0000-0000A55B0000}"/>
    <cellStyle name="Normal 6 6 2" xfId="29124" xr:uid="{00000000-0005-0000-0000-0000A65B0000}"/>
    <cellStyle name="Normal 6 6 3" xfId="28819" xr:uid="{00000000-0005-0000-0000-0000A75B0000}"/>
    <cellStyle name="Normal 6 7" xfId="24160" xr:uid="{00000000-0005-0000-0000-0000A85B0000}"/>
    <cellStyle name="Normal 6 7 2" xfId="29125" xr:uid="{00000000-0005-0000-0000-0000A95B0000}"/>
    <cellStyle name="Normal 6 7 3" xfId="28820" xr:uid="{00000000-0005-0000-0000-0000AA5B0000}"/>
    <cellStyle name="Normal 6 8" xfId="24729" xr:uid="{00000000-0005-0000-0000-0000AB5B0000}"/>
    <cellStyle name="Normal 6 8 2" xfId="29126" xr:uid="{00000000-0005-0000-0000-0000AC5B0000}"/>
    <cellStyle name="Normal 6 8 3" xfId="28821" xr:uid="{00000000-0005-0000-0000-0000AD5B0000}"/>
    <cellStyle name="Normal 6 9" xfId="25045" xr:uid="{00000000-0005-0000-0000-0000AE5B0000}"/>
    <cellStyle name="Normal 6 9 2" xfId="29127" xr:uid="{00000000-0005-0000-0000-0000AF5B0000}"/>
    <cellStyle name="Normal 6 9 3" xfId="28822" xr:uid="{00000000-0005-0000-0000-0000B05B0000}"/>
    <cellStyle name="Normal 60" xfId="3297" xr:uid="{00000000-0005-0000-0000-0000B15B0000}"/>
    <cellStyle name="Normal 60 2" xfId="3298" xr:uid="{00000000-0005-0000-0000-0000B25B0000}"/>
    <cellStyle name="Normal 60 2 2" xfId="4532" xr:uid="{00000000-0005-0000-0000-0000B35B0000}"/>
    <cellStyle name="Normal 60 2 2 2" xfId="12511" xr:uid="{00000000-0005-0000-0000-0000B45B0000}"/>
    <cellStyle name="Normal 60 2 2 2 2" xfId="23799" xr:uid="{00000000-0005-0000-0000-0000B55B0000}"/>
    <cellStyle name="Normal 60 2 2 3" xfId="10517" xr:uid="{00000000-0005-0000-0000-0000B65B0000}"/>
    <cellStyle name="Normal 60 2 2 3 2" xfId="21805" xr:uid="{00000000-0005-0000-0000-0000B75B0000}"/>
    <cellStyle name="Normal 60 2 2 4" xfId="8523" xr:uid="{00000000-0005-0000-0000-0000B85B0000}"/>
    <cellStyle name="Normal 60 2 2 4 2" xfId="19811" xr:uid="{00000000-0005-0000-0000-0000B95B0000}"/>
    <cellStyle name="Normal 60 2 2 5" xfId="6529" xr:uid="{00000000-0005-0000-0000-0000BA5B0000}"/>
    <cellStyle name="Normal 60 2 2 5 2" xfId="17817" xr:uid="{00000000-0005-0000-0000-0000BB5B0000}"/>
    <cellStyle name="Normal 60 2 2 6" xfId="15823" xr:uid="{00000000-0005-0000-0000-0000BC5B0000}"/>
    <cellStyle name="Normal 60 2 3" xfId="11514" xr:uid="{00000000-0005-0000-0000-0000BD5B0000}"/>
    <cellStyle name="Normal 60 2 3 2" xfId="22802" xr:uid="{00000000-0005-0000-0000-0000BE5B0000}"/>
    <cellStyle name="Normal 60 2 4" xfId="9520" xr:uid="{00000000-0005-0000-0000-0000BF5B0000}"/>
    <cellStyle name="Normal 60 2 4 2" xfId="20808" xr:uid="{00000000-0005-0000-0000-0000C05B0000}"/>
    <cellStyle name="Normal 60 2 5" xfId="7526" xr:uid="{00000000-0005-0000-0000-0000C15B0000}"/>
    <cellStyle name="Normal 60 2 5 2" xfId="18814" xr:uid="{00000000-0005-0000-0000-0000C25B0000}"/>
    <cellStyle name="Normal 60 2 6" xfId="5532" xr:uid="{00000000-0005-0000-0000-0000C35B0000}"/>
    <cellStyle name="Normal 60 2 6 2" xfId="16820" xr:uid="{00000000-0005-0000-0000-0000C45B0000}"/>
    <cellStyle name="Normal 60 2 7" xfId="14826" xr:uid="{00000000-0005-0000-0000-0000C55B0000}"/>
    <cellStyle name="Normal 60 2 8" xfId="13510" xr:uid="{00000000-0005-0000-0000-0000C65B0000}"/>
    <cellStyle name="Normal 60 3" xfId="4531" xr:uid="{00000000-0005-0000-0000-0000C75B0000}"/>
    <cellStyle name="Normal 60 3 2" xfId="12510" xr:uid="{00000000-0005-0000-0000-0000C85B0000}"/>
    <cellStyle name="Normal 60 3 2 2" xfId="23798" xr:uid="{00000000-0005-0000-0000-0000C95B0000}"/>
    <cellStyle name="Normal 60 3 3" xfId="10516" xr:uid="{00000000-0005-0000-0000-0000CA5B0000}"/>
    <cellStyle name="Normal 60 3 3 2" xfId="21804" xr:uid="{00000000-0005-0000-0000-0000CB5B0000}"/>
    <cellStyle name="Normal 60 3 4" xfId="8522" xr:uid="{00000000-0005-0000-0000-0000CC5B0000}"/>
    <cellStyle name="Normal 60 3 4 2" xfId="19810" xr:uid="{00000000-0005-0000-0000-0000CD5B0000}"/>
    <cellStyle name="Normal 60 3 5" xfId="6528" xr:uid="{00000000-0005-0000-0000-0000CE5B0000}"/>
    <cellStyle name="Normal 60 3 5 2" xfId="17816" xr:uid="{00000000-0005-0000-0000-0000CF5B0000}"/>
    <cellStyle name="Normal 60 3 6" xfId="15822" xr:uid="{00000000-0005-0000-0000-0000D05B0000}"/>
    <cellStyle name="Normal 60 4" xfId="11513" xr:uid="{00000000-0005-0000-0000-0000D15B0000}"/>
    <cellStyle name="Normal 60 4 2" xfId="22801" xr:uid="{00000000-0005-0000-0000-0000D25B0000}"/>
    <cellStyle name="Normal 60 5" xfId="9519" xr:uid="{00000000-0005-0000-0000-0000D35B0000}"/>
    <cellStyle name="Normal 60 5 2" xfId="20807" xr:uid="{00000000-0005-0000-0000-0000D45B0000}"/>
    <cellStyle name="Normal 60 6" xfId="7525" xr:uid="{00000000-0005-0000-0000-0000D55B0000}"/>
    <cellStyle name="Normal 60 6 2" xfId="18813" xr:uid="{00000000-0005-0000-0000-0000D65B0000}"/>
    <cellStyle name="Normal 60 7" xfId="5531" xr:uid="{00000000-0005-0000-0000-0000D75B0000}"/>
    <cellStyle name="Normal 60 7 2" xfId="16819" xr:uid="{00000000-0005-0000-0000-0000D85B0000}"/>
    <cellStyle name="Normal 60 8" xfId="14825" xr:uid="{00000000-0005-0000-0000-0000D95B0000}"/>
    <cellStyle name="Normal 60 9" xfId="13509" xr:uid="{00000000-0005-0000-0000-0000DA5B0000}"/>
    <cellStyle name="Normal 604" xfId="25794" xr:uid="{00000000-0005-0000-0000-0000DB5B0000}"/>
    <cellStyle name="Normal 61" xfId="3299" xr:uid="{00000000-0005-0000-0000-0000DC5B0000}"/>
    <cellStyle name="Normal 61 2" xfId="4533" xr:uid="{00000000-0005-0000-0000-0000DD5B0000}"/>
    <cellStyle name="Normal 61 2 2" xfId="12512" xr:uid="{00000000-0005-0000-0000-0000DE5B0000}"/>
    <cellStyle name="Normal 61 2 2 2" xfId="23800" xr:uid="{00000000-0005-0000-0000-0000DF5B0000}"/>
    <cellStyle name="Normal 61 2 3" xfId="10518" xr:uid="{00000000-0005-0000-0000-0000E05B0000}"/>
    <cellStyle name="Normal 61 2 3 2" xfId="21806" xr:uid="{00000000-0005-0000-0000-0000E15B0000}"/>
    <cellStyle name="Normal 61 2 4" xfId="8524" xr:uid="{00000000-0005-0000-0000-0000E25B0000}"/>
    <cellStyle name="Normal 61 2 4 2" xfId="19812" xr:uid="{00000000-0005-0000-0000-0000E35B0000}"/>
    <cellStyle name="Normal 61 2 5" xfId="6530" xr:uid="{00000000-0005-0000-0000-0000E45B0000}"/>
    <cellStyle name="Normal 61 2 5 2" xfId="17818" xr:uid="{00000000-0005-0000-0000-0000E55B0000}"/>
    <cellStyle name="Normal 61 2 6" xfId="15824" xr:uid="{00000000-0005-0000-0000-0000E65B0000}"/>
    <cellStyle name="Normal 61 3" xfId="11515" xr:uid="{00000000-0005-0000-0000-0000E75B0000}"/>
    <cellStyle name="Normal 61 3 2" xfId="22803" xr:uid="{00000000-0005-0000-0000-0000E85B0000}"/>
    <cellStyle name="Normal 61 4" xfId="9521" xr:uid="{00000000-0005-0000-0000-0000E95B0000}"/>
    <cellStyle name="Normal 61 4 2" xfId="20809" xr:uid="{00000000-0005-0000-0000-0000EA5B0000}"/>
    <cellStyle name="Normal 61 5" xfId="7527" xr:uid="{00000000-0005-0000-0000-0000EB5B0000}"/>
    <cellStyle name="Normal 61 5 2" xfId="18815" xr:uid="{00000000-0005-0000-0000-0000EC5B0000}"/>
    <cellStyle name="Normal 61 6" xfId="5533" xr:uid="{00000000-0005-0000-0000-0000ED5B0000}"/>
    <cellStyle name="Normal 61 6 2" xfId="16821" xr:uid="{00000000-0005-0000-0000-0000EE5B0000}"/>
    <cellStyle name="Normal 61 7" xfId="14827" xr:uid="{00000000-0005-0000-0000-0000EF5B0000}"/>
    <cellStyle name="Normal 61 8" xfId="13511" xr:uid="{00000000-0005-0000-0000-0000F05B0000}"/>
    <cellStyle name="Normal 62" xfId="3300" xr:uid="{00000000-0005-0000-0000-0000F15B0000}"/>
    <cellStyle name="Normal 62 2" xfId="4534" xr:uid="{00000000-0005-0000-0000-0000F25B0000}"/>
    <cellStyle name="Normal 62 2 2" xfId="12513" xr:uid="{00000000-0005-0000-0000-0000F35B0000}"/>
    <cellStyle name="Normal 62 2 2 2" xfId="23801" xr:uid="{00000000-0005-0000-0000-0000F45B0000}"/>
    <cellStyle name="Normal 62 2 3" xfId="10519" xr:uid="{00000000-0005-0000-0000-0000F55B0000}"/>
    <cellStyle name="Normal 62 2 3 2" xfId="21807" xr:uid="{00000000-0005-0000-0000-0000F65B0000}"/>
    <cellStyle name="Normal 62 2 4" xfId="8525" xr:uid="{00000000-0005-0000-0000-0000F75B0000}"/>
    <cellStyle name="Normal 62 2 4 2" xfId="19813" xr:uid="{00000000-0005-0000-0000-0000F85B0000}"/>
    <cellStyle name="Normal 62 2 5" xfId="6531" xr:uid="{00000000-0005-0000-0000-0000F95B0000}"/>
    <cellStyle name="Normal 62 2 5 2" xfId="17819" xr:uid="{00000000-0005-0000-0000-0000FA5B0000}"/>
    <cellStyle name="Normal 62 2 6" xfId="15825" xr:uid="{00000000-0005-0000-0000-0000FB5B0000}"/>
    <cellStyle name="Normal 62 3" xfId="11516" xr:uid="{00000000-0005-0000-0000-0000FC5B0000}"/>
    <cellStyle name="Normal 62 3 2" xfId="22804" xr:uid="{00000000-0005-0000-0000-0000FD5B0000}"/>
    <cellStyle name="Normal 62 4" xfId="9522" xr:uid="{00000000-0005-0000-0000-0000FE5B0000}"/>
    <cellStyle name="Normal 62 4 2" xfId="20810" xr:uid="{00000000-0005-0000-0000-0000FF5B0000}"/>
    <cellStyle name="Normal 62 5" xfId="7528" xr:uid="{00000000-0005-0000-0000-0000005C0000}"/>
    <cellStyle name="Normal 62 5 2" xfId="18816" xr:uid="{00000000-0005-0000-0000-0000015C0000}"/>
    <cellStyle name="Normal 62 6" xfId="5534" xr:uid="{00000000-0005-0000-0000-0000025C0000}"/>
    <cellStyle name="Normal 62 6 2" xfId="16822" xr:uid="{00000000-0005-0000-0000-0000035C0000}"/>
    <cellStyle name="Normal 62 7" xfId="14828" xr:uid="{00000000-0005-0000-0000-0000045C0000}"/>
    <cellStyle name="Normal 62 8" xfId="13512" xr:uid="{00000000-0005-0000-0000-0000055C0000}"/>
    <cellStyle name="Normal 63" xfId="3301" xr:uid="{00000000-0005-0000-0000-0000065C0000}"/>
    <cellStyle name="Normal 63 2" xfId="4535" xr:uid="{00000000-0005-0000-0000-0000075C0000}"/>
    <cellStyle name="Normal 63 2 2" xfId="12514" xr:uid="{00000000-0005-0000-0000-0000085C0000}"/>
    <cellStyle name="Normal 63 2 2 2" xfId="23802" xr:uid="{00000000-0005-0000-0000-0000095C0000}"/>
    <cellStyle name="Normal 63 2 3" xfId="10520" xr:uid="{00000000-0005-0000-0000-00000A5C0000}"/>
    <cellStyle name="Normal 63 2 3 2" xfId="21808" xr:uid="{00000000-0005-0000-0000-00000B5C0000}"/>
    <cellStyle name="Normal 63 2 4" xfId="8526" xr:uid="{00000000-0005-0000-0000-00000C5C0000}"/>
    <cellStyle name="Normal 63 2 4 2" xfId="19814" xr:uid="{00000000-0005-0000-0000-00000D5C0000}"/>
    <cellStyle name="Normal 63 2 5" xfId="6532" xr:uid="{00000000-0005-0000-0000-00000E5C0000}"/>
    <cellStyle name="Normal 63 2 5 2" xfId="17820" xr:uid="{00000000-0005-0000-0000-00000F5C0000}"/>
    <cellStyle name="Normal 63 2 6" xfId="15826" xr:uid="{00000000-0005-0000-0000-0000105C0000}"/>
    <cellStyle name="Normal 63 3" xfId="11517" xr:uid="{00000000-0005-0000-0000-0000115C0000}"/>
    <cellStyle name="Normal 63 3 2" xfId="22805" xr:uid="{00000000-0005-0000-0000-0000125C0000}"/>
    <cellStyle name="Normal 63 4" xfId="9523" xr:uid="{00000000-0005-0000-0000-0000135C0000}"/>
    <cellStyle name="Normal 63 4 2" xfId="20811" xr:uid="{00000000-0005-0000-0000-0000145C0000}"/>
    <cellStyle name="Normal 63 5" xfId="7529" xr:uid="{00000000-0005-0000-0000-0000155C0000}"/>
    <cellStyle name="Normal 63 5 2" xfId="18817" xr:uid="{00000000-0005-0000-0000-0000165C0000}"/>
    <cellStyle name="Normal 63 6" xfId="5535" xr:uid="{00000000-0005-0000-0000-0000175C0000}"/>
    <cellStyle name="Normal 63 6 2" xfId="16823" xr:uid="{00000000-0005-0000-0000-0000185C0000}"/>
    <cellStyle name="Normal 63 7" xfId="14829" xr:uid="{00000000-0005-0000-0000-0000195C0000}"/>
    <cellStyle name="Normal 63 8" xfId="13513" xr:uid="{00000000-0005-0000-0000-00001A5C0000}"/>
    <cellStyle name="Normal 64" xfId="3302" xr:uid="{00000000-0005-0000-0000-00001B5C0000}"/>
    <cellStyle name="Normal 64 2" xfId="4536" xr:uid="{00000000-0005-0000-0000-00001C5C0000}"/>
    <cellStyle name="Normal 64 2 2" xfId="12515" xr:uid="{00000000-0005-0000-0000-00001D5C0000}"/>
    <cellStyle name="Normal 64 2 2 2" xfId="23803" xr:uid="{00000000-0005-0000-0000-00001E5C0000}"/>
    <cellStyle name="Normal 64 2 3" xfId="10521" xr:uid="{00000000-0005-0000-0000-00001F5C0000}"/>
    <cellStyle name="Normal 64 2 3 2" xfId="21809" xr:uid="{00000000-0005-0000-0000-0000205C0000}"/>
    <cellStyle name="Normal 64 2 4" xfId="8527" xr:uid="{00000000-0005-0000-0000-0000215C0000}"/>
    <cellStyle name="Normal 64 2 4 2" xfId="19815" xr:uid="{00000000-0005-0000-0000-0000225C0000}"/>
    <cellStyle name="Normal 64 2 5" xfId="6533" xr:uid="{00000000-0005-0000-0000-0000235C0000}"/>
    <cellStyle name="Normal 64 2 5 2" xfId="17821" xr:uid="{00000000-0005-0000-0000-0000245C0000}"/>
    <cellStyle name="Normal 64 2 6" xfId="15827" xr:uid="{00000000-0005-0000-0000-0000255C0000}"/>
    <cellStyle name="Normal 64 3" xfId="11518" xr:uid="{00000000-0005-0000-0000-0000265C0000}"/>
    <cellStyle name="Normal 64 3 2" xfId="22806" xr:uid="{00000000-0005-0000-0000-0000275C0000}"/>
    <cellStyle name="Normal 64 4" xfId="9524" xr:uid="{00000000-0005-0000-0000-0000285C0000}"/>
    <cellStyle name="Normal 64 4 2" xfId="20812" xr:uid="{00000000-0005-0000-0000-0000295C0000}"/>
    <cellStyle name="Normal 64 5" xfId="7530" xr:uid="{00000000-0005-0000-0000-00002A5C0000}"/>
    <cellStyle name="Normal 64 5 2" xfId="18818" xr:uid="{00000000-0005-0000-0000-00002B5C0000}"/>
    <cellStyle name="Normal 64 6" xfId="5536" xr:uid="{00000000-0005-0000-0000-00002C5C0000}"/>
    <cellStyle name="Normal 64 6 2" xfId="16824" xr:uid="{00000000-0005-0000-0000-00002D5C0000}"/>
    <cellStyle name="Normal 64 7" xfId="14830" xr:uid="{00000000-0005-0000-0000-00002E5C0000}"/>
    <cellStyle name="Normal 64 8" xfId="13514" xr:uid="{00000000-0005-0000-0000-00002F5C0000}"/>
    <cellStyle name="Normal 65" xfId="3303" xr:uid="{00000000-0005-0000-0000-0000305C0000}"/>
    <cellStyle name="Normal 65 2" xfId="4537" xr:uid="{00000000-0005-0000-0000-0000315C0000}"/>
    <cellStyle name="Normal 65 2 2" xfId="12516" xr:uid="{00000000-0005-0000-0000-0000325C0000}"/>
    <cellStyle name="Normal 65 2 2 2" xfId="23804" xr:uid="{00000000-0005-0000-0000-0000335C0000}"/>
    <cellStyle name="Normal 65 2 3" xfId="10522" xr:uid="{00000000-0005-0000-0000-0000345C0000}"/>
    <cellStyle name="Normal 65 2 3 2" xfId="21810" xr:uid="{00000000-0005-0000-0000-0000355C0000}"/>
    <cellStyle name="Normal 65 2 4" xfId="8528" xr:uid="{00000000-0005-0000-0000-0000365C0000}"/>
    <cellStyle name="Normal 65 2 4 2" xfId="19816" xr:uid="{00000000-0005-0000-0000-0000375C0000}"/>
    <cellStyle name="Normal 65 2 5" xfId="6534" xr:uid="{00000000-0005-0000-0000-0000385C0000}"/>
    <cellStyle name="Normal 65 2 5 2" xfId="17822" xr:uid="{00000000-0005-0000-0000-0000395C0000}"/>
    <cellStyle name="Normal 65 2 6" xfId="15828" xr:uid="{00000000-0005-0000-0000-00003A5C0000}"/>
    <cellStyle name="Normal 65 3" xfId="11519" xr:uid="{00000000-0005-0000-0000-00003B5C0000}"/>
    <cellStyle name="Normal 65 3 2" xfId="22807" xr:uid="{00000000-0005-0000-0000-00003C5C0000}"/>
    <cellStyle name="Normal 65 4" xfId="9525" xr:uid="{00000000-0005-0000-0000-00003D5C0000}"/>
    <cellStyle name="Normal 65 4 2" xfId="20813" xr:uid="{00000000-0005-0000-0000-00003E5C0000}"/>
    <cellStyle name="Normal 65 5" xfId="7531" xr:uid="{00000000-0005-0000-0000-00003F5C0000}"/>
    <cellStyle name="Normal 65 5 2" xfId="18819" xr:uid="{00000000-0005-0000-0000-0000405C0000}"/>
    <cellStyle name="Normal 65 6" xfId="5537" xr:uid="{00000000-0005-0000-0000-0000415C0000}"/>
    <cellStyle name="Normal 65 6 2" xfId="16825" xr:uid="{00000000-0005-0000-0000-0000425C0000}"/>
    <cellStyle name="Normal 65 7" xfId="14831" xr:uid="{00000000-0005-0000-0000-0000435C0000}"/>
    <cellStyle name="Normal 65 8" xfId="13515" xr:uid="{00000000-0005-0000-0000-0000445C0000}"/>
    <cellStyle name="Normal 66" xfId="3304" xr:uid="{00000000-0005-0000-0000-0000455C0000}"/>
    <cellStyle name="Normal 66 2" xfId="3305" xr:uid="{00000000-0005-0000-0000-0000465C0000}"/>
    <cellStyle name="Normal 66 2 2" xfId="4539" xr:uid="{00000000-0005-0000-0000-0000475C0000}"/>
    <cellStyle name="Normal 66 2 2 2" xfId="12518" xr:uid="{00000000-0005-0000-0000-0000485C0000}"/>
    <cellStyle name="Normal 66 2 2 2 2" xfId="23806" xr:uid="{00000000-0005-0000-0000-0000495C0000}"/>
    <cellStyle name="Normal 66 2 2 3" xfId="10524" xr:uid="{00000000-0005-0000-0000-00004A5C0000}"/>
    <cellStyle name="Normal 66 2 2 3 2" xfId="21812" xr:uid="{00000000-0005-0000-0000-00004B5C0000}"/>
    <cellStyle name="Normal 66 2 2 4" xfId="8530" xr:uid="{00000000-0005-0000-0000-00004C5C0000}"/>
    <cellStyle name="Normal 66 2 2 4 2" xfId="19818" xr:uid="{00000000-0005-0000-0000-00004D5C0000}"/>
    <cellStyle name="Normal 66 2 2 5" xfId="6536" xr:uid="{00000000-0005-0000-0000-00004E5C0000}"/>
    <cellStyle name="Normal 66 2 2 5 2" xfId="17824" xr:uid="{00000000-0005-0000-0000-00004F5C0000}"/>
    <cellStyle name="Normal 66 2 2 6" xfId="15830" xr:uid="{00000000-0005-0000-0000-0000505C0000}"/>
    <cellStyle name="Normal 66 2 3" xfId="11521" xr:uid="{00000000-0005-0000-0000-0000515C0000}"/>
    <cellStyle name="Normal 66 2 3 2" xfId="22809" xr:uid="{00000000-0005-0000-0000-0000525C0000}"/>
    <cellStyle name="Normal 66 2 4" xfId="9527" xr:uid="{00000000-0005-0000-0000-0000535C0000}"/>
    <cellStyle name="Normal 66 2 4 2" xfId="20815" xr:uid="{00000000-0005-0000-0000-0000545C0000}"/>
    <cellStyle name="Normal 66 2 5" xfId="7533" xr:uid="{00000000-0005-0000-0000-0000555C0000}"/>
    <cellStyle name="Normal 66 2 5 2" xfId="18821" xr:uid="{00000000-0005-0000-0000-0000565C0000}"/>
    <cellStyle name="Normal 66 2 6" xfId="5539" xr:uid="{00000000-0005-0000-0000-0000575C0000}"/>
    <cellStyle name="Normal 66 2 6 2" xfId="16827" xr:uid="{00000000-0005-0000-0000-0000585C0000}"/>
    <cellStyle name="Normal 66 2 7" xfId="14833" xr:uid="{00000000-0005-0000-0000-0000595C0000}"/>
    <cellStyle name="Normal 66 2 8" xfId="13517" xr:uid="{00000000-0005-0000-0000-00005A5C0000}"/>
    <cellStyle name="Normal 66 3" xfId="4538" xr:uid="{00000000-0005-0000-0000-00005B5C0000}"/>
    <cellStyle name="Normal 66 3 2" xfId="12517" xr:uid="{00000000-0005-0000-0000-00005C5C0000}"/>
    <cellStyle name="Normal 66 3 2 2" xfId="23805" xr:uid="{00000000-0005-0000-0000-00005D5C0000}"/>
    <cellStyle name="Normal 66 3 3" xfId="10523" xr:uid="{00000000-0005-0000-0000-00005E5C0000}"/>
    <cellStyle name="Normal 66 3 3 2" xfId="21811" xr:uid="{00000000-0005-0000-0000-00005F5C0000}"/>
    <cellStyle name="Normal 66 3 4" xfId="8529" xr:uid="{00000000-0005-0000-0000-0000605C0000}"/>
    <cellStyle name="Normal 66 3 4 2" xfId="19817" xr:uid="{00000000-0005-0000-0000-0000615C0000}"/>
    <cellStyle name="Normal 66 3 5" xfId="6535" xr:uid="{00000000-0005-0000-0000-0000625C0000}"/>
    <cellStyle name="Normal 66 3 5 2" xfId="17823" xr:uid="{00000000-0005-0000-0000-0000635C0000}"/>
    <cellStyle name="Normal 66 3 6" xfId="15829" xr:uid="{00000000-0005-0000-0000-0000645C0000}"/>
    <cellStyle name="Normal 66 4" xfId="11520" xr:uid="{00000000-0005-0000-0000-0000655C0000}"/>
    <cellStyle name="Normal 66 4 2" xfId="22808" xr:uid="{00000000-0005-0000-0000-0000665C0000}"/>
    <cellStyle name="Normal 66 5" xfId="9526" xr:uid="{00000000-0005-0000-0000-0000675C0000}"/>
    <cellStyle name="Normal 66 5 2" xfId="20814" xr:uid="{00000000-0005-0000-0000-0000685C0000}"/>
    <cellStyle name="Normal 66 6" xfId="7532" xr:uid="{00000000-0005-0000-0000-0000695C0000}"/>
    <cellStyle name="Normal 66 6 2" xfId="18820" xr:uid="{00000000-0005-0000-0000-00006A5C0000}"/>
    <cellStyle name="Normal 66 7" xfId="5538" xr:uid="{00000000-0005-0000-0000-00006B5C0000}"/>
    <cellStyle name="Normal 66 7 2" xfId="16826" xr:uid="{00000000-0005-0000-0000-00006C5C0000}"/>
    <cellStyle name="Normal 66 8" xfId="14832" xr:uid="{00000000-0005-0000-0000-00006D5C0000}"/>
    <cellStyle name="Normal 66 9" xfId="13516" xr:uid="{00000000-0005-0000-0000-00006E5C0000}"/>
    <cellStyle name="Normal 67" xfId="3306" xr:uid="{00000000-0005-0000-0000-00006F5C0000}"/>
    <cellStyle name="Normal 67 2" xfId="4540" xr:uid="{00000000-0005-0000-0000-0000705C0000}"/>
    <cellStyle name="Normal 67 2 2" xfId="12519" xr:uid="{00000000-0005-0000-0000-0000715C0000}"/>
    <cellStyle name="Normal 67 2 2 2" xfId="23807" xr:uid="{00000000-0005-0000-0000-0000725C0000}"/>
    <cellStyle name="Normal 67 2 3" xfId="10525" xr:uid="{00000000-0005-0000-0000-0000735C0000}"/>
    <cellStyle name="Normal 67 2 3 2" xfId="21813" xr:uid="{00000000-0005-0000-0000-0000745C0000}"/>
    <cellStyle name="Normal 67 2 4" xfId="8531" xr:uid="{00000000-0005-0000-0000-0000755C0000}"/>
    <cellStyle name="Normal 67 2 4 2" xfId="19819" xr:uid="{00000000-0005-0000-0000-0000765C0000}"/>
    <cellStyle name="Normal 67 2 5" xfId="6537" xr:uid="{00000000-0005-0000-0000-0000775C0000}"/>
    <cellStyle name="Normal 67 2 5 2" xfId="17825" xr:uid="{00000000-0005-0000-0000-0000785C0000}"/>
    <cellStyle name="Normal 67 2 6" xfId="15831" xr:uid="{00000000-0005-0000-0000-0000795C0000}"/>
    <cellStyle name="Normal 67 3" xfId="11522" xr:uid="{00000000-0005-0000-0000-00007A5C0000}"/>
    <cellStyle name="Normal 67 3 2" xfId="22810" xr:uid="{00000000-0005-0000-0000-00007B5C0000}"/>
    <cellStyle name="Normal 67 4" xfId="9528" xr:uid="{00000000-0005-0000-0000-00007C5C0000}"/>
    <cellStyle name="Normal 67 4 2" xfId="20816" xr:uid="{00000000-0005-0000-0000-00007D5C0000}"/>
    <cellStyle name="Normal 67 5" xfId="7534" xr:uid="{00000000-0005-0000-0000-00007E5C0000}"/>
    <cellStyle name="Normal 67 5 2" xfId="18822" xr:uid="{00000000-0005-0000-0000-00007F5C0000}"/>
    <cellStyle name="Normal 67 6" xfId="5540" xr:uid="{00000000-0005-0000-0000-0000805C0000}"/>
    <cellStyle name="Normal 67 6 2" xfId="16828" xr:uid="{00000000-0005-0000-0000-0000815C0000}"/>
    <cellStyle name="Normal 67 7" xfId="14834" xr:uid="{00000000-0005-0000-0000-0000825C0000}"/>
    <cellStyle name="Normal 67 8" xfId="13518" xr:uid="{00000000-0005-0000-0000-0000835C0000}"/>
    <cellStyle name="Normal 68" xfId="3307" xr:uid="{00000000-0005-0000-0000-0000845C0000}"/>
    <cellStyle name="Normal 68 2" xfId="4541" xr:uid="{00000000-0005-0000-0000-0000855C0000}"/>
    <cellStyle name="Normal 68 2 2" xfId="12520" xr:uid="{00000000-0005-0000-0000-0000865C0000}"/>
    <cellStyle name="Normal 68 2 2 2" xfId="23808" xr:uid="{00000000-0005-0000-0000-0000875C0000}"/>
    <cellStyle name="Normal 68 2 3" xfId="10526" xr:uid="{00000000-0005-0000-0000-0000885C0000}"/>
    <cellStyle name="Normal 68 2 3 2" xfId="21814" xr:uid="{00000000-0005-0000-0000-0000895C0000}"/>
    <cellStyle name="Normal 68 2 4" xfId="8532" xr:uid="{00000000-0005-0000-0000-00008A5C0000}"/>
    <cellStyle name="Normal 68 2 4 2" xfId="19820" xr:uid="{00000000-0005-0000-0000-00008B5C0000}"/>
    <cellStyle name="Normal 68 2 5" xfId="6538" xr:uid="{00000000-0005-0000-0000-00008C5C0000}"/>
    <cellStyle name="Normal 68 2 5 2" xfId="17826" xr:uid="{00000000-0005-0000-0000-00008D5C0000}"/>
    <cellStyle name="Normal 68 2 6" xfId="15832" xr:uid="{00000000-0005-0000-0000-00008E5C0000}"/>
    <cellStyle name="Normal 68 3" xfId="11523" xr:uid="{00000000-0005-0000-0000-00008F5C0000}"/>
    <cellStyle name="Normal 68 3 2" xfId="22811" xr:uid="{00000000-0005-0000-0000-0000905C0000}"/>
    <cellStyle name="Normal 68 4" xfId="9529" xr:uid="{00000000-0005-0000-0000-0000915C0000}"/>
    <cellStyle name="Normal 68 4 2" xfId="20817" xr:uid="{00000000-0005-0000-0000-0000925C0000}"/>
    <cellStyle name="Normal 68 5" xfId="7535" xr:uid="{00000000-0005-0000-0000-0000935C0000}"/>
    <cellStyle name="Normal 68 5 2" xfId="18823" xr:uid="{00000000-0005-0000-0000-0000945C0000}"/>
    <cellStyle name="Normal 68 6" xfId="5541" xr:uid="{00000000-0005-0000-0000-0000955C0000}"/>
    <cellStyle name="Normal 68 6 2" xfId="16829" xr:uid="{00000000-0005-0000-0000-0000965C0000}"/>
    <cellStyle name="Normal 68 7" xfId="14835" xr:uid="{00000000-0005-0000-0000-0000975C0000}"/>
    <cellStyle name="Normal 68 8" xfId="13519" xr:uid="{00000000-0005-0000-0000-0000985C0000}"/>
    <cellStyle name="Normal 69" xfId="3308" xr:uid="{00000000-0005-0000-0000-0000995C0000}"/>
    <cellStyle name="Normal 69 2" xfId="4542" xr:uid="{00000000-0005-0000-0000-00009A5C0000}"/>
    <cellStyle name="Normal 69 2 2" xfId="12521" xr:uid="{00000000-0005-0000-0000-00009B5C0000}"/>
    <cellStyle name="Normal 69 2 2 2" xfId="23809" xr:uid="{00000000-0005-0000-0000-00009C5C0000}"/>
    <cellStyle name="Normal 69 2 3" xfId="10527" xr:uid="{00000000-0005-0000-0000-00009D5C0000}"/>
    <cellStyle name="Normal 69 2 3 2" xfId="21815" xr:uid="{00000000-0005-0000-0000-00009E5C0000}"/>
    <cellStyle name="Normal 69 2 4" xfId="8533" xr:uid="{00000000-0005-0000-0000-00009F5C0000}"/>
    <cellStyle name="Normal 69 2 4 2" xfId="19821" xr:uid="{00000000-0005-0000-0000-0000A05C0000}"/>
    <cellStyle name="Normal 69 2 5" xfId="6539" xr:uid="{00000000-0005-0000-0000-0000A15C0000}"/>
    <cellStyle name="Normal 69 2 5 2" xfId="17827" xr:uid="{00000000-0005-0000-0000-0000A25C0000}"/>
    <cellStyle name="Normal 69 2 6" xfId="15833" xr:uid="{00000000-0005-0000-0000-0000A35C0000}"/>
    <cellStyle name="Normal 69 3" xfId="11524" xr:uid="{00000000-0005-0000-0000-0000A45C0000}"/>
    <cellStyle name="Normal 69 3 2" xfId="22812" xr:uid="{00000000-0005-0000-0000-0000A55C0000}"/>
    <cellStyle name="Normal 69 4" xfId="9530" xr:uid="{00000000-0005-0000-0000-0000A65C0000}"/>
    <cellStyle name="Normal 69 4 2" xfId="20818" xr:uid="{00000000-0005-0000-0000-0000A75C0000}"/>
    <cellStyle name="Normal 69 5" xfId="7536" xr:uid="{00000000-0005-0000-0000-0000A85C0000}"/>
    <cellStyle name="Normal 69 5 2" xfId="18824" xr:uid="{00000000-0005-0000-0000-0000A95C0000}"/>
    <cellStyle name="Normal 69 6" xfId="5542" xr:uid="{00000000-0005-0000-0000-0000AA5C0000}"/>
    <cellStyle name="Normal 69 6 2" xfId="16830" xr:uid="{00000000-0005-0000-0000-0000AB5C0000}"/>
    <cellStyle name="Normal 69 7" xfId="14836" xr:uid="{00000000-0005-0000-0000-0000AC5C0000}"/>
    <cellStyle name="Normal 69 8" xfId="13520" xr:uid="{00000000-0005-0000-0000-0000AD5C0000}"/>
    <cellStyle name="Normal 7" xfId="58" xr:uid="{00000000-0005-0000-0000-0000AE5C0000}"/>
    <cellStyle name="Normal 7 10" xfId="24166" xr:uid="{00000000-0005-0000-0000-0000AF5C0000}"/>
    <cellStyle name="Normal 7 10 2" xfId="29128" xr:uid="{00000000-0005-0000-0000-0000B05C0000}"/>
    <cellStyle name="Normal 7 10 3" xfId="28823" xr:uid="{00000000-0005-0000-0000-0000B15C0000}"/>
    <cellStyle name="Normal 7 11" xfId="24735" xr:uid="{00000000-0005-0000-0000-0000B25C0000}"/>
    <cellStyle name="Normal 7 11 2" xfId="29129" xr:uid="{00000000-0005-0000-0000-0000B35C0000}"/>
    <cellStyle name="Normal 7 11 3" xfId="28824" xr:uid="{00000000-0005-0000-0000-0000B45C0000}"/>
    <cellStyle name="Normal 7 12" xfId="25051" xr:uid="{00000000-0005-0000-0000-0000B55C0000}"/>
    <cellStyle name="Normal 7 12 2" xfId="29130" xr:uid="{00000000-0005-0000-0000-0000B65C0000}"/>
    <cellStyle name="Normal 7 12 3" xfId="28825" xr:uid="{00000000-0005-0000-0000-0000B75C0000}"/>
    <cellStyle name="Normal 7 13" xfId="25775" xr:uid="{00000000-0005-0000-0000-0000B85C0000}"/>
    <cellStyle name="Normal 7 13 2" xfId="29131" xr:uid="{00000000-0005-0000-0000-0000B95C0000}"/>
    <cellStyle name="Normal 7 14" xfId="29167" xr:uid="{00000000-0005-0000-0000-0000BA5C0000}"/>
    <cellStyle name="Normal 7 2" xfId="4543" xr:uid="{00000000-0005-0000-0000-0000BB5C0000}"/>
    <cellStyle name="Normal 7 2 10" xfId="28826" xr:uid="{00000000-0005-0000-0000-0000BC5C0000}"/>
    <cellStyle name="Normal 7 2 2" xfId="12522" xr:uid="{00000000-0005-0000-0000-0000BD5C0000}"/>
    <cellStyle name="Normal 7 2 2 2" xfId="23810" xr:uid="{00000000-0005-0000-0000-0000BE5C0000}"/>
    <cellStyle name="Normal 7 2 2 2 2" xfId="24440" xr:uid="{00000000-0005-0000-0000-0000BF5C0000}"/>
    <cellStyle name="Normal 7 2 2 2 3" xfId="24884" xr:uid="{00000000-0005-0000-0000-0000C05C0000}"/>
    <cellStyle name="Normal 7 2 2 2 4" xfId="25247" xr:uid="{00000000-0005-0000-0000-0000C15C0000}"/>
    <cellStyle name="Normal 7 2 2 3" xfId="24168" xr:uid="{00000000-0005-0000-0000-0000C25C0000}"/>
    <cellStyle name="Normal 7 2 2 4" xfId="24737" xr:uid="{00000000-0005-0000-0000-0000C35C0000}"/>
    <cellStyle name="Normal 7 2 2 5" xfId="25053" xr:uid="{00000000-0005-0000-0000-0000C45C0000}"/>
    <cellStyle name="Normal 7 2 2 6" xfId="29132" xr:uid="{00000000-0005-0000-0000-0000C55C0000}"/>
    <cellStyle name="Normal 7 2 3" xfId="10528" xr:uid="{00000000-0005-0000-0000-0000C65C0000}"/>
    <cellStyle name="Normal 7 2 3 2" xfId="21816" xr:uid="{00000000-0005-0000-0000-0000C75C0000}"/>
    <cellStyle name="Normal 7 2 3 3" xfId="24439" xr:uid="{00000000-0005-0000-0000-0000C85C0000}"/>
    <cellStyle name="Normal 7 2 3 4" xfId="24883" xr:uid="{00000000-0005-0000-0000-0000C95C0000}"/>
    <cellStyle name="Normal 7 2 3 5" xfId="25246" xr:uid="{00000000-0005-0000-0000-0000CA5C0000}"/>
    <cellStyle name="Normal 7 2 4" xfId="8534" xr:uid="{00000000-0005-0000-0000-0000CB5C0000}"/>
    <cellStyle name="Normal 7 2 4 2" xfId="19822" xr:uid="{00000000-0005-0000-0000-0000CC5C0000}"/>
    <cellStyle name="Normal 7 2 5" xfId="6540" xr:uid="{00000000-0005-0000-0000-0000CD5C0000}"/>
    <cellStyle name="Normal 7 2 5 2" xfId="17828" xr:uid="{00000000-0005-0000-0000-0000CE5C0000}"/>
    <cellStyle name="Normal 7 2 6" xfId="15834" xr:uid="{00000000-0005-0000-0000-0000CF5C0000}"/>
    <cellStyle name="Normal 7 2 7" xfId="24167" xr:uid="{00000000-0005-0000-0000-0000D05C0000}"/>
    <cellStyle name="Normal 7 2 8" xfId="24736" xr:uid="{00000000-0005-0000-0000-0000D15C0000}"/>
    <cellStyle name="Normal 7 2 9" xfId="25052" xr:uid="{00000000-0005-0000-0000-0000D25C0000}"/>
    <cellStyle name="Normal 7 3" xfId="11525" xr:uid="{00000000-0005-0000-0000-0000D35C0000}"/>
    <cellStyle name="Normal 7 3 2" xfId="22813" xr:uid="{00000000-0005-0000-0000-0000D45C0000}"/>
    <cellStyle name="Normal 7 3 2 2" xfId="24442" xr:uid="{00000000-0005-0000-0000-0000D55C0000}"/>
    <cellStyle name="Normal 7 3 2 2 2" xfId="24886" xr:uid="{00000000-0005-0000-0000-0000D65C0000}"/>
    <cellStyle name="Normal 7 3 2 2 3" xfId="25249" xr:uid="{00000000-0005-0000-0000-0000D75C0000}"/>
    <cellStyle name="Normal 7 3 2 3" xfId="24170" xr:uid="{00000000-0005-0000-0000-0000D85C0000}"/>
    <cellStyle name="Normal 7 3 2 4" xfId="24739" xr:uid="{00000000-0005-0000-0000-0000D95C0000}"/>
    <cellStyle name="Normal 7 3 2 5" xfId="25055" xr:uid="{00000000-0005-0000-0000-0000DA5C0000}"/>
    <cellStyle name="Normal 7 3 2 6" xfId="29133" xr:uid="{00000000-0005-0000-0000-0000DB5C0000}"/>
    <cellStyle name="Normal 7 3 3" xfId="24441" xr:uid="{00000000-0005-0000-0000-0000DC5C0000}"/>
    <cellStyle name="Normal 7 3 3 2" xfId="24885" xr:uid="{00000000-0005-0000-0000-0000DD5C0000}"/>
    <cellStyle name="Normal 7 3 3 3" xfId="25248" xr:uid="{00000000-0005-0000-0000-0000DE5C0000}"/>
    <cellStyle name="Normal 7 3 4" xfId="24169" xr:uid="{00000000-0005-0000-0000-0000DF5C0000}"/>
    <cellStyle name="Normal 7 3 5" xfId="24738" xr:uid="{00000000-0005-0000-0000-0000E05C0000}"/>
    <cellStyle name="Normal 7 3 6" xfId="25054" xr:uid="{00000000-0005-0000-0000-0000E15C0000}"/>
    <cellStyle name="Normal 7 3 7" xfId="28827" xr:uid="{00000000-0005-0000-0000-0000E25C0000}"/>
    <cellStyle name="Normal 7 4" xfId="9531" xr:uid="{00000000-0005-0000-0000-0000E35C0000}"/>
    <cellStyle name="Normal 7 4 2" xfId="20819" xr:uid="{00000000-0005-0000-0000-0000E45C0000}"/>
    <cellStyle name="Normal 7 4 2 2" xfId="24443" xr:uid="{00000000-0005-0000-0000-0000E55C0000}"/>
    <cellStyle name="Normal 7 4 2 3" xfId="24887" xr:uid="{00000000-0005-0000-0000-0000E65C0000}"/>
    <cellStyle name="Normal 7 4 2 4" xfId="25250" xr:uid="{00000000-0005-0000-0000-0000E75C0000}"/>
    <cellStyle name="Normal 7 4 2 5" xfId="29134" xr:uid="{00000000-0005-0000-0000-0000E85C0000}"/>
    <cellStyle name="Normal 7 4 3" xfId="24171" xr:uid="{00000000-0005-0000-0000-0000E95C0000}"/>
    <cellStyle name="Normal 7 4 4" xfId="24740" xr:uid="{00000000-0005-0000-0000-0000EA5C0000}"/>
    <cellStyle name="Normal 7 4 5" xfId="25056" xr:uid="{00000000-0005-0000-0000-0000EB5C0000}"/>
    <cellStyle name="Normal 7 4 6" xfId="28828" xr:uid="{00000000-0005-0000-0000-0000EC5C0000}"/>
    <cellStyle name="Normal 7 5" xfId="7537" xr:uid="{00000000-0005-0000-0000-0000ED5C0000}"/>
    <cellStyle name="Normal 7 5 2" xfId="18825" xr:uid="{00000000-0005-0000-0000-0000EE5C0000}"/>
    <cellStyle name="Normal 7 5 2 2" xfId="29135" xr:uid="{00000000-0005-0000-0000-0000EF5C0000}"/>
    <cellStyle name="Normal 7 5 3" xfId="24438" xr:uid="{00000000-0005-0000-0000-0000F05C0000}"/>
    <cellStyle name="Normal 7 5 4" xfId="24882" xr:uid="{00000000-0005-0000-0000-0000F15C0000}"/>
    <cellStyle name="Normal 7 5 5" xfId="25245" xr:uid="{00000000-0005-0000-0000-0000F25C0000}"/>
    <cellStyle name="Normal 7 5 6" xfId="28829" xr:uid="{00000000-0005-0000-0000-0000F35C0000}"/>
    <cellStyle name="Normal 7 6" xfId="5543" xr:uid="{00000000-0005-0000-0000-0000F45C0000}"/>
    <cellStyle name="Normal 7 6 2" xfId="16831" xr:uid="{00000000-0005-0000-0000-0000F55C0000}"/>
    <cellStyle name="Normal 7 6 2 2" xfId="29136" xr:uid="{00000000-0005-0000-0000-0000F65C0000}"/>
    <cellStyle name="Normal 7 6 3" xfId="28830" xr:uid="{00000000-0005-0000-0000-0000F75C0000}"/>
    <cellStyle name="Normal 7 7" xfId="3309" xr:uid="{00000000-0005-0000-0000-0000F85C0000}"/>
    <cellStyle name="Normal 7 7 2" xfId="14837" xr:uid="{00000000-0005-0000-0000-0000F95C0000}"/>
    <cellStyle name="Normal 7 7 2 2" xfId="29137" xr:uid="{00000000-0005-0000-0000-0000FA5C0000}"/>
    <cellStyle name="Normal 7 7 3" xfId="28831" xr:uid="{00000000-0005-0000-0000-0000FB5C0000}"/>
    <cellStyle name="Normal 7 8" xfId="13616" xr:uid="{00000000-0005-0000-0000-0000FC5C0000}"/>
    <cellStyle name="Normal 7 8 2" xfId="29138" xr:uid="{00000000-0005-0000-0000-0000FD5C0000}"/>
    <cellStyle name="Normal 7 8 3" xfId="28832" xr:uid="{00000000-0005-0000-0000-0000FE5C0000}"/>
    <cellStyle name="Normal 7 9" xfId="13521" xr:uid="{00000000-0005-0000-0000-0000FF5C0000}"/>
    <cellStyle name="Normal 7 9 2" xfId="29139" xr:uid="{00000000-0005-0000-0000-0000005D0000}"/>
    <cellStyle name="Normal 7 9 3" xfId="28833" xr:uid="{00000000-0005-0000-0000-0000015D0000}"/>
    <cellStyle name="Normal 70" xfId="3310" xr:uid="{00000000-0005-0000-0000-0000025D0000}"/>
    <cellStyle name="Normal 70 2" xfId="4544" xr:uid="{00000000-0005-0000-0000-0000035D0000}"/>
    <cellStyle name="Normal 70 2 2" xfId="12523" xr:uid="{00000000-0005-0000-0000-0000045D0000}"/>
    <cellStyle name="Normal 70 2 2 2" xfId="23811" xr:uid="{00000000-0005-0000-0000-0000055D0000}"/>
    <cellStyle name="Normal 70 2 3" xfId="10529" xr:uid="{00000000-0005-0000-0000-0000065D0000}"/>
    <cellStyle name="Normal 70 2 3 2" xfId="21817" xr:uid="{00000000-0005-0000-0000-0000075D0000}"/>
    <cellStyle name="Normal 70 2 4" xfId="8535" xr:uid="{00000000-0005-0000-0000-0000085D0000}"/>
    <cellStyle name="Normal 70 2 4 2" xfId="19823" xr:uid="{00000000-0005-0000-0000-0000095D0000}"/>
    <cellStyle name="Normal 70 2 5" xfId="6541" xr:uid="{00000000-0005-0000-0000-00000A5D0000}"/>
    <cellStyle name="Normal 70 2 5 2" xfId="17829" xr:uid="{00000000-0005-0000-0000-00000B5D0000}"/>
    <cellStyle name="Normal 70 2 6" xfId="15835" xr:uid="{00000000-0005-0000-0000-00000C5D0000}"/>
    <cellStyle name="Normal 70 3" xfId="11526" xr:uid="{00000000-0005-0000-0000-00000D5D0000}"/>
    <cellStyle name="Normal 70 3 2" xfId="22814" xr:uid="{00000000-0005-0000-0000-00000E5D0000}"/>
    <cellStyle name="Normal 70 4" xfId="9532" xr:uid="{00000000-0005-0000-0000-00000F5D0000}"/>
    <cellStyle name="Normal 70 4 2" xfId="20820" xr:uid="{00000000-0005-0000-0000-0000105D0000}"/>
    <cellStyle name="Normal 70 5" xfId="7538" xr:uid="{00000000-0005-0000-0000-0000115D0000}"/>
    <cellStyle name="Normal 70 5 2" xfId="18826" xr:uid="{00000000-0005-0000-0000-0000125D0000}"/>
    <cellStyle name="Normal 70 6" xfId="5544" xr:uid="{00000000-0005-0000-0000-0000135D0000}"/>
    <cellStyle name="Normal 70 6 2" xfId="16832" xr:uid="{00000000-0005-0000-0000-0000145D0000}"/>
    <cellStyle name="Normal 70 7" xfId="14838" xr:uid="{00000000-0005-0000-0000-0000155D0000}"/>
    <cellStyle name="Normal 70 8" xfId="13522" xr:uid="{00000000-0005-0000-0000-0000165D0000}"/>
    <cellStyle name="Normal 71" xfId="3311" xr:uid="{00000000-0005-0000-0000-0000175D0000}"/>
    <cellStyle name="Normal 71 2" xfId="4545" xr:uid="{00000000-0005-0000-0000-0000185D0000}"/>
    <cellStyle name="Normal 71 2 2" xfId="12524" xr:uid="{00000000-0005-0000-0000-0000195D0000}"/>
    <cellStyle name="Normal 71 2 2 2" xfId="23812" xr:uid="{00000000-0005-0000-0000-00001A5D0000}"/>
    <cellStyle name="Normal 71 2 3" xfId="10530" xr:uid="{00000000-0005-0000-0000-00001B5D0000}"/>
    <cellStyle name="Normal 71 2 3 2" xfId="21818" xr:uid="{00000000-0005-0000-0000-00001C5D0000}"/>
    <cellStyle name="Normal 71 2 4" xfId="8536" xr:uid="{00000000-0005-0000-0000-00001D5D0000}"/>
    <cellStyle name="Normal 71 2 4 2" xfId="19824" xr:uid="{00000000-0005-0000-0000-00001E5D0000}"/>
    <cellStyle name="Normal 71 2 5" xfId="6542" xr:uid="{00000000-0005-0000-0000-00001F5D0000}"/>
    <cellStyle name="Normal 71 2 5 2" xfId="17830" xr:uid="{00000000-0005-0000-0000-0000205D0000}"/>
    <cellStyle name="Normal 71 2 6" xfId="15836" xr:uid="{00000000-0005-0000-0000-0000215D0000}"/>
    <cellStyle name="Normal 71 3" xfId="11527" xr:uid="{00000000-0005-0000-0000-0000225D0000}"/>
    <cellStyle name="Normal 71 3 2" xfId="22815" xr:uid="{00000000-0005-0000-0000-0000235D0000}"/>
    <cellStyle name="Normal 71 4" xfId="9533" xr:uid="{00000000-0005-0000-0000-0000245D0000}"/>
    <cellStyle name="Normal 71 4 2" xfId="20821" xr:uid="{00000000-0005-0000-0000-0000255D0000}"/>
    <cellStyle name="Normal 71 5" xfId="7539" xr:uid="{00000000-0005-0000-0000-0000265D0000}"/>
    <cellStyle name="Normal 71 5 2" xfId="18827" xr:uid="{00000000-0005-0000-0000-0000275D0000}"/>
    <cellStyle name="Normal 71 6" xfId="5545" xr:uid="{00000000-0005-0000-0000-0000285D0000}"/>
    <cellStyle name="Normal 71 6 2" xfId="16833" xr:uid="{00000000-0005-0000-0000-0000295D0000}"/>
    <cellStyle name="Normal 71 7" xfId="14839" xr:uid="{00000000-0005-0000-0000-00002A5D0000}"/>
    <cellStyle name="Normal 71 8" xfId="13523" xr:uid="{00000000-0005-0000-0000-00002B5D0000}"/>
    <cellStyle name="Normal 72" xfId="665" xr:uid="{00000000-0005-0000-0000-00002C5D0000}"/>
    <cellStyle name="Normal 72 2" xfId="13915" xr:uid="{00000000-0005-0000-0000-00002D5D0000}"/>
    <cellStyle name="Normal 72 2 2" xfId="26684" xr:uid="{00000000-0005-0000-0000-00002E5D0000}"/>
    <cellStyle name="Normal 72 3" xfId="13597" xr:uid="{00000000-0005-0000-0000-00002F5D0000}"/>
    <cellStyle name="Normal 72 4" xfId="26054" xr:uid="{00000000-0005-0000-0000-0000305D0000}"/>
    <cellStyle name="Normal 73" xfId="23888" xr:uid="{00000000-0005-0000-0000-0000315D0000}"/>
    <cellStyle name="Normal 74" xfId="23893" xr:uid="{00000000-0005-0000-0000-0000325D0000}"/>
    <cellStyle name="Normal 75" xfId="12598" xr:uid="{00000000-0005-0000-0000-0000335D0000}"/>
    <cellStyle name="Normal 75 2" xfId="26519" xr:uid="{00000000-0005-0000-0000-0000345D0000}"/>
    <cellStyle name="Normal 76" xfId="23900" xr:uid="{00000000-0005-0000-0000-0000355D0000}"/>
    <cellStyle name="Normal 76 2" xfId="27029" xr:uid="{00000000-0005-0000-0000-0000365D0000}"/>
    <cellStyle name="Normal 77" xfId="23901" xr:uid="{00000000-0005-0000-0000-0000375D0000}"/>
    <cellStyle name="Normal 77 2" xfId="27030" xr:uid="{00000000-0005-0000-0000-0000385D0000}"/>
    <cellStyle name="Normal 78" xfId="23902" xr:uid="{00000000-0005-0000-0000-0000395D0000}"/>
    <cellStyle name="Normal 78 2" xfId="27031" xr:uid="{00000000-0005-0000-0000-00003A5D0000}"/>
    <cellStyle name="Normal 79" xfId="24543" xr:uid="{00000000-0005-0000-0000-00003B5D0000}"/>
    <cellStyle name="Normal 79 2" xfId="27217" xr:uid="{00000000-0005-0000-0000-00003C5D0000}"/>
    <cellStyle name="Normal 8" xfId="59" xr:uid="{00000000-0005-0000-0000-00003D5D0000}"/>
    <cellStyle name="Normal 8 10" xfId="24172" xr:uid="{00000000-0005-0000-0000-00003E5D0000}"/>
    <cellStyle name="Normal 8 10 2" xfId="29140" xr:uid="{00000000-0005-0000-0000-00003F5D0000}"/>
    <cellStyle name="Normal 8 10 3" xfId="28834" xr:uid="{00000000-0005-0000-0000-0000405D0000}"/>
    <cellStyle name="Normal 8 11" xfId="24741" xr:uid="{00000000-0005-0000-0000-0000415D0000}"/>
    <cellStyle name="Normal 8 11 2" xfId="29141" xr:uid="{00000000-0005-0000-0000-0000425D0000}"/>
    <cellStyle name="Normal 8 11 3" xfId="28835" xr:uid="{00000000-0005-0000-0000-0000435D0000}"/>
    <cellStyle name="Normal 8 12" xfId="25057" xr:uid="{00000000-0005-0000-0000-0000445D0000}"/>
    <cellStyle name="Normal 8 12 2" xfId="29142" xr:uid="{00000000-0005-0000-0000-0000455D0000}"/>
    <cellStyle name="Normal 8 12 3" xfId="28836" xr:uid="{00000000-0005-0000-0000-0000465D0000}"/>
    <cellStyle name="Normal 8 13" xfId="25776" xr:uid="{00000000-0005-0000-0000-0000475D0000}"/>
    <cellStyle name="Normal 8 13 2" xfId="29143" xr:uid="{00000000-0005-0000-0000-0000485D0000}"/>
    <cellStyle name="Normal 8 14" xfId="29168" xr:uid="{00000000-0005-0000-0000-0000495D0000}"/>
    <cellStyle name="Normal 8 2" xfId="4546" xr:uid="{00000000-0005-0000-0000-00004A5D0000}"/>
    <cellStyle name="Normal 8 2 10" xfId="28837" xr:uid="{00000000-0005-0000-0000-00004B5D0000}"/>
    <cellStyle name="Normal 8 2 2" xfId="12525" xr:uid="{00000000-0005-0000-0000-00004C5D0000}"/>
    <cellStyle name="Normal 8 2 2 2" xfId="23813" xr:uid="{00000000-0005-0000-0000-00004D5D0000}"/>
    <cellStyle name="Normal 8 2 2 2 2" xfId="24446" xr:uid="{00000000-0005-0000-0000-00004E5D0000}"/>
    <cellStyle name="Normal 8 2 2 2 3" xfId="24890" xr:uid="{00000000-0005-0000-0000-00004F5D0000}"/>
    <cellStyle name="Normal 8 2 2 2 4" xfId="25253" xr:uid="{00000000-0005-0000-0000-0000505D0000}"/>
    <cellStyle name="Normal 8 2 2 3" xfId="24174" xr:uid="{00000000-0005-0000-0000-0000515D0000}"/>
    <cellStyle name="Normal 8 2 2 4" xfId="24743" xr:uid="{00000000-0005-0000-0000-0000525D0000}"/>
    <cellStyle name="Normal 8 2 2 5" xfId="25059" xr:uid="{00000000-0005-0000-0000-0000535D0000}"/>
    <cellStyle name="Normal 8 2 2 6" xfId="29144" xr:uid="{00000000-0005-0000-0000-0000545D0000}"/>
    <cellStyle name="Normal 8 2 3" xfId="10531" xr:uid="{00000000-0005-0000-0000-0000555D0000}"/>
    <cellStyle name="Normal 8 2 3 2" xfId="21819" xr:uid="{00000000-0005-0000-0000-0000565D0000}"/>
    <cellStyle name="Normal 8 2 3 3" xfId="24445" xr:uid="{00000000-0005-0000-0000-0000575D0000}"/>
    <cellStyle name="Normal 8 2 3 4" xfId="24889" xr:uid="{00000000-0005-0000-0000-0000585D0000}"/>
    <cellStyle name="Normal 8 2 3 5" xfId="25252" xr:uid="{00000000-0005-0000-0000-0000595D0000}"/>
    <cellStyle name="Normal 8 2 4" xfId="8537" xr:uid="{00000000-0005-0000-0000-00005A5D0000}"/>
    <cellStyle name="Normal 8 2 4 2" xfId="19825" xr:uid="{00000000-0005-0000-0000-00005B5D0000}"/>
    <cellStyle name="Normal 8 2 5" xfId="6543" xr:uid="{00000000-0005-0000-0000-00005C5D0000}"/>
    <cellStyle name="Normal 8 2 5 2" xfId="17831" xr:uid="{00000000-0005-0000-0000-00005D5D0000}"/>
    <cellStyle name="Normal 8 2 6" xfId="15837" xr:uid="{00000000-0005-0000-0000-00005E5D0000}"/>
    <cellStyle name="Normal 8 2 7" xfId="24173" xr:uid="{00000000-0005-0000-0000-00005F5D0000}"/>
    <cellStyle name="Normal 8 2 8" xfId="24742" xr:uid="{00000000-0005-0000-0000-0000605D0000}"/>
    <cellStyle name="Normal 8 2 9" xfId="25058" xr:uid="{00000000-0005-0000-0000-0000615D0000}"/>
    <cellStyle name="Normal 8 3" xfId="11528" xr:uid="{00000000-0005-0000-0000-0000625D0000}"/>
    <cellStyle name="Normal 8 3 2" xfId="22816" xr:uid="{00000000-0005-0000-0000-0000635D0000}"/>
    <cellStyle name="Normal 8 3 2 2" xfId="24448" xr:uid="{00000000-0005-0000-0000-0000645D0000}"/>
    <cellStyle name="Normal 8 3 2 2 2" xfId="24892" xr:uid="{00000000-0005-0000-0000-0000655D0000}"/>
    <cellStyle name="Normal 8 3 2 2 3" xfId="25255" xr:uid="{00000000-0005-0000-0000-0000665D0000}"/>
    <cellStyle name="Normal 8 3 2 3" xfId="24176" xr:uid="{00000000-0005-0000-0000-0000675D0000}"/>
    <cellStyle name="Normal 8 3 2 4" xfId="24745" xr:uid="{00000000-0005-0000-0000-0000685D0000}"/>
    <cellStyle name="Normal 8 3 2 5" xfId="25061" xr:uid="{00000000-0005-0000-0000-0000695D0000}"/>
    <cellStyle name="Normal 8 3 2 6" xfId="29145" xr:uid="{00000000-0005-0000-0000-00006A5D0000}"/>
    <cellStyle name="Normal 8 3 3" xfId="24447" xr:uid="{00000000-0005-0000-0000-00006B5D0000}"/>
    <cellStyle name="Normal 8 3 3 2" xfId="24891" xr:uid="{00000000-0005-0000-0000-00006C5D0000}"/>
    <cellStyle name="Normal 8 3 3 3" xfId="25254" xr:uid="{00000000-0005-0000-0000-00006D5D0000}"/>
    <cellStyle name="Normal 8 3 4" xfId="24175" xr:uid="{00000000-0005-0000-0000-00006E5D0000}"/>
    <cellStyle name="Normal 8 3 5" xfId="24744" xr:uid="{00000000-0005-0000-0000-00006F5D0000}"/>
    <cellStyle name="Normal 8 3 6" xfId="25060" xr:uid="{00000000-0005-0000-0000-0000705D0000}"/>
    <cellStyle name="Normal 8 3 7" xfId="28838" xr:uid="{00000000-0005-0000-0000-0000715D0000}"/>
    <cellStyle name="Normal 8 4" xfId="9534" xr:uid="{00000000-0005-0000-0000-0000725D0000}"/>
    <cellStyle name="Normal 8 4 2" xfId="20822" xr:uid="{00000000-0005-0000-0000-0000735D0000}"/>
    <cellStyle name="Normal 8 4 2 2" xfId="24449" xr:uid="{00000000-0005-0000-0000-0000745D0000}"/>
    <cellStyle name="Normal 8 4 2 3" xfId="24893" xr:uid="{00000000-0005-0000-0000-0000755D0000}"/>
    <cellStyle name="Normal 8 4 2 4" xfId="25256" xr:uid="{00000000-0005-0000-0000-0000765D0000}"/>
    <cellStyle name="Normal 8 4 2 5" xfId="29146" xr:uid="{00000000-0005-0000-0000-0000775D0000}"/>
    <cellStyle name="Normal 8 4 3" xfId="24177" xr:uid="{00000000-0005-0000-0000-0000785D0000}"/>
    <cellStyle name="Normal 8 4 4" xfId="24746" xr:uid="{00000000-0005-0000-0000-0000795D0000}"/>
    <cellStyle name="Normal 8 4 5" xfId="25062" xr:uid="{00000000-0005-0000-0000-00007A5D0000}"/>
    <cellStyle name="Normal 8 4 6" xfId="28839" xr:uid="{00000000-0005-0000-0000-00007B5D0000}"/>
    <cellStyle name="Normal 8 5" xfId="7540" xr:uid="{00000000-0005-0000-0000-00007C5D0000}"/>
    <cellStyle name="Normal 8 5 2" xfId="18828" xr:uid="{00000000-0005-0000-0000-00007D5D0000}"/>
    <cellStyle name="Normal 8 5 2 2" xfId="29147" xr:uid="{00000000-0005-0000-0000-00007E5D0000}"/>
    <cellStyle name="Normal 8 5 3" xfId="24444" xr:uid="{00000000-0005-0000-0000-00007F5D0000}"/>
    <cellStyle name="Normal 8 5 4" xfId="24888" xr:uid="{00000000-0005-0000-0000-0000805D0000}"/>
    <cellStyle name="Normal 8 5 5" xfId="25251" xr:uid="{00000000-0005-0000-0000-0000815D0000}"/>
    <cellStyle name="Normal 8 5 6" xfId="28840" xr:uid="{00000000-0005-0000-0000-0000825D0000}"/>
    <cellStyle name="Normal 8 6" xfId="5546" xr:uid="{00000000-0005-0000-0000-0000835D0000}"/>
    <cellStyle name="Normal 8 6 2" xfId="16834" xr:uid="{00000000-0005-0000-0000-0000845D0000}"/>
    <cellStyle name="Normal 8 6 2 2" xfId="29148" xr:uid="{00000000-0005-0000-0000-0000855D0000}"/>
    <cellStyle name="Normal 8 6 3" xfId="28841" xr:uid="{00000000-0005-0000-0000-0000865D0000}"/>
    <cellStyle name="Normal 8 7" xfId="3312" xr:uid="{00000000-0005-0000-0000-0000875D0000}"/>
    <cellStyle name="Normal 8 7 2" xfId="14840" xr:uid="{00000000-0005-0000-0000-0000885D0000}"/>
    <cellStyle name="Normal 8 7 2 2" xfId="29149" xr:uid="{00000000-0005-0000-0000-0000895D0000}"/>
    <cellStyle name="Normal 8 7 3" xfId="28842" xr:uid="{00000000-0005-0000-0000-00008A5D0000}"/>
    <cellStyle name="Normal 8 8" xfId="13617" xr:uid="{00000000-0005-0000-0000-00008B5D0000}"/>
    <cellStyle name="Normal 8 8 2" xfId="26560" xr:uid="{00000000-0005-0000-0000-00008C5D0000}"/>
    <cellStyle name="Normal 8 8 2 2" xfId="29150" xr:uid="{00000000-0005-0000-0000-00008D5D0000}"/>
    <cellStyle name="Normal 8 9" xfId="13524" xr:uid="{00000000-0005-0000-0000-00008E5D0000}"/>
    <cellStyle name="Normal 8 9 2" xfId="29151" xr:uid="{00000000-0005-0000-0000-00008F5D0000}"/>
    <cellStyle name="Normal 8 9 3" xfId="28844" xr:uid="{00000000-0005-0000-0000-0000905D0000}"/>
    <cellStyle name="Normal 80" xfId="24554" xr:uid="{00000000-0005-0000-0000-0000915D0000}"/>
    <cellStyle name="Normal 80 2" xfId="27222" xr:uid="{00000000-0005-0000-0000-0000925D0000}"/>
    <cellStyle name="Normal 81" xfId="24767" xr:uid="{00000000-0005-0000-0000-0000935D0000}"/>
    <cellStyle name="Normal 81 2" xfId="27309" xr:uid="{00000000-0005-0000-0000-0000945D0000}"/>
    <cellStyle name="Normal 82" xfId="24903" xr:uid="{00000000-0005-0000-0000-0000955D0000}"/>
    <cellStyle name="Normal 82 2" xfId="27325" xr:uid="{00000000-0005-0000-0000-0000965D0000}"/>
    <cellStyle name="Normal 83" xfId="24935" xr:uid="{00000000-0005-0000-0000-0000975D0000}"/>
    <cellStyle name="Normal 83 2" xfId="27342" xr:uid="{00000000-0005-0000-0000-0000985D0000}"/>
    <cellStyle name="Normal 84" xfId="24705" xr:uid="{00000000-0005-0000-0000-0000995D0000}"/>
    <cellStyle name="Normal 84 2" xfId="27292" xr:uid="{00000000-0005-0000-0000-00009A5D0000}"/>
    <cellStyle name="Normal 85" xfId="24926" xr:uid="{00000000-0005-0000-0000-00009B5D0000}"/>
    <cellStyle name="Normal 85 2" xfId="27335" xr:uid="{00000000-0005-0000-0000-00009C5D0000}"/>
    <cellStyle name="Normal 86" xfId="24768" xr:uid="{00000000-0005-0000-0000-00009D5D0000}"/>
    <cellStyle name="Normal 86 2" xfId="27310" xr:uid="{00000000-0005-0000-0000-00009E5D0000}"/>
    <cellStyle name="Normal 87" xfId="24933" xr:uid="{00000000-0005-0000-0000-00009F5D0000}"/>
    <cellStyle name="Normal 87 2" xfId="27340" xr:uid="{00000000-0005-0000-0000-0000A05D0000}"/>
    <cellStyle name="Normal 88" xfId="24689" xr:uid="{00000000-0005-0000-0000-0000A15D0000}"/>
    <cellStyle name="Normal 88 2" xfId="27279" xr:uid="{00000000-0005-0000-0000-0000A25D0000}"/>
    <cellStyle name="Normal 89" xfId="24690" xr:uid="{00000000-0005-0000-0000-0000A35D0000}"/>
    <cellStyle name="Normal 89 2" xfId="27280" xr:uid="{00000000-0005-0000-0000-0000A45D0000}"/>
    <cellStyle name="Normal 9" xfId="60" xr:uid="{00000000-0005-0000-0000-0000A55D0000}"/>
    <cellStyle name="Normal 9 10" xfId="24178" xr:uid="{00000000-0005-0000-0000-0000A65D0000}"/>
    <cellStyle name="Normal 9 10 2" xfId="29152" xr:uid="{00000000-0005-0000-0000-0000A75D0000}"/>
    <cellStyle name="Normal 9 10 3" xfId="28845" xr:uid="{00000000-0005-0000-0000-0000A85D0000}"/>
    <cellStyle name="Normal 9 11" xfId="24747" xr:uid="{00000000-0005-0000-0000-0000A95D0000}"/>
    <cellStyle name="Normal 9 11 2" xfId="29153" xr:uid="{00000000-0005-0000-0000-0000AA5D0000}"/>
    <cellStyle name="Normal 9 11 3" xfId="28846" xr:uid="{00000000-0005-0000-0000-0000AB5D0000}"/>
    <cellStyle name="Normal 9 12" xfId="25063" xr:uid="{00000000-0005-0000-0000-0000AC5D0000}"/>
    <cellStyle name="Normal 9 12 2" xfId="29154" xr:uid="{00000000-0005-0000-0000-0000AD5D0000}"/>
    <cellStyle name="Normal 9 12 3" xfId="28847" xr:uid="{00000000-0005-0000-0000-0000AE5D0000}"/>
    <cellStyle name="Normal 9 13" xfId="25812" xr:uid="{00000000-0005-0000-0000-0000AF5D0000}"/>
    <cellStyle name="Normal 9 13 2" xfId="29155" xr:uid="{00000000-0005-0000-0000-0000B05D0000}"/>
    <cellStyle name="Normal 9 14" xfId="25765" xr:uid="{00000000-0005-0000-0000-0000B15D0000}"/>
    <cellStyle name="Normal 9 2" xfId="4547" xr:uid="{00000000-0005-0000-0000-0000B25D0000}"/>
    <cellStyle name="Normal 9 2 10" xfId="28848" xr:uid="{00000000-0005-0000-0000-0000B35D0000}"/>
    <cellStyle name="Normal 9 2 2" xfId="12526" xr:uid="{00000000-0005-0000-0000-0000B45D0000}"/>
    <cellStyle name="Normal 9 2 2 2" xfId="23814" xr:uid="{00000000-0005-0000-0000-0000B55D0000}"/>
    <cellStyle name="Normal 9 2 2 2 2" xfId="24452" xr:uid="{00000000-0005-0000-0000-0000B65D0000}"/>
    <cellStyle name="Normal 9 2 2 2 3" xfId="24896" xr:uid="{00000000-0005-0000-0000-0000B75D0000}"/>
    <cellStyle name="Normal 9 2 2 2 4" xfId="25259" xr:uid="{00000000-0005-0000-0000-0000B85D0000}"/>
    <cellStyle name="Normal 9 2 2 3" xfId="24180" xr:uid="{00000000-0005-0000-0000-0000B95D0000}"/>
    <cellStyle name="Normal 9 2 2 4" xfId="24749" xr:uid="{00000000-0005-0000-0000-0000BA5D0000}"/>
    <cellStyle name="Normal 9 2 2 5" xfId="25065" xr:uid="{00000000-0005-0000-0000-0000BB5D0000}"/>
    <cellStyle name="Normal 9 2 2 6" xfId="29156" xr:uid="{00000000-0005-0000-0000-0000BC5D0000}"/>
    <cellStyle name="Normal 9 2 3" xfId="10532" xr:uid="{00000000-0005-0000-0000-0000BD5D0000}"/>
    <cellStyle name="Normal 9 2 3 2" xfId="21820" xr:uid="{00000000-0005-0000-0000-0000BE5D0000}"/>
    <cellStyle name="Normal 9 2 3 3" xfId="24451" xr:uid="{00000000-0005-0000-0000-0000BF5D0000}"/>
    <cellStyle name="Normal 9 2 3 4" xfId="24895" xr:uid="{00000000-0005-0000-0000-0000C05D0000}"/>
    <cellStyle name="Normal 9 2 3 5" xfId="25258" xr:uid="{00000000-0005-0000-0000-0000C15D0000}"/>
    <cellStyle name="Normal 9 2 4" xfId="8538" xr:uid="{00000000-0005-0000-0000-0000C25D0000}"/>
    <cellStyle name="Normal 9 2 4 2" xfId="19826" xr:uid="{00000000-0005-0000-0000-0000C35D0000}"/>
    <cellStyle name="Normal 9 2 5" xfId="6544" xr:uid="{00000000-0005-0000-0000-0000C45D0000}"/>
    <cellStyle name="Normal 9 2 5 2" xfId="17832" xr:uid="{00000000-0005-0000-0000-0000C55D0000}"/>
    <cellStyle name="Normal 9 2 6" xfId="15838" xr:uid="{00000000-0005-0000-0000-0000C65D0000}"/>
    <cellStyle name="Normal 9 2 7" xfId="24179" xr:uid="{00000000-0005-0000-0000-0000C75D0000}"/>
    <cellStyle name="Normal 9 2 8" xfId="24748" xr:uid="{00000000-0005-0000-0000-0000C85D0000}"/>
    <cellStyle name="Normal 9 2 9" xfId="25064" xr:uid="{00000000-0005-0000-0000-0000C95D0000}"/>
    <cellStyle name="Normal 9 3" xfId="11529" xr:uid="{00000000-0005-0000-0000-0000CA5D0000}"/>
    <cellStyle name="Normal 9 3 2" xfId="22817" xr:uid="{00000000-0005-0000-0000-0000CB5D0000}"/>
    <cellStyle name="Normal 9 3 2 2" xfId="24454" xr:uid="{00000000-0005-0000-0000-0000CC5D0000}"/>
    <cellStyle name="Normal 9 3 2 2 2" xfId="24898" xr:uid="{00000000-0005-0000-0000-0000CD5D0000}"/>
    <cellStyle name="Normal 9 3 2 2 3" xfId="25261" xr:uid="{00000000-0005-0000-0000-0000CE5D0000}"/>
    <cellStyle name="Normal 9 3 2 3" xfId="24182" xr:uid="{00000000-0005-0000-0000-0000CF5D0000}"/>
    <cellStyle name="Normal 9 3 2 4" xfId="24751" xr:uid="{00000000-0005-0000-0000-0000D05D0000}"/>
    <cellStyle name="Normal 9 3 2 5" xfId="25067" xr:uid="{00000000-0005-0000-0000-0000D15D0000}"/>
    <cellStyle name="Normal 9 3 2 6" xfId="29157" xr:uid="{00000000-0005-0000-0000-0000D25D0000}"/>
    <cellStyle name="Normal 9 3 3" xfId="24453" xr:uid="{00000000-0005-0000-0000-0000D35D0000}"/>
    <cellStyle name="Normal 9 3 3 2" xfId="24897" xr:uid="{00000000-0005-0000-0000-0000D45D0000}"/>
    <cellStyle name="Normal 9 3 3 3" xfId="25260" xr:uid="{00000000-0005-0000-0000-0000D55D0000}"/>
    <cellStyle name="Normal 9 3 4" xfId="24181" xr:uid="{00000000-0005-0000-0000-0000D65D0000}"/>
    <cellStyle name="Normal 9 3 5" xfId="24750" xr:uid="{00000000-0005-0000-0000-0000D75D0000}"/>
    <cellStyle name="Normal 9 3 6" xfId="25066" xr:uid="{00000000-0005-0000-0000-0000D85D0000}"/>
    <cellStyle name="Normal 9 3 7" xfId="28849" xr:uid="{00000000-0005-0000-0000-0000D95D0000}"/>
    <cellStyle name="Normal 9 4" xfId="9535" xr:uid="{00000000-0005-0000-0000-0000DA5D0000}"/>
    <cellStyle name="Normal 9 4 2" xfId="20823" xr:uid="{00000000-0005-0000-0000-0000DB5D0000}"/>
    <cellStyle name="Normal 9 4 2 2" xfId="24455" xr:uid="{00000000-0005-0000-0000-0000DC5D0000}"/>
    <cellStyle name="Normal 9 4 2 3" xfId="24899" xr:uid="{00000000-0005-0000-0000-0000DD5D0000}"/>
    <cellStyle name="Normal 9 4 2 4" xfId="25262" xr:uid="{00000000-0005-0000-0000-0000DE5D0000}"/>
    <cellStyle name="Normal 9 4 2 5" xfId="29158" xr:uid="{00000000-0005-0000-0000-0000DF5D0000}"/>
    <cellStyle name="Normal 9 4 3" xfId="24183" xr:uid="{00000000-0005-0000-0000-0000E05D0000}"/>
    <cellStyle name="Normal 9 4 4" xfId="24752" xr:uid="{00000000-0005-0000-0000-0000E15D0000}"/>
    <cellStyle name="Normal 9 4 5" xfId="25068" xr:uid="{00000000-0005-0000-0000-0000E25D0000}"/>
    <cellStyle name="Normal 9 4 6" xfId="28850" xr:uid="{00000000-0005-0000-0000-0000E35D0000}"/>
    <cellStyle name="Normal 9 5" xfId="7541" xr:uid="{00000000-0005-0000-0000-0000E45D0000}"/>
    <cellStyle name="Normal 9 5 2" xfId="18829" xr:uid="{00000000-0005-0000-0000-0000E55D0000}"/>
    <cellStyle name="Normal 9 5 2 2" xfId="29159" xr:uid="{00000000-0005-0000-0000-0000E65D0000}"/>
    <cellStyle name="Normal 9 5 3" xfId="24450" xr:uid="{00000000-0005-0000-0000-0000E75D0000}"/>
    <cellStyle name="Normal 9 5 4" xfId="24894" xr:uid="{00000000-0005-0000-0000-0000E85D0000}"/>
    <cellStyle name="Normal 9 5 5" xfId="25257" xr:uid="{00000000-0005-0000-0000-0000E95D0000}"/>
    <cellStyle name="Normal 9 5 6" xfId="28851" xr:uid="{00000000-0005-0000-0000-0000EA5D0000}"/>
    <cellStyle name="Normal 9 6" xfId="5547" xr:uid="{00000000-0005-0000-0000-0000EB5D0000}"/>
    <cellStyle name="Normal 9 6 2" xfId="16835" xr:uid="{00000000-0005-0000-0000-0000EC5D0000}"/>
    <cellStyle name="Normal 9 6 2 2" xfId="29160" xr:uid="{00000000-0005-0000-0000-0000ED5D0000}"/>
    <cellStyle name="Normal 9 6 3" xfId="28852" xr:uid="{00000000-0005-0000-0000-0000EE5D0000}"/>
    <cellStyle name="Normal 9 7" xfId="3313" xr:uid="{00000000-0005-0000-0000-0000EF5D0000}"/>
    <cellStyle name="Normal 9 7 2" xfId="14841" xr:uid="{00000000-0005-0000-0000-0000F05D0000}"/>
    <cellStyle name="Normal 9 7 2 2" xfId="29161" xr:uid="{00000000-0005-0000-0000-0000F15D0000}"/>
    <cellStyle name="Normal 9 7 3" xfId="28853" xr:uid="{00000000-0005-0000-0000-0000F25D0000}"/>
    <cellStyle name="Normal 9 8" xfId="13618" xr:uid="{00000000-0005-0000-0000-0000F35D0000}"/>
    <cellStyle name="Normal 9 8 2" xfId="26561" xr:uid="{00000000-0005-0000-0000-0000F45D0000}"/>
    <cellStyle name="Normal 9 8 2 2" xfId="29162" xr:uid="{00000000-0005-0000-0000-0000F55D0000}"/>
    <cellStyle name="Normal 9 9" xfId="13525" xr:uid="{00000000-0005-0000-0000-0000F65D0000}"/>
    <cellStyle name="Normal 9 9 2" xfId="29163" xr:uid="{00000000-0005-0000-0000-0000F75D0000}"/>
    <cellStyle name="Normal 9 9 3" xfId="28854" xr:uid="{00000000-0005-0000-0000-0000F85D0000}"/>
    <cellStyle name="Normal 90" xfId="24941" xr:uid="{00000000-0005-0000-0000-0000F95D0000}"/>
    <cellStyle name="Normal 90 2" xfId="27345" xr:uid="{00000000-0005-0000-0000-0000FA5D0000}"/>
    <cellStyle name="Normal 91" xfId="24545" xr:uid="{00000000-0005-0000-0000-0000FB5D0000}"/>
    <cellStyle name="Normal 91 2" xfId="27218" xr:uid="{00000000-0005-0000-0000-0000FC5D0000}"/>
    <cellStyle name="Normal 92" xfId="1" xr:uid="{00000000-0005-0000-0000-0000FD5D0000}"/>
    <cellStyle name="Normal 93" xfId="25276" xr:uid="{00000000-0005-0000-0000-0000FE5D0000}"/>
    <cellStyle name="Normal 94" xfId="25295" xr:uid="{00000000-0005-0000-0000-0000FF5D0000}"/>
    <cellStyle name="Normal 95" xfId="25455" xr:uid="{00000000-0005-0000-0000-0000005E0000}"/>
    <cellStyle name="Normal 96" xfId="25746" xr:uid="{00000000-0005-0000-0000-0000015E0000}"/>
    <cellStyle name="Normal 96 2" xfId="27895" xr:uid="{00000000-0005-0000-0000-0000025E0000}"/>
    <cellStyle name="Normal 97" xfId="25752" xr:uid="{00000000-0005-0000-0000-0000035E0000}"/>
    <cellStyle name="Normal 97 2" xfId="27896" xr:uid="{00000000-0005-0000-0000-0000045E0000}"/>
    <cellStyle name="Normal 98" xfId="25755" xr:uid="{00000000-0005-0000-0000-0000055E0000}"/>
    <cellStyle name="Normal 98 2" xfId="27897" xr:uid="{00000000-0005-0000-0000-0000065E0000}"/>
    <cellStyle name="Normal 99" xfId="25757" xr:uid="{00000000-0005-0000-0000-0000075E0000}"/>
    <cellStyle name="Normal 99 2" xfId="27898" xr:uid="{00000000-0005-0000-0000-0000085E0000}"/>
    <cellStyle name="Normal(0)" xfId="61" xr:uid="{00000000-0005-0000-0000-0000095E0000}"/>
    <cellStyle name="Normal_Jan 08" xfId="25743" xr:uid="{00000000-0005-0000-0000-00000A5E0000}"/>
    <cellStyle name="Normal_RD2001" xfId="33354" xr:uid="{B79C8DB9-2993-4247-9CA2-D28350A35F52}"/>
    <cellStyle name="Normal_vcap1299" xfId="25741" xr:uid="{00000000-0005-0000-0000-00000B5E0000}"/>
    <cellStyle name="NormalHelv" xfId="577" xr:uid="{00000000-0005-0000-0000-00000C5E0000}"/>
    <cellStyle name="Note 10" xfId="3314" xr:uid="{00000000-0005-0000-0000-00000D5E0000}"/>
    <cellStyle name="Note 10 10" xfId="24753" xr:uid="{00000000-0005-0000-0000-00000E5E0000}"/>
    <cellStyle name="Note 10 11" xfId="25069" xr:uid="{00000000-0005-0000-0000-00000F5E0000}"/>
    <cellStyle name="Note 10 2" xfId="4548" xr:uid="{00000000-0005-0000-0000-0000105E0000}"/>
    <cellStyle name="Note 10 2 2" xfId="12527" xr:uid="{00000000-0005-0000-0000-0000115E0000}"/>
    <cellStyle name="Note 10 2 2 2" xfId="23815" xr:uid="{00000000-0005-0000-0000-0000125E0000}"/>
    <cellStyle name="Note 10 2 3" xfId="10533" xr:uid="{00000000-0005-0000-0000-0000135E0000}"/>
    <cellStyle name="Note 10 2 3 2" xfId="21821" xr:uid="{00000000-0005-0000-0000-0000145E0000}"/>
    <cellStyle name="Note 10 2 4" xfId="8539" xr:uid="{00000000-0005-0000-0000-0000155E0000}"/>
    <cellStyle name="Note 10 2 4 2" xfId="19827" xr:uid="{00000000-0005-0000-0000-0000165E0000}"/>
    <cellStyle name="Note 10 2 5" xfId="6545" xr:uid="{00000000-0005-0000-0000-0000175E0000}"/>
    <cellStyle name="Note 10 2 5 2" xfId="17833" xr:uid="{00000000-0005-0000-0000-0000185E0000}"/>
    <cellStyle name="Note 10 2 6" xfId="15839" xr:uid="{00000000-0005-0000-0000-0000195E0000}"/>
    <cellStyle name="Note 10 2 7" xfId="24456" xr:uid="{00000000-0005-0000-0000-00001A5E0000}"/>
    <cellStyle name="Note 10 2 8" xfId="24900" xr:uid="{00000000-0005-0000-0000-00001B5E0000}"/>
    <cellStyle name="Note 10 2 9" xfId="25263" xr:uid="{00000000-0005-0000-0000-00001C5E0000}"/>
    <cellStyle name="Note 10 3" xfId="11530" xr:uid="{00000000-0005-0000-0000-00001D5E0000}"/>
    <cellStyle name="Note 10 3 2" xfId="22818" xr:uid="{00000000-0005-0000-0000-00001E5E0000}"/>
    <cellStyle name="Note 10 4" xfId="9536" xr:uid="{00000000-0005-0000-0000-00001F5E0000}"/>
    <cellStyle name="Note 10 4 2" xfId="20824" xr:uid="{00000000-0005-0000-0000-0000205E0000}"/>
    <cellStyle name="Note 10 5" xfId="7542" xr:uid="{00000000-0005-0000-0000-0000215E0000}"/>
    <cellStyle name="Note 10 5 2" xfId="18830" xr:uid="{00000000-0005-0000-0000-0000225E0000}"/>
    <cellStyle name="Note 10 6" xfId="5548" xr:uid="{00000000-0005-0000-0000-0000235E0000}"/>
    <cellStyle name="Note 10 6 2" xfId="16836" xr:uid="{00000000-0005-0000-0000-0000245E0000}"/>
    <cellStyle name="Note 10 7" xfId="14842" xr:uid="{00000000-0005-0000-0000-0000255E0000}"/>
    <cellStyle name="Note 10 8" xfId="13526" xr:uid="{00000000-0005-0000-0000-0000265E0000}"/>
    <cellStyle name="Note 10 9" xfId="24185" xr:uid="{00000000-0005-0000-0000-0000275E0000}"/>
    <cellStyle name="Note 11" xfId="3315" xr:uid="{00000000-0005-0000-0000-0000285E0000}"/>
    <cellStyle name="Note 11 10" xfId="24754" xr:uid="{00000000-0005-0000-0000-0000295E0000}"/>
    <cellStyle name="Note 11 11" xfId="25070" xr:uid="{00000000-0005-0000-0000-00002A5E0000}"/>
    <cellStyle name="Note 11 2" xfId="4549" xr:uid="{00000000-0005-0000-0000-00002B5E0000}"/>
    <cellStyle name="Note 11 2 2" xfId="12528" xr:uid="{00000000-0005-0000-0000-00002C5E0000}"/>
    <cellStyle name="Note 11 2 2 2" xfId="23816" xr:uid="{00000000-0005-0000-0000-00002D5E0000}"/>
    <cellStyle name="Note 11 2 3" xfId="10534" xr:uid="{00000000-0005-0000-0000-00002E5E0000}"/>
    <cellStyle name="Note 11 2 3 2" xfId="21822" xr:uid="{00000000-0005-0000-0000-00002F5E0000}"/>
    <cellStyle name="Note 11 2 4" xfId="8540" xr:uid="{00000000-0005-0000-0000-0000305E0000}"/>
    <cellStyle name="Note 11 2 4 2" xfId="19828" xr:uid="{00000000-0005-0000-0000-0000315E0000}"/>
    <cellStyle name="Note 11 2 5" xfId="6546" xr:uid="{00000000-0005-0000-0000-0000325E0000}"/>
    <cellStyle name="Note 11 2 5 2" xfId="17834" xr:uid="{00000000-0005-0000-0000-0000335E0000}"/>
    <cellStyle name="Note 11 2 6" xfId="15840" xr:uid="{00000000-0005-0000-0000-0000345E0000}"/>
    <cellStyle name="Note 11 2 7" xfId="24457" xr:uid="{00000000-0005-0000-0000-0000355E0000}"/>
    <cellStyle name="Note 11 2 8" xfId="24901" xr:uid="{00000000-0005-0000-0000-0000365E0000}"/>
    <cellStyle name="Note 11 2 9" xfId="25264" xr:uid="{00000000-0005-0000-0000-0000375E0000}"/>
    <cellStyle name="Note 11 3" xfId="11531" xr:uid="{00000000-0005-0000-0000-0000385E0000}"/>
    <cellStyle name="Note 11 3 2" xfId="22819" xr:uid="{00000000-0005-0000-0000-0000395E0000}"/>
    <cellStyle name="Note 11 4" xfId="9537" xr:uid="{00000000-0005-0000-0000-00003A5E0000}"/>
    <cellStyle name="Note 11 4 2" xfId="20825" xr:uid="{00000000-0005-0000-0000-00003B5E0000}"/>
    <cellStyle name="Note 11 5" xfId="7543" xr:uid="{00000000-0005-0000-0000-00003C5E0000}"/>
    <cellStyle name="Note 11 5 2" xfId="18831" xr:uid="{00000000-0005-0000-0000-00003D5E0000}"/>
    <cellStyle name="Note 11 6" xfId="5549" xr:uid="{00000000-0005-0000-0000-00003E5E0000}"/>
    <cellStyle name="Note 11 6 2" xfId="16837" xr:uid="{00000000-0005-0000-0000-00003F5E0000}"/>
    <cellStyle name="Note 11 7" xfId="14843" xr:uid="{00000000-0005-0000-0000-0000405E0000}"/>
    <cellStyle name="Note 11 8" xfId="13527" xr:uid="{00000000-0005-0000-0000-0000415E0000}"/>
    <cellStyle name="Note 11 9" xfId="24186" xr:uid="{00000000-0005-0000-0000-0000425E0000}"/>
    <cellStyle name="Note 12" xfId="3316" xr:uid="{00000000-0005-0000-0000-0000435E0000}"/>
    <cellStyle name="Note 12 10" xfId="24755" xr:uid="{00000000-0005-0000-0000-0000445E0000}"/>
    <cellStyle name="Note 12 11" xfId="25071" xr:uid="{00000000-0005-0000-0000-0000455E0000}"/>
    <cellStyle name="Note 12 2" xfId="4550" xr:uid="{00000000-0005-0000-0000-0000465E0000}"/>
    <cellStyle name="Note 12 2 2" xfId="12529" xr:uid="{00000000-0005-0000-0000-0000475E0000}"/>
    <cellStyle name="Note 12 2 2 2" xfId="23817" xr:uid="{00000000-0005-0000-0000-0000485E0000}"/>
    <cellStyle name="Note 12 2 3" xfId="10535" xr:uid="{00000000-0005-0000-0000-0000495E0000}"/>
    <cellStyle name="Note 12 2 3 2" xfId="21823" xr:uid="{00000000-0005-0000-0000-00004A5E0000}"/>
    <cellStyle name="Note 12 2 4" xfId="8541" xr:uid="{00000000-0005-0000-0000-00004B5E0000}"/>
    <cellStyle name="Note 12 2 4 2" xfId="19829" xr:uid="{00000000-0005-0000-0000-00004C5E0000}"/>
    <cellStyle name="Note 12 2 5" xfId="6547" xr:uid="{00000000-0005-0000-0000-00004D5E0000}"/>
    <cellStyle name="Note 12 2 5 2" xfId="17835" xr:uid="{00000000-0005-0000-0000-00004E5E0000}"/>
    <cellStyle name="Note 12 2 6" xfId="15841" xr:uid="{00000000-0005-0000-0000-00004F5E0000}"/>
    <cellStyle name="Note 12 2 7" xfId="24458" xr:uid="{00000000-0005-0000-0000-0000505E0000}"/>
    <cellStyle name="Note 12 2 8" xfId="24902" xr:uid="{00000000-0005-0000-0000-0000515E0000}"/>
    <cellStyle name="Note 12 2 9" xfId="25265" xr:uid="{00000000-0005-0000-0000-0000525E0000}"/>
    <cellStyle name="Note 12 3" xfId="11532" xr:uid="{00000000-0005-0000-0000-0000535E0000}"/>
    <cellStyle name="Note 12 3 2" xfId="22820" xr:uid="{00000000-0005-0000-0000-0000545E0000}"/>
    <cellStyle name="Note 12 4" xfId="9538" xr:uid="{00000000-0005-0000-0000-0000555E0000}"/>
    <cellStyle name="Note 12 4 2" xfId="20826" xr:uid="{00000000-0005-0000-0000-0000565E0000}"/>
    <cellStyle name="Note 12 5" xfId="7544" xr:uid="{00000000-0005-0000-0000-0000575E0000}"/>
    <cellStyle name="Note 12 5 2" xfId="18832" xr:uid="{00000000-0005-0000-0000-0000585E0000}"/>
    <cellStyle name="Note 12 6" xfId="5550" xr:uid="{00000000-0005-0000-0000-0000595E0000}"/>
    <cellStyle name="Note 12 6 2" xfId="16838" xr:uid="{00000000-0005-0000-0000-00005A5E0000}"/>
    <cellStyle name="Note 12 7" xfId="14844" xr:uid="{00000000-0005-0000-0000-00005B5E0000}"/>
    <cellStyle name="Note 12 8" xfId="13528" xr:uid="{00000000-0005-0000-0000-00005C5E0000}"/>
    <cellStyle name="Note 12 9" xfId="24187" xr:uid="{00000000-0005-0000-0000-00005D5E0000}"/>
    <cellStyle name="Note 13" xfId="3317" xr:uid="{00000000-0005-0000-0000-00005E5E0000}"/>
    <cellStyle name="Note 13 2" xfId="4551" xr:uid="{00000000-0005-0000-0000-00005F5E0000}"/>
    <cellStyle name="Note 13 2 2" xfId="12530" xr:uid="{00000000-0005-0000-0000-0000605E0000}"/>
    <cellStyle name="Note 13 2 2 2" xfId="23818" xr:uid="{00000000-0005-0000-0000-0000615E0000}"/>
    <cellStyle name="Note 13 2 3" xfId="10536" xr:uid="{00000000-0005-0000-0000-0000625E0000}"/>
    <cellStyle name="Note 13 2 3 2" xfId="21824" xr:uid="{00000000-0005-0000-0000-0000635E0000}"/>
    <cellStyle name="Note 13 2 4" xfId="8542" xr:uid="{00000000-0005-0000-0000-0000645E0000}"/>
    <cellStyle name="Note 13 2 4 2" xfId="19830" xr:uid="{00000000-0005-0000-0000-0000655E0000}"/>
    <cellStyle name="Note 13 2 5" xfId="6548" xr:uid="{00000000-0005-0000-0000-0000665E0000}"/>
    <cellStyle name="Note 13 2 5 2" xfId="17836" xr:uid="{00000000-0005-0000-0000-0000675E0000}"/>
    <cellStyle name="Note 13 2 6" xfId="15842" xr:uid="{00000000-0005-0000-0000-0000685E0000}"/>
    <cellStyle name="Note 13 3" xfId="11533" xr:uid="{00000000-0005-0000-0000-0000695E0000}"/>
    <cellStyle name="Note 13 3 2" xfId="22821" xr:uid="{00000000-0005-0000-0000-00006A5E0000}"/>
    <cellStyle name="Note 13 4" xfId="9539" xr:uid="{00000000-0005-0000-0000-00006B5E0000}"/>
    <cellStyle name="Note 13 4 2" xfId="20827" xr:uid="{00000000-0005-0000-0000-00006C5E0000}"/>
    <cellStyle name="Note 13 5" xfId="7545" xr:uid="{00000000-0005-0000-0000-00006D5E0000}"/>
    <cellStyle name="Note 13 5 2" xfId="18833" xr:uid="{00000000-0005-0000-0000-00006E5E0000}"/>
    <cellStyle name="Note 13 6" xfId="5551" xr:uid="{00000000-0005-0000-0000-00006F5E0000}"/>
    <cellStyle name="Note 13 6 2" xfId="16839" xr:uid="{00000000-0005-0000-0000-0000705E0000}"/>
    <cellStyle name="Note 13 7" xfId="14845" xr:uid="{00000000-0005-0000-0000-0000715E0000}"/>
    <cellStyle name="Note 13 8" xfId="13529" xr:uid="{00000000-0005-0000-0000-0000725E0000}"/>
    <cellStyle name="Note 14" xfId="3318" xr:uid="{00000000-0005-0000-0000-0000735E0000}"/>
    <cellStyle name="Note 14 2" xfId="4552" xr:uid="{00000000-0005-0000-0000-0000745E0000}"/>
    <cellStyle name="Note 14 2 2" xfId="12531" xr:uid="{00000000-0005-0000-0000-0000755E0000}"/>
    <cellStyle name="Note 14 2 2 2" xfId="23819" xr:uid="{00000000-0005-0000-0000-0000765E0000}"/>
    <cellStyle name="Note 14 2 3" xfId="10537" xr:uid="{00000000-0005-0000-0000-0000775E0000}"/>
    <cellStyle name="Note 14 2 3 2" xfId="21825" xr:uid="{00000000-0005-0000-0000-0000785E0000}"/>
    <cellStyle name="Note 14 2 4" xfId="8543" xr:uid="{00000000-0005-0000-0000-0000795E0000}"/>
    <cellStyle name="Note 14 2 4 2" xfId="19831" xr:uid="{00000000-0005-0000-0000-00007A5E0000}"/>
    <cellStyle name="Note 14 2 5" xfId="6549" xr:uid="{00000000-0005-0000-0000-00007B5E0000}"/>
    <cellStyle name="Note 14 2 5 2" xfId="17837" xr:uid="{00000000-0005-0000-0000-00007C5E0000}"/>
    <cellStyle name="Note 14 2 6" xfId="15843" xr:uid="{00000000-0005-0000-0000-00007D5E0000}"/>
    <cellStyle name="Note 14 3" xfId="11534" xr:uid="{00000000-0005-0000-0000-00007E5E0000}"/>
    <cellStyle name="Note 14 3 2" xfId="22822" xr:uid="{00000000-0005-0000-0000-00007F5E0000}"/>
    <cellStyle name="Note 14 4" xfId="9540" xr:uid="{00000000-0005-0000-0000-0000805E0000}"/>
    <cellStyle name="Note 14 4 2" xfId="20828" xr:uid="{00000000-0005-0000-0000-0000815E0000}"/>
    <cellStyle name="Note 14 5" xfId="7546" xr:uid="{00000000-0005-0000-0000-0000825E0000}"/>
    <cellStyle name="Note 14 5 2" xfId="18834" xr:uid="{00000000-0005-0000-0000-0000835E0000}"/>
    <cellStyle name="Note 14 6" xfId="5552" xr:uid="{00000000-0005-0000-0000-0000845E0000}"/>
    <cellStyle name="Note 14 6 2" xfId="16840" xr:uid="{00000000-0005-0000-0000-0000855E0000}"/>
    <cellStyle name="Note 14 7" xfId="14846" xr:uid="{00000000-0005-0000-0000-0000865E0000}"/>
    <cellStyle name="Note 14 8" xfId="13530" xr:uid="{00000000-0005-0000-0000-0000875E0000}"/>
    <cellStyle name="Note 15" xfId="3319" xr:uid="{00000000-0005-0000-0000-0000885E0000}"/>
    <cellStyle name="Note 15 2" xfId="4553" xr:uid="{00000000-0005-0000-0000-0000895E0000}"/>
    <cellStyle name="Note 15 2 2" xfId="12532" xr:uid="{00000000-0005-0000-0000-00008A5E0000}"/>
    <cellStyle name="Note 15 2 2 2" xfId="23820" xr:uid="{00000000-0005-0000-0000-00008B5E0000}"/>
    <cellStyle name="Note 15 2 3" xfId="10538" xr:uid="{00000000-0005-0000-0000-00008C5E0000}"/>
    <cellStyle name="Note 15 2 3 2" xfId="21826" xr:uid="{00000000-0005-0000-0000-00008D5E0000}"/>
    <cellStyle name="Note 15 2 4" xfId="8544" xr:uid="{00000000-0005-0000-0000-00008E5E0000}"/>
    <cellStyle name="Note 15 2 4 2" xfId="19832" xr:uid="{00000000-0005-0000-0000-00008F5E0000}"/>
    <cellStyle name="Note 15 2 5" xfId="6550" xr:uid="{00000000-0005-0000-0000-0000905E0000}"/>
    <cellStyle name="Note 15 2 5 2" xfId="17838" xr:uid="{00000000-0005-0000-0000-0000915E0000}"/>
    <cellStyle name="Note 15 2 6" xfId="15844" xr:uid="{00000000-0005-0000-0000-0000925E0000}"/>
    <cellStyle name="Note 15 3" xfId="11535" xr:uid="{00000000-0005-0000-0000-0000935E0000}"/>
    <cellStyle name="Note 15 3 2" xfId="22823" xr:uid="{00000000-0005-0000-0000-0000945E0000}"/>
    <cellStyle name="Note 15 4" xfId="9541" xr:uid="{00000000-0005-0000-0000-0000955E0000}"/>
    <cellStyle name="Note 15 4 2" xfId="20829" xr:uid="{00000000-0005-0000-0000-0000965E0000}"/>
    <cellStyle name="Note 15 5" xfId="7547" xr:uid="{00000000-0005-0000-0000-0000975E0000}"/>
    <cellStyle name="Note 15 5 2" xfId="18835" xr:uid="{00000000-0005-0000-0000-0000985E0000}"/>
    <cellStyle name="Note 15 6" xfId="5553" xr:uid="{00000000-0005-0000-0000-0000995E0000}"/>
    <cellStyle name="Note 15 6 2" xfId="16841" xr:uid="{00000000-0005-0000-0000-00009A5E0000}"/>
    <cellStyle name="Note 15 7" xfId="14847" xr:uid="{00000000-0005-0000-0000-00009B5E0000}"/>
    <cellStyle name="Note 15 8" xfId="13531" xr:uid="{00000000-0005-0000-0000-00009C5E0000}"/>
    <cellStyle name="Note 16" xfId="3320" xr:uid="{00000000-0005-0000-0000-00009D5E0000}"/>
    <cellStyle name="Note 16 2" xfId="4554" xr:uid="{00000000-0005-0000-0000-00009E5E0000}"/>
    <cellStyle name="Note 16 2 2" xfId="12533" xr:uid="{00000000-0005-0000-0000-00009F5E0000}"/>
    <cellStyle name="Note 16 2 2 2" xfId="23821" xr:uid="{00000000-0005-0000-0000-0000A05E0000}"/>
    <cellStyle name="Note 16 2 3" xfId="10539" xr:uid="{00000000-0005-0000-0000-0000A15E0000}"/>
    <cellStyle name="Note 16 2 3 2" xfId="21827" xr:uid="{00000000-0005-0000-0000-0000A25E0000}"/>
    <cellStyle name="Note 16 2 4" xfId="8545" xr:uid="{00000000-0005-0000-0000-0000A35E0000}"/>
    <cellStyle name="Note 16 2 4 2" xfId="19833" xr:uid="{00000000-0005-0000-0000-0000A45E0000}"/>
    <cellStyle name="Note 16 2 5" xfId="6551" xr:uid="{00000000-0005-0000-0000-0000A55E0000}"/>
    <cellStyle name="Note 16 2 5 2" xfId="17839" xr:uid="{00000000-0005-0000-0000-0000A65E0000}"/>
    <cellStyle name="Note 16 2 6" xfId="15845" xr:uid="{00000000-0005-0000-0000-0000A75E0000}"/>
    <cellStyle name="Note 16 3" xfId="11536" xr:uid="{00000000-0005-0000-0000-0000A85E0000}"/>
    <cellStyle name="Note 16 3 2" xfId="22824" xr:uid="{00000000-0005-0000-0000-0000A95E0000}"/>
    <cellStyle name="Note 16 4" xfId="9542" xr:uid="{00000000-0005-0000-0000-0000AA5E0000}"/>
    <cellStyle name="Note 16 4 2" xfId="20830" xr:uid="{00000000-0005-0000-0000-0000AB5E0000}"/>
    <cellStyle name="Note 16 5" xfId="7548" xr:uid="{00000000-0005-0000-0000-0000AC5E0000}"/>
    <cellStyle name="Note 16 5 2" xfId="18836" xr:uid="{00000000-0005-0000-0000-0000AD5E0000}"/>
    <cellStyle name="Note 16 6" xfId="5554" xr:uid="{00000000-0005-0000-0000-0000AE5E0000}"/>
    <cellStyle name="Note 16 6 2" xfId="16842" xr:uid="{00000000-0005-0000-0000-0000AF5E0000}"/>
    <cellStyle name="Note 16 7" xfId="14848" xr:uid="{00000000-0005-0000-0000-0000B05E0000}"/>
    <cellStyle name="Note 16 8" xfId="13532" xr:uid="{00000000-0005-0000-0000-0000B15E0000}"/>
    <cellStyle name="Note 17" xfId="3321" xr:uid="{00000000-0005-0000-0000-0000B25E0000}"/>
    <cellStyle name="Note 17 2" xfId="4555" xr:uid="{00000000-0005-0000-0000-0000B35E0000}"/>
    <cellStyle name="Note 17 2 2" xfId="12534" xr:uid="{00000000-0005-0000-0000-0000B45E0000}"/>
    <cellStyle name="Note 17 2 2 2" xfId="23822" xr:uid="{00000000-0005-0000-0000-0000B55E0000}"/>
    <cellStyle name="Note 17 2 3" xfId="10540" xr:uid="{00000000-0005-0000-0000-0000B65E0000}"/>
    <cellStyle name="Note 17 2 3 2" xfId="21828" xr:uid="{00000000-0005-0000-0000-0000B75E0000}"/>
    <cellStyle name="Note 17 2 4" xfId="8546" xr:uid="{00000000-0005-0000-0000-0000B85E0000}"/>
    <cellStyle name="Note 17 2 4 2" xfId="19834" xr:uid="{00000000-0005-0000-0000-0000B95E0000}"/>
    <cellStyle name="Note 17 2 5" xfId="6552" xr:uid="{00000000-0005-0000-0000-0000BA5E0000}"/>
    <cellStyle name="Note 17 2 5 2" xfId="17840" xr:uid="{00000000-0005-0000-0000-0000BB5E0000}"/>
    <cellStyle name="Note 17 2 6" xfId="15846" xr:uid="{00000000-0005-0000-0000-0000BC5E0000}"/>
    <cellStyle name="Note 17 3" xfId="11537" xr:uid="{00000000-0005-0000-0000-0000BD5E0000}"/>
    <cellStyle name="Note 17 3 2" xfId="22825" xr:uid="{00000000-0005-0000-0000-0000BE5E0000}"/>
    <cellStyle name="Note 17 4" xfId="9543" xr:uid="{00000000-0005-0000-0000-0000BF5E0000}"/>
    <cellStyle name="Note 17 4 2" xfId="20831" xr:uid="{00000000-0005-0000-0000-0000C05E0000}"/>
    <cellStyle name="Note 17 5" xfId="7549" xr:uid="{00000000-0005-0000-0000-0000C15E0000}"/>
    <cellStyle name="Note 17 5 2" xfId="18837" xr:uid="{00000000-0005-0000-0000-0000C25E0000}"/>
    <cellStyle name="Note 17 6" xfId="5555" xr:uid="{00000000-0005-0000-0000-0000C35E0000}"/>
    <cellStyle name="Note 17 6 2" xfId="16843" xr:uid="{00000000-0005-0000-0000-0000C45E0000}"/>
    <cellStyle name="Note 17 7" xfId="14849" xr:uid="{00000000-0005-0000-0000-0000C55E0000}"/>
    <cellStyle name="Note 17 8" xfId="13533" xr:uid="{00000000-0005-0000-0000-0000C65E0000}"/>
    <cellStyle name="Note 18" xfId="3322" xr:uid="{00000000-0005-0000-0000-0000C75E0000}"/>
    <cellStyle name="Note 18 2" xfId="4556" xr:uid="{00000000-0005-0000-0000-0000C85E0000}"/>
    <cellStyle name="Note 18 2 2" xfId="12535" xr:uid="{00000000-0005-0000-0000-0000C95E0000}"/>
    <cellStyle name="Note 18 2 2 2" xfId="23823" xr:uid="{00000000-0005-0000-0000-0000CA5E0000}"/>
    <cellStyle name="Note 18 2 3" xfId="10541" xr:uid="{00000000-0005-0000-0000-0000CB5E0000}"/>
    <cellStyle name="Note 18 2 3 2" xfId="21829" xr:uid="{00000000-0005-0000-0000-0000CC5E0000}"/>
    <cellStyle name="Note 18 2 4" xfId="8547" xr:uid="{00000000-0005-0000-0000-0000CD5E0000}"/>
    <cellStyle name="Note 18 2 4 2" xfId="19835" xr:uid="{00000000-0005-0000-0000-0000CE5E0000}"/>
    <cellStyle name="Note 18 2 5" xfId="6553" xr:uid="{00000000-0005-0000-0000-0000CF5E0000}"/>
    <cellStyle name="Note 18 2 5 2" xfId="17841" xr:uid="{00000000-0005-0000-0000-0000D05E0000}"/>
    <cellStyle name="Note 18 2 6" xfId="15847" xr:uid="{00000000-0005-0000-0000-0000D15E0000}"/>
    <cellStyle name="Note 18 3" xfId="11538" xr:uid="{00000000-0005-0000-0000-0000D25E0000}"/>
    <cellStyle name="Note 18 3 2" xfId="22826" xr:uid="{00000000-0005-0000-0000-0000D35E0000}"/>
    <cellStyle name="Note 18 4" xfId="9544" xr:uid="{00000000-0005-0000-0000-0000D45E0000}"/>
    <cellStyle name="Note 18 4 2" xfId="20832" xr:uid="{00000000-0005-0000-0000-0000D55E0000}"/>
    <cellStyle name="Note 18 5" xfId="7550" xr:uid="{00000000-0005-0000-0000-0000D65E0000}"/>
    <cellStyle name="Note 18 5 2" xfId="18838" xr:uid="{00000000-0005-0000-0000-0000D75E0000}"/>
    <cellStyle name="Note 18 6" xfId="5556" xr:uid="{00000000-0005-0000-0000-0000D85E0000}"/>
    <cellStyle name="Note 18 6 2" xfId="16844" xr:uid="{00000000-0005-0000-0000-0000D95E0000}"/>
    <cellStyle name="Note 18 7" xfId="14850" xr:uid="{00000000-0005-0000-0000-0000DA5E0000}"/>
    <cellStyle name="Note 18 8" xfId="13534" xr:uid="{00000000-0005-0000-0000-0000DB5E0000}"/>
    <cellStyle name="Note 19" xfId="3323" xr:uid="{00000000-0005-0000-0000-0000DC5E0000}"/>
    <cellStyle name="Note 19 2" xfId="4557" xr:uid="{00000000-0005-0000-0000-0000DD5E0000}"/>
    <cellStyle name="Note 19 2 2" xfId="12536" xr:uid="{00000000-0005-0000-0000-0000DE5E0000}"/>
    <cellStyle name="Note 19 2 2 2" xfId="23824" xr:uid="{00000000-0005-0000-0000-0000DF5E0000}"/>
    <cellStyle name="Note 19 2 3" xfId="10542" xr:uid="{00000000-0005-0000-0000-0000E05E0000}"/>
    <cellStyle name="Note 19 2 3 2" xfId="21830" xr:uid="{00000000-0005-0000-0000-0000E15E0000}"/>
    <cellStyle name="Note 19 2 4" xfId="8548" xr:uid="{00000000-0005-0000-0000-0000E25E0000}"/>
    <cellStyle name="Note 19 2 4 2" xfId="19836" xr:uid="{00000000-0005-0000-0000-0000E35E0000}"/>
    <cellStyle name="Note 19 2 5" xfId="6554" xr:uid="{00000000-0005-0000-0000-0000E45E0000}"/>
    <cellStyle name="Note 19 2 5 2" xfId="17842" xr:uid="{00000000-0005-0000-0000-0000E55E0000}"/>
    <cellStyle name="Note 19 2 6" xfId="15848" xr:uid="{00000000-0005-0000-0000-0000E65E0000}"/>
    <cellStyle name="Note 19 3" xfId="11539" xr:uid="{00000000-0005-0000-0000-0000E75E0000}"/>
    <cellStyle name="Note 19 3 2" xfId="22827" xr:uid="{00000000-0005-0000-0000-0000E85E0000}"/>
    <cellStyle name="Note 19 4" xfId="9545" xr:uid="{00000000-0005-0000-0000-0000E95E0000}"/>
    <cellStyle name="Note 19 4 2" xfId="20833" xr:uid="{00000000-0005-0000-0000-0000EA5E0000}"/>
    <cellStyle name="Note 19 5" xfId="7551" xr:uid="{00000000-0005-0000-0000-0000EB5E0000}"/>
    <cellStyle name="Note 19 5 2" xfId="18839" xr:uid="{00000000-0005-0000-0000-0000EC5E0000}"/>
    <cellStyle name="Note 19 6" xfId="5557" xr:uid="{00000000-0005-0000-0000-0000ED5E0000}"/>
    <cellStyle name="Note 19 6 2" xfId="16845" xr:uid="{00000000-0005-0000-0000-0000EE5E0000}"/>
    <cellStyle name="Note 19 7" xfId="14851" xr:uid="{00000000-0005-0000-0000-0000EF5E0000}"/>
    <cellStyle name="Note 19 8" xfId="13535" xr:uid="{00000000-0005-0000-0000-0000F05E0000}"/>
    <cellStyle name="Note 2" xfId="3324" xr:uid="{00000000-0005-0000-0000-0000F15E0000}"/>
    <cellStyle name="Note 2 10" xfId="25072" xr:uid="{00000000-0005-0000-0000-0000F25E0000}"/>
    <cellStyle name="Note 2 10 2" xfId="25396" xr:uid="{00000000-0005-0000-0000-0000F35E0000}"/>
    <cellStyle name="Note 2 10 2 2" xfId="27550" xr:uid="{00000000-0005-0000-0000-0000F45E0000}"/>
    <cellStyle name="Note 2 10 2 2 2" xfId="32141" xr:uid="{ED795074-B4B2-4DEB-9864-3BEC659C2323}"/>
    <cellStyle name="Note 2 10 2 3" xfId="26995" xr:uid="{00000000-0005-0000-0000-0000F55E0000}"/>
    <cellStyle name="Note 2 10 2 3 2" xfId="31756" xr:uid="{E3ED3DC2-EA43-4EDA-B768-D85FFEA8460A}"/>
    <cellStyle name="Note 2 10 2 4" xfId="27022" xr:uid="{00000000-0005-0000-0000-0000F65E0000}"/>
    <cellStyle name="Note 2 10 2 4 2" xfId="31782" xr:uid="{95DD3BD0-AADC-42A6-8647-9EE1F767CE7A}"/>
    <cellStyle name="Note 2 10 2 5" xfId="29314" xr:uid="{00000000-0005-0000-0000-0000F75E0000}"/>
    <cellStyle name="Note 2 10 2 5 2" xfId="33279" xr:uid="{12A2F255-3763-427C-B3D1-D51101DB3453}"/>
    <cellStyle name="Note 2 10 2 6" xfId="30554" xr:uid="{DB5B7E35-8A43-4EB6-8AC8-D2C86280612A}"/>
    <cellStyle name="Note 2 10 3" xfId="25676" xr:uid="{00000000-0005-0000-0000-0000F85E0000}"/>
    <cellStyle name="Note 2 10 3 2" xfId="27829" xr:uid="{00000000-0005-0000-0000-0000F95E0000}"/>
    <cellStyle name="Note 2 10 3 2 2" xfId="32416" xr:uid="{803D59E6-E361-4913-97AB-1E2382A01DEC}"/>
    <cellStyle name="Note 2 10 3 3" xfId="26488" xr:uid="{00000000-0005-0000-0000-0000FA5E0000}"/>
    <cellStyle name="Note 2 10 3 3 2" xfId="31276" xr:uid="{E7654906-ECE5-41D5-B07C-7C34E53F33AB}"/>
    <cellStyle name="Note 2 10 3 4" xfId="26208" xr:uid="{00000000-0005-0000-0000-0000FB5E0000}"/>
    <cellStyle name="Note 2 10 3 4 2" xfId="30996" xr:uid="{BE4F8778-6736-43B5-9773-1266BE68FD56}"/>
    <cellStyle name="Note 2 10 3 5" xfId="29313" xr:uid="{00000000-0005-0000-0000-0000FC5E0000}"/>
    <cellStyle name="Note 2 10 3 5 2" xfId="33278" xr:uid="{AE71FB73-1C04-4406-9E95-AC8B3CC87E05}"/>
    <cellStyle name="Note 2 10 3 6" xfId="30670" xr:uid="{2A5ECE81-5927-460E-B513-2404887CCA4E}"/>
    <cellStyle name="Note 2 10 4" xfId="27363" xr:uid="{00000000-0005-0000-0000-0000FD5E0000}"/>
    <cellStyle name="Note 2 10 4 2" xfId="31961" xr:uid="{65D60B22-CBB4-400A-AC3A-2DED091C8A2B}"/>
    <cellStyle name="Note 2 10 5" xfId="26412" xr:uid="{00000000-0005-0000-0000-0000FE5E0000}"/>
    <cellStyle name="Note 2 10 5 2" xfId="31200" xr:uid="{23F341C7-712E-4D2C-AE5B-DE6A4243D440}"/>
    <cellStyle name="Note 2 10 6" xfId="26234" xr:uid="{00000000-0005-0000-0000-0000FF5E0000}"/>
    <cellStyle name="Note 2 10 6 2" xfId="31022" xr:uid="{95B47169-799D-4793-816C-844DDB67347E}"/>
    <cellStyle name="Note 2 10 7" xfId="29315" xr:uid="{00000000-0005-0000-0000-0000005F0000}"/>
    <cellStyle name="Note 2 10 7 2" xfId="33280" xr:uid="{E52D3C94-8A03-47EC-B69C-65D064DE55EF}"/>
    <cellStyle name="Note 2 10 8" xfId="30378" xr:uid="{67981270-B86C-4BCD-A34E-12A5DE36C781}"/>
    <cellStyle name="Note 2 2" xfId="4558" xr:uid="{00000000-0005-0000-0000-0000015F0000}"/>
    <cellStyle name="Note 2 2 2" xfId="12537" xr:uid="{00000000-0005-0000-0000-0000025F0000}"/>
    <cellStyle name="Note 2 2 2 2" xfId="23825" xr:uid="{00000000-0005-0000-0000-0000035F0000}"/>
    <cellStyle name="Note 2 2 3" xfId="10543" xr:uid="{00000000-0005-0000-0000-0000045F0000}"/>
    <cellStyle name="Note 2 2 3 2" xfId="21831" xr:uid="{00000000-0005-0000-0000-0000055F0000}"/>
    <cellStyle name="Note 2 2 4" xfId="8549" xr:uid="{00000000-0005-0000-0000-0000065F0000}"/>
    <cellStyle name="Note 2 2 4 2" xfId="19837" xr:uid="{00000000-0005-0000-0000-0000075F0000}"/>
    <cellStyle name="Note 2 2 5" xfId="6555" xr:uid="{00000000-0005-0000-0000-0000085F0000}"/>
    <cellStyle name="Note 2 2 5 2" xfId="17843" xr:uid="{00000000-0005-0000-0000-0000095F0000}"/>
    <cellStyle name="Note 2 2 6" xfId="15849" xr:uid="{00000000-0005-0000-0000-00000A5F0000}"/>
    <cellStyle name="Note 2 2 7" xfId="24189" xr:uid="{00000000-0005-0000-0000-00000B5F0000}"/>
    <cellStyle name="Note 2 2 7 2" xfId="25413" xr:uid="{00000000-0005-0000-0000-00000C5F0000}"/>
    <cellStyle name="Note 2 2 7 2 2" xfId="27567" xr:uid="{00000000-0005-0000-0000-00000D5F0000}"/>
    <cellStyle name="Note 2 2 7 2 2 2" xfId="32158" xr:uid="{169D7C43-7A16-489C-9055-F5928126142E}"/>
    <cellStyle name="Note 2 2 7 2 3" xfId="26449" xr:uid="{00000000-0005-0000-0000-00000E5F0000}"/>
    <cellStyle name="Note 2 2 7 2 3 2" xfId="31237" xr:uid="{7A97FE70-2EF5-4225-BBF2-314E19A2FB53}"/>
    <cellStyle name="Note 2 2 7 2 4" xfId="26692" xr:uid="{00000000-0005-0000-0000-00000F5F0000}"/>
    <cellStyle name="Note 2 2 7 2 4 2" xfId="31454" xr:uid="{EC1FEF2A-F609-4CC8-B19E-2820CFD460B4}"/>
    <cellStyle name="Note 2 2 7 2 5" xfId="29311" xr:uid="{00000000-0005-0000-0000-0000105F0000}"/>
    <cellStyle name="Note 2 2 7 2 5 2" xfId="33276" xr:uid="{0BEE830D-C87E-43CF-A79B-1800BE0F3648}"/>
    <cellStyle name="Note 2 2 7 2 6" xfId="30571" xr:uid="{E4C56B17-1813-48AC-BEE6-9B19141E1375}"/>
    <cellStyle name="Note 2 2 7 3" xfId="25564" xr:uid="{00000000-0005-0000-0000-0000115F0000}"/>
    <cellStyle name="Note 2 2 7 3 2" xfId="27717" xr:uid="{00000000-0005-0000-0000-0000125F0000}"/>
    <cellStyle name="Note 2 2 7 3 2 2" xfId="32304" xr:uid="{432BFCAB-7922-44BD-938F-95BBE0249034}"/>
    <cellStyle name="Note 2 2 7 3 3" xfId="26725" xr:uid="{00000000-0005-0000-0000-0000135F0000}"/>
    <cellStyle name="Note 2 2 7 3 3 2" xfId="31486" xr:uid="{F163B9E1-29DA-4E41-81D9-C9582A11C23A}"/>
    <cellStyle name="Note 2 2 7 3 4" xfId="26483" xr:uid="{00000000-0005-0000-0000-0000145F0000}"/>
    <cellStyle name="Note 2 2 7 3 4 2" xfId="31271" xr:uid="{2648E547-47F7-4FE0-AB43-3B4CB4A483E4}"/>
    <cellStyle name="Note 2 2 7 3 5" xfId="29310" xr:uid="{00000000-0005-0000-0000-0000155F0000}"/>
    <cellStyle name="Note 2 2 7 3 5 2" xfId="33275" xr:uid="{1F0ED3A2-0841-4A8B-AFE0-122FA7EAB477}"/>
    <cellStyle name="Note 2 2 7 3 6" xfId="30621" xr:uid="{B54B5947-01C3-4320-827A-4170B89D4A2E}"/>
    <cellStyle name="Note 2 2 7 4" xfId="27089" xr:uid="{00000000-0005-0000-0000-0000165F0000}"/>
    <cellStyle name="Note 2 2 7 4 2" xfId="31813" xr:uid="{3C2F7081-3DAC-452E-B2C9-67543035D0DE}"/>
    <cellStyle name="Note 2 2 7 5" xfId="26967" xr:uid="{00000000-0005-0000-0000-0000175F0000}"/>
    <cellStyle name="Note 2 2 7 5 2" xfId="31728" xr:uid="{7A6AC54E-225A-456C-A992-255426DC1D3A}"/>
    <cellStyle name="Note 2 2 7 6" xfId="26787" xr:uid="{00000000-0005-0000-0000-0000185F0000}"/>
    <cellStyle name="Note 2 2 7 6 2" xfId="31548" xr:uid="{7368A84E-74F8-42A5-866A-141DCF4E1C55}"/>
    <cellStyle name="Note 2 2 7 7" xfId="29312" xr:uid="{00000000-0005-0000-0000-0000195F0000}"/>
    <cellStyle name="Note 2 2 7 7 2" xfId="33277" xr:uid="{4A48E003-899A-4635-A0EE-908E495A489C}"/>
    <cellStyle name="Note 2 2 7 8" xfId="30266" xr:uid="{A8C89ABE-37AC-43B4-A160-C6171A84BDCD}"/>
    <cellStyle name="Note 2 2 8" xfId="25073" xr:uid="{00000000-0005-0000-0000-00001A5F0000}"/>
    <cellStyle name="Note 2 2 8 2" xfId="25305" xr:uid="{00000000-0005-0000-0000-00001B5F0000}"/>
    <cellStyle name="Note 2 2 8 2 2" xfId="27459" xr:uid="{00000000-0005-0000-0000-00001C5F0000}"/>
    <cellStyle name="Note 2 2 8 2 2 2" xfId="32051" xr:uid="{7E7D7BC4-4FF5-4124-A7EB-41943EB6FC6F}"/>
    <cellStyle name="Note 2 2 8 2 3" xfId="26276" xr:uid="{00000000-0005-0000-0000-00001D5F0000}"/>
    <cellStyle name="Note 2 2 8 2 3 2" xfId="31064" xr:uid="{E2F65BB5-69C2-43D6-93D5-FBFE9ECA6728}"/>
    <cellStyle name="Note 2 2 8 2 4" xfId="26501" xr:uid="{00000000-0005-0000-0000-00001E5F0000}"/>
    <cellStyle name="Note 2 2 8 2 4 2" xfId="31289" xr:uid="{E8F2CDAF-71DF-41A5-AA52-50FAD1FA1604}"/>
    <cellStyle name="Note 2 2 8 2 5" xfId="29308" xr:uid="{00000000-0005-0000-0000-00001F5F0000}"/>
    <cellStyle name="Note 2 2 8 2 5 2" xfId="33273" xr:uid="{9502271A-FC77-450B-8BC6-57FECE1FD012}"/>
    <cellStyle name="Note 2 2 8 2 6" xfId="30464" xr:uid="{ED1A8589-C2DD-4525-ABA0-58B9E98F5659}"/>
    <cellStyle name="Note 2 2 8 3" xfId="25677" xr:uid="{00000000-0005-0000-0000-0000205F0000}"/>
    <cellStyle name="Note 2 2 8 3 2" xfId="27830" xr:uid="{00000000-0005-0000-0000-0000215F0000}"/>
    <cellStyle name="Note 2 2 8 3 2 2" xfId="32417" xr:uid="{660D9830-CD92-42FD-8F1B-3A0F9D88FEBD}"/>
    <cellStyle name="Note 2 2 8 3 3" xfId="26871" xr:uid="{00000000-0005-0000-0000-0000225F0000}"/>
    <cellStyle name="Note 2 2 8 3 3 2" xfId="31632" xr:uid="{F444B97D-740D-4D3D-BFA5-35257F062E93}"/>
    <cellStyle name="Note 2 2 8 3 4" xfId="26439" xr:uid="{00000000-0005-0000-0000-0000235F0000}"/>
    <cellStyle name="Note 2 2 8 3 4 2" xfId="31227" xr:uid="{9E32C757-93CD-45CF-805A-EF9C37E64678}"/>
    <cellStyle name="Note 2 2 8 3 5" xfId="29307" xr:uid="{00000000-0005-0000-0000-0000245F0000}"/>
    <cellStyle name="Note 2 2 8 3 5 2" xfId="33272" xr:uid="{BC2B08EC-FC95-4850-953F-262B9AF9911F}"/>
    <cellStyle name="Note 2 2 8 3 6" xfId="30671" xr:uid="{1AEB03C2-F7E1-41A8-B6CD-D9D9FE73473C}"/>
    <cellStyle name="Note 2 2 8 4" xfId="27364" xr:uid="{00000000-0005-0000-0000-0000255F0000}"/>
    <cellStyle name="Note 2 2 8 4 2" xfId="31962" xr:uid="{11C8F833-72BE-4190-A28D-D7173BBC7D9C}"/>
    <cellStyle name="Note 2 2 8 5" xfId="26802" xr:uid="{00000000-0005-0000-0000-0000265F0000}"/>
    <cellStyle name="Note 2 2 8 5 2" xfId="31563" xr:uid="{158345EE-2391-4F34-8E83-E268C7A71CD1}"/>
    <cellStyle name="Note 2 2 8 6" xfId="26854" xr:uid="{00000000-0005-0000-0000-0000275F0000}"/>
    <cellStyle name="Note 2 2 8 6 2" xfId="31615" xr:uid="{A56DD33B-52FF-4AD4-9133-822FED9FF235}"/>
    <cellStyle name="Note 2 2 8 7" xfId="29309" xr:uid="{00000000-0005-0000-0000-0000285F0000}"/>
    <cellStyle name="Note 2 2 8 7 2" xfId="33274" xr:uid="{12E43B7D-1D4F-490D-B6A0-773843719E12}"/>
    <cellStyle name="Note 2 2 8 8" xfId="30379" xr:uid="{018F3373-B5F4-4D1B-AEF7-889B9FC86EA8}"/>
    <cellStyle name="Note 2 3" xfId="11540" xr:uid="{00000000-0005-0000-0000-0000295F0000}"/>
    <cellStyle name="Note 2 3 2" xfId="22828" xr:uid="{00000000-0005-0000-0000-00002A5F0000}"/>
    <cellStyle name="Note 2 4" xfId="9546" xr:uid="{00000000-0005-0000-0000-00002B5F0000}"/>
    <cellStyle name="Note 2 4 2" xfId="20834" xr:uid="{00000000-0005-0000-0000-00002C5F0000}"/>
    <cellStyle name="Note 2 5" xfId="7552" xr:uid="{00000000-0005-0000-0000-00002D5F0000}"/>
    <cellStyle name="Note 2 5 2" xfId="18840" xr:uid="{00000000-0005-0000-0000-00002E5F0000}"/>
    <cellStyle name="Note 2 6" xfId="5558" xr:uid="{00000000-0005-0000-0000-00002F5F0000}"/>
    <cellStyle name="Note 2 6 2" xfId="16846" xr:uid="{00000000-0005-0000-0000-0000305F0000}"/>
    <cellStyle name="Note 2 7" xfId="14852" xr:uid="{00000000-0005-0000-0000-0000315F0000}"/>
    <cellStyle name="Note 2 8" xfId="13536" xr:uid="{00000000-0005-0000-0000-0000325F0000}"/>
    <cellStyle name="Note 2 9" xfId="24188" xr:uid="{00000000-0005-0000-0000-0000335F0000}"/>
    <cellStyle name="Note 2 9 2" xfId="25311" xr:uid="{00000000-0005-0000-0000-0000345F0000}"/>
    <cellStyle name="Note 2 9 2 2" xfId="27465" xr:uid="{00000000-0005-0000-0000-0000355F0000}"/>
    <cellStyle name="Note 2 9 2 2 2" xfId="32057" xr:uid="{75138C7E-A1CF-4881-A064-E8B5D64E8FAA}"/>
    <cellStyle name="Note 2 9 2 3" xfId="26837" xr:uid="{00000000-0005-0000-0000-0000365F0000}"/>
    <cellStyle name="Note 2 9 2 3 2" xfId="31598" xr:uid="{3D56A009-D419-402E-81FD-EC1F04BBE60A}"/>
    <cellStyle name="Note 2 9 2 4" xfId="26293" xr:uid="{00000000-0005-0000-0000-0000375F0000}"/>
    <cellStyle name="Note 2 9 2 4 2" xfId="31081" xr:uid="{55896BA1-B9F8-41FB-B1D7-1F6E32C4E237}"/>
    <cellStyle name="Note 2 9 2 5" xfId="29305" xr:uid="{00000000-0005-0000-0000-0000385F0000}"/>
    <cellStyle name="Note 2 9 2 5 2" xfId="33270" xr:uid="{6938A78F-400E-4825-8311-48C0CB394A15}"/>
    <cellStyle name="Note 2 9 2 6" xfId="30470" xr:uid="{4572FE7E-DF9D-4393-9A56-2C5BEFF59353}"/>
    <cellStyle name="Note 2 9 3" xfId="25563" xr:uid="{00000000-0005-0000-0000-0000395F0000}"/>
    <cellStyle name="Note 2 9 3 2" xfId="27716" xr:uid="{00000000-0005-0000-0000-00003A5F0000}"/>
    <cellStyle name="Note 2 9 3 2 2" xfId="32303" xr:uid="{8239A794-E344-4343-A163-EEF6AB8FA92C}"/>
    <cellStyle name="Note 2 9 3 3" xfId="26310" xr:uid="{00000000-0005-0000-0000-00003B5F0000}"/>
    <cellStyle name="Note 2 9 3 3 2" xfId="31098" xr:uid="{CC66EC9F-1811-42EF-82D3-C9F0568470E9}"/>
    <cellStyle name="Note 2 9 3 4" xfId="26463" xr:uid="{00000000-0005-0000-0000-00003C5F0000}"/>
    <cellStyle name="Note 2 9 3 4 2" xfId="31251" xr:uid="{DF6CBA9F-FD3E-440E-A9C7-59B340C8F2FE}"/>
    <cellStyle name="Note 2 9 3 5" xfId="29304" xr:uid="{00000000-0005-0000-0000-00003D5F0000}"/>
    <cellStyle name="Note 2 9 3 5 2" xfId="33269" xr:uid="{3B2C4CC9-886B-4FAC-9C32-AFA20D0CA4ED}"/>
    <cellStyle name="Note 2 9 3 6" xfId="30620" xr:uid="{F66AB64F-E090-4EB6-AA97-C7972D739FDA}"/>
    <cellStyle name="Note 2 9 4" xfId="27088" xr:uid="{00000000-0005-0000-0000-00003E5F0000}"/>
    <cellStyle name="Note 2 9 4 2" xfId="31812" xr:uid="{7E355FD8-1B45-4CB2-A37C-2AF3611778D5}"/>
    <cellStyle name="Note 2 9 5" xfId="26236" xr:uid="{00000000-0005-0000-0000-00003F5F0000}"/>
    <cellStyle name="Note 2 9 5 2" xfId="31024" xr:uid="{8DAA8540-B2FD-4BD6-B7C7-215B2DE70E36}"/>
    <cellStyle name="Note 2 9 6" xfId="26328" xr:uid="{00000000-0005-0000-0000-0000405F0000}"/>
    <cellStyle name="Note 2 9 6 2" xfId="31116" xr:uid="{9C6DF302-F321-49B8-B606-9806BF2E6D01}"/>
    <cellStyle name="Note 2 9 7" xfId="29306" xr:uid="{00000000-0005-0000-0000-0000415F0000}"/>
    <cellStyle name="Note 2 9 7 2" xfId="33271" xr:uid="{8107E51A-3AC4-4C7C-A01C-75FBB883564B}"/>
    <cellStyle name="Note 2 9 8" xfId="30265" xr:uid="{E0763D03-A217-4FF4-8735-C4249CDD5A2E}"/>
    <cellStyle name="Note 20" xfId="3325" xr:uid="{00000000-0005-0000-0000-0000425F0000}"/>
    <cellStyle name="Note 20 2" xfId="4559" xr:uid="{00000000-0005-0000-0000-0000435F0000}"/>
    <cellStyle name="Note 20 2 2" xfId="12538" xr:uid="{00000000-0005-0000-0000-0000445F0000}"/>
    <cellStyle name="Note 20 2 2 2" xfId="23826" xr:uid="{00000000-0005-0000-0000-0000455F0000}"/>
    <cellStyle name="Note 20 2 3" xfId="10544" xr:uid="{00000000-0005-0000-0000-0000465F0000}"/>
    <cellStyle name="Note 20 2 3 2" xfId="21832" xr:uid="{00000000-0005-0000-0000-0000475F0000}"/>
    <cellStyle name="Note 20 2 4" xfId="8550" xr:uid="{00000000-0005-0000-0000-0000485F0000}"/>
    <cellStyle name="Note 20 2 4 2" xfId="19838" xr:uid="{00000000-0005-0000-0000-0000495F0000}"/>
    <cellStyle name="Note 20 2 5" xfId="6556" xr:uid="{00000000-0005-0000-0000-00004A5F0000}"/>
    <cellStyle name="Note 20 2 5 2" xfId="17844" xr:uid="{00000000-0005-0000-0000-00004B5F0000}"/>
    <cellStyle name="Note 20 2 6" xfId="15850" xr:uid="{00000000-0005-0000-0000-00004C5F0000}"/>
    <cellStyle name="Note 20 3" xfId="11541" xr:uid="{00000000-0005-0000-0000-00004D5F0000}"/>
    <cellStyle name="Note 20 3 2" xfId="22829" xr:uid="{00000000-0005-0000-0000-00004E5F0000}"/>
    <cellStyle name="Note 20 4" xfId="9547" xr:uid="{00000000-0005-0000-0000-00004F5F0000}"/>
    <cellStyle name="Note 20 4 2" xfId="20835" xr:uid="{00000000-0005-0000-0000-0000505F0000}"/>
    <cellStyle name="Note 20 5" xfId="7553" xr:uid="{00000000-0005-0000-0000-0000515F0000}"/>
    <cellStyle name="Note 20 5 2" xfId="18841" xr:uid="{00000000-0005-0000-0000-0000525F0000}"/>
    <cellStyle name="Note 20 6" xfId="5559" xr:uid="{00000000-0005-0000-0000-0000535F0000}"/>
    <cellStyle name="Note 20 6 2" xfId="16847" xr:uid="{00000000-0005-0000-0000-0000545F0000}"/>
    <cellStyle name="Note 20 7" xfId="14853" xr:uid="{00000000-0005-0000-0000-0000555F0000}"/>
    <cellStyle name="Note 20 8" xfId="13537" xr:uid="{00000000-0005-0000-0000-0000565F0000}"/>
    <cellStyle name="Note 21" xfId="3326" xr:uid="{00000000-0005-0000-0000-0000575F0000}"/>
    <cellStyle name="Note 21 2" xfId="4560" xr:uid="{00000000-0005-0000-0000-0000585F0000}"/>
    <cellStyle name="Note 21 2 2" xfId="12539" xr:uid="{00000000-0005-0000-0000-0000595F0000}"/>
    <cellStyle name="Note 21 2 2 2" xfId="23827" xr:uid="{00000000-0005-0000-0000-00005A5F0000}"/>
    <cellStyle name="Note 21 2 3" xfId="10545" xr:uid="{00000000-0005-0000-0000-00005B5F0000}"/>
    <cellStyle name="Note 21 2 3 2" xfId="21833" xr:uid="{00000000-0005-0000-0000-00005C5F0000}"/>
    <cellStyle name="Note 21 2 4" xfId="8551" xr:uid="{00000000-0005-0000-0000-00005D5F0000}"/>
    <cellStyle name="Note 21 2 4 2" xfId="19839" xr:uid="{00000000-0005-0000-0000-00005E5F0000}"/>
    <cellStyle name="Note 21 2 5" xfId="6557" xr:uid="{00000000-0005-0000-0000-00005F5F0000}"/>
    <cellStyle name="Note 21 2 5 2" xfId="17845" xr:uid="{00000000-0005-0000-0000-0000605F0000}"/>
    <cellStyle name="Note 21 2 6" xfId="15851" xr:uid="{00000000-0005-0000-0000-0000615F0000}"/>
    <cellStyle name="Note 21 3" xfId="11542" xr:uid="{00000000-0005-0000-0000-0000625F0000}"/>
    <cellStyle name="Note 21 3 2" xfId="22830" xr:uid="{00000000-0005-0000-0000-0000635F0000}"/>
    <cellStyle name="Note 21 4" xfId="9548" xr:uid="{00000000-0005-0000-0000-0000645F0000}"/>
    <cellStyle name="Note 21 4 2" xfId="20836" xr:uid="{00000000-0005-0000-0000-0000655F0000}"/>
    <cellStyle name="Note 21 5" xfId="7554" xr:uid="{00000000-0005-0000-0000-0000665F0000}"/>
    <cellStyle name="Note 21 5 2" xfId="18842" xr:uid="{00000000-0005-0000-0000-0000675F0000}"/>
    <cellStyle name="Note 21 6" xfId="5560" xr:uid="{00000000-0005-0000-0000-0000685F0000}"/>
    <cellStyle name="Note 21 6 2" xfId="16848" xr:uid="{00000000-0005-0000-0000-0000695F0000}"/>
    <cellStyle name="Note 21 7" xfId="14854" xr:uid="{00000000-0005-0000-0000-00006A5F0000}"/>
    <cellStyle name="Note 21 8" xfId="13538" xr:uid="{00000000-0005-0000-0000-00006B5F0000}"/>
    <cellStyle name="Note 22" xfId="3327" xr:uid="{00000000-0005-0000-0000-00006C5F0000}"/>
    <cellStyle name="Note 22 2" xfId="4561" xr:uid="{00000000-0005-0000-0000-00006D5F0000}"/>
    <cellStyle name="Note 22 2 2" xfId="12540" xr:uid="{00000000-0005-0000-0000-00006E5F0000}"/>
    <cellStyle name="Note 22 2 2 2" xfId="23828" xr:uid="{00000000-0005-0000-0000-00006F5F0000}"/>
    <cellStyle name="Note 22 2 3" xfId="10546" xr:uid="{00000000-0005-0000-0000-0000705F0000}"/>
    <cellStyle name="Note 22 2 3 2" xfId="21834" xr:uid="{00000000-0005-0000-0000-0000715F0000}"/>
    <cellStyle name="Note 22 2 4" xfId="8552" xr:uid="{00000000-0005-0000-0000-0000725F0000}"/>
    <cellStyle name="Note 22 2 4 2" xfId="19840" xr:uid="{00000000-0005-0000-0000-0000735F0000}"/>
    <cellStyle name="Note 22 2 5" xfId="6558" xr:uid="{00000000-0005-0000-0000-0000745F0000}"/>
    <cellStyle name="Note 22 2 5 2" xfId="17846" xr:uid="{00000000-0005-0000-0000-0000755F0000}"/>
    <cellStyle name="Note 22 2 6" xfId="15852" xr:uid="{00000000-0005-0000-0000-0000765F0000}"/>
    <cellStyle name="Note 22 3" xfId="11543" xr:uid="{00000000-0005-0000-0000-0000775F0000}"/>
    <cellStyle name="Note 22 3 2" xfId="22831" xr:uid="{00000000-0005-0000-0000-0000785F0000}"/>
    <cellStyle name="Note 22 4" xfId="9549" xr:uid="{00000000-0005-0000-0000-0000795F0000}"/>
    <cellStyle name="Note 22 4 2" xfId="20837" xr:uid="{00000000-0005-0000-0000-00007A5F0000}"/>
    <cellStyle name="Note 22 5" xfId="7555" xr:uid="{00000000-0005-0000-0000-00007B5F0000}"/>
    <cellStyle name="Note 22 5 2" xfId="18843" xr:uid="{00000000-0005-0000-0000-00007C5F0000}"/>
    <cellStyle name="Note 22 6" xfId="5561" xr:uid="{00000000-0005-0000-0000-00007D5F0000}"/>
    <cellStyle name="Note 22 6 2" xfId="16849" xr:uid="{00000000-0005-0000-0000-00007E5F0000}"/>
    <cellStyle name="Note 22 7" xfId="14855" xr:uid="{00000000-0005-0000-0000-00007F5F0000}"/>
    <cellStyle name="Note 22 8" xfId="13539" xr:uid="{00000000-0005-0000-0000-0000805F0000}"/>
    <cellStyle name="Note 23" xfId="3328" xr:uid="{00000000-0005-0000-0000-0000815F0000}"/>
    <cellStyle name="Note 23 2" xfId="4562" xr:uid="{00000000-0005-0000-0000-0000825F0000}"/>
    <cellStyle name="Note 23 2 2" xfId="12541" xr:uid="{00000000-0005-0000-0000-0000835F0000}"/>
    <cellStyle name="Note 23 2 2 2" xfId="23829" xr:uid="{00000000-0005-0000-0000-0000845F0000}"/>
    <cellStyle name="Note 23 2 3" xfId="10547" xr:uid="{00000000-0005-0000-0000-0000855F0000}"/>
    <cellStyle name="Note 23 2 3 2" xfId="21835" xr:uid="{00000000-0005-0000-0000-0000865F0000}"/>
    <cellStyle name="Note 23 2 4" xfId="8553" xr:uid="{00000000-0005-0000-0000-0000875F0000}"/>
    <cellStyle name="Note 23 2 4 2" xfId="19841" xr:uid="{00000000-0005-0000-0000-0000885F0000}"/>
    <cellStyle name="Note 23 2 5" xfId="6559" xr:uid="{00000000-0005-0000-0000-0000895F0000}"/>
    <cellStyle name="Note 23 2 5 2" xfId="17847" xr:uid="{00000000-0005-0000-0000-00008A5F0000}"/>
    <cellStyle name="Note 23 2 6" xfId="15853" xr:uid="{00000000-0005-0000-0000-00008B5F0000}"/>
    <cellStyle name="Note 23 3" xfId="11544" xr:uid="{00000000-0005-0000-0000-00008C5F0000}"/>
    <cellStyle name="Note 23 3 2" xfId="22832" xr:uid="{00000000-0005-0000-0000-00008D5F0000}"/>
    <cellStyle name="Note 23 4" xfId="9550" xr:uid="{00000000-0005-0000-0000-00008E5F0000}"/>
    <cellStyle name="Note 23 4 2" xfId="20838" xr:uid="{00000000-0005-0000-0000-00008F5F0000}"/>
    <cellStyle name="Note 23 5" xfId="7556" xr:uid="{00000000-0005-0000-0000-0000905F0000}"/>
    <cellStyle name="Note 23 5 2" xfId="18844" xr:uid="{00000000-0005-0000-0000-0000915F0000}"/>
    <cellStyle name="Note 23 6" xfId="5562" xr:uid="{00000000-0005-0000-0000-0000925F0000}"/>
    <cellStyle name="Note 23 6 2" xfId="16850" xr:uid="{00000000-0005-0000-0000-0000935F0000}"/>
    <cellStyle name="Note 23 7" xfId="14856" xr:uid="{00000000-0005-0000-0000-0000945F0000}"/>
    <cellStyle name="Note 23 8" xfId="13540" xr:uid="{00000000-0005-0000-0000-0000955F0000}"/>
    <cellStyle name="Note 24" xfId="3329" xr:uid="{00000000-0005-0000-0000-0000965F0000}"/>
    <cellStyle name="Note 24 2" xfId="4563" xr:uid="{00000000-0005-0000-0000-0000975F0000}"/>
    <cellStyle name="Note 24 2 2" xfId="12542" xr:uid="{00000000-0005-0000-0000-0000985F0000}"/>
    <cellStyle name="Note 24 2 2 2" xfId="23830" xr:uid="{00000000-0005-0000-0000-0000995F0000}"/>
    <cellStyle name="Note 24 2 3" xfId="10548" xr:uid="{00000000-0005-0000-0000-00009A5F0000}"/>
    <cellStyle name="Note 24 2 3 2" xfId="21836" xr:uid="{00000000-0005-0000-0000-00009B5F0000}"/>
    <cellStyle name="Note 24 2 4" xfId="8554" xr:uid="{00000000-0005-0000-0000-00009C5F0000}"/>
    <cellStyle name="Note 24 2 4 2" xfId="19842" xr:uid="{00000000-0005-0000-0000-00009D5F0000}"/>
    <cellStyle name="Note 24 2 5" xfId="6560" xr:uid="{00000000-0005-0000-0000-00009E5F0000}"/>
    <cellStyle name="Note 24 2 5 2" xfId="17848" xr:uid="{00000000-0005-0000-0000-00009F5F0000}"/>
    <cellStyle name="Note 24 2 6" xfId="15854" xr:uid="{00000000-0005-0000-0000-0000A05F0000}"/>
    <cellStyle name="Note 24 3" xfId="11545" xr:uid="{00000000-0005-0000-0000-0000A15F0000}"/>
    <cellStyle name="Note 24 3 2" xfId="22833" xr:uid="{00000000-0005-0000-0000-0000A25F0000}"/>
    <cellStyle name="Note 24 4" xfId="9551" xr:uid="{00000000-0005-0000-0000-0000A35F0000}"/>
    <cellStyle name="Note 24 4 2" xfId="20839" xr:uid="{00000000-0005-0000-0000-0000A45F0000}"/>
    <cellStyle name="Note 24 5" xfId="7557" xr:uid="{00000000-0005-0000-0000-0000A55F0000}"/>
    <cellStyle name="Note 24 5 2" xfId="18845" xr:uid="{00000000-0005-0000-0000-0000A65F0000}"/>
    <cellStyle name="Note 24 6" xfId="5563" xr:uid="{00000000-0005-0000-0000-0000A75F0000}"/>
    <cellStyle name="Note 24 6 2" xfId="16851" xr:uid="{00000000-0005-0000-0000-0000A85F0000}"/>
    <cellStyle name="Note 24 7" xfId="14857" xr:uid="{00000000-0005-0000-0000-0000A95F0000}"/>
    <cellStyle name="Note 24 8" xfId="13541" xr:uid="{00000000-0005-0000-0000-0000AA5F0000}"/>
    <cellStyle name="Note 25" xfId="3330" xr:uid="{00000000-0005-0000-0000-0000AB5F0000}"/>
    <cellStyle name="Note 25 2" xfId="4564" xr:uid="{00000000-0005-0000-0000-0000AC5F0000}"/>
    <cellStyle name="Note 25 2 2" xfId="12543" xr:uid="{00000000-0005-0000-0000-0000AD5F0000}"/>
    <cellStyle name="Note 25 2 2 2" xfId="23831" xr:uid="{00000000-0005-0000-0000-0000AE5F0000}"/>
    <cellStyle name="Note 25 2 3" xfId="10549" xr:uid="{00000000-0005-0000-0000-0000AF5F0000}"/>
    <cellStyle name="Note 25 2 3 2" xfId="21837" xr:uid="{00000000-0005-0000-0000-0000B05F0000}"/>
    <cellStyle name="Note 25 2 4" xfId="8555" xr:uid="{00000000-0005-0000-0000-0000B15F0000}"/>
    <cellStyle name="Note 25 2 4 2" xfId="19843" xr:uid="{00000000-0005-0000-0000-0000B25F0000}"/>
    <cellStyle name="Note 25 2 5" xfId="6561" xr:uid="{00000000-0005-0000-0000-0000B35F0000}"/>
    <cellStyle name="Note 25 2 5 2" xfId="17849" xr:uid="{00000000-0005-0000-0000-0000B45F0000}"/>
    <cellStyle name="Note 25 2 6" xfId="15855" xr:uid="{00000000-0005-0000-0000-0000B55F0000}"/>
    <cellStyle name="Note 25 3" xfId="11546" xr:uid="{00000000-0005-0000-0000-0000B65F0000}"/>
    <cellStyle name="Note 25 3 2" xfId="22834" xr:uid="{00000000-0005-0000-0000-0000B75F0000}"/>
    <cellStyle name="Note 25 4" xfId="9552" xr:uid="{00000000-0005-0000-0000-0000B85F0000}"/>
    <cellStyle name="Note 25 4 2" xfId="20840" xr:uid="{00000000-0005-0000-0000-0000B95F0000}"/>
    <cellStyle name="Note 25 5" xfId="7558" xr:uid="{00000000-0005-0000-0000-0000BA5F0000}"/>
    <cellStyle name="Note 25 5 2" xfId="18846" xr:uid="{00000000-0005-0000-0000-0000BB5F0000}"/>
    <cellStyle name="Note 25 6" xfId="5564" xr:uid="{00000000-0005-0000-0000-0000BC5F0000}"/>
    <cellStyle name="Note 25 6 2" xfId="16852" xr:uid="{00000000-0005-0000-0000-0000BD5F0000}"/>
    <cellStyle name="Note 25 7" xfId="14858" xr:uid="{00000000-0005-0000-0000-0000BE5F0000}"/>
    <cellStyle name="Note 25 8" xfId="13542" xr:uid="{00000000-0005-0000-0000-0000BF5F0000}"/>
    <cellStyle name="Note 26" xfId="3331" xr:uid="{00000000-0005-0000-0000-0000C05F0000}"/>
    <cellStyle name="Note 26 2" xfId="4565" xr:uid="{00000000-0005-0000-0000-0000C15F0000}"/>
    <cellStyle name="Note 26 2 2" xfId="12544" xr:uid="{00000000-0005-0000-0000-0000C25F0000}"/>
    <cellStyle name="Note 26 2 2 2" xfId="23832" xr:uid="{00000000-0005-0000-0000-0000C35F0000}"/>
    <cellStyle name="Note 26 2 3" xfId="10550" xr:uid="{00000000-0005-0000-0000-0000C45F0000}"/>
    <cellStyle name="Note 26 2 3 2" xfId="21838" xr:uid="{00000000-0005-0000-0000-0000C55F0000}"/>
    <cellStyle name="Note 26 2 4" xfId="8556" xr:uid="{00000000-0005-0000-0000-0000C65F0000}"/>
    <cellStyle name="Note 26 2 4 2" xfId="19844" xr:uid="{00000000-0005-0000-0000-0000C75F0000}"/>
    <cellStyle name="Note 26 2 5" xfId="6562" xr:uid="{00000000-0005-0000-0000-0000C85F0000}"/>
    <cellStyle name="Note 26 2 5 2" xfId="17850" xr:uid="{00000000-0005-0000-0000-0000C95F0000}"/>
    <cellStyle name="Note 26 2 6" xfId="15856" xr:uid="{00000000-0005-0000-0000-0000CA5F0000}"/>
    <cellStyle name="Note 26 3" xfId="11547" xr:uid="{00000000-0005-0000-0000-0000CB5F0000}"/>
    <cellStyle name="Note 26 3 2" xfId="22835" xr:uid="{00000000-0005-0000-0000-0000CC5F0000}"/>
    <cellStyle name="Note 26 4" xfId="9553" xr:uid="{00000000-0005-0000-0000-0000CD5F0000}"/>
    <cellStyle name="Note 26 4 2" xfId="20841" xr:uid="{00000000-0005-0000-0000-0000CE5F0000}"/>
    <cellStyle name="Note 26 5" xfId="7559" xr:uid="{00000000-0005-0000-0000-0000CF5F0000}"/>
    <cellStyle name="Note 26 5 2" xfId="18847" xr:uid="{00000000-0005-0000-0000-0000D05F0000}"/>
    <cellStyle name="Note 26 6" xfId="5565" xr:uid="{00000000-0005-0000-0000-0000D15F0000}"/>
    <cellStyle name="Note 26 6 2" xfId="16853" xr:uid="{00000000-0005-0000-0000-0000D25F0000}"/>
    <cellStyle name="Note 26 7" xfId="14859" xr:uid="{00000000-0005-0000-0000-0000D35F0000}"/>
    <cellStyle name="Note 26 8" xfId="13543" xr:uid="{00000000-0005-0000-0000-0000D45F0000}"/>
    <cellStyle name="Note 27" xfId="3332" xr:uid="{00000000-0005-0000-0000-0000D55F0000}"/>
    <cellStyle name="Note 27 2" xfId="4566" xr:uid="{00000000-0005-0000-0000-0000D65F0000}"/>
    <cellStyle name="Note 27 2 2" xfId="12545" xr:uid="{00000000-0005-0000-0000-0000D75F0000}"/>
    <cellStyle name="Note 27 2 2 2" xfId="23833" xr:uid="{00000000-0005-0000-0000-0000D85F0000}"/>
    <cellStyle name="Note 27 2 3" xfId="10551" xr:uid="{00000000-0005-0000-0000-0000D95F0000}"/>
    <cellStyle name="Note 27 2 3 2" xfId="21839" xr:uid="{00000000-0005-0000-0000-0000DA5F0000}"/>
    <cellStyle name="Note 27 2 4" xfId="8557" xr:uid="{00000000-0005-0000-0000-0000DB5F0000}"/>
    <cellStyle name="Note 27 2 4 2" xfId="19845" xr:uid="{00000000-0005-0000-0000-0000DC5F0000}"/>
    <cellStyle name="Note 27 2 5" xfId="6563" xr:uid="{00000000-0005-0000-0000-0000DD5F0000}"/>
    <cellStyle name="Note 27 2 5 2" xfId="17851" xr:uid="{00000000-0005-0000-0000-0000DE5F0000}"/>
    <cellStyle name="Note 27 2 6" xfId="15857" xr:uid="{00000000-0005-0000-0000-0000DF5F0000}"/>
    <cellStyle name="Note 27 3" xfId="11548" xr:uid="{00000000-0005-0000-0000-0000E05F0000}"/>
    <cellStyle name="Note 27 3 2" xfId="22836" xr:uid="{00000000-0005-0000-0000-0000E15F0000}"/>
    <cellStyle name="Note 27 4" xfId="9554" xr:uid="{00000000-0005-0000-0000-0000E25F0000}"/>
    <cellStyle name="Note 27 4 2" xfId="20842" xr:uid="{00000000-0005-0000-0000-0000E35F0000}"/>
    <cellStyle name="Note 27 5" xfId="7560" xr:uid="{00000000-0005-0000-0000-0000E45F0000}"/>
    <cellStyle name="Note 27 5 2" xfId="18848" xr:uid="{00000000-0005-0000-0000-0000E55F0000}"/>
    <cellStyle name="Note 27 6" xfId="5566" xr:uid="{00000000-0005-0000-0000-0000E65F0000}"/>
    <cellStyle name="Note 27 6 2" xfId="16854" xr:uid="{00000000-0005-0000-0000-0000E75F0000}"/>
    <cellStyle name="Note 27 7" xfId="14860" xr:uid="{00000000-0005-0000-0000-0000E85F0000}"/>
    <cellStyle name="Note 27 8" xfId="13544" xr:uid="{00000000-0005-0000-0000-0000E95F0000}"/>
    <cellStyle name="Note 28" xfId="3333" xr:uid="{00000000-0005-0000-0000-0000EA5F0000}"/>
    <cellStyle name="Note 28 2" xfId="4567" xr:uid="{00000000-0005-0000-0000-0000EB5F0000}"/>
    <cellStyle name="Note 28 2 2" xfId="12546" xr:uid="{00000000-0005-0000-0000-0000EC5F0000}"/>
    <cellStyle name="Note 28 2 2 2" xfId="23834" xr:uid="{00000000-0005-0000-0000-0000ED5F0000}"/>
    <cellStyle name="Note 28 2 3" xfId="10552" xr:uid="{00000000-0005-0000-0000-0000EE5F0000}"/>
    <cellStyle name="Note 28 2 3 2" xfId="21840" xr:uid="{00000000-0005-0000-0000-0000EF5F0000}"/>
    <cellStyle name="Note 28 2 4" xfId="8558" xr:uid="{00000000-0005-0000-0000-0000F05F0000}"/>
    <cellStyle name="Note 28 2 4 2" xfId="19846" xr:uid="{00000000-0005-0000-0000-0000F15F0000}"/>
    <cellStyle name="Note 28 2 5" xfId="6564" xr:uid="{00000000-0005-0000-0000-0000F25F0000}"/>
    <cellStyle name="Note 28 2 5 2" xfId="17852" xr:uid="{00000000-0005-0000-0000-0000F35F0000}"/>
    <cellStyle name="Note 28 2 6" xfId="15858" xr:uid="{00000000-0005-0000-0000-0000F45F0000}"/>
    <cellStyle name="Note 28 3" xfId="11549" xr:uid="{00000000-0005-0000-0000-0000F55F0000}"/>
    <cellStyle name="Note 28 3 2" xfId="22837" xr:uid="{00000000-0005-0000-0000-0000F65F0000}"/>
    <cellStyle name="Note 28 4" xfId="9555" xr:uid="{00000000-0005-0000-0000-0000F75F0000}"/>
    <cellStyle name="Note 28 4 2" xfId="20843" xr:uid="{00000000-0005-0000-0000-0000F85F0000}"/>
    <cellStyle name="Note 28 5" xfId="7561" xr:uid="{00000000-0005-0000-0000-0000F95F0000}"/>
    <cellStyle name="Note 28 5 2" xfId="18849" xr:uid="{00000000-0005-0000-0000-0000FA5F0000}"/>
    <cellStyle name="Note 28 6" xfId="5567" xr:uid="{00000000-0005-0000-0000-0000FB5F0000}"/>
    <cellStyle name="Note 28 6 2" xfId="16855" xr:uid="{00000000-0005-0000-0000-0000FC5F0000}"/>
    <cellStyle name="Note 28 7" xfId="14861" xr:uid="{00000000-0005-0000-0000-0000FD5F0000}"/>
    <cellStyle name="Note 28 8" xfId="13545" xr:uid="{00000000-0005-0000-0000-0000FE5F0000}"/>
    <cellStyle name="Note 29" xfId="3334" xr:uid="{00000000-0005-0000-0000-0000FF5F0000}"/>
    <cellStyle name="Note 29 2" xfId="4568" xr:uid="{00000000-0005-0000-0000-000000600000}"/>
    <cellStyle name="Note 29 2 2" xfId="12547" xr:uid="{00000000-0005-0000-0000-000001600000}"/>
    <cellStyle name="Note 29 2 2 2" xfId="23835" xr:uid="{00000000-0005-0000-0000-000002600000}"/>
    <cellStyle name="Note 29 2 3" xfId="10553" xr:uid="{00000000-0005-0000-0000-000003600000}"/>
    <cellStyle name="Note 29 2 3 2" xfId="21841" xr:uid="{00000000-0005-0000-0000-000004600000}"/>
    <cellStyle name="Note 29 2 4" xfId="8559" xr:uid="{00000000-0005-0000-0000-000005600000}"/>
    <cellStyle name="Note 29 2 4 2" xfId="19847" xr:uid="{00000000-0005-0000-0000-000006600000}"/>
    <cellStyle name="Note 29 2 5" xfId="6565" xr:uid="{00000000-0005-0000-0000-000007600000}"/>
    <cellStyle name="Note 29 2 5 2" xfId="17853" xr:uid="{00000000-0005-0000-0000-000008600000}"/>
    <cellStyle name="Note 29 2 6" xfId="15859" xr:uid="{00000000-0005-0000-0000-000009600000}"/>
    <cellStyle name="Note 29 3" xfId="11550" xr:uid="{00000000-0005-0000-0000-00000A600000}"/>
    <cellStyle name="Note 29 3 2" xfId="22838" xr:uid="{00000000-0005-0000-0000-00000B600000}"/>
    <cellStyle name="Note 29 4" xfId="9556" xr:uid="{00000000-0005-0000-0000-00000C600000}"/>
    <cellStyle name="Note 29 4 2" xfId="20844" xr:uid="{00000000-0005-0000-0000-00000D600000}"/>
    <cellStyle name="Note 29 5" xfId="7562" xr:uid="{00000000-0005-0000-0000-00000E600000}"/>
    <cellStyle name="Note 29 5 2" xfId="18850" xr:uid="{00000000-0005-0000-0000-00000F600000}"/>
    <cellStyle name="Note 29 6" xfId="5568" xr:uid="{00000000-0005-0000-0000-000010600000}"/>
    <cellStyle name="Note 29 6 2" xfId="16856" xr:uid="{00000000-0005-0000-0000-000011600000}"/>
    <cellStyle name="Note 29 7" xfId="14862" xr:uid="{00000000-0005-0000-0000-000012600000}"/>
    <cellStyle name="Note 29 8" xfId="13546" xr:uid="{00000000-0005-0000-0000-000013600000}"/>
    <cellStyle name="Note 3" xfId="3335" xr:uid="{00000000-0005-0000-0000-000014600000}"/>
    <cellStyle name="Note 3 10" xfId="25074" xr:uid="{00000000-0005-0000-0000-000015600000}"/>
    <cellStyle name="Note 3 10 2" xfId="25408" xr:uid="{00000000-0005-0000-0000-000016600000}"/>
    <cellStyle name="Note 3 10 2 2" xfId="27562" xr:uid="{00000000-0005-0000-0000-000017600000}"/>
    <cellStyle name="Note 3 10 2 2 2" xfId="32153" xr:uid="{A366B345-6D82-4F71-A18C-E41B9F5E9657}"/>
    <cellStyle name="Note 3 10 2 3" xfId="26759" xr:uid="{00000000-0005-0000-0000-000018600000}"/>
    <cellStyle name="Note 3 10 2 3 2" xfId="31520" xr:uid="{3D2653D0-E5C3-4641-A998-C53A1DB0DAC0}"/>
    <cellStyle name="Note 3 10 2 4" xfId="26423" xr:uid="{00000000-0005-0000-0000-000019600000}"/>
    <cellStyle name="Note 3 10 2 4 2" xfId="31211" xr:uid="{547E7D52-B7A2-4086-AD46-279C422F12D8}"/>
    <cellStyle name="Note 3 10 2 5" xfId="29301" xr:uid="{00000000-0005-0000-0000-00001A600000}"/>
    <cellStyle name="Note 3 10 2 5 2" xfId="33267" xr:uid="{2752310F-A3BA-42A0-AAA7-78546D5C9065}"/>
    <cellStyle name="Note 3 10 2 6" xfId="30566" xr:uid="{963690B8-9E82-4078-ABD8-22C5DFAEC475}"/>
    <cellStyle name="Note 3 10 3" xfId="25678" xr:uid="{00000000-0005-0000-0000-00001B600000}"/>
    <cellStyle name="Note 3 10 3 2" xfId="27831" xr:uid="{00000000-0005-0000-0000-00001C600000}"/>
    <cellStyle name="Note 3 10 3 2 2" xfId="32418" xr:uid="{72E2CE9E-8A2D-4DDC-B99C-FCF569D78855}"/>
    <cellStyle name="Note 3 10 3 3" xfId="26235" xr:uid="{00000000-0005-0000-0000-00001D600000}"/>
    <cellStyle name="Note 3 10 3 3 2" xfId="31023" xr:uid="{96DE35A5-6DD2-4870-BE90-5A22281268E5}"/>
    <cellStyle name="Note 3 10 3 4" xfId="26944" xr:uid="{00000000-0005-0000-0000-00001E600000}"/>
    <cellStyle name="Note 3 10 3 4 2" xfId="31705" xr:uid="{8A3B114E-D7C5-4140-82C3-C5D637CE1206}"/>
    <cellStyle name="Note 3 10 3 5" xfId="29300" xr:uid="{00000000-0005-0000-0000-00001F600000}"/>
    <cellStyle name="Note 3 10 3 5 2" xfId="33266" xr:uid="{71C3FEE1-0F10-426B-81AC-947958D9EB50}"/>
    <cellStyle name="Note 3 10 3 6" xfId="30672" xr:uid="{80DFE0A2-D321-4C04-A79D-C32C81AE9D31}"/>
    <cellStyle name="Note 3 10 4" xfId="27365" xr:uid="{00000000-0005-0000-0000-000020600000}"/>
    <cellStyle name="Note 3 10 4 2" xfId="31963" xr:uid="{2D79059B-2A78-4512-ABC8-C986FB8A495C}"/>
    <cellStyle name="Note 3 10 5" xfId="26690" xr:uid="{00000000-0005-0000-0000-000021600000}"/>
    <cellStyle name="Note 3 10 5 2" xfId="31452" xr:uid="{413462B4-7C6A-4293-9E92-1A58728EB3A5}"/>
    <cellStyle name="Note 3 10 6" xfId="26707" xr:uid="{00000000-0005-0000-0000-000022600000}"/>
    <cellStyle name="Note 3 10 6 2" xfId="31469" xr:uid="{636B27FC-54FE-4E39-86CB-F8BEA84F0FB6}"/>
    <cellStyle name="Note 3 10 7" xfId="29302" xr:uid="{00000000-0005-0000-0000-000023600000}"/>
    <cellStyle name="Note 3 10 7 2" xfId="33268" xr:uid="{4C545B38-5C3B-493D-A106-F6171873F57F}"/>
    <cellStyle name="Note 3 10 8" xfId="30380" xr:uid="{6F45C57A-30D3-4853-B379-E37989859524}"/>
    <cellStyle name="Note 3 2" xfId="4569" xr:uid="{00000000-0005-0000-0000-000024600000}"/>
    <cellStyle name="Note 3 2 2" xfId="12548" xr:uid="{00000000-0005-0000-0000-000025600000}"/>
    <cellStyle name="Note 3 2 2 2" xfId="23836" xr:uid="{00000000-0005-0000-0000-000026600000}"/>
    <cellStyle name="Note 3 2 3" xfId="10554" xr:uid="{00000000-0005-0000-0000-000027600000}"/>
    <cellStyle name="Note 3 2 3 2" xfId="21842" xr:uid="{00000000-0005-0000-0000-000028600000}"/>
    <cellStyle name="Note 3 2 4" xfId="8560" xr:uid="{00000000-0005-0000-0000-000029600000}"/>
    <cellStyle name="Note 3 2 4 2" xfId="19848" xr:uid="{00000000-0005-0000-0000-00002A600000}"/>
    <cellStyle name="Note 3 2 5" xfId="6566" xr:uid="{00000000-0005-0000-0000-00002B600000}"/>
    <cellStyle name="Note 3 2 5 2" xfId="17854" xr:uid="{00000000-0005-0000-0000-00002C600000}"/>
    <cellStyle name="Note 3 2 6" xfId="15860" xr:uid="{00000000-0005-0000-0000-00002D600000}"/>
    <cellStyle name="Note 3 2 7" xfId="24191" xr:uid="{00000000-0005-0000-0000-00002E600000}"/>
    <cellStyle name="Note 3 2 7 2" xfId="25427" xr:uid="{00000000-0005-0000-0000-00002F600000}"/>
    <cellStyle name="Note 3 2 7 2 2" xfId="27581" xr:uid="{00000000-0005-0000-0000-000030600000}"/>
    <cellStyle name="Note 3 2 7 2 2 2" xfId="32172" xr:uid="{77C6C6B2-8B1E-400B-ABB7-25C6084AD3CE}"/>
    <cellStyle name="Note 3 2 7 2 3" xfId="26937" xr:uid="{00000000-0005-0000-0000-000031600000}"/>
    <cellStyle name="Note 3 2 7 2 3 2" xfId="31698" xr:uid="{CFAE1C83-8143-43FF-88DA-2B6F917599D5}"/>
    <cellStyle name="Note 3 2 7 2 4" xfId="26806" xr:uid="{00000000-0005-0000-0000-000032600000}"/>
    <cellStyle name="Note 3 2 7 2 4 2" xfId="31567" xr:uid="{6004F847-545C-40B8-89F5-D4CDB3D38419}"/>
    <cellStyle name="Note 3 2 7 2 5" xfId="29298" xr:uid="{00000000-0005-0000-0000-000033600000}"/>
    <cellStyle name="Note 3 2 7 2 5 2" xfId="33264" xr:uid="{E666C166-48D8-484F-B17B-0D570E0E1588}"/>
    <cellStyle name="Note 3 2 7 2 6" xfId="30585" xr:uid="{4FA51C37-F051-4ED6-B905-FE85B9413FA9}"/>
    <cellStyle name="Note 3 2 7 3" xfId="25566" xr:uid="{00000000-0005-0000-0000-000034600000}"/>
    <cellStyle name="Note 3 2 7 3 2" xfId="27719" xr:uid="{00000000-0005-0000-0000-000035600000}"/>
    <cellStyle name="Note 3 2 7 3 2 2" xfId="32306" xr:uid="{B85A7B22-493A-4723-9917-80FA8E74F8D2}"/>
    <cellStyle name="Note 3 2 7 3 3" xfId="26411" xr:uid="{00000000-0005-0000-0000-000036600000}"/>
    <cellStyle name="Note 3 2 7 3 3 2" xfId="31199" xr:uid="{DDDDB268-AB56-4249-8D7E-B69945DC1906}"/>
    <cellStyle name="Note 3 2 7 3 4" xfId="26970" xr:uid="{00000000-0005-0000-0000-000037600000}"/>
    <cellStyle name="Note 3 2 7 3 4 2" xfId="31731" xr:uid="{AAC11EF9-77F3-475B-A26E-BB62CA89F5C3}"/>
    <cellStyle name="Note 3 2 7 3 5" xfId="29297" xr:uid="{00000000-0005-0000-0000-000038600000}"/>
    <cellStyle name="Note 3 2 7 3 5 2" xfId="33263" xr:uid="{1FF06EDD-146C-4C11-8C70-B0CFFD25ACEC}"/>
    <cellStyle name="Note 3 2 7 3 6" xfId="30623" xr:uid="{31CF4295-217E-44F9-A5E6-C3C10B9C91E7}"/>
    <cellStyle name="Note 3 2 7 4" xfId="27091" xr:uid="{00000000-0005-0000-0000-000039600000}"/>
    <cellStyle name="Note 3 2 7 4 2" xfId="31815" xr:uid="{B3FAA655-124B-4C05-AA3F-C044A3ECC3BC}"/>
    <cellStyle name="Note 3 2 7 5" xfId="26345" xr:uid="{00000000-0005-0000-0000-00003A600000}"/>
    <cellStyle name="Note 3 2 7 5 2" xfId="31133" xr:uid="{757F142D-2422-42D7-B59D-78AE6B15CF6A}"/>
    <cellStyle name="Note 3 2 7 6" xfId="26209" xr:uid="{00000000-0005-0000-0000-00003B600000}"/>
    <cellStyle name="Note 3 2 7 6 2" xfId="30997" xr:uid="{CBFDDC88-9464-4097-9359-D5EF637D72ED}"/>
    <cellStyle name="Note 3 2 7 7" xfId="29299" xr:uid="{00000000-0005-0000-0000-00003C600000}"/>
    <cellStyle name="Note 3 2 7 7 2" xfId="33265" xr:uid="{823E9892-415B-418B-AFD1-DE7108AF5F55}"/>
    <cellStyle name="Note 3 2 7 8" xfId="30268" xr:uid="{75267DA3-DD22-4765-B706-5FE88DF474E8}"/>
    <cellStyle name="Note 3 2 8" xfId="25075" xr:uid="{00000000-0005-0000-0000-00003D600000}"/>
    <cellStyle name="Note 3 2 8 2" xfId="25321" xr:uid="{00000000-0005-0000-0000-00003E600000}"/>
    <cellStyle name="Note 3 2 8 2 2" xfId="27475" xr:uid="{00000000-0005-0000-0000-00003F600000}"/>
    <cellStyle name="Note 3 2 8 2 2 2" xfId="32066" xr:uid="{1A2C4882-9653-4D00-B9D1-305748CC77E0}"/>
    <cellStyle name="Note 3 2 8 2 3" xfId="26487" xr:uid="{00000000-0005-0000-0000-000040600000}"/>
    <cellStyle name="Note 3 2 8 2 3 2" xfId="31275" xr:uid="{8B572B87-0BB9-4A38-853C-9B02E527DC54}"/>
    <cellStyle name="Note 3 2 8 2 4" xfId="26930" xr:uid="{00000000-0005-0000-0000-000041600000}"/>
    <cellStyle name="Note 3 2 8 2 4 2" xfId="31691" xr:uid="{029D527A-A52C-4382-A6A2-166F39365209}"/>
    <cellStyle name="Note 3 2 8 2 5" xfId="29295" xr:uid="{00000000-0005-0000-0000-000042600000}"/>
    <cellStyle name="Note 3 2 8 2 5 2" xfId="33261" xr:uid="{D7824601-6CCB-4A25-9F3D-49B3082108E4}"/>
    <cellStyle name="Note 3 2 8 2 6" xfId="30479" xr:uid="{1D77F2B4-72FE-4210-8129-843751FD59C7}"/>
    <cellStyle name="Note 3 2 8 3" xfId="25679" xr:uid="{00000000-0005-0000-0000-000043600000}"/>
    <cellStyle name="Note 3 2 8 3 2" xfId="27832" xr:uid="{00000000-0005-0000-0000-000044600000}"/>
    <cellStyle name="Note 3 2 8 3 2 2" xfId="32419" xr:uid="{C61199BF-D34D-4816-9593-F664F8D902CA}"/>
    <cellStyle name="Note 3 2 8 3 3" xfId="26202" xr:uid="{00000000-0005-0000-0000-000045600000}"/>
    <cellStyle name="Note 3 2 8 3 3 2" xfId="30990" xr:uid="{A49CE6A2-3767-4D72-B6AB-EC40B9587D11}"/>
    <cellStyle name="Note 3 2 8 3 4" xfId="26131" xr:uid="{00000000-0005-0000-0000-000046600000}"/>
    <cellStyle name="Note 3 2 8 3 4 2" xfId="30921" xr:uid="{784DAFF6-9023-4637-A6AE-D366D159CABF}"/>
    <cellStyle name="Note 3 2 8 3 5" xfId="29294" xr:uid="{00000000-0005-0000-0000-000047600000}"/>
    <cellStyle name="Note 3 2 8 3 5 2" xfId="33260" xr:uid="{C081E624-F64C-41B7-AAD2-42B7CF3239A6}"/>
    <cellStyle name="Note 3 2 8 3 6" xfId="30673" xr:uid="{9F3E5BFA-2060-4F40-9C61-200AFE20FEAE}"/>
    <cellStyle name="Note 3 2 8 4" xfId="27366" xr:uid="{00000000-0005-0000-0000-000048600000}"/>
    <cellStyle name="Note 3 2 8 4 2" xfId="31964" xr:uid="{CAF5ED34-7806-4F81-9985-15D6F27B6C86}"/>
    <cellStyle name="Note 3 2 8 5" xfId="26994" xr:uid="{00000000-0005-0000-0000-000049600000}"/>
    <cellStyle name="Note 3 2 8 5 2" xfId="31755" xr:uid="{6FC70D2C-5E19-4633-96F6-F57F12A4B0D1}"/>
    <cellStyle name="Note 3 2 8 6" xfId="26790" xr:uid="{00000000-0005-0000-0000-00004A600000}"/>
    <cellStyle name="Note 3 2 8 6 2" xfId="31551" xr:uid="{0CBA6B8C-7EE5-43FC-A48C-B90D5ED850BC}"/>
    <cellStyle name="Note 3 2 8 7" xfId="29296" xr:uid="{00000000-0005-0000-0000-00004B600000}"/>
    <cellStyle name="Note 3 2 8 7 2" xfId="33262" xr:uid="{12CAD5D8-ACD6-4CD5-A55C-BC87E86B3BD7}"/>
    <cellStyle name="Note 3 2 8 8" xfId="30381" xr:uid="{CC5A578B-056E-461B-BE32-2885B3F885A0}"/>
    <cellStyle name="Note 3 3" xfId="11551" xr:uid="{00000000-0005-0000-0000-00004C600000}"/>
    <cellStyle name="Note 3 3 2" xfId="22839" xr:uid="{00000000-0005-0000-0000-00004D600000}"/>
    <cellStyle name="Note 3 4" xfId="9557" xr:uid="{00000000-0005-0000-0000-00004E600000}"/>
    <cellStyle name="Note 3 4 2" xfId="20845" xr:uid="{00000000-0005-0000-0000-00004F600000}"/>
    <cellStyle name="Note 3 5" xfId="7563" xr:uid="{00000000-0005-0000-0000-000050600000}"/>
    <cellStyle name="Note 3 5 2" xfId="18851" xr:uid="{00000000-0005-0000-0000-000051600000}"/>
    <cellStyle name="Note 3 6" xfId="5569" xr:uid="{00000000-0005-0000-0000-000052600000}"/>
    <cellStyle name="Note 3 6 2" xfId="16857" xr:uid="{00000000-0005-0000-0000-000053600000}"/>
    <cellStyle name="Note 3 7" xfId="14863" xr:uid="{00000000-0005-0000-0000-000054600000}"/>
    <cellStyle name="Note 3 8" xfId="13547" xr:uid="{00000000-0005-0000-0000-000055600000}"/>
    <cellStyle name="Note 3 9" xfId="24190" xr:uid="{00000000-0005-0000-0000-000056600000}"/>
    <cellStyle name="Note 3 9 2" xfId="25326" xr:uid="{00000000-0005-0000-0000-000057600000}"/>
    <cellStyle name="Note 3 9 2 2" xfId="27480" xr:uid="{00000000-0005-0000-0000-000058600000}"/>
    <cellStyle name="Note 3 9 2 2 2" xfId="32071" xr:uid="{D3C542B0-0A73-47C5-AFAD-DB8C08B936EE}"/>
    <cellStyle name="Note 3 9 2 3" xfId="26724" xr:uid="{00000000-0005-0000-0000-000059600000}"/>
    <cellStyle name="Note 3 9 2 3 2" xfId="31485" xr:uid="{D7B53122-C08A-4823-B36E-B54D217CC5F7}"/>
    <cellStyle name="Note 3 9 2 4" xfId="26217" xr:uid="{00000000-0005-0000-0000-00005A600000}"/>
    <cellStyle name="Note 3 9 2 4 2" xfId="31005" xr:uid="{9C801FF2-409D-4BEF-B4B3-31FAAF77605C}"/>
    <cellStyle name="Note 3 9 2 5" xfId="29292" xr:uid="{00000000-0005-0000-0000-00005B600000}"/>
    <cellStyle name="Note 3 9 2 5 2" xfId="33258" xr:uid="{C67E43F6-1FAB-4C85-B035-0BA00BCF61D8}"/>
    <cellStyle name="Note 3 9 2 6" xfId="30484" xr:uid="{96E18685-F095-42F9-9869-56FF008CABCE}"/>
    <cellStyle name="Note 3 9 3" xfId="25565" xr:uid="{00000000-0005-0000-0000-00005C600000}"/>
    <cellStyle name="Note 3 9 3 2" xfId="27718" xr:uid="{00000000-0005-0000-0000-00005D600000}"/>
    <cellStyle name="Note 3 9 3 2 2" xfId="32305" xr:uid="{76172E83-B61E-4856-97DA-18EA1D109B97}"/>
    <cellStyle name="Note 3 9 3 3" xfId="26801" xr:uid="{00000000-0005-0000-0000-00005E600000}"/>
    <cellStyle name="Note 3 9 3 3 2" xfId="31562" xr:uid="{79CB8BB3-49AA-4AFF-A052-EC42B1D63353}"/>
    <cellStyle name="Note 3 9 3 4" xfId="26742" xr:uid="{00000000-0005-0000-0000-00005F600000}"/>
    <cellStyle name="Note 3 9 3 4 2" xfId="31503" xr:uid="{DE82B7DA-8A46-405F-9AB1-5A4938223C96}"/>
    <cellStyle name="Note 3 9 3 5" xfId="29291" xr:uid="{00000000-0005-0000-0000-000060600000}"/>
    <cellStyle name="Note 3 9 3 5 2" xfId="33257" xr:uid="{CAE3FA41-55B2-4801-8DAE-78E7A4056D84}"/>
    <cellStyle name="Note 3 9 3 6" xfId="30622" xr:uid="{6CCD379D-72E8-48FD-9C17-0FE49D8BFC5A}"/>
    <cellStyle name="Note 3 9 4" xfId="27090" xr:uid="{00000000-0005-0000-0000-000061600000}"/>
    <cellStyle name="Note 3 9 4 2" xfId="31814" xr:uid="{D9A01625-89B2-4719-AFC2-4E3D2363803B}"/>
    <cellStyle name="Note 3 9 5" xfId="26448" xr:uid="{00000000-0005-0000-0000-000062600000}"/>
    <cellStyle name="Note 3 9 5 2" xfId="31236" xr:uid="{BD366477-A3D9-4DAB-9DDD-45FE380FBEB0}"/>
    <cellStyle name="Note 3 9 6" xfId="26263" xr:uid="{00000000-0005-0000-0000-000063600000}"/>
    <cellStyle name="Note 3 9 6 2" xfId="31051" xr:uid="{C5DAAABF-8239-4D3B-A72C-F7621D387C95}"/>
    <cellStyle name="Note 3 9 7" xfId="29293" xr:uid="{00000000-0005-0000-0000-000064600000}"/>
    <cellStyle name="Note 3 9 7 2" xfId="33259" xr:uid="{B116FFF4-A1B5-47CF-AF07-21E288CA7037}"/>
    <cellStyle name="Note 3 9 8" xfId="30267" xr:uid="{D6B57AFE-D4BE-46C1-AF6D-105267EAAC00}"/>
    <cellStyle name="Note 30" xfId="3336" xr:uid="{00000000-0005-0000-0000-000065600000}"/>
    <cellStyle name="Note 30 2" xfId="4570" xr:uid="{00000000-0005-0000-0000-000066600000}"/>
    <cellStyle name="Note 30 2 2" xfId="12549" xr:uid="{00000000-0005-0000-0000-000067600000}"/>
    <cellStyle name="Note 30 2 2 2" xfId="23837" xr:uid="{00000000-0005-0000-0000-000068600000}"/>
    <cellStyle name="Note 30 2 3" xfId="10555" xr:uid="{00000000-0005-0000-0000-000069600000}"/>
    <cellStyle name="Note 30 2 3 2" xfId="21843" xr:uid="{00000000-0005-0000-0000-00006A600000}"/>
    <cellStyle name="Note 30 2 4" xfId="8561" xr:uid="{00000000-0005-0000-0000-00006B600000}"/>
    <cellStyle name="Note 30 2 4 2" xfId="19849" xr:uid="{00000000-0005-0000-0000-00006C600000}"/>
    <cellStyle name="Note 30 2 5" xfId="6567" xr:uid="{00000000-0005-0000-0000-00006D600000}"/>
    <cellStyle name="Note 30 2 5 2" xfId="17855" xr:uid="{00000000-0005-0000-0000-00006E600000}"/>
    <cellStyle name="Note 30 2 6" xfId="15861" xr:uid="{00000000-0005-0000-0000-00006F600000}"/>
    <cellStyle name="Note 30 3" xfId="11552" xr:uid="{00000000-0005-0000-0000-000070600000}"/>
    <cellStyle name="Note 30 3 2" xfId="22840" xr:uid="{00000000-0005-0000-0000-000071600000}"/>
    <cellStyle name="Note 30 4" xfId="9558" xr:uid="{00000000-0005-0000-0000-000072600000}"/>
    <cellStyle name="Note 30 4 2" xfId="20846" xr:uid="{00000000-0005-0000-0000-000073600000}"/>
    <cellStyle name="Note 30 5" xfId="7564" xr:uid="{00000000-0005-0000-0000-000074600000}"/>
    <cellStyle name="Note 30 5 2" xfId="18852" xr:uid="{00000000-0005-0000-0000-000075600000}"/>
    <cellStyle name="Note 30 6" xfId="5570" xr:uid="{00000000-0005-0000-0000-000076600000}"/>
    <cellStyle name="Note 30 6 2" xfId="16858" xr:uid="{00000000-0005-0000-0000-000077600000}"/>
    <cellStyle name="Note 30 7" xfId="14864" xr:uid="{00000000-0005-0000-0000-000078600000}"/>
    <cellStyle name="Note 30 8" xfId="13548" xr:uid="{00000000-0005-0000-0000-000079600000}"/>
    <cellStyle name="Note 31" xfId="3337" xr:uid="{00000000-0005-0000-0000-00007A600000}"/>
    <cellStyle name="Note 31 2" xfId="4571" xr:uid="{00000000-0005-0000-0000-00007B600000}"/>
    <cellStyle name="Note 31 2 2" xfId="12550" xr:uid="{00000000-0005-0000-0000-00007C600000}"/>
    <cellStyle name="Note 31 2 2 2" xfId="23838" xr:uid="{00000000-0005-0000-0000-00007D600000}"/>
    <cellStyle name="Note 31 2 3" xfId="10556" xr:uid="{00000000-0005-0000-0000-00007E600000}"/>
    <cellStyle name="Note 31 2 3 2" xfId="21844" xr:uid="{00000000-0005-0000-0000-00007F600000}"/>
    <cellStyle name="Note 31 2 4" xfId="8562" xr:uid="{00000000-0005-0000-0000-000080600000}"/>
    <cellStyle name="Note 31 2 4 2" xfId="19850" xr:uid="{00000000-0005-0000-0000-000081600000}"/>
    <cellStyle name="Note 31 2 5" xfId="6568" xr:uid="{00000000-0005-0000-0000-000082600000}"/>
    <cellStyle name="Note 31 2 5 2" xfId="17856" xr:uid="{00000000-0005-0000-0000-000083600000}"/>
    <cellStyle name="Note 31 2 6" xfId="15862" xr:uid="{00000000-0005-0000-0000-000084600000}"/>
    <cellStyle name="Note 31 3" xfId="11553" xr:uid="{00000000-0005-0000-0000-000085600000}"/>
    <cellStyle name="Note 31 3 2" xfId="22841" xr:uid="{00000000-0005-0000-0000-000086600000}"/>
    <cellStyle name="Note 31 4" xfId="9559" xr:uid="{00000000-0005-0000-0000-000087600000}"/>
    <cellStyle name="Note 31 4 2" xfId="20847" xr:uid="{00000000-0005-0000-0000-000088600000}"/>
    <cellStyle name="Note 31 5" xfId="7565" xr:uid="{00000000-0005-0000-0000-000089600000}"/>
    <cellStyle name="Note 31 5 2" xfId="18853" xr:uid="{00000000-0005-0000-0000-00008A600000}"/>
    <cellStyle name="Note 31 6" xfId="5571" xr:uid="{00000000-0005-0000-0000-00008B600000}"/>
    <cellStyle name="Note 31 6 2" xfId="16859" xr:uid="{00000000-0005-0000-0000-00008C600000}"/>
    <cellStyle name="Note 31 7" xfId="14865" xr:uid="{00000000-0005-0000-0000-00008D600000}"/>
    <cellStyle name="Note 31 8" xfId="13549" xr:uid="{00000000-0005-0000-0000-00008E600000}"/>
    <cellStyle name="Note 32" xfId="3338" xr:uid="{00000000-0005-0000-0000-00008F600000}"/>
    <cellStyle name="Note 32 2" xfId="4572" xr:uid="{00000000-0005-0000-0000-000090600000}"/>
    <cellStyle name="Note 32 2 2" xfId="12551" xr:uid="{00000000-0005-0000-0000-000091600000}"/>
    <cellStyle name="Note 32 2 2 2" xfId="23839" xr:uid="{00000000-0005-0000-0000-000092600000}"/>
    <cellStyle name="Note 32 2 3" xfId="10557" xr:uid="{00000000-0005-0000-0000-000093600000}"/>
    <cellStyle name="Note 32 2 3 2" xfId="21845" xr:uid="{00000000-0005-0000-0000-000094600000}"/>
    <cellStyle name="Note 32 2 4" xfId="8563" xr:uid="{00000000-0005-0000-0000-000095600000}"/>
    <cellStyle name="Note 32 2 4 2" xfId="19851" xr:uid="{00000000-0005-0000-0000-000096600000}"/>
    <cellStyle name="Note 32 2 5" xfId="6569" xr:uid="{00000000-0005-0000-0000-000097600000}"/>
    <cellStyle name="Note 32 2 5 2" xfId="17857" xr:uid="{00000000-0005-0000-0000-000098600000}"/>
    <cellStyle name="Note 32 2 6" xfId="15863" xr:uid="{00000000-0005-0000-0000-000099600000}"/>
    <cellStyle name="Note 32 3" xfId="11554" xr:uid="{00000000-0005-0000-0000-00009A600000}"/>
    <cellStyle name="Note 32 3 2" xfId="22842" xr:uid="{00000000-0005-0000-0000-00009B600000}"/>
    <cellStyle name="Note 32 4" xfId="9560" xr:uid="{00000000-0005-0000-0000-00009C600000}"/>
    <cellStyle name="Note 32 4 2" xfId="20848" xr:uid="{00000000-0005-0000-0000-00009D600000}"/>
    <cellStyle name="Note 32 5" xfId="7566" xr:uid="{00000000-0005-0000-0000-00009E600000}"/>
    <cellStyle name="Note 32 5 2" xfId="18854" xr:uid="{00000000-0005-0000-0000-00009F600000}"/>
    <cellStyle name="Note 32 6" xfId="5572" xr:uid="{00000000-0005-0000-0000-0000A0600000}"/>
    <cellStyle name="Note 32 6 2" xfId="16860" xr:uid="{00000000-0005-0000-0000-0000A1600000}"/>
    <cellStyle name="Note 32 7" xfId="14866" xr:uid="{00000000-0005-0000-0000-0000A2600000}"/>
    <cellStyle name="Note 32 8" xfId="13550" xr:uid="{00000000-0005-0000-0000-0000A3600000}"/>
    <cellStyle name="Note 33" xfId="3339" xr:uid="{00000000-0005-0000-0000-0000A4600000}"/>
    <cellStyle name="Note 33 2" xfId="4573" xr:uid="{00000000-0005-0000-0000-0000A5600000}"/>
    <cellStyle name="Note 33 2 2" xfId="12552" xr:uid="{00000000-0005-0000-0000-0000A6600000}"/>
    <cellStyle name="Note 33 2 2 2" xfId="23840" xr:uid="{00000000-0005-0000-0000-0000A7600000}"/>
    <cellStyle name="Note 33 2 3" xfId="10558" xr:uid="{00000000-0005-0000-0000-0000A8600000}"/>
    <cellStyle name="Note 33 2 3 2" xfId="21846" xr:uid="{00000000-0005-0000-0000-0000A9600000}"/>
    <cellStyle name="Note 33 2 4" xfId="8564" xr:uid="{00000000-0005-0000-0000-0000AA600000}"/>
    <cellStyle name="Note 33 2 4 2" xfId="19852" xr:uid="{00000000-0005-0000-0000-0000AB600000}"/>
    <cellStyle name="Note 33 2 5" xfId="6570" xr:uid="{00000000-0005-0000-0000-0000AC600000}"/>
    <cellStyle name="Note 33 2 5 2" xfId="17858" xr:uid="{00000000-0005-0000-0000-0000AD600000}"/>
    <cellStyle name="Note 33 2 6" xfId="15864" xr:uid="{00000000-0005-0000-0000-0000AE600000}"/>
    <cellStyle name="Note 33 3" xfId="11555" xr:uid="{00000000-0005-0000-0000-0000AF600000}"/>
    <cellStyle name="Note 33 3 2" xfId="22843" xr:uid="{00000000-0005-0000-0000-0000B0600000}"/>
    <cellStyle name="Note 33 4" xfId="9561" xr:uid="{00000000-0005-0000-0000-0000B1600000}"/>
    <cellStyle name="Note 33 4 2" xfId="20849" xr:uid="{00000000-0005-0000-0000-0000B2600000}"/>
    <cellStyle name="Note 33 5" xfId="7567" xr:uid="{00000000-0005-0000-0000-0000B3600000}"/>
    <cellStyle name="Note 33 5 2" xfId="18855" xr:uid="{00000000-0005-0000-0000-0000B4600000}"/>
    <cellStyle name="Note 33 6" xfId="5573" xr:uid="{00000000-0005-0000-0000-0000B5600000}"/>
    <cellStyle name="Note 33 6 2" xfId="16861" xr:uid="{00000000-0005-0000-0000-0000B6600000}"/>
    <cellStyle name="Note 33 7" xfId="14867" xr:uid="{00000000-0005-0000-0000-0000B7600000}"/>
    <cellStyle name="Note 33 8" xfId="13551" xr:uid="{00000000-0005-0000-0000-0000B8600000}"/>
    <cellStyle name="Note 34" xfId="3340" xr:uid="{00000000-0005-0000-0000-0000B9600000}"/>
    <cellStyle name="Note 34 2" xfId="4574" xr:uid="{00000000-0005-0000-0000-0000BA600000}"/>
    <cellStyle name="Note 34 2 2" xfId="12553" xr:uid="{00000000-0005-0000-0000-0000BB600000}"/>
    <cellStyle name="Note 34 2 2 2" xfId="23841" xr:uid="{00000000-0005-0000-0000-0000BC600000}"/>
    <cellStyle name="Note 34 2 3" xfId="10559" xr:uid="{00000000-0005-0000-0000-0000BD600000}"/>
    <cellStyle name="Note 34 2 3 2" xfId="21847" xr:uid="{00000000-0005-0000-0000-0000BE600000}"/>
    <cellStyle name="Note 34 2 4" xfId="8565" xr:uid="{00000000-0005-0000-0000-0000BF600000}"/>
    <cellStyle name="Note 34 2 4 2" xfId="19853" xr:uid="{00000000-0005-0000-0000-0000C0600000}"/>
    <cellStyle name="Note 34 2 5" xfId="6571" xr:uid="{00000000-0005-0000-0000-0000C1600000}"/>
    <cellStyle name="Note 34 2 5 2" xfId="17859" xr:uid="{00000000-0005-0000-0000-0000C2600000}"/>
    <cellStyle name="Note 34 2 6" xfId="15865" xr:uid="{00000000-0005-0000-0000-0000C3600000}"/>
    <cellStyle name="Note 34 3" xfId="11556" xr:uid="{00000000-0005-0000-0000-0000C4600000}"/>
    <cellStyle name="Note 34 3 2" xfId="22844" xr:uid="{00000000-0005-0000-0000-0000C5600000}"/>
    <cellStyle name="Note 34 4" xfId="9562" xr:uid="{00000000-0005-0000-0000-0000C6600000}"/>
    <cellStyle name="Note 34 4 2" xfId="20850" xr:uid="{00000000-0005-0000-0000-0000C7600000}"/>
    <cellStyle name="Note 34 5" xfId="7568" xr:uid="{00000000-0005-0000-0000-0000C8600000}"/>
    <cellStyle name="Note 34 5 2" xfId="18856" xr:uid="{00000000-0005-0000-0000-0000C9600000}"/>
    <cellStyle name="Note 34 6" xfId="5574" xr:uid="{00000000-0005-0000-0000-0000CA600000}"/>
    <cellStyle name="Note 34 6 2" xfId="16862" xr:uid="{00000000-0005-0000-0000-0000CB600000}"/>
    <cellStyle name="Note 34 7" xfId="14868" xr:uid="{00000000-0005-0000-0000-0000CC600000}"/>
    <cellStyle name="Note 34 8" xfId="13552" xr:uid="{00000000-0005-0000-0000-0000CD600000}"/>
    <cellStyle name="Note 35" xfId="3341" xr:uid="{00000000-0005-0000-0000-0000CE600000}"/>
    <cellStyle name="Note 35 2" xfId="4575" xr:uid="{00000000-0005-0000-0000-0000CF600000}"/>
    <cellStyle name="Note 35 2 2" xfId="12554" xr:uid="{00000000-0005-0000-0000-0000D0600000}"/>
    <cellStyle name="Note 35 2 2 2" xfId="23842" xr:uid="{00000000-0005-0000-0000-0000D1600000}"/>
    <cellStyle name="Note 35 2 3" xfId="10560" xr:uid="{00000000-0005-0000-0000-0000D2600000}"/>
    <cellStyle name="Note 35 2 3 2" xfId="21848" xr:uid="{00000000-0005-0000-0000-0000D3600000}"/>
    <cellStyle name="Note 35 2 4" xfId="8566" xr:uid="{00000000-0005-0000-0000-0000D4600000}"/>
    <cellStyle name="Note 35 2 4 2" xfId="19854" xr:uid="{00000000-0005-0000-0000-0000D5600000}"/>
    <cellStyle name="Note 35 2 5" xfId="6572" xr:uid="{00000000-0005-0000-0000-0000D6600000}"/>
    <cellStyle name="Note 35 2 5 2" xfId="17860" xr:uid="{00000000-0005-0000-0000-0000D7600000}"/>
    <cellStyle name="Note 35 2 6" xfId="15866" xr:uid="{00000000-0005-0000-0000-0000D8600000}"/>
    <cellStyle name="Note 35 3" xfId="11557" xr:uid="{00000000-0005-0000-0000-0000D9600000}"/>
    <cellStyle name="Note 35 3 2" xfId="22845" xr:uid="{00000000-0005-0000-0000-0000DA600000}"/>
    <cellStyle name="Note 35 4" xfId="9563" xr:uid="{00000000-0005-0000-0000-0000DB600000}"/>
    <cellStyle name="Note 35 4 2" xfId="20851" xr:uid="{00000000-0005-0000-0000-0000DC600000}"/>
    <cellStyle name="Note 35 5" xfId="7569" xr:uid="{00000000-0005-0000-0000-0000DD600000}"/>
    <cellStyle name="Note 35 5 2" xfId="18857" xr:uid="{00000000-0005-0000-0000-0000DE600000}"/>
    <cellStyle name="Note 35 6" xfId="5575" xr:uid="{00000000-0005-0000-0000-0000DF600000}"/>
    <cellStyle name="Note 35 6 2" xfId="16863" xr:uid="{00000000-0005-0000-0000-0000E0600000}"/>
    <cellStyle name="Note 35 7" xfId="14869" xr:uid="{00000000-0005-0000-0000-0000E1600000}"/>
    <cellStyle name="Note 35 8" xfId="13553" xr:uid="{00000000-0005-0000-0000-0000E2600000}"/>
    <cellStyle name="Note 36" xfId="3342" xr:uid="{00000000-0005-0000-0000-0000E3600000}"/>
    <cellStyle name="Note 36 2" xfId="4576" xr:uid="{00000000-0005-0000-0000-0000E4600000}"/>
    <cellStyle name="Note 36 2 2" xfId="12555" xr:uid="{00000000-0005-0000-0000-0000E5600000}"/>
    <cellStyle name="Note 36 2 2 2" xfId="23843" xr:uid="{00000000-0005-0000-0000-0000E6600000}"/>
    <cellStyle name="Note 36 2 3" xfId="10561" xr:uid="{00000000-0005-0000-0000-0000E7600000}"/>
    <cellStyle name="Note 36 2 3 2" xfId="21849" xr:uid="{00000000-0005-0000-0000-0000E8600000}"/>
    <cellStyle name="Note 36 2 4" xfId="8567" xr:uid="{00000000-0005-0000-0000-0000E9600000}"/>
    <cellStyle name="Note 36 2 4 2" xfId="19855" xr:uid="{00000000-0005-0000-0000-0000EA600000}"/>
    <cellStyle name="Note 36 2 5" xfId="6573" xr:uid="{00000000-0005-0000-0000-0000EB600000}"/>
    <cellStyle name="Note 36 2 5 2" xfId="17861" xr:uid="{00000000-0005-0000-0000-0000EC600000}"/>
    <cellStyle name="Note 36 2 6" xfId="15867" xr:uid="{00000000-0005-0000-0000-0000ED600000}"/>
    <cellStyle name="Note 36 3" xfId="11558" xr:uid="{00000000-0005-0000-0000-0000EE600000}"/>
    <cellStyle name="Note 36 3 2" xfId="22846" xr:uid="{00000000-0005-0000-0000-0000EF600000}"/>
    <cellStyle name="Note 36 4" xfId="9564" xr:uid="{00000000-0005-0000-0000-0000F0600000}"/>
    <cellStyle name="Note 36 4 2" xfId="20852" xr:uid="{00000000-0005-0000-0000-0000F1600000}"/>
    <cellStyle name="Note 36 5" xfId="7570" xr:uid="{00000000-0005-0000-0000-0000F2600000}"/>
    <cellStyle name="Note 36 5 2" xfId="18858" xr:uid="{00000000-0005-0000-0000-0000F3600000}"/>
    <cellStyle name="Note 36 6" xfId="5576" xr:uid="{00000000-0005-0000-0000-0000F4600000}"/>
    <cellStyle name="Note 36 6 2" xfId="16864" xr:uid="{00000000-0005-0000-0000-0000F5600000}"/>
    <cellStyle name="Note 36 7" xfId="14870" xr:uid="{00000000-0005-0000-0000-0000F6600000}"/>
    <cellStyle name="Note 36 8" xfId="13554" xr:uid="{00000000-0005-0000-0000-0000F7600000}"/>
    <cellStyle name="Note 37" xfId="3343" xr:uid="{00000000-0005-0000-0000-0000F8600000}"/>
    <cellStyle name="Note 37 2" xfId="4577" xr:uid="{00000000-0005-0000-0000-0000F9600000}"/>
    <cellStyle name="Note 37 2 2" xfId="12556" xr:uid="{00000000-0005-0000-0000-0000FA600000}"/>
    <cellStyle name="Note 37 2 2 2" xfId="23844" xr:uid="{00000000-0005-0000-0000-0000FB600000}"/>
    <cellStyle name="Note 37 2 3" xfId="10562" xr:uid="{00000000-0005-0000-0000-0000FC600000}"/>
    <cellStyle name="Note 37 2 3 2" xfId="21850" xr:uid="{00000000-0005-0000-0000-0000FD600000}"/>
    <cellStyle name="Note 37 2 4" xfId="8568" xr:uid="{00000000-0005-0000-0000-0000FE600000}"/>
    <cellStyle name="Note 37 2 4 2" xfId="19856" xr:uid="{00000000-0005-0000-0000-0000FF600000}"/>
    <cellStyle name="Note 37 2 5" xfId="6574" xr:uid="{00000000-0005-0000-0000-000000610000}"/>
    <cellStyle name="Note 37 2 5 2" xfId="17862" xr:uid="{00000000-0005-0000-0000-000001610000}"/>
    <cellStyle name="Note 37 2 6" xfId="15868" xr:uid="{00000000-0005-0000-0000-000002610000}"/>
    <cellStyle name="Note 37 3" xfId="11559" xr:uid="{00000000-0005-0000-0000-000003610000}"/>
    <cellStyle name="Note 37 3 2" xfId="22847" xr:uid="{00000000-0005-0000-0000-000004610000}"/>
    <cellStyle name="Note 37 4" xfId="9565" xr:uid="{00000000-0005-0000-0000-000005610000}"/>
    <cellStyle name="Note 37 4 2" xfId="20853" xr:uid="{00000000-0005-0000-0000-000006610000}"/>
    <cellStyle name="Note 37 5" xfId="7571" xr:uid="{00000000-0005-0000-0000-000007610000}"/>
    <cellStyle name="Note 37 5 2" xfId="18859" xr:uid="{00000000-0005-0000-0000-000008610000}"/>
    <cellStyle name="Note 37 6" xfId="5577" xr:uid="{00000000-0005-0000-0000-000009610000}"/>
    <cellStyle name="Note 37 6 2" xfId="16865" xr:uid="{00000000-0005-0000-0000-00000A610000}"/>
    <cellStyle name="Note 37 7" xfId="14871" xr:uid="{00000000-0005-0000-0000-00000B610000}"/>
    <cellStyle name="Note 37 8" xfId="13555" xr:uid="{00000000-0005-0000-0000-00000C610000}"/>
    <cellStyle name="Note 38" xfId="3344" xr:uid="{00000000-0005-0000-0000-00000D610000}"/>
    <cellStyle name="Note 38 2" xfId="4578" xr:uid="{00000000-0005-0000-0000-00000E610000}"/>
    <cellStyle name="Note 38 2 2" xfId="12557" xr:uid="{00000000-0005-0000-0000-00000F610000}"/>
    <cellStyle name="Note 38 2 2 2" xfId="23845" xr:uid="{00000000-0005-0000-0000-000010610000}"/>
    <cellStyle name="Note 38 2 3" xfId="10563" xr:uid="{00000000-0005-0000-0000-000011610000}"/>
    <cellStyle name="Note 38 2 3 2" xfId="21851" xr:uid="{00000000-0005-0000-0000-000012610000}"/>
    <cellStyle name="Note 38 2 4" xfId="8569" xr:uid="{00000000-0005-0000-0000-000013610000}"/>
    <cellStyle name="Note 38 2 4 2" xfId="19857" xr:uid="{00000000-0005-0000-0000-000014610000}"/>
    <cellStyle name="Note 38 2 5" xfId="6575" xr:uid="{00000000-0005-0000-0000-000015610000}"/>
    <cellStyle name="Note 38 2 5 2" xfId="17863" xr:uid="{00000000-0005-0000-0000-000016610000}"/>
    <cellStyle name="Note 38 2 6" xfId="15869" xr:uid="{00000000-0005-0000-0000-000017610000}"/>
    <cellStyle name="Note 38 3" xfId="11560" xr:uid="{00000000-0005-0000-0000-000018610000}"/>
    <cellStyle name="Note 38 3 2" xfId="22848" xr:uid="{00000000-0005-0000-0000-000019610000}"/>
    <cellStyle name="Note 38 4" xfId="9566" xr:uid="{00000000-0005-0000-0000-00001A610000}"/>
    <cellStyle name="Note 38 4 2" xfId="20854" xr:uid="{00000000-0005-0000-0000-00001B610000}"/>
    <cellStyle name="Note 38 5" xfId="7572" xr:uid="{00000000-0005-0000-0000-00001C610000}"/>
    <cellStyle name="Note 38 5 2" xfId="18860" xr:uid="{00000000-0005-0000-0000-00001D610000}"/>
    <cellStyle name="Note 38 6" xfId="5578" xr:uid="{00000000-0005-0000-0000-00001E610000}"/>
    <cellStyle name="Note 38 6 2" xfId="16866" xr:uid="{00000000-0005-0000-0000-00001F610000}"/>
    <cellStyle name="Note 38 7" xfId="14872" xr:uid="{00000000-0005-0000-0000-000020610000}"/>
    <cellStyle name="Note 38 8" xfId="13556" xr:uid="{00000000-0005-0000-0000-000021610000}"/>
    <cellStyle name="Note 39" xfId="3345" xr:uid="{00000000-0005-0000-0000-000022610000}"/>
    <cellStyle name="Note 39 2" xfId="4579" xr:uid="{00000000-0005-0000-0000-000023610000}"/>
    <cellStyle name="Note 39 2 2" xfId="12558" xr:uid="{00000000-0005-0000-0000-000024610000}"/>
    <cellStyle name="Note 39 2 2 2" xfId="23846" xr:uid="{00000000-0005-0000-0000-000025610000}"/>
    <cellStyle name="Note 39 2 3" xfId="10564" xr:uid="{00000000-0005-0000-0000-000026610000}"/>
    <cellStyle name="Note 39 2 3 2" xfId="21852" xr:uid="{00000000-0005-0000-0000-000027610000}"/>
    <cellStyle name="Note 39 2 4" xfId="8570" xr:uid="{00000000-0005-0000-0000-000028610000}"/>
    <cellStyle name="Note 39 2 4 2" xfId="19858" xr:uid="{00000000-0005-0000-0000-000029610000}"/>
    <cellStyle name="Note 39 2 5" xfId="6576" xr:uid="{00000000-0005-0000-0000-00002A610000}"/>
    <cellStyle name="Note 39 2 5 2" xfId="17864" xr:uid="{00000000-0005-0000-0000-00002B610000}"/>
    <cellStyle name="Note 39 2 6" xfId="15870" xr:uid="{00000000-0005-0000-0000-00002C610000}"/>
    <cellStyle name="Note 39 3" xfId="11561" xr:uid="{00000000-0005-0000-0000-00002D610000}"/>
    <cellStyle name="Note 39 3 2" xfId="22849" xr:uid="{00000000-0005-0000-0000-00002E610000}"/>
    <cellStyle name="Note 39 4" xfId="9567" xr:uid="{00000000-0005-0000-0000-00002F610000}"/>
    <cellStyle name="Note 39 4 2" xfId="20855" xr:uid="{00000000-0005-0000-0000-000030610000}"/>
    <cellStyle name="Note 39 5" xfId="7573" xr:uid="{00000000-0005-0000-0000-000031610000}"/>
    <cellStyle name="Note 39 5 2" xfId="18861" xr:uid="{00000000-0005-0000-0000-000032610000}"/>
    <cellStyle name="Note 39 6" xfId="5579" xr:uid="{00000000-0005-0000-0000-000033610000}"/>
    <cellStyle name="Note 39 6 2" xfId="16867" xr:uid="{00000000-0005-0000-0000-000034610000}"/>
    <cellStyle name="Note 39 7" xfId="14873" xr:uid="{00000000-0005-0000-0000-000035610000}"/>
    <cellStyle name="Note 39 8" xfId="13557" xr:uid="{00000000-0005-0000-0000-000036610000}"/>
    <cellStyle name="Note 4" xfId="3346" xr:uid="{00000000-0005-0000-0000-000037610000}"/>
    <cellStyle name="Note 4 10" xfId="25076" xr:uid="{00000000-0005-0000-0000-000038610000}"/>
    <cellStyle name="Note 4 10 2" xfId="25421" xr:uid="{00000000-0005-0000-0000-000039610000}"/>
    <cellStyle name="Note 4 10 2 2" xfId="27575" xr:uid="{00000000-0005-0000-0000-00003A610000}"/>
    <cellStyle name="Note 4 10 2 2 2" xfId="32166" xr:uid="{EBFE7617-1DF5-49C0-99FD-A32FB5FD2D56}"/>
    <cellStyle name="Note 4 10 2 3" xfId="26966" xr:uid="{00000000-0005-0000-0000-00003B610000}"/>
    <cellStyle name="Note 4 10 2 3 2" xfId="31727" xr:uid="{B3C6097A-F8F9-497B-9C80-B684935CFFE1}"/>
    <cellStyle name="Note 4 10 2 4" xfId="26134" xr:uid="{00000000-0005-0000-0000-00003C610000}"/>
    <cellStyle name="Note 4 10 2 4 2" xfId="30924" xr:uid="{0DAF876A-F0DE-46D7-81E4-16410AF1356F}"/>
    <cellStyle name="Note 4 10 2 5" xfId="29289" xr:uid="{00000000-0005-0000-0000-00003D610000}"/>
    <cellStyle name="Note 4 10 2 5 2" xfId="33255" xr:uid="{C4895E64-E252-4E5E-9A67-BEF64A2F42D0}"/>
    <cellStyle name="Note 4 10 2 6" xfId="30579" xr:uid="{E284860F-50FD-474E-902F-818506795136}"/>
    <cellStyle name="Note 4 10 3" xfId="25680" xr:uid="{00000000-0005-0000-0000-00003E610000}"/>
    <cellStyle name="Note 4 10 3 2" xfId="27833" xr:uid="{00000000-0005-0000-0000-00003F610000}"/>
    <cellStyle name="Note 4 10 3 2 2" xfId="32420" xr:uid="{C434686F-E228-4486-9CDE-FBD7B6F87FDA}"/>
    <cellStyle name="Note 4 10 3 3" xfId="26447" xr:uid="{00000000-0005-0000-0000-000040610000}"/>
    <cellStyle name="Note 4 10 3 3 2" xfId="31235" xr:uid="{BB18DE56-9B57-49AF-8EC1-9AEB70371922}"/>
    <cellStyle name="Note 4 10 3 4" xfId="26354" xr:uid="{00000000-0005-0000-0000-000041610000}"/>
    <cellStyle name="Note 4 10 3 4 2" xfId="31142" xr:uid="{E274F0B3-4786-4726-952C-250E385E37F5}"/>
    <cellStyle name="Note 4 10 3 5" xfId="29288" xr:uid="{00000000-0005-0000-0000-000042610000}"/>
    <cellStyle name="Note 4 10 3 5 2" xfId="33254" xr:uid="{68F66E17-A3AE-458B-9DE6-AE58E3DC6A75}"/>
    <cellStyle name="Note 4 10 3 6" xfId="30674" xr:uid="{2BA25E7D-C1F1-4A67-9114-D49547C701BA}"/>
    <cellStyle name="Note 4 10 4" xfId="27367" xr:uid="{00000000-0005-0000-0000-000043610000}"/>
    <cellStyle name="Note 4 10 4 2" xfId="31965" xr:uid="{20C5BE9F-A843-4E63-9D32-D21B7F83356B}"/>
    <cellStyle name="Note 4 10 5" xfId="26380" xr:uid="{00000000-0005-0000-0000-000044610000}"/>
    <cellStyle name="Note 4 10 5 2" xfId="31168" xr:uid="{29F6580A-A2DF-4B52-8856-1DCB34E4EA5B}"/>
    <cellStyle name="Note 4 10 6" xfId="26280" xr:uid="{00000000-0005-0000-0000-000045610000}"/>
    <cellStyle name="Note 4 10 6 2" xfId="31068" xr:uid="{3FEA28AA-3F60-4843-8F9F-4E604D842475}"/>
    <cellStyle name="Note 4 10 7" xfId="29290" xr:uid="{00000000-0005-0000-0000-000046610000}"/>
    <cellStyle name="Note 4 10 7 2" xfId="33256" xr:uid="{91EA9833-D373-4D67-B953-2DAD5C4A205F}"/>
    <cellStyle name="Note 4 10 8" xfId="30382" xr:uid="{C8D9E4D9-3627-4B5F-8E89-2D974D2B9E1D}"/>
    <cellStyle name="Note 4 2" xfId="4580" xr:uid="{00000000-0005-0000-0000-000047610000}"/>
    <cellStyle name="Note 4 2 2" xfId="12559" xr:uid="{00000000-0005-0000-0000-000048610000}"/>
    <cellStyle name="Note 4 2 2 2" xfId="23847" xr:uid="{00000000-0005-0000-0000-000049610000}"/>
    <cellStyle name="Note 4 2 3" xfId="10565" xr:uid="{00000000-0005-0000-0000-00004A610000}"/>
    <cellStyle name="Note 4 2 3 2" xfId="21853" xr:uid="{00000000-0005-0000-0000-00004B610000}"/>
    <cellStyle name="Note 4 2 4" xfId="8571" xr:uid="{00000000-0005-0000-0000-00004C610000}"/>
    <cellStyle name="Note 4 2 4 2" xfId="19859" xr:uid="{00000000-0005-0000-0000-00004D610000}"/>
    <cellStyle name="Note 4 2 5" xfId="6577" xr:uid="{00000000-0005-0000-0000-00004E610000}"/>
    <cellStyle name="Note 4 2 5 2" xfId="17865" xr:uid="{00000000-0005-0000-0000-00004F610000}"/>
    <cellStyle name="Note 4 2 6" xfId="15871" xr:uid="{00000000-0005-0000-0000-000050610000}"/>
    <cellStyle name="Note 4 3" xfId="11562" xr:uid="{00000000-0005-0000-0000-000051610000}"/>
    <cellStyle name="Note 4 3 2" xfId="22850" xr:uid="{00000000-0005-0000-0000-000052610000}"/>
    <cellStyle name="Note 4 4" xfId="9568" xr:uid="{00000000-0005-0000-0000-000053610000}"/>
    <cellStyle name="Note 4 4 2" xfId="20856" xr:uid="{00000000-0005-0000-0000-000054610000}"/>
    <cellStyle name="Note 4 5" xfId="7574" xr:uid="{00000000-0005-0000-0000-000055610000}"/>
    <cellStyle name="Note 4 5 2" xfId="18862" xr:uid="{00000000-0005-0000-0000-000056610000}"/>
    <cellStyle name="Note 4 6" xfId="5580" xr:uid="{00000000-0005-0000-0000-000057610000}"/>
    <cellStyle name="Note 4 6 2" xfId="16868" xr:uid="{00000000-0005-0000-0000-000058610000}"/>
    <cellStyle name="Note 4 7" xfId="14874" xr:uid="{00000000-0005-0000-0000-000059610000}"/>
    <cellStyle name="Note 4 8" xfId="13558" xr:uid="{00000000-0005-0000-0000-00005A610000}"/>
    <cellStyle name="Note 4 9" xfId="24192" xr:uid="{00000000-0005-0000-0000-00005B610000}"/>
    <cellStyle name="Note 4 9 2" xfId="25343" xr:uid="{00000000-0005-0000-0000-00005C610000}"/>
    <cellStyle name="Note 4 9 2 2" xfId="27497" xr:uid="{00000000-0005-0000-0000-00005D610000}"/>
    <cellStyle name="Note 4 9 2 2 2" xfId="32088" xr:uid="{1B33F6FF-1C11-4FEE-869E-03D39D040970}"/>
    <cellStyle name="Note 4 9 2 3" xfId="26723" xr:uid="{00000000-0005-0000-0000-00005E610000}"/>
    <cellStyle name="Note 4 9 2 3 2" xfId="31484" xr:uid="{63B0EAC9-3713-486C-B1AD-46D59FB4B074}"/>
    <cellStyle name="Note 4 9 2 4" xfId="26386" xr:uid="{00000000-0005-0000-0000-00005F610000}"/>
    <cellStyle name="Note 4 9 2 4 2" xfId="31174" xr:uid="{57823113-B546-4154-9582-2D970F8E0646}"/>
    <cellStyle name="Note 4 9 2 5" xfId="29286" xr:uid="{00000000-0005-0000-0000-000060610000}"/>
    <cellStyle name="Note 4 9 2 5 2" xfId="33252" xr:uid="{B07A43C2-A8C6-49CE-B634-C895EF7A6A13}"/>
    <cellStyle name="Note 4 9 2 6" xfId="30501" xr:uid="{2100FFD0-8804-4D0E-9A46-863B5787E9EF}"/>
    <cellStyle name="Note 4 9 3" xfId="25567" xr:uid="{00000000-0005-0000-0000-000061610000}"/>
    <cellStyle name="Note 4 9 3 2" xfId="27720" xr:uid="{00000000-0005-0000-0000-000062610000}"/>
    <cellStyle name="Note 4 9 3 2 2" xfId="32307" xr:uid="{5516163D-BCC4-4099-A285-6928059C5488}"/>
    <cellStyle name="Note 4 9 3 3" xfId="26800" xr:uid="{00000000-0005-0000-0000-000063610000}"/>
    <cellStyle name="Note 4 9 3 3 2" xfId="31561" xr:uid="{4F1D991D-696F-4485-8499-8EA76A45DA88}"/>
    <cellStyle name="Note 4 9 3 4" xfId="26524" xr:uid="{00000000-0005-0000-0000-000064610000}"/>
    <cellStyle name="Note 4 9 3 4 2" xfId="31311" xr:uid="{FA5CB2CA-5301-4055-99FE-96728A932FD6}"/>
    <cellStyle name="Note 4 9 3 5" xfId="29285" xr:uid="{00000000-0005-0000-0000-000065610000}"/>
    <cellStyle name="Note 4 9 3 5 2" xfId="33251" xr:uid="{31A8CACA-9A16-45F6-BBAE-58D85923AA7C}"/>
    <cellStyle name="Note 4 9 3 6" xfId="30624" xr:uid="{62FB1D9F-87A2-4ED6-8157-CFC8F683CC09}"/>
    <cellStyle name="Note 4 9 4" xfId="27092" xr:uid="{00000000-0005-0000-0000-000066610000}"/>
    <cellStyle name="Note 4 9 4 2" xfId="31816" xr:uid="{AFF142BA-BD7D-49D6-BC66-BA8568021BE9}"/>
    <cellStyle name="Note 4 9 5" xfId="26446" xr:uid="{00000000-0005-0000-0000-000067610000}"/>
    <cellStyle name="Note 4 9 5 2" xfId="31234" xr:uid="{D331D07D-4BA9-4B46-B2DB-D7ECF4BBDCE6}"/>
    <cellStyle name="Note 4 9 6" xfId="26752" xr:uid="{00000000-0005-0000-0000-000068610000}"/>
    <cellStyle name="Note 4 9 6 2" xfId="31513" xr:uid="{2FA07F35-96F5-4ECF-B140-A73C13792DBE}"/>
    <cellStyle name="Note 4 9 7" xfId="29287" xr:uid="{00000000-0005-0000-0000-000069610000}"/>
    <cellStyle name="Note 4 9 7 2" xfId="33253" xr:uid="{F2D42103-4FF7-4D4B-B1E1-DA634570BB50}"/>
    <cellStyle name="Note 4 9 8" xfId="30269" xr:uid="{3B04A0F6-8DFE-455C-8465-7D26DAD0FAEA}"/>
    <cellStyle name="Note 40" xfId="3347" xr:uid="{00000000-0005-0000-0000-00006A610000}"/>
    <cellStyle name="Note 40 2" xfId="4581" xr:uid="{00000000-0005-0000-0000-00006B610000}"/>
    <cellStyle name="Note 40 2 2" xfId="12560" xr:uid="{00000000-0005-0000-0000-00006C610000}"/>
    <cellStyle name="Note 40 2 2 2" xfId="23848" xr:uid="{00000000-0005-0000-0000-00006D610000}"/>
    <cellStyle name="Note 40 2 3" xfId="10566" xr:uid="{00000000-0005-0000-0000-00006E610000}"/>
    <cellStyle name="Note 40 2 3 2" xfId="21854" xr:uid="{00000000-0005-0000-0000-00006F610000}"/>
    <cellStyle name="Note 40 2 4" xfId="8572" xr:uid="{00000000-0005-0000-0000-000070610000}"/>
    <cellStyle name="Note 40 2 4 2" xfId="19860" xr:uid="{00000000-0005-0000-0000-000071610000}"/>
    <cellStyle name="Note 40 2 5" xfId="6578" xr:uid="{00000000-0005-0000-0000-000072610000}"/>
    <cellStyle name="Note 40 2 5 2" xfId="17866" xr:uid="{00000000-0005-0000-0000-000073610000}"/>
    <cellStyle name="Note 40 2 6" xfId="15872" xr:uid="{00000000-0005-0000-0000-000074610000}"/>
    <cellStyle name="Note 40 3" xfId="11563" xr:uid="{00000000-0005-0000-0000-000075610000}"/>
    <cellStyle name="Note 40 3 2" xfId="22851" xr:uid="{00000000-0005-0000-0000-000076610000}"/>
    <cellStyle name="Note 40 4" xfId="9569" xr:uid="{00000000-0005-0000-0000-000077610000}"/>
    <cellStyle name="Note 40 4 2" xfId="20857" xr:uid="{00000000-0005-0000-0000-000078610000}"/>
    <cellStyle name="Note 40 5" xfId="7575" xr:uid="{00000000-0005-0000-0000-000079610000}"/>
    <cellStyle name="Note 40 5 2" xfId="18863" xr:uid="{00000000-0005-0000-0000-00007A610000}"/>
    <cellStyle name="Note 40 6" xfId="5581" xr:uid="{00000000-0005-0000-0000-00007B610000}"/>
    <cellStyle name="Note 40 6 2" xfId="16869" xr:uid="{00000000-0005-0000-0000-00007C610000}"/>
    <cellStyle name="Note 40 7" xfId="14875" xr:uid="{00000000-0005-0000-0000-00007D610000}"/>
    <cellStyle name="Note 40 8" xfId="13559" xr:uid="{00000000-0005-0000-0000-00007E610000}"/>
    <cellStyle name="Note 41" xfId="3348" xr:uid="{00000000-0005-0000-0000-00007F610000}"/>
    <cellStyle name="Note 41 2" xfId="4582" xr:uid="{00000000-0005-0000-0000-000080610000}"/>
    <cellStyle name="Note 41 2 2" xfId="12561" xr:uid="{00000000-0005-0000-0000-000081610000}"/>
    <cellStyle name="Note 41 2 2 2" xfId="23849" xr:uid="{00000000-0005-0000-0000-000082610000}"/>
    <cellStyle name="Note 41 2 3" xfId="10567" xr:uid="{00000000-0005-0000-0000-000083610000}"/>
    <cellStyle name="Note 41 2 3 2" xfId="21855" xr:uid="{00000000-0005-0000-0000-000084610000}"/>
    <cellStyle name="Note 41 2 4" xfId="8573" xr:uid="{00000000-0005-0000-0000-000085610000}"/>
    <cellStyle name="Note 41 2 4 2" xfId="19861" xr:uid="{00000000-0005-0000-0000-000086610000}"/>
    <cellStyle name="Note 41 2 5" xfId="6579" xr:uid="{00000000-0005-0000-0000-000087610000}"/>
    <cellStyle name="Note 41 2 5 2" xfId="17867" xr:uid="{00000000-0005-0000-0000-000088610000}"/>
    <cellStyle name="Note 41 2 6" xfId="15873" xr:uid="{00000000-0005-0000-0000-000089610000}"/>
    <cellStyle name="Note 41 3" xfId="11564" xr:uid="{00000000-0005-0000-0000-00008A610000}"/>
    <cellStyle name="Note 41 3 2" xfId="22852" xr:uid="{00000000-0005-0000-0000-00008B610000}"/>
    <cellStyle name="Note 41 4" xfId="9570" xr:uid="{00000000-0005-0000-0000-00008C610000}"/>
    <cellStyle name="Note 41 4 2" xfId="20858" xr:uid="{00000000-0005-0000-0000-00008D610000}"/>
    <cellStyle name="Note 41 5" xfId="7576" xr:uid="{00000000-0005-0000-0000-00008E610000}"/>
    <cellStyle name="Note 41 5 2" xfId="18864" xr:uid="{00000000-0005-0000-0000-00008F610000}"/>
    <cellStyle name="Note 41 6" xfId="5582" xr:uid="{00000000-0005-0000-0000-000090610000}"/>
    <cellStyle name="Note 41 6 2" xfId="16870" xr:uid="{00000000-0005-0000-0000-000091610000}"/>
    <cellStyle name="Note 41 7" xfId="14876" xr:uid="{00000000-0005-0000-0000-000092610000}"/>
    <cellStyle name="Note 41 8" xfId="13560" xr:uid="{00000000-0005-0000-0000-000093610000}"/>
    <cellStyle name="Note 42" xfId="3349" xr:uid="{00000000-0005-0000-0000-000094610000}"/>
    <cellStyle name="Note 42 2" xfId="4583" xr:uid="{00000000-0005-0000-0000-000095610000}"/>
    <cellStyle name="Note 42 2 2" xfId="12562" xr:uid="{00000000-0005-0000-0000-000096610000}"/>
    <cellStyle name="Note 42 2 2 2" xfId="23850" xr:uid="{00000000-0005-0000-0000-000097610000}"/>
    <cellStyle name="Note 42 2 3" xfId="10568" xr:uid="{00000000-0005-0000-0000-000098610000}"/>
    <cellStyle name="Note 42 2 3 2" xfId="21856" xr:uid="{00000000-0005-0000-0000-000099610000}"/>
    <cellStyle name="Note 42 2 4" xfId="8574" xr:uid="{00000000-0005-0000-0000-00009A610000}"/>
    <cellStyle name="Note 42 2 4 2" xfId="19862" xr:uid="{00000000-0005-0000-0000-00009B610000}"/>
    <cellStyle name="Note 42 2 5" xfId="6580" xr:uid="{00000000-0005-0000-0000-00009C610000}"/>
    <cellStyle name="Note 42 2 5 2" xfId="17868" xr:uid="{00000000-0005-0000-0000-00009D610000}"/>
    <cellStyle name="Note 42 2 6" xfId="15874" xr:uid="{00000000-0005-0000-0000-00009E610000}"/>
    <cellStyle name="Note 42 3" xfId="11565" xr:uid="{00000000-0005-0000-0000-00009F610000}"/>
    <cellStyle name="Note 42 3 2" xfId="22853" xr:uid="{00000000-0005-0000-0000-0000A0610000}"/>
    <cellStyle name="Note 42 4" xfId="9571" xr:uid="{00000000-0005-0000-0000-0000A1610000}"/>
    <cellStyle name="Note 42 4 2" xfId="20859" xr:uid="{00000000-0005-0000-0000-0000A2610000}"/>
    <cellStyle name="Note 42 5" xfId="7577" xr:uid="{00000000-0005-0000-0000-0000A3610000}"/>
    <cellStyle name="Note 42 5 2" xfId="18865" xr:uid="{00000000-0005-0000-0000-0000A4610000}"/>
    <cellStyle name="Note 42 6" xfId="5583" xr:uid="{00000000-0005-0000-0000-0000A5610000}"/>
    <cellStyle name="Note 42 6 2" xfId="16871" xr:uid="{00000000-0005-0000-0000-0000A6610000}"/>
    <cellStyle name="Note 42 7" xfId="14877" xr:uid="{00000000-0005-0000-0000-0000A7610000}"/>
    <cellStyle name="Note 42 8" xfId="13561" xr:uid="{00000000-0005-0000-0000-0000A8610000}"/>
    <cellStyle name="Note 43" xfId="3350" xr:uid="{00000000-0005-0000-0000-0000A9610000}"/>
    <cellStyle name="Note 43 2" xfId="4584" xr:uid="{00000000-0005-0000-0000-0000AA610000}"/>
    <cellStyle name="Note 43 2 2" xfId="12563" xr:uid="{00000000-0005-0000-0000-0000AB610000}"/>
    <cellStyle name="Note 43 2 2 2" xfId="23851" xr:uid="{00000000-0005-0000-0000-0000AC610000}"/>
    <cellStyle name="Note 43 2 3" xfId="10569" xr:uid="{00000000-0005-0000-0000-0000AD610000}"/>
    <cellStyle name="Note 43 2 3 2" xfId="21857" xr:uid="{00000000-0005-0000-0000-0000AE610000}"/>
    <cellStyle name="Note 43 2 4" xfId="8575" xr:uid="{00000000-0005-0000-0000-0000AF610000}"/>
    <cellStyle name="Note 43 2 4 2" xfId="19863" xr:uid="{00000000-0005-0000-0000-0000B0610000}"/>
    <cellStyle name="Note 43 2 5" xfId="6581" xr:uid="{00000000-0005-0000-0000-0000B1610000}"/>
    <cellStyle name="Note 43 2 5 2" xfId="17869" xr:uid="{00000000-0005-0000-0000-0000B2610000}"/>
    <cellStyle name="Note 43 2 6" xfId="15875" xr:uid="{00000000-0005-0000-0000-0000B3610000}"/>
    <cellStyle name="Note 43 3" xfId="11566" xr:uid="{00000000-0005-0000-0000-0000B4610000}"/>
    <cellStyle name="Note 43 3 2" xfId="22854" xr:uid="{00000000-0005-0000-0000-0000B5610000}"/>
    <cellStyle name="Note 43 4" xfId="9572" xr:uid="{00000000-0005-0000-0000-0000B6610000}"/>
    <cellStyle name="Note 43 4 2" xfId="20860" xr:uid="{00000000-0005-0000-0000-0000B7610000}"/>
    <cellStyle name="Note 43 5" xfId="7578" xr:uid="{00000000-0005-0000-0000-0000B8610000}"/>
    <cellStyle name="Note 43 5 2" xfId="18866" xr:uid="{00000000-0005-0000-0000-0000B9610000}"/>
    <cellStyle name="Note 43 6" xfId="5584" xr:uid="{00000000-0005-0000-0000-0000BA610000}"/>
    <cellStyle name="Note 43 6 2" xfId="16872" xr:uid="{00000000-0005-0000-0000-0000BB610000}"/>
    <cellStyle name="Note 43 7" xfId="14878" xr:uid="{00000000-0005-0000-0000-0000BC610000}"/>
    <cellStyle name="Note 43 8" xfId="13562" xr:uid="{00000000-0005-0000-0000-0000BD610000}"/>
    <cellStyle name="Note 44" xfId="3351" xr:uid="{00000000-0005-0000-0000-0000BE610000}"/>
    <cellStyle name="Note 44 2" xfId="4585" xr:uid="{00000000-0005-0000-0000-0000BF610000}"/>
    <cellStyle name="Note 44 2 2" xfId="12564" xr:uid="{00000000-0005-0000-0000-0000C0610000}"/>
    <cellStyle name="Note 44 2 2 2" xfId="23852" xr:uid="{00000000-0005-0000-0000-0000C1610000}"/>
    <cellStyle name="Note 44 2 3" xfId="10570" xr:uid="{00000000-0005-0000-0000-0000C2610000}"/>
    <cellStyle name="Note 44 2 3 2" xfId="21858" xr:uid="{00000000-0005-0000-0000-0000C3610000}"/>
    <cellStyle name="Note 44 2 4" xfId="8576" xr:uid="{00000000-0005-0000-0000-0000C4610000}"/>
    <cellStyle name="Note 44 2 4 2" xfId="19864" xr:uid="{00000000-0005-0000-0000-0000C5610000}"/>
    <cellStyle name="Note 44 2 5" xfId="6582" xr:uid="{00000000-0005-0000-0000-0000C6610000}"/>
    <cellStyle name="Note 44 2 5 2" xfId="17870" xr:uid="{00000000-0005-0000-0000-0000C7610000}"/>
    <cellStyle name="Note 44 2 6" xfId="15876" xr:uid="{00000000-0005-0000-0000-0000C8610000}"/>
    <cellStyle name="Note 44 3" xfId="11567" xr:uid="{00000000-0005-0000-0000-0000C9610000}"/>
    <cellStyle name="Note 44 3 2" xfId="22855" xr:uid="{00000000-0005-0000-0000-0000CA610000}"/>
    <cellStyle name="Note 44 4" xfId="9573" xr:uid="{00000000-0005-0000-0000-0000CB610000}"/>
    <cellStyle name="Note 44 4 2" xfId="20861" xr:uid="{00000000-0005-0000-0000-0000CC610000}"/>
    <cellStyle name="Note 44 5" xfId="7579" xr:uid="{00000000-0005-0000-0000-0000CD610000}"/>
    <cellStyle name="Note 44 5 2" xfId="18867" xr:uid="{00000000-0005-0000-0000-0000CE610000}"/>
    <cellStyle name="Note 44 6" xfId="5585" xr:uid="{00000000-0005-0000-0000-0000CF610000}"/>
    <cellStyle name="Note 44 6 2" xfId="16873" xr:uid="{00000000-0005-0000-0000-0000D0610000}"/>
    <cellStyle name="Note 44 7" xfId="14879" xr:uid="{00000000-0005-0000-0000-0000D1610000}"/>
    <cellStyle name="Note 44 8" xfId="13563" xr:uid="{00000000-0005-0000-0000-0000D2610000}"/>
    <cellStyle name="Note 45" xfId="3352" xr:uid="{00000000-0005-0000-0000-0000D3610000}"/>
    <cellStyle name="Note 45 2" xfId="4586" xr:uid="{00000000-0005-0000-0000-0000D4610000}"/>
    <cellStyle name="Note 45 2 2" xfId="12565" xr:uid="{00000000-0005-0000-0000-0000D5610000}"/>
    <cellStyle name="Note 45 2 2 2" xfId="23853" xr:uid="{00000000-0005-0000-0000-0000D6610000}"/>
    <cellStyle name="Note 45 2 3" xfId="10571" xr:uid="{00000000-0005-0000-0000-0000D7610000}"/>
    <cellStyle name="Note 45 2 3 2" xfId="21859" xr:uid="{00000000-0005-0000-0000-0000D8610000}"/>
    <cellStyle name="Note 45 2 4" xfId="8577" xr:uid="{00000000-0005-0000-0000-0000D9610000}"/>
    <cellStyle name="Note 45 2 4 2" xfId="19865" xr:uid="{00000000-0005-0000-0000-0000DA610000}"/>
    <cellStyle name="Note 45 2 5" xfId="6583" xr:uid="{00000000-0005-0000-0000-0000DB610000}"/>
    <cellStyle name="Note 45 2 5 2" xfId="17871" xr:uid="{00000000-0005-0000-0000-0000DC610000}"/>
    <cellStyle name="Note 45 2 6" xfId="15877" xr:uid="{00000000-0005-0000-0000-0000DD610000}"/>
    <cellStyle name="Note 45 3" xfId="11568" xr:uid="{00000000-0005-0000-0000-0000DE610000}"/>
    <cellStyle name="Note 45 3 2" xfId="22856" xr:uid="{00000000-0005-0000-0000-0000DF610000}"/>
    <cellStyle name="Note 45 4" xfId="9574" xr:uid="{00000000-0005-0000-0000-0000E0610000}"/>
    <cellStyle name="Note 45 4 2" xfId="20862" xr:uid="{00000000-0005-0000-0000-0000E1610000}"/>
    <cellStyle name="Note 45 5" xfId="7580" xr:uid="{00000000-0005-0000-0000-0000E2610000}"/>
    <cellStyle name="Note 45 5 2" xfId="18868" xr:uid="{00000000-0005-0000-0000-0000E3610000}"/>
    <cellStyle name="Note 45 6" xfId="5586" xr:uid="{00000000-0005-0000-0000-0000E4610000}"/>
    <cellStyle name="Note 45 6 2" xfId="16874" xr:uid="{00000000-0005-0000-0000-0000E5610000}"/>
    <cellStyle name="Note 45 7" xfId="14880" xr:uid="{00000000-0005-0000-0000-0000E6610000}"/>
    <cellStyle name="Note 45 8" xfId="13564" xr:uid="{00000000-0005-0000-0000-0000E7610000}"/>
    <cellStyle name="Note 46" xfId="3353" xr:uid="{00000000-0005-0000-0000-0000E8610000}"/>
    <cellStyle name="Note 46 2" xfId="4587" xr:uid="{00000000-0005-0000-0000-0000E9610000}"/>
    <cellStyle name="Note 46 2 2" xfId="12566" xr:uid="{00000000-0005-0000-0000-0000EA610000}"/>
    <cellStyle name="Note 46 2 2 2" xfId="23854" xr:uid="{00000000-0005-0000-0000-0000EB610000}"/>
    <cellStyle name="Note 46 2 3" xfId="10572" xr:uid="{00000000-0005-0000-0000-0000EC610000}"/>
    <cellStyle name="Note 46 2 3 2" xfId="21860" xr:uid="{00000000-0005-0000-0000-0000ED610000}"/>
    <cellStyle name="Note 46 2 4" xfId="8578" xr:uid="{00000000-0005-0000-0000-0000EE610000}"/>
    <cellStyle name="Note 46 2 4 2" xfId="19866" xr:uid="{00000000-0005-0000-0000-0000EF610000}"/>
    <cellStyle name="Note 46 2 5" xfId="6584" xr:uid="{00000000-0005-0000-0000-0000F0610000}"/>
    <cellStyle name="Note 46 2 5 2" xfId="17872" xr:uid="{00000000-0005-0000-0000-0000F1610000}"/>
    <cellStyle name="Note 46 2 6" xfId="15878" xr:uid="{00000000-0005-0000-0000-0000F2610000}"/>
    <cellStyle name="Note 46 3" xfId="11569" xr:uid="{00000000-0005-0000-0000-0000F3610000}"/>
    <cellStyle name="Note 46 3 2" xfId="22857" xr:uid="{00000000-0005-0000-0000-0000F4610000}"/>
    <cellStyle name="Note 46 4" xfId="9575" xr:uid="{00000000-0005-0000-0000-0000F5610000}"/>
    <cellStyle name="Note 46 4 2" xfId="20863" xr:uid="{00000000-0005-0000-0000-0000F6610000}"/>
    <cellStyle name="Note 46 5" xfId="7581" xr:uid="{00000000-0005-0000-0000-0000F7610000}"/>
    <cellStyle name="Note 46 5 2" xfId="18869" xr:uid="{00000000-0005-0000-0000-0000F8610000}"/>
    <cellStyle name="Note 46 6" xfId="5587" xr:uid="{00000000-0005-0000-0000-0000F9610000}"/>
    <cellStyle name="Note 46 6 2" xfId="16875" xr:uid="{00000000-0005-0000-0000-0000FA610000}"/>
    <cellStyle name="Note 46 7" xfId="14881" xr:uid="{00000000-0005-0000-0000-0000FB610000}"/>
    <cellStyle name="Note 46 8" xfId="13565" xr:uid="{00000000-0005-0000-0000-0000FC610000}"/>
    <cellStyle name="Note 47" xfId="3354" xr:uid="{00000000-0005-0000-0000-0000FD610000}"/>
    <cellStyle name="Note 47 2" xfId="4588" xr:uid="{00000000-0005-0000-0000-0000FE610000}"/>
    <cellStyle name="Note 47 2 2" xfId="12567" xr:uid="{00000000-0005-0000-0000-0000FF610000}"/>
    <cellStyle name="Note 47 2 2 2" xfId="23855" xr:uid="{00000000-0005-0000-0000-000000620000}"/>
    <cellStyle name="Note 47 2 3" xfId="10573" xr:uid="{00000000-0005-0000-0000-000001620000}"/>
    <cellStyle name="Note 47 2 3 2" xfId="21861" xr:uid="{00000000-0005-0000-0000-000002620000}"/>
    <cellStyle name="Note 47 2 4" xfId="8579" xr:uid="{00000000-0005-0000-0000-000003620000}"/>
    <cellStyle name="Note 47 2 4 2" xfId="19867" xr:uid="{00000000-0005-0000-0000-000004620000}"/>
    <cellStyle name="Note 47 2 5" xfId="6585" xr:uid="{00000000-0005-0000-0000-000005620000}"/>
    <cellStyle name="Note 47 2 5 2" xfId="17873" xr:uid="{00000000-0005-0000-0000-000006620000}"/>
    <cellStyle name="Note 47 2 6" xfId="15879" xr:uid="{00000000-0005-0000-0000-000007620000}"/>
    <cellStyle name="Note 47 3" xfId="11570" xr:uid="{00000000-0005-0000-0000-000008620000}"/>
    <cellStyle name="Note 47 3 2" xfId="22858" xr:uid="{00000000-0005-0000-0000-000009620000}"/>
    <cellStyle name="Note 47 4" xfId="9576" xr:uid="{00000000-0005-0000-0000-00000A620000}"/>
    <cellStyle name="Note 47 4 2" xfId="20864" xr:uid="{00000000-0005-0000-0000-00000B620000}"/>
    <cellStyle name="Note 47 5" xfId="7582" xr:uid="{00000000-0005-0000-0000-00000C620000}"/>
    <cellStyle name="Note 47 5 2" xfId="18870" xr:uid="{00000000-0005-0000-0000-00000D620000}"/>
    <cellStyle name="Note 47 6" xfId="5588" xr:uid="{00000000-0005-0000-0000-00000E620000}"/>
    <cellStyle name="Note 47 6 2" xfId="16876" xr:uid="{00000000-0005-0000-0000-00000F620000}"/>
    <cellStyle name="Note 47 7" xfId="14882" xr:uid="{00000000-0005-0000-0000-000010620000}"/>
    <cellStyle name="Note 47 8" xfId="13566" xr:uid="{00000000-0005-0000-0000-000011620000}"/>
    <cellStyle name="Note 48" xfId="3355" xr:uid="{00000000-0005-0000-0000-000012620000}"/>
    <cellStyle name="Note 48 2" xfId="4589" xr:uid="{00000000-0005-0000-0000-000013620000}"/>
    <cellStyle name="Note 48 2 2" xfId="12568" xr:uid="{00000000-0005-0000-0000-000014620000}"/>
    <cellStyle name="Note 48 2 2 2" xfId="23856" xr:uid="{00000000-0005-0000-0000-000015620000}"/>
    <cellStyle name="Note 48 2 3" xfId="10574" xr:uid="{00000000-0005-0000-0000-000016620000}"/>
    <cellStyle name="Note 48 2 3 2" xfId="21862" xr:uid="{00000000-0005-0000-0000-000017620000}"/>
    <cellStyle name="Note 48 2 4" xfId="8580" xr:uid="{00000000-0005-0000-0000-000018620000}"/>
    <cellStyle name="Note 48 2 4 2" xfId="19868" xr:uid="{00000000-0005-0000-0000-000019620000}"/>
    <cellStyle name="Note 48 2 5" xfId="6586" xr:uid="{00000000-0005-0000-0000-00001A620000}"/>
    <cellStyle name="Note 48 2 5 2" xfId="17874" xr:uid="{00000000-0005-0000-0000-00001B620000}"/>
    <cellStyle name="Note 48 2 6" xfId="15880" xr:uid="{00000000-0005-0000-0000-00001C620000}"/>
    <cellStyle name="Note 48 3" xfId="11571" xr:uid="{00000000-0005-0000-0000-00001D620000}"/>
    <cellStyle name="Note 48 3 2" xfId="22859" xr:uid="{00000000-0005-0000-0000-00001E620000}"/>
    <cellStyle name="Note 48 4" xfId="9577" xr:uid="{00000000-0005-0000-0000-00001F620000}"/>
    <cellStyle name="Note 48 4 2" xfId="20865" xr:uid="{00000000-0005-0000-0000-000020620000}"/>
    <cellStyle name="Note 48 5" xfId="7583" xr:uid="{00000000-0005-0000-0000-000021620000}"/>
    <cellStyle name="Note 48 5 2" xfId="18871" xr:uid="{00000000-0005-0000-0000-000022620000}"/>
    <cellStyle name="Note 48 6" xfId="5589" xr:uid="{00000000-0005-0000-0000-000023620000}"/>
    <cellStyle name="Note 48 6 2" xfId="16877" xr:uid="{00000000-0005-0000-0000-000024620000}"/>
    <cellStyle name="Note 48 7" xfId="14883" xr:uid="{00000000-0005-0000-0000-000025620000}"/>
    <cellStyle name="Note 48 8" xfId="13567" xr:uid="{00000000-0005-0000-0000-000026620000}"/>
    <cellStyle name="Note 49" xfId="3356" xr:uid="{00000000-0005-0000-0000-000027620000}"/>
    <cellStyle name="Note 49 2" xfId="4590" xr:uid="{00000000-0005-0000-0000-000028620000}"/>
    <cellStyle name="Note 49 2 2" xfId="12569" xr:uid="{00000000-0005-0000-0000-000029620000}"/>
    <cellStyle name="Note 49 2 2 2" xfId="23857" xr:uid="{00000000-0005-0000-0000-00002A620000}"/>
    <cellStyle name="Note 49 2 3" xfId="10575" xr:uid="{00000000-0005-0000-0000-00002B620000}"/>
    <cellStyle name="Note 49 2 3 2" xfId="21863" xr:uid="{00000000-0005-0000-0000-00002C620000}"/>
    <cellStyle name="Note 49 2 4" xfId="8581" xr:uid="{00000000-0005-0000-0000-00002D620000}"/>
    <cellStyle name="Note 49 2 4 2" xfId="19869" xr:uid="{00000000-0005-0000-0000-00002E620000}"/>
    <cellStyle name="Note 49 2 5" xfId="6587" xr:uid="{00000000-0005-0000-0000-00002F620000}"/>
    <cellStyle name="Note 49 2 5 2" xfId="17875" xr:uid="{00000000-0005-0000-0000-000030620000}"/>
    <cellStyle name="Note 49 2 6" xfId="15881" xr:uid="{00000000-0005-0000-0000-000031620000}"/>
    <cellStyle name="Note 49 3" xfId="11572" xr:uid="{00000000-0005-0000-0000-000032620000}"/>
    <cellStyle name="Note 49 3 2" xfId="22860" xr:uid="{00000000-0005-0000-0000-000033620000}"/>
    <cellStyle name="Note 49 4" xfId="9578" xr:uid="{00000000-0005-0000-0000-000034620000}"/>
    <cellStyle name="Note 49 4 2" xfId="20866" xr:uid="{00000000-0005-0000-0000-000035620000}"/>
    <cellStyle name="Note 49 5" xfId="7584" xr:uid="{00000000-0005-0000-0000-000036620000}"/>
    <cellStyle name="Note 49 5 2" xfId="18872" xr:uid="{00000000-0005-0000-0000-000037620000}"/>
    <cellStyle name="Note 49 6" xfId="5590" xr:uid="{00000000-0005-0000-0000-000038620000}"/>
    <cellStyle name="Note 49 6 2" xfId="16878" xr:uid="{00000000-0005-0000-0000-000039620000}"/>
    <cellStyle name="Note 49 7" xfId="14884" xr:uid="{00000000-0005-0000-0000-00003A620000}"/>
    <cellStyle name="Note 49 8" xfId="13568" xr:uid="{00000000-0005-0000-0000-00003B620000}"/>
    <cellStyle name="Note 5" xfId="3357" xr:uid="{00000000-0005-0000-0000-00003C620000}"/>
    <cellStyle name="Note 5 10" xfId="25077" xr:uid="{00000000-0005-0000-0000-00003D620000}"/>
    <cellStyle name="Note 5 10 2" xfId="25338" xr:uid="{00000000-0005-0000-0000-00003E620000}"/>
    <cellStyle name="Note 5 10 2 2" xfId="27492" xr:uid="{00000000-0005-0000-0000-00003F620000}"/>
    <cellStyle name="Note 5 10 2 2 2" xfId="32083" xr:uid="{A19941B5-ED37-42FF-BC94-DAD64BC1B10D}"/>
    <cellStyle name="Note 5 10 2 3" xfId="26965" xr:uid="{00000000-0005-0000-0000-000040620000}"/>
    <cellStyle name="Note 5 10 2 3 2" xfId="31726" xr:uid="{597CCD8D-C10B-4C68-A1F8-5A88FAD14C73}"/>
    <cellStyle name="Note 5 10 2 4" xfId="26913" xr:uid="{00000000-0005-0000-0000-000041620000}"/>
    <cellStyle name="Note 5 10 2 4 2" xfId="31674" xr:uid="{30FD7022-C61C-45F1-919F-F9E343479EB3}"/>
    <cellStyle name="Note 5 10 2 5" xfId="29282" xr:uid="{00000000-0005-0000-0000-000042620000}"/>
    <cellStyle name="Note 5 10 2 5 2" xfId="33249" xr:uid="{C1CC3A9F-43C2-49D4-A3AD-C6F26763B6EB}"/>
    <cellStyle name="Note 5 10 2 6" xfId="30496" xr:uid="{E12D2A96-6A54-4A75-A9E1-579637785F2B}"/>
    <cellStyle name="Note 5 10 3" xfId="25681" xr:uid="{00000000-0005-0000-0000-000043620000}"/>
    <cellStyle name="Note 5 10 3 2" xfId="27834" xr:uid="{00000000-0005-0000-0000-000044620000}"/>
    <cellStyle name="Note 5 10 3 2 2" xfId="32421" xr:uid="{86006B15-C454-4020-98CB-EF934E7D7377}"/>
    <cellStyle name="Note 5 10 3 3" xfId="26445" xr:uid="{00000000-0005-0000-0000-000045620000}"/>
    <cellStyle name="Note 5 10 3 3 2" xfId="31233" xr:uid="{5457A55C-1C23-485E-A60C-FC06AC5456FE}"/>
    <cellStyle name="Note 5 10 3 4" xfId="26179" xr:uid="{00000000-0005-0000-0000-000046620000}"/>
    <cellStyle name="Note 5 10 3 4 2" xfId="30968" xr:uid="{1D1EBE38-6BF2-4907-A084-C88ED1A99BB2}"/>
    <cellStyle name="Note 5 10 3 5" xfId="29281" xr:uid="{00000000-0005-0000-0000-000047620000}"/>
    <cellStyle name="Note 5 10 3 5 2" xfId="33248" xr:uid="{62B9C2E7-4D55-40CC-B524-6DE94C802186}"/>
    <cellStyle name="Note 5 10 3 6" xfId="30675" xr:uid="{0EA4B9F4-3A00-4666-9BFA-914716AA248F}"/>
    <cellStyle name="Note 5 10 4" xfId="27368" xr:uid="{00000000-0005-0000-0000-000048620000}"/>
    <cellStyle name="Note 5 10 4 2" xfId="31966" xr:uid="{66FA2DFB-BBF0-4974-AECF-DFDC43857841}"/>
    <cellStyle name="Note 5 10 5" xfId="26379" xr:uid="{00000000-0005-0000-0000-000049620000}"/>
    <cellStyle name="Note 5 10 5 2" xfId="31167" xr:uid="{3B66F73B-E67C-4E81-AA4E-EEF1D3196F8B}"/>
    <cellStyle name="Note 5 10 6" xfId="26480" xr:uid="{00000000-0005-0000-0000-00004A620000}"/>
    <cellStyle name="Note 5 10 6 2" xfId="31268" xr:uid="{40F0E242-512F-4838-85C3-D53BE1D13AAD}"/>
    <cellStyle name="Note 5 10 7" xfId="29283" xr:uid="{00000000-0005-0000-0000-00004B620000}"/>
    <cellStyle name="Note 5 10 7 2" xfId="33250" xr:uid="{B32A91D5-FDE9-489C-AB26-C5979B2060FC}"/>
    <cellStyle name="Note 5 10 8" xfId="30383" xr:uid="{C07AFF2E-8D08-4755-8815-92C542BA0288}"/>
    <cellStyle name="Note 5 2" xfId="4591" xr:uid="{00000000-0005-0000-0000-00004C620000}"/>
    <cellStyle name="Note 5 2 2" xfId="12570" xr:uid="{00000000-0005-0000-0000-00004D620000}"/>
    <cellStyle name="Note 5 2 2 2" xfId="23858" xr:uid="{00000000-0005-0000-0000-00004E620000}"/>
    <cellStyle name="Note 5 2 3" xfId="10576" xr:uid="{00000000-0005-0000-0000-00004F620000}"/>
    <cellStyle name="Note 5 2 3 2" xfId="21864" xr:uid="{00000000-0005-0000-0000-000050620000}"/>
    <cellStyle name="Note 5 2 4" xfId="8582" xr:uid="{00000000-0005-0000-0000-000051620000}"/>
    <cellStyle name="Note 5 2 4 2" xfId="19870" xr:uid="{00000000-0005-0000-0000-000052620000}"/>
    <cellStyle name="Note 5 2 5" xfId="6588" xr:uid="{00000000-0005-0000-0000-000053620000}"/>
    <cellStyle name="Note 5 2 5 2" xfId="17876" xr:uid="{00000000-0005-0000-0000-000054620000}"/>
    <cellStyle name="Note 5 2 6" xfId="15882" xr:uid="{00000000-0005-0000-0000-000055620000}"/>
    <cellStyle name="Note 5 3" xfId="11573" xr:uid="{00000000-0005-0000-0000-000056620000}"/>
    <cellStyle name="Note 5 3 2" xfId="22861" xr:uid="{00000000-0005-0000-0000-000057620000}"/>
    <cellStyle name="Note 5 4" xfId="9579" xr:uid="{00000000-0005-0000-0000-000058620000}"/>
    <cellStyle name="Note 5 4 2" xfId="20867" xr:uid="{00000000-0005-0000-0000-000059620000}"/>
    <cellStyle name="Note 5 5" xfId="7585" xr:uid="{00000000-0005-0000-0000-00005A620000}"/>
    <cellStyle name="Note 5 5 2" xfId="18873" xr:uid="{00000000-0005-0000-0000-00005B620000}"/>
    <cellStyle name="Note 5 6" xfId="5591" xr:uid="{00000000-0005-0000-0000-00005C620000}"/>
    <cellStyle name="Note 5 6 2" xfId="16879" xr:uid="{00000000-0005-0000-0000-00005D620000}"/>
    <cellStyle name="Note 5 7" xfId="14885" xr:uid="{00000000-0005-0000-0000-00005E620000}"/>
    <cellStyle name="Note 5 8" xfId="13569" xr:uid="{00000000-0005-0000-0000-00005F620000}"/>
    <cellStyle name="Note 5 9" xfId="24193" xr:uid="{00000000-0005-0000-0000-000060620000}"/>
    <cellStyle name="Note 5 9 2" xfId="25444" xr:uid="{00000000-0005-0000-0000-000061620000}"/>
    <cellStyle name="Note 5 9 2 2" xfId="27598" xr:uid="{00000000-0005-0000-0000-000062620000}"/>
    <cellStyle name="Note 5 9 2 2 2" xfId="32189" xr:uid="{EF16FDDD-095A-4838-A08E-C5B4FC001259}"/>
    <cellStyle name="Note 5 9 2 3" xfId="26722" xr:uid="{00000000-0005-0000-0000-000063620000}"/>
    <cellStyle name="Note 5 9 2 3 2" xfId="31483" xr:uid="{F6F0A8C8-7554-4B5B-8964-B92FA1E20924}"/>
    <cellStyle name="Note 5 9 2 4" xfId="26753" xr:uid="{00000000-0005-0000-0000-000064620000}"/>
    <cellStyle name="Note 5 9 2 4 2" xfId="31514" xr:uid="{2E4A1D25-761F-413D-87BF-15DDC0340EFF}"/>
    <cellStyle name="Note 5 9 2 5" xfId="29279" xr:uid="{00000000-0005-0000-0000-000065620000}"/>
    <cellStyle name="Note 5 9 2 5 2" xfId="33246" xr:uid="{AE331B6E-AD76-417B-8E29-8D4B7D08AFB0}"/>
    <cellStyle name="Note 5 9 2 6" xfId="30602" xr:uid="{8390F486-3D8D-4D7E-9B65-8B6857B31F32}"/>
    <cellStyle name="Note 5 9 3" xfId="25568" xr:uid="{00000000-0005-0000-0000-000066620000}"/>
    <cellStyle name="Note 5 9 3 2" xfId="27721" xr:uid="{00000000-0005-0000-0000-000067620000}"/>
    <cellStyle name="Note 5 9 3 2 2" xfId="32308" xr:uid="{F2F8C562-6385-4096-8009-E9646696911F}"/>
    <cellStyle name="Note 5 9 3 3" xfId="26799" xr:uid="{00000000-0005-0000-0000-000068620000}"/>
    <cellStyle name="Note 5 9 3 3 2" xfId="31560" xr:uid="{B7D3E094-FB25-4575-8ED4-08B06C6423A8}"/>
    <cellStyle name="Note 5 9 3 4" xfId="26325" xr:uid="{00000000-0005-0000-0000-000069620000}"/>
    <cellStyle name="Note 5 9 3 4 2" xfId="31113" xr:uid="{B269BE2D-E28C-47B5-8454-75BF784F7BFE}"/>
    <cellStyle name="Note 5 9 3 5" xfId="29278" xr:uid="{00000000-0005-0000-0000-00006A620000}"/>
    <cellStyle name="Note 5 9 3 5 2" xfId="33245" xr:uid="{6229D2C6-BB6D-43F4-AD12-63CFD09329BF}"/>
    <cellStyle name="Note 5 9 3 6" xfId="30625" xr:uid="{E440E51D-DAF7-4BBD-AB3A-3AD671E0E06E}"/>
    <cellStyle name="Note 5 9 4" xfId="27093" xr:uid="{00000000-0005-0000-0000-00006B620000}"/>
    <cellStyle name="Note 5 9 4 2" xfId="31817" xr:uid="{AC16DECE-15B4-44CB-97DE-B65E1D4D71BC}"/>
    <cellStyle name="Note 5 9 5" xfId="26444" xr:uid="{00000000-0005-0000-0000-00006C620000}"/>
    <cellStyle name="Note 5 9 5 2" xfId="31232" xr:uid="{7C5610DD-9DC9-4B5F-98D4-3692B8CDC541}"/>
    <cellStyle name="Note 5 9 6" xfId="26459" xr:uid="{00000000-0005-0000-0000-00006D620000}"/>
    <cellStyle name="Note 5 9 6 2" xfId="31247" xr:uid="{D1CFAE94-B686-43A7-9E6D-359BCBB44923}"/>
    <cellStyle name="Note 5 9 7" xfId="29280" xr:uid="{00000000-0005-0000-0000-00006E620000}"/>
    <cellStyle name="Note 5 9 7 2" xfId="33247" xr:uid="{E65BD71B-46E9-4465-AEDE-7772BBCE7860}"/>
    <cellStyle name="Note 5 9 8" xfId="30270" xr:uid="{6A1B719E-17F3-4D93-A97A-2712D0C2E944}"/>
    <cellStyle name="Note 50" xfId="3358" xr:uid="{00000000-0005-0000-0000-00006F620000}"/>
    <cellStyle name="Note 50 2" xfId="4592" xr:uid="{00000000-0005-0000-0000-000070620000}"/>
    <cellStyle name="Note 50 2 2" xfId="12571" xr:uid="{00000000-0005-0000-0000-000071620000}"/>
    <cellStyle name="Note 50 2 2 2" xfId="23859" xr:uid="{00000000-0005-0000-0000-000072620000}"/>
    <cellStyle name="Note 50 2 3" xfId="10577" xr:uid="{00000000-0005-0000-0000-000073620000}"/>
    <cellStyle name="Note 50 2 3 2" xfId="21865" xr:uid="{00000000-0005-0000-0000-000074620000}"/>
    <cellStyle name="Note 50 2 4" xfId="8583" xr:uid="{00000000-0005-0000-0000-000075620000}"/>
    <cellStyle name="Note 50 2 4 2" xfId="19871" xr:uid="{00000000-0005-0000-0000-000076620000}"/>
    <cellStyle name="Note 50 2 5" xfId="6589" xr:uid="{00000000-0005-0000-0000-000077620000}"/>
    <cellStyle name="Note 50 2 5 2" xfId="17877" xr:uid="{00000000-0005-0000-0000-000078620000}"/>
    <cellStyle name="Note 50 2 6" xfId="15883" xr:uid="{00000000-0005-0000-0000-000079620000}"/>
    <cellStyle name="Note 50 3" xfId="11574" xr:uid="{00000000-0005-0000-0000-00007A620000}"/>
    <cellStyle name="Note 50 3 2" xfId="22862" xr:uid="{00000000-0005-0000-0000-00007B620000}"/>
    <cellStyle name="Note 50 4" xfId="9580" xr:uid="{00000000-0005-0000-0000-00007C620000}"/>
    <cellStyle name="Note 50 4 2" xfId="20868" xr:uid="{00000000-0005-0000-0000-00007D620000}"/>
    <cellStyle name="Note 50 5" xfId="7586" xr:uid="{00000000-0005-0000-0000-00007E620000}"/>
    <cellStyle name="Note 50 5 2" xfId="18874" xr:uid="{00000000-0005-0000-0000-00007F620000}"/>
    <cellStyle name="Note 50 6" xfId="5592" xr:uid="{00000000-0005-0000-0000-000080620000}"/>
    <cellStyle name="Note 50 6 2" xfId="16880" xr:uid="{00000000-0005-0000-0000-000081620000}"/>
    <cellStyle name="Note 50 7" xfId="14886" xr:uid="{00000000-0005-0000-0000-000082620000}"/>
    <cellStyle name="Note 50 8" xfId="13570" xr:uid="{00000000-0005-0000-0000-000083620000}"/>
    <cellStyle name="Note 51" xfId="3359" xr:uid="{00000000-0005-0000-0000-000084620000}"/>
    <cellStyle name="Note 51 2" xfId="4593" xr:uid="{00000000-0005-0000-0000-000085620000}"/>
    <cellStyle name="Note 51 2 2" xfId="12572" xr:uid="{00000000-0005-0000-0000-000086620000}"/>
    <cellStyle name="Note 51 2 2 2" xfId="23860" xr:uid="{00000000-0005-0000-0000-000087620000}"/>
    <cellStyle name="Note 51 2 3" xfId="10578" xr:uid="{00000000-0005-0000-0000-000088620000}"/>
    <cellStyle name="Note 51 2 3 2" xfId="21866" xr:uid="{00000000-0005-0000-0000-000089620000}"/>
    <cellStyle name="Note 51 2 4" xfId="8584" xr:uid="{00000000-0005-0000-0000-00008A620000}"/>
    <cellStyle name="Note 51 2 4 2" xfId="19872" xr:uid="{00000000-0005-0000-0000-00008B620000}"/>
    <cellStyle name="Note 51 2 5" xfId="6590" xr:uid="{00000000-0005-0000-0000-00008C620000}"/>
    <cellStyle name="Note 51 2 5 2" xfId="17878" xr:uid="{00000000-0005-0000-0000-00008D620000}"/>
    <cellStyle name="Note 51 2 6" xfId="15884" xr:uid="{00000000-0005-0000-0000-00008E620000}"/>
    <cellStyle name="Note 51 3" xfId="11575" xr:uid="{00000000-0005-0000-0000-00008F620000}"/>
    <cellStyle name="Note 51 3 2" xfId="22863" xr:uid="{00000000-0005-0000-0000-000090620000}"/>
    <cellStyle name="Note 51 4" xfId="9581" xr:uid="{00000000-0005-0000-0000-000091620000}"/>
    <cellStyle name="Note 51 4 2" xfId="20869" xr:uid="{00000000-0005-0000-0000-000092620000}"/>
    <cellStyle name="Note 51 5" xfId="7587" xr:uid="{00000000-0005-0000-0000-000093620000}"/>
    <cellStyle name="Note 51 5 2" xfId="18875" xr:uid="{00000000-0005-0000-0000-000094620000}"/>
    <cellStyle name="Note 51 6" xfId="5593" xr:uid="{00000000-0005-0000-0000-000095620000}"/>
    <cellStyle name="Note 51 6 2" xfId="16881" xr:uid="{00000000-0005-0000-0000-000096620000}"/>
    <cellStyle name="Note 51 7" xfId="14887" xr:uid="{00000000-0005-0000-0000-000097620000}"/>
    <cellStyle name="Note 51 8" xfId="13571" xr:uid="{00000000-0005-0000-0000-000098620000}"/>
    <cellStyle name="Note 52" xfId="3360" xr:uid="{00000000-0005-0000-0000-000099620000}"/>
    <cellStyle name="Note 52 2" xfId="4594" xr:uid="{00000000-0005-0000-0000-00009A620000}"/>
    <cellStyle name="Note 52 2 2" xfId="12573" xr:uid="{00000000-0005-0000-0000-00009B620000}"/>
    <cellStyle name="Note 52 2 2 2" xfId="23861" xr:uid="{00000000-0005-0000-0000-00009C620000}"/>
    <cellStyle name="Note 52 2 3" xfId="10579" xr:uid="{00000000-0005-0000-0000-00009D620000}"/>
    <cellStyle name="Note 52 2 3 2" xfId="21867" xr:uid="{00000000-0005-0000-0000-00009E620000}"/>
    <cellStyle name="Note 52 2 4" xfId="8585" xr:uid="{00000000-0005-0000-0000-00009F620000}"/>
    <cellStyle name="Note 52 2 4 2" xfId="19873" xr:uid="{00000000-0005-0000-0000-0000A0620000}"/>
    <cellStyle name="Note 52 2 5" xfId="6591" xr:uid="{00000000-0005-0000-0000-0000A1620000}"/>
    <cellStyle name="Note 52 2 5 2" xfId="17879" xr:uid="{00000000-0005-0000-0000-0000A2620000}"/>
    <cellStyle name="Note 52 2 6" xfId="15885" xr:uid="{00000000-0005-0000-0000-0000A3620000}"/>
    <cellStyle name="Note 52 3" xfId="11576" xr:uid="{00000000-0005-0000-0000-0000A4620000}"/>
    <cellStyle name="Note 52 3 2" xfId="22864" xr:uid="{00000000-0005-0000-0000-0000A5620000}"/>
    <cellStyle name="Note 52 4" xfId="9582" xr:uid="{00000000-0005-0000-0000-0000A6620000}"/>
    <cellStyle name="Note 52 4 2" xfId="20870" xr:uid="{00000000-0005-0000-0000-0000A7620000}"/>
    <cellStyle name="Note 52 5" xfId="7588" xr:uid="{00000000-0005-0000-0000-0000A8620000}"/>
    <cellStyle name="Note 52 5 2" xfId="18876" xr:uid="{00000000-0005-0000-0000-0000A9620000}"/>
    <cellStyle name="Note 52 6" xfId="5594" xr:uid="{00000000-0005-0000-0000-0000AA620000}"/>
    <cellStyle name="Note 52 6 2" xfId="16882" xr:uid="{00000000-0005-0000-0000-0000AB620000}"/>
    <cellStyle name="Note 52 7" xfId="14888" xr:uid="{00000000-0005-0000-0000-0000AC620000}"/>
    <cellStyle name="Note 52 8" xfId="13572" xr:uid="{00000000-0005-0000-0000-0000AD620000}"/>
    <cellStyle name="Note 53" xfId="3361" xr:uid="{00000000-0005-0000-0000-0000AE620000}"/>
    <cellStyle name="Note 53 2" xfId="4595" xr:uid="{00000000-0005-0000-0000-0000AF620000}"/>
    <cellStyle name="Note 53 2 2" xfId="12574" xr:uid="{00000000-0005-0000-0000-0000B0620000}"/>
    <cellStyle name="Note 53 2 2 2" xfId="23862" xr:uid="{00000000-0005-0000-0000-0000B1620000}"/>
    <cellStyle name="Note 53 2 3" xfId="10580" xr:uid="{00000000-0005-0000-0000-0000B2620000}"/>
    <cellStyle name="Note 53 2 3 2" xfId="21868" xr:uid="{00000000-0005-0000-0000-0000B3620000}"/>
    <cellStyle name="Note 53 2 4" xfId="8586" xr:uid="{00000000-0005-0000-0000-0000B4620000}"/>
    <cellStyle name="Note 53 2 4 2" xfId="19874" xr:uid="{00000000-0005-0000-0000-0000B5620000}"/>
    <cellStyle name="Note 53 2 5" xfId="6592" xr:uid="{00000000-0005-0000-0000-0000B6620000}"/>
    <cellStyle name="Note 53 2 5 2" xfId="17880" xr:uid="{00000000-0005-0000-0000-0000B7620000}"/>
    <cellStyle name="Note 53 2 6" xfId="15886" xr:uid="{00000000-0005-0000-0000-0000B8620000}"/>
    <cellStyle name="Note 53 3" xfId="11577" xr:uid="{00000000-0005-0000-0000-0000B9620000}"/>
    <cellStyle name="Note 53 3 2" xfId="22865" xr:uid="{00000000-0005-0000-0000-0000BA620000}"/>
    <cellStyle name="Note 53 4" xfId="9583" xr:uid="{00000000-0005-0000-0000-0000BB620000}"/>
    <cellStyle name="Note 53 4 2" xfId="20871" xr:uid="{00000000-0005-0000-0000-0000BC620000}"/>
    <cellStyle name="Note 53 5" xfId="7589" xr:uid="{00000000-0005-0000-0000-0000BD620000}"/>
    <cellStyle name="Note 53 5 2" xfId="18877" xr:uid="{00000000-0005-0000-0000-0000BE620000}"/>
    <cellStyle name="Note 53 6" xfId="5595" xr:uid="{00000000-0005-0000-0000-0000BF620000}"/>
    <cellStyle name="Note 53 6 2" xfId="16883" xr:uid="{00000000-0005-0000-0000-0000C0620000}"/>
    <cellStyle name="Note 53 7" xfId="14889" xr:uid="{00000000-0005-0000-0000-0000C1620000}"/>
    <cellStyle name="Note 53 8" xfId="13573" xr:uid="{00000000-0005-0000-0000-0000C2620000}"/>
    <cellStyle name="Note 54" xfId="3362" xr:uid="{00000000-0005-0000-0000-0000C3620000}"/>
    <cellStyle name="Note 54 2" xfId="4596" xr:uid="{00000000-0005-0000-0000-0000C4620000}"/>
    <cellStyle name="Note 54 2 2" xfId="12575" xr:uid="{00000000-0005-0000-0000-0000C5620000}"/>
    <cellStyle name="Note 54 2 2 2" xfId="23863" xr:uid="{00000000-0005-0000-0000-0000C6620000}"/>
    <cellStyle name="Note 54 2 3" xfId="10581" xr:uid="{00000000-0005-0000-0000-0000C7620000}"/>
    <cellStyle name="Note 54 2 3 2" xfId="21869" xr:uid="{00000000-0005-0000-0000-0000C8620000}"/>
    <cellStyle name="Note 54 2 4" xfId="8587" xr:uid="{00000000-0005-0000-0000-0000C9620000}"/>
    <cellStyle name="Note 54 2 4 2" xfId="19875" xr:uid="{00000000-0005-0000-0000-0000CA620000}"/>
    <cellStyle name="Note 54 2 5" xfId="6593" xr:uid="{00000000-0005-0000-0000-0000CB620000}"/>
    <cellStyle name="Note 54 2 5 2" xfId="17881" xr:uid="{00000000-0005-0000-0000-0000CC620000}"/>
    <cellStyle name="Note 54 2 6" xfId="15887" xr:uid="{00000000-0005-0000-0000-0000CD620000}"/>
    <cellStyle name="Note 54 3" xfId="11578" xr:uid="{00000000-0005-0000-0000-0000CE620000}"/>
    <cellStyle name="Note 54 3 2" xfId="22866" xr:uid="{00000000-0005-0000-0000-0000CF620000}"/>
    <cellStyle name="Note 54 4" xfId="9584" xr:uid="{00000000-0005-0000-0000-0000D0620000}"/>
    <cellStyle name="Note 54 4 2" xfId="20872" xr:uid="{00000000-0005-0000-0000-0000D1620000}"/>
    <cellStyle name="Note 54 5" xfId="7590" xr:uid="{00000000-0005-0000-0000-0000D2620000}"/>
    <cellStyle name="Note 54 5 2" xfId="18878" xr:uid="{00000000-0005-0000-0000-0000D3620000}"/>
    <cellStyle name="Note 54 6" xfId="5596" xr:uid="{00000000-0005-0000-0000-0000D4620000}"/>
    <cellStyle name="Note 54 6 2" xfId="16884" xr:uid="{00000000-0005-0000-0000-0000D5620000}"/>
    <cellStyle name="Note 54 7" xfId="14890" xr:uid="{00000000-0005-0000-0000-0000D6620000}"/>
    <cellStyle name="Note 54 8" xfId="13574" xr:uid="{00000000-0005-0000-0000-0000D7620000}"/>
    <cellStyle name="Note 55" xfId="3363" xr:uid="{00000000-0005-0000-0000-0000D8620000}"/>
    <cellStyle name="Note 55 2" xfId="4597" xr:uid="{00000000-0005-0000-0000-0000D9620000}"/>
    <cellStyle name="Note 55 2 2" xfId="12576" xr:uid="{00000000-0005-0000-0000-0000DA620000}"/>
    <cellStyle name="Note 55 2 2 2" xfId="23864" xr:uid="{00000000-0005-0000-0000-0000DB620000}"/>
    <cellStyle name="Note 55 2 3" xfId="10582" xr:uid="{00000000-0005-0000-0000-0000DC620000}"/>
    <cellStyle name="Note 55 2 3 2" xfId="21870" xr:uid="{00000000-0005-0000-0000-0000DD620000}"/>
    <cellStyle name="Note 55 2 4" xfId="8588" xr:uid="{00000000-0005-0000-0000-0000DE620000}"/>
    <cellStyle name="Note 55 2 4 2" xfId="19876" xr:uid="{00000000-0005-0000-0000-0000DF620000}"/>
    <cellStyle name="Note 55 2 5" xfId="6594" xr:uid="{00000000-0005-0000-0000-0000E0620000}"/>
    <cellStyle name="Note 55 2 5 2" xfId="17882" xr:uid="{00000000-0005-0000-0000-0000E1620000}"/>
    <cellStyle name="Note 55 2 6" xfId="15888" xr:uid="{00000000-0005-0000-0000-0000E2620000}"/>
    <cellStyle name="Note 55 3" xfId="11579" xr:uid="{00000000-0005-0000-0000-0000E3620000}"/>
    <cellStyle name="Note 55 3 2" xfId="22867" xr:uid="{00000000-0005-0000-0000-0000E4620000}"/>
    <cellStyle name="Note 55 4" xfId="9585" xr:uid="{00000000-0005-0000-0000-0000E5620000}"/>
    <cellStyle name="Note 55 4 2" xfId="20873" xr:uid="{00000000-0005-0000-0000-0000E6620000}"/>
    <cellStyle name="Note 55 5" xfId="7591" xr:uid="{00000000-0005-0000-0000-0000E7620000}"/>
    <cellStyle name="Note 55 5 2" xfId="18879" xr:uid="{00000000-0005-0000-0000-0000E8620000}"/>
    <cellStyle name="Note 55 6" xfId="5597" xr:uid="{00000000-0005-0000-0000-0000E9620000}"/>
    <cellStyle name="Note 55 6 2" xfId="16885" xr:uid="{00000000-0005-0000-0000-0000EA620000}"/>
    <cellStyle name="Note 55 7" xfId="14891" xr:uid="{00000000-0005-0000-0000-0000EB620000}"/>
    <cellStyle name="Note 55 8" xfId="13575" xr:uid="{00000000-0005-0000-0000-0000EC620000}"/>
    <cellStyle name="Note 56" xfId="3364" xr:uid="{00000000-0005-0000-0000-0000ED620000}"/>
    <cellStyle name="Note 56 2" xfId="4598" xr:uid="{00000000-0005-0000-0000-0000EE620000}"/>
    <cellStyle name="Note 56 2 2" xfId="12577" xr:uid="{00000000-0005-0000-0000-0000EF620000}"/>
    <cellStyle name="Note 56 2 2 2" xfId="23865" xr:uid="{00000000-0005-0000-0000-0000F0620000}"/>
    <cellStyle name="Note 56 2 3" xfId="10583" xr:uid="{00000000-0005-0000-0000-0000F1620000}"/>
    <cellStyle name="Note 56 2 3 2" xfId="21871" xr:uid="{00000000-0005-0000-0000-0000F2620000}"/>
    <cellStyle name="Note 56 2 4" xfId="8589" xr:uid="{00000000-0005-0000-0000-0000F3620000}"/>
    <cellStyle name="Note 56 2 4 2" xfId="19877" xr:uid="{00000000-0005-0000-0000-0000F4620000}"/>
    <cellStyle name="Note 56 2 5" xfId="6595" xr:uid="{00000000-0005-0000-0000-0000F5620000}"/>
    <cellStyle name="Note 56 2 5 2" xfId="17883" xr:uid="{00000000-0005-0000-0000-0000F6620000}"/>
    <cellStyle name="Note 56 2 6" xfId="15889" xr:uid="{00000000-0005-0000-0000-0000F7620000}"/>
    <cellStyle name="Note 56 3" xfId="11580" xr:uid="{00000000-0005-0000-0000-0000F8620000}"/>
    <cellStyle name="Note 56 3 2" xfId="22868" xr:uid="{00000000-0005-0000-0000-0000F9620000}"/>
    <cellStyle name="Note 56 4" xfId="9586" xr:uid="{00000000-0005-0000-0000-0000FA620000}"/>
    <cellStyle name="Note 56 4 2" xfId="20874" xr:uid="{00000000-0005-0000-0000-0000FB620000}"/>
    <cellStyle name="Note 56 5" xfId="7592" xr:uid="{00000000-0005-0000-0000-0000FC620000}"/>
    <cellStyle name="Note 56 5 2" xfId="18880" xr:uid="{00000000-0005-0000-0000-0000FD620000}"/>
    <cellStyle name="Note 56 6" xfId="5598" xr:uid="{00000000-0005-0000-0000-0000FE620000}"/>
    <cellStyle name="Note 56 6 2" xfId="16886" xr:uid="{00000000-0005-0000-0000-0000FF620000}"/>
    <cellStyle name="Note 56 7" xfId="14892" xr:uid="{00000000-0005-0000-0000-000000630000}"/>
    <cellStyle name="Note 56 8" xfId="13576" xr:uid="{00000000-0005-0000-0000-000001630000}"/>
    <cellStyle name="Note 57" xfId="3365" xr:uid="{00000000-0005-0000-0000-000002630000}"/>
    <cellStyle name="Note 57 2" xfId="4599" xr:uid="{00000000-0005-0000-0000-000003630000}"/>
    <cellStyle name="Note 57 2 2" xfId="12578" xr:uid="{00000000-0005-0000-0000-000004630000}"/>
    <cellStyle name="Note 57 2 2 2" xfId="23866" xr:uid="{00000000-0005-0000-0000-000005630000}"/>
    <cellStyle name="Note 57 2 3" xfId="10584" xr:uid="{00000000-0005-0000-0000-000006630000}"/>
    <cellStyle name="Note 57 2 3 2" xfId="21872" xr:uid="{00000000-0005-0000-0000-000007630000}"/>
    <cellStyle name="Note 57 2 4" xfId="8590" xr:uid="{00000000-0005-0000-0000-000008630000}"/>
    <cellStyle name="Note 57 2 4 2" xfId="19878" xr:uid="{00000000-0005-0000-0000-000009630000}"/>
    <cellStyle name="Note 57 2 5" xfId="6596" xr:uid="{00000000-0005-0000-0000-00000A630000}"/>
    <cellStyle name="Note 57 2 5 2" xfId="17884" xr:uid="{00000000-0005-0000-0000-00000B630000}"/>
    <cellStyle name="Note 57 2 6" xfId="15890" xr:uid="{00000000-0005-0000-0000-00000C630000}"/>
    <cellStyle name="Note 57 3" xfId="11581" xr:uid="{00000000-0005-0000-0000-00000D630000}"/>
    <cellStyle name="Note 57 3 2" xfId="22869" xr:uid="{00000000-0005-0000-0000-00000E630000}"/>
    <cellStyle name="Note 57 4" xfId="9587" xr:uid="{00000000-0005-0000-0000-00000F630000}"/>
    <cellStyle name="Note 57 4 2" xfId="20875" xr:uid="{00000000-0005-0000-0000-000010630000}"/>
    <cellStyle name="Note 57 5" xfId="7593" xr:uid="{00000000-0005-0000-0000-000011630000}"/>
    <cellStyle name="Note 57 5 2" xfId="18881" xr:uid="{00000000-0005-0000-0000-000012630000}"/>
    <cellStyle name="Note 57 6" xfId="5599" xr:uid="{00000000-0005-0000-0000-000013630000}"/>
    <cellStyle name="Note 57 6 2" xfId="16887" xr:uid="{00000000-0005-0000-0000-000014630000}"/>
    <cellStyle name="Note 57 7" xfId="14893" xr:uid="{00000000-0005-0000-0000-000015630000}"/>
    <cellStyle name="Note 57 8" xfId="13577" xr:uid="{00000000-0005-0000-0000-000016630000}"/>
    <cellStyle name="Note 58" xfId="3366" xr:uid="{00000000-0005-0000-0000-000017630000}"/>
    <cellStyle name="Note 58 2" xfId="4600" xr:uid="{00000000-0005-0000-0000-000018630000}"/>
    <cellStyle name="Note 58 2 2" xfId="12579" xr:uid="{00000000-0005-0000-0000-000019630000}"/>
    <cellStyle name="Note 58 2 2 2" xfId="23867" xr:uid="{00000000-0005-0000-0000-00001A630000}"/>
    <cellStyle name="Note 58 2 3" xfId="10585" xr:uid="{00000000-0005-0000-0000-00001B630000}"/>
    <cellStyle name="Note 58 2 3 2" xfId="21873" xr:uid="{00000000-0005-0000-0000-00001C630000}"/>
    <cellStyle name="Note 58 2 4" xfId="8591" xr:uid="{00000000-0005-0000-0000-00001D630000}"/>
    <cellStyle name="Note 58 2 4 2" xfId="19879" xr:uid="{00000000-0005-0000-0000-00001E630000}"/>
    <cellStyle name="Note 58 2 5" xfId="6597" xr:uid="{00000000-0005-0000-0000-00001F630000}"/>
    <cellStyle name="Note 58 2 5 2" xfId="17885" xr:uid="{00000000-0005-0000-0000-000020630000}"/>
    <cellStyle name="Note 58 2 6" xfId="15891" xr:uid="{00000000-0005-0000-0000-000021630000}"/>
    <cellStyle name="Note 58 3" xfId="11582" xr:uid="{00000000-0005-0000-0000-000022630000}"/>
    <cellStyle name="Note 58 3 2" xfId="22870" xr:uid="{00000000-0005-0000-0000-000023630000}"/>
    <cellStyle name="Note 58 4" xfId="9588" xr:uid="{00000000-0005-0000-0000-000024630000}"/>
    <cellStyle name="Note 58 4 2" xfId="20876" xr:uid="{00000000-0005-0000-0000-000025630000}"/>
    <cellStyle name="Note 58 5" xfId="7594" xr:uid="{00000000-0005-0000-0000-000026630000}"/>
    <cellStyle name="Note 58 5 2" xfId="18882" xr:uid="{00000000-0005-0000-0000-000027630000}"/>
    <cellStyle name="Note 58 6" xfId="5600" xr:uid="{00000000-0005-0000-0000-000028630000}"/>
    <cellStyle name="Note 58 6 2" xfId="16888" xr:uid="{00000000-0005-0000-0000-000029630000}"/>
    <cellStyle name="Note 58 7" xfId="14894" xr:uid="{00000000-0005-0000-0000-00002A630000}"/>
    <cellStyle name="Note 58 8" xfId="13578" xr:uid="{00000000-0005-0000-0000-00002B630000}"/>
    <cellStyle name="Note 59" xfId="3367" xr:uid="{00000000-0005-0000-0000-00002C630000}"/>
    <cellStyle name="Note 59 2" xfId="4601" xr:uid="{00000000-0005-0000-0000-00002D630000}"/>
    <cellStyle name="Note 59 2 2" xfId="12580" xr:uid="{00000000-0005-0000-0000-00002E630000}"/>
    <cellStyle name="Note 59 2 2 2" xfId="23868" xr:uid="{00000000-0005-0000-0000-00002F630000}"/>
    <cellStyle name="Note 59 2 3" xfId="10586" xr:uid="{00000000-0005-0000-0000-000030630000}"/>
    <cellStyle name="Note 59 2 3 2" xfId="21874" xr:uid="{00000000-0005-0000-0000-000031630000}"/>
    <cellStyle name="Note 59 2 4" xfId="8592" xr:uid="{00000000-0005-0000-0000-000032630000}"/>
    <cellStyle name="Note 59 2 4 2" xfId="19880" xr:uid="{00000000-0005-0000-0000-000033630000}"/>
    <cellStyle name="Note 59 2 5" xfId="6598" xr:uid="{00000000-0005-0000-0000-000034630000}"/>
    <cellStyle name="Note 59 2 5 2" xfId="17886" xr:uid="{00000000-0005-0000-0000-000035630000}"/>
    <cellStyle name="Note 59 2 6" xfId="15892" xr:uid="{00000000-0005-0000-0000-000036630000}"/>
    <cellStyle name="Note 59 3" xfId="11583" xr:uid="{00000000-0005-0000-0000-000037630000}"/>
    <cellStyle name="Note 59 3 2" xfId="22871" xr:uid="{00000000-0005-0000-0000-000038630000}"/>
    <cellStyle name="Note 59 4" xfId="9589" xr:uid="{00000000-0005-0000-0000-000039630000}"/>
    <cellStyle name="Note 59 4 2" xfId="20877" xr:uid="{00000000-0005-0000-0000-00003A630000}"/>
    <cellStyle name="Note 59 5" xfId="7595" xr:uid="{00000000-0005-0000-0000-00003B630000}"/>
    <cellStyle name="Note 59 5 2" xfId="18883" xr:uid="{00000000-0005-0000-0000-00003C630000}"/>
    <cellStyle name="Note 59 6" xfId="5601" xr:uid="{00000000-0005-0000-0000-00003D630000}"/>
    <cellStyle name="Note 59 6 2" xfId="16889" xr:uid="{00000000-0005-0000-0000-00003E630000}"/>
    <cellStyle name="Note 59 7" xfId="14895" xr:uid="{00000000-0005-0000-0000-00003F630000}"/>
    <cellStyle name="Note 59 8" xfId="13579" xr:uid="{00000000-0005-0000-0000-000040630000}"/>
    <cellStyle name="Note 6" xfId="3368" xr:uid="{00000000-0005-0000-0000-000041630000}"/>
    <cellStyle name="Note 6 10" xfId="24756" xr:uid="{00000000-0005-0000-0000-000042630000}"/>
    <cellStyle name="Note 6 11" xfId="25078" xr:uid="{00000000-0005-0000-0000-000043630000}"/>
    <cellStyle name="Note 6 2" xfId="4602" xr:uid="{00000000-0005-0000-0000-000044630000}"/>
    <cellStyle name="Note 6 2 2" xfId="12581" xr:uid="{00000000-0005-0000-0000-000045630000}"/>
    <cellStyle name="Note 6 2 2 2" xfId="23869" xr:uid="{00000000-0005-0000-0000-000046630000}"/>
    <cellStyle name="Note 6 2 3" xfId="10587" xr:uid="{00000000-0005-0000-0000-000047630000}"/>
    <cellStyle name="Note 6 2 3 2" xfId="21875" xr:uid="{00000000-0005-0000-0000-000048630000}"/>
    <cellStyle name="Note 6 2 4" xfId="8593" xr:uid="{00000000-0005-0000-0000-000049630000}"/>
    <cellStyle name="Note 6 2 4 2" xfId="19881" xr:uid="{00000000-0005-0000-0000-00004A630000}"/>
    <cellStyle name="Note 6 2 5" xfId="6599" xr:uid="{00000000-0005-0000-0000-00004B630000}"/>
    <cellStyle name="Note 6 2 5 2" xfId="17887" xr:uid="{00000000-0005-0000-0000-00004C630000}"/>
    <cellStyle name="Note 6 2 6" xfId="15893" xr:uid="{00000000-0005-0000-0000-00004D630000}"/>
    <cellStyle name="Note 6 2 7" xfId="24460" xr:uid="{00000000-0005-0000-0000-00004E630000}"/>
    <cellStyle name="Note 6 2 8" xfId="24904" xr:uid="{00000000-0005-0000-0000-00004F630000}"/>
    <cellStyle name="Note 6 2 9" xfId="25266" xr:uid="{00000000-0005-0000-0000-000050630000}"/>
    <cellStyle name="Note 6 3" xfId="11584" xr:uid="{00000000-0005-0000-0000-000051630000}"/>
    <cellStyle name="Note 6 3 2" xfId="22872" xr:uid="{00000000-0005-0000-0000-000052630000}"/>
    <cellStyle name="Note 6 4" xfId="9590" xr:uid="{00000000-0005-0000-0000-000053630000}"/>
    <cellStyle name="Note 6 4 2" xfId="20878" xr:uid="{00000000-0005-0000-0000-000054630000}"/>
    <cellStyle name="Note 6 5" xfId="7596" xr:uid="{00000000-0005-0000-0000-000055630000}"/>
    <cellStyle name="Note 6 5 2" xfId="18884" xr:uid="{00000000-0005-0000-0000-000056630000}"/>
    <cellStyle name="Note 6 6" xfId="5602" xr:uid="{00000000-0005-0000-0000-000057630000}"/>
    <cellStyle name="Note 6 6 2" xfId="16890" xr:uid="{00000000-0005-0000-0000-000058630000}"/>
    <cellStyle name="Note 6 7" xfId="14896" xr:uid="{00000000-0005-0000-0000-000059630000}"/>
    <cellStyle name="Note 6 8" xfId="13580" xr:uid="{00000000-0005-0000-0000-00005A630000}"/>
    <cellStyle name="Note 6 9" xfId="24194" xr:uid="{00000000-0005-0000-0000-00005B630000}"/>
    <cellStyle name="Note 60" xfId="3369" xr:uid="{00000000-0005-0000-0000-00005C630000}"/>
    <cellStyle name="Note 60 2" xfId="4603" xr:uid="{00000000-0005-0000-0000-00005D630000}"/>
    <cellStyle name="Note 60 2 2" xfId="12582" xr:uid="{00000000-0005-0000-0000-00005E630000}"/>
    <cellStyle name="Note 60 2 2 2" xfId="23870" xr:uid="{00000000-0005-0000-0000-00005F630000}"/>
    <cellStyle name="Note 60 2 3" xfId="10588" xr:uid="{00000000-0005-0000-0000-000060630000}"/>
    <cellStyle name="Note 60 2 3 2" xfId="21876" xr:uid="{00000000-0005-0000-0000-000061630000}"/>
    <cellStyle name="Note 60 2 4" xfId="8594" xr:uid="{00000000-0005-0000-0000-000062630000}"/>
    <cellStyle name="Note 60 2 4 2" xfId="19882" xr:uid="{00000000-0005-0000-0000-000063630000}"/>
    <cellStyle name="Note 60 2 5" xfId="6600" xr:uid="{00000000-0005-0000-0000-000064630000}"/>
    <cellStyle name="Note 60 2 5 2" xfId="17888" xr:uid="{00000000-0005-0000-0000-000065630000}"/>
    <cellStyle name="Note 60 2 6" xfId="15894" xr:uid="{00000000-0005-0000-0000-000066630000}"/>
    <cellStyle name="Note 60 3" xfId="11585" xr:uid="{00000000-0005-0000-0000-000067630000}"/>
    <cellStyle name="Note 60 3 2" xfId="22873" xr:uid="{00000000-0005-0000-0000-000068630000}"/>
    <cellStyle name="Note 60 4" xfId="9591" xr:uid="{00000000-0005-0000-0000-000069630000}"/>
    <cellStyle name="Note 60 4 2" xfId="20879" xr:uid="{00000000-0005-0000-0000-00006A630000}"/>
    <cellStyle name="Note 60 5" xfId="7597" xr:uid="{00000000-0005-0000-0000-00006B630000}"/>
    <cellStyle name="Note 60 5 2" xfId="18885" xr:uid="{00000000-0005-0000-0000-00006C630000}"/>
    <cellStyle name="Note 60 6" xfId="5603" xr:uid="{00000000-0005-0000-0000-00006D630000}"/>
    <cellStyle name="Note 60 6 2" xfId="16891" xr:uid="{00000000-0005-0000-0000-00006E630000}"/>
    <cellStyle name="Note 60 7" xfId="14897" xr:uid="{00000000-0005-0000-0000-00006F630000}"/>
    <cellStyle name="Note 60 8" xfId="13581" xr:uid="{00000000-0005-0000-0000-000070630000}"/>
    <cellStyle name="Note 61" xfId="3370" xr:uid="{00000000-0005-0000-0000-000071630000}"/>
    <cellStyle name="Note 61 2" xfId="4604" xr:uid="{00000000-0005-0000-0000-000072630000}"/>
    <cellStyle name="Note 61 2 2" xfId="12583" xr:uid="{00000000-0005-0000-0000-000073630000}"/>
    <cellStyle name="Note 61 2 2 2" xfId="23871" xr:uid="{00000000-0005-0000-0000-000074630000}"/>
    <cellStyle name="Note 61 2 3" xfId="10589" xr:uid="{00000000-0005-0000-0000-000075630000}"/>
    <cellStyle name="Note 61 2 3 2" xfId="21877" xr:uid="{00000000-0005-0000-0000-000076630000}"/>
    <cellStyle name="Note 61 2 4" xfId="8595" xr:uid="{00000000-0005-0000-0000-000077630000}"/>
    <cellStyle name="Note 61 2 4 2" xfId="19883" xr:uid="{00000000-0005-0000-0000-000078630000}"/>
    <cellStyle name="Note 61 2 5" xfId="6601" xr:uid="{00000000-0005-0000-0000-000079630000}"/>
    <cellStyle name="Note 61 2 5 2" xfId="17889" xr:uid="{00000000-0005-0000-0000-00007A630000}"/>
    <cellStyle name="Note 61 2 6" xfId="15895" xr:uid="{00000000-0005-0000-0000-00007B630000}"/>
    <cellStyle name="Note 61 3" xfId="11586" xr:uid="{00000000-0005-0000-0000-00007C630000}"/>
    <cellStyle name="Note 61 3 2" xfId="22874" xr:uid="{00000000-0005-0000-0000-00007D630000}"/>
    <cellStyle name="Note 61 4" xfId="9592" xr:uid="{00000000-0005-0000-0000-00007E630000}"/>
    <cellStyle name="Note 61 4 2" xfId="20880" xr:uid="{00000000-0005-0000-0000-00007F630000}"/>
    <cellStyle name="Note 61 5" xfId="7598" xr:uid="{00000000-0005-0000-0000-000080630000}"/>
    <cellStyle name="Note 61 5 2" xfId="18886" xr:uid="{00000000-0005-0000-0000-000081630000}"/>
    <cellStyle name="Note 61 6" xfId="5604" xr:uid="{00000000-0005-0000-0000-000082630000}"/>
    <cellStyle name="Note 61 6 2" xfId="16892" xr:uid="{00000000-0005-0000-0000-000083630000}"/>
    <cellStyle name="Note 61 7" xfId="14898" xr:uid="{00000000-0005-0000-0000-000084630000}"/>
    <cellStyle name="Note 61 8" xfId="13582" xr:uid="{00000000-0005-0000-0000-000085630000}"/>
    <cellStyle name="Note 62" xfId="3371" xr:uid="{00000000-0005-0000-0000-000086630000}"/>
    <cellStyle name="Note 62 2" xfId="4605" xr:uid="{00000000-0005-0000-0000-000087630000}"/>
    <cellStyle name="Note 62 2 2" xfId="12584" xr:uid="{00000000-0005-0000-0000-000088630000}"/>
    <cellStyle name="Note 62 2 2 2" xfId="23872" xr:uid="{00000000-0005-0000-0000-000089630000}"/>
    <cellStyle name="Note 62 2 3" xfId="10590" xr:uid="{00000000-0005-0000-0000-00008A630000}"/>
    <cellStyle name="Note 62 2 3 2" xfId="21878" xr:uid="{00000000-0005-0000-0000-00008B630000}"/>
    <cellStyle name="Note 62 2 4" xfId="8596" xr:uid="{00000000-0005-0000-0000-00008C630000}"/>
    <cellStyle name="Note 62 2 4 2" xfId="19884" xr:uid="{00000000-0005-0000-0000-00008D630000}"/>
    <cellStyle name="Note 62 2 5" xfId="6602" xr:uid="{00000000-0005-0000-0000-00008E630000}"/>
    <cellStyle name="Note 62 2 5 2" xfId="17890" xr:uid="{00000000-0005-0000-0000-00008F630000}"/>
    <cellStyle name="Note 62 2 6" xfId="15896" xr:uid="{00000000-0005-0000-0000-000090630000}"/>
    <cellStyle name="Note 62 3" xfId="11587" xr:uid="{00000000-0005-0000-0000-000091630000}"/>
    <cellStyle name="Note 62 3 2" xfId="22875" xr:uid="{00000000-0005-0000-0000-000092630000}"/>
    <cellStyle name="Note 62 4" xfId="9593" xr:uid="{00000000-0005-0000-0000-000093630000}"/>
    <cellStyle name="Note 62 4 2" xfId="20881" xr:uid="{00000000-0005-0000-0000-000094630000}"/>
    <cellStyle name="Note 62 5" xfId="7599" xr:uid="{00000000-0005-0000-0000-000095630000}"/>
    <cellStyle name="Note 62 5 2" xfId="18887" xr:uid="{00000000-0005-0000-0000-000096630000}"/>
    <cellStyle name="Note 62 6" xfId="5605" xr:uid="{00000000-0005-0000-0000-000097630000}"/>
    <cellStyle name="Note 62 6 2" xfId="16893" xr:uid="{00000000-0005-0000-0000-000098630000}"/>
    <cellStyle name="Note 62 7" xfId="14899" xr:uid="{00000000-0005-0000-0000-000099630000}"/>
    <cellStyle name="Note 62 8" xfId="13583" xr:uid="{00000000-0005-0000-0000-00009A630000}"/>
    <cellStyle name="Note 63" xfId="3372" xr:uid="{00000000-0005-0000-0000-00009B630000}"/>
    <cellStyle name="Note 63 2" xfId="4606" xr:uid="{00000000-0005-0000-0000-00009C630000}"/>
    <cellStyle name="Note 63 2 2" xfId="12585" xr:uid="{00000000-0005-0000-0000-00009D630000}"/>
    <cellStyle name="Note 63 2 2 2" xfId="23873" xr:uid="{00000000-0005-0000-0000-00009E630000}"/>
    <cellStyle name="Note 63 2 3" xfId="10591" xr:uid="{00000000-0005-0000-0000-00009F630000}"/>
    <cellStyle name="Note 63 2 3 2" xfId="21879" xr:uid="{00000000-0005-0000-0000-0000A0630000}"/>
    <cellStyle name="Note 63 2 4" xfId="8597" xr:uid="{00000000-0005-0000-0000-0000A1630000}"/>
    <cellStyle name="Note 63 2 4 2" xfId="19885" xr:uid="{00000000-0005-0000-0000-0000A2630000}"/>
    <cellStyle name="Note 63 2 5" xfId="6603" xr:uid="{00000000-0005-0000-0000-0000A3630000}"/>
    <cellStyle name="Note 63 2 5 2" xfId="17891" xr:uid="{00000000-0005-0000-0000-0000A4630000}"/>
    <cellStyle name="Note 63 2 6" xfId="15897" xr:uid="{00000000-0005-0000-0000-0000A5630000}"/>
    <cellStyle name="Note 63 3" xfId="11588" xr:uid="{00000000-0005-0000-0000-0000A6630000}"/>
    <cellStyle name="Note 63 3 2" xfId="22876" xr:uid="{00000000-0005-0000-0000-0000A7630000}"/>
    <cellStyle name="Note 63 4" xfId="9594" xr:uid="{00000000-0005-0000-0000-0000A8630000}"/>
    <cellStyle name="Note 63 4 2" xfId="20882" xr:uid="{00000000-0005-0000-0000-0000A9630000}"/>
    <cellStyle name="Note 63 5" xfId="7600" xr:uid="{00000000-0005-0000-0000-0000AA630000}"/>
    <cellStyle name="Note 63 5 2" xfId="18888" xr:uid="{00000000-0005-0000-0000-0000AB630000}"/>
    <cellStyle name="Note 63 6" xfId="5606" xr:uid="{00000000-0005-0000-0000-0000AC630000}"/>
    <cellStyle name="Note 63 6 2" xfId="16894" xr:uid="{00000000-0005-0000-0000-0000AD630000}"/>
    <cellStyle name="Note 63 7" xfId="14900" xr:uid="{00000000-0005-0000-0000-0000AE630000}"/>
    <cellStyle name="Note 63 8" xfId="13584" xr:uid="{00000000-0005-0000-0000-0000AF630000}"/>
    <cellStyle name="Note 64" xfId="3373" xr:uid="{00000000-0005-0000-0000-0000B0630000}"/>
    <cellStyle name="Note 64 2" xfId="4607" xr:uid="{00000000-0005-0000-0000-0000B1630000}"/>
    <cellStyle name="Note 64 2 2" xfId="12586" xr:uid="{00000000-0005-0000-0000-0000B2630000}"/>
    <cellStyle name="Note 64 2 2 2" xfId="23874" xr:uid="{00000000-0005-0000-0000-0000B3630000}"/>
    <cellStyle name="Note 64 2 3" xfId="10592" xr:uid="{00000000-0005-0000-0000-0000B4630000}"/>
    <cellStyle name="Note 64 2 3 2" xfId="21880" xr:uid="{00000000-0005-0000-0000-0000B5630000}"/>
    <cellStyle name="Note 64 2 4" xfId="8598" xr:uid="{00000000-0005-0000-0000-0000B6630000}"/>
    <cellStyle name="Note 64 2 4 2" xfId="19886" xr:uid="{00000000-0005-0000-0000-0000B7630000}"/>
    <cellStyle name="Note 64 2 5" xfId="6604" xr:uid="{00000000-0005-0000-0000-0000B8630000}"/>
    <cellStyle name="Note 64 2 5 2" xfId="17892" xr:uid="{00000000-0005-0000-0000-0000B9630000}"/>
    <cellStyle name="Note 64 2 6" xfId="15898" xr:uid="{00000000-0005-0000-0000-0000BA630000}"/>
    <cellStyle name="Note 64 3" xfId="11589" xr:uid="{00000000-0005-0000-0000-0000BB630000}"/>
    <cellStyle name="Note 64 3 2" xfId="22877" xr:uid="{00000000-0005-0000-0000-0000BC630000}"/>
    <cellStyle name="Note 64 4" xfId="9595" xr:uid="{00000000-0005-0000-0000-0000BD630000}"/>
    <cellStyle name="Note 64 4 2" xfId="20883" xr:uid="{00000000-0005-0000-0000-0000BE630000}"/>
    <cellStyle name="Note 64 5" xfId="7601" xr:uid="{00000000-0005-0000-0000-0000BF630000}"/>
    <cellStyle name="Note 64 5 2" xfId="18889" xr:uid="{00000000-0005-0000-0000-0000C0630000}"/>
    <cellStyle name="Note 64 6" xfId="5607" xr:uid="{00000000-0005-0000-0000-0000C1630000}"/>
    <cellStyle name="Note 64 6 2" xfId="16895" xr:uid="{00000000-0005-0000-0000-0000C2630000}"/>
    <cellStyle name="Note 64 7" xfId="14901" xr:uid="{00000000-0005-0000-0000-0000C3630000}"/>
    <cellStyle name="Note 64 8" xfId="13585" xr:uid="{00000000-0005-0000-0000-0000C4630000}"/>
    <cellStyle name="Note 65" xfId="3374" xr:uid="{00000000-0005-0000-0000-0000C5630000}"/>
    <cellStyle name="Note 65 2" xfId="4608" xr:uid="{00000000-0005-0000-0000-0000C6630000}"/>
    <cellStyle name="Note 65 2 2" xfId="12587" xr:uid="{00000000-0005-0000-0000-0000C7630000}"/>
    <cellStyle name="Note 65 2 2 2" xfId="23875" xr:uid="{00000000-0005-0000-0000-0000C8630000}"/>
    <cellStyle name="Note 65 2 3" xfId="10593" xr:uid="{00000000-0005-0000-0000-0000C9630000}"/>
    <cellStyle name="Note 65 2 3 2" xfId="21881" xr:uid="{00000000-0005-0000-0000-0000CA630000}"/>
    <cellStyle name="Note 65 2 4" xfId="8599" xr:uid="{00000000-0005-0000-0000-0000CB630000}"/>
    <cellStyle name="Note 65 2 4 2" xfId="19887" xr:uid="{00000000-0005-0000-0000-0000CC630000}"/>
    <cellStyle name="Note 65 2 5" xfId="6605" xr:uid="{00000000-0005-0000-0000-0000CD630000}"/>
    <cellStyle name="Note 65 2 5 2" xfId="17893" xr:uid="{00000000-0005-0000-0000-0000CE630000}"/>
    <cellStyle name="Note 65 2 6" xfId="15899" xr:uid="{00000000-0005-0000-0000-0000CF630000}"/>
    <cellStyle name="Note 65 3" xfId="11590" xr:uid="{00000000-0005-0000-0000-0000D0630000}"/>
    <cellStyle name="Note 65 3 2" xfId="22878" xr:uid="{00000000-0005-0000-0000-0000D1630000}"/>
    <cellStyle name="Note 65 4" xfId="9596" xr:uid="{00000000-0005-0000-0000-0000D2630000}"/>
    <cellStyle name="Note 65 4 2" xfId="20884" xr:uid="{00000000-0005-0000-0000-0000D3630000}"/>
    <cellStyle name="Note 65 5" xfId="7602" xr:uid="{00000000-0005-0000-0000-0000D4630000}"/>
    <cellStyle name="Note 65 5 2" xfId="18890" xr:uid="{00000000-0005-0000-0000-0000D5630000}"/>
    <cellStyle name="Note 65 6" xfId="5608" xr:uid="{00000000-0005-0000-0000-0000D6630000}"/>
    <cellStyle name="Note 65 6 2" xfId="16896" xr:uid="{00000000-0005-0000-0000-0000D7630000}"/>
    <cellStyle name="Note 65 7" xfId="14902" xr:uid="{00000000-0005-0000-0000-0000D8630000}"/>
    <cellStyle name="Note 65 8" xfId="13586" xr:uid="{00000000-0005-0000-0000-0000D9630000}"/>
    <cellStyle name="Note 66" xfId="3375" xr:uid="{00000000-0005-0000-0000-0000DA630000}"/>
    <cellStyle name="Note 66 2" xfId="4609" xr:uid="{00000000-0005-0000-0000-0000DB630000}"/>
    <cellStyle name="Note 66 2 2" xfId="12588" xr:uid="{00000000-0005-0000-0000-0000DC630000}"/>
    <cellStyle name="Note 66 2 2 2" xfId="23876" xr:uid="{00000000-0005-0000-0000-0000DD630000}"/>
    <cellStyle name="Note 66 2 3" xfId="10594" xr:uid="{00000000-0005-0000-0000-0000DE630000}"/>
    <cellStyle name="Note 66 2 3 2" xfId="21882" xr:uid="{00000000-0005-0000-0000-0000DF630000}"/>
    <cellStyle name="Note 66 2 4" xfId="8600" xr:uid="{00000000-0005-0000-0000-0000E0630000}"/>
    <cellStyle name="Note 66 2 4 2" xfId="19888" xr:uid="{00000000-0005-0000-0000-0000E1630000}"/>
    <cellStyle name="Note 66 2 5" xfId="6606" xr:uid="{00000000-0005-0000-0000-0000E2630000}"/>
    <cellStyle name="Note 66 2 5 2" xfId="17894" xr:uid="{00000000-0005-0000-0000-0000E3630000}"/>
    <cellStyle name="Note 66 2 6" xfId="15900" xr:uid="{00000000-0005-0000-0000-0000E4630000}"/>
    <cellStyle name="Note 66 3" xfId="11591" xr:uid="{00000000-0005-0000-0000-0000E5630000}"/>
    <cellStyle name="Note 66 3 2" xfId="22879" xr:uid="{00000000-0005-0000-0000-0000E6630000}"/>
    <cellStyle name="Note 66 4" xfId="9597" xr:uid="{00000000-0005-0000-0000-0000E7630000}"/>
    <cellStyle name="Note 66 4 2" xfId="20885" xr:uid="{00000000-0005-0000-0000-0000E8630000}"/>
    <cellStyle name="Note 66 5" xfId="7603" xr:uid="{00000000-0005-0000-0000-0000E9630000}"/>
    <cellStyle name="Note 66 5 2" xfId="18891" xr:uid="{00000000-0005-0000-0000-0000EA630000}"/>
    <cellStyle name="Note 66 6" xfId="5609" xr:uid="{00000000-0005-0000-0000-0000EB630000}"/>
    <cellStyle name="Note 66 6 2" xfId="16897" xr:uid="{00000000-0005-0000-0000-0000EC630000}"/>
    <cellStyle name="Note 66 7" xfId="14903" xr:uid="{00000000-0005-0000-0000-0000ED630000}"/>
    <cellStyle name="Note 66 8" xfId="13587" xr:uid="{00000000-0005-0000-0000-0000EE630000}"/>
    <cellStyle name="Note 67" xfId="3376" xr:uid="{00000000-0005-0000-0000-0000EF630000}"/>
    <cellStyle name="Note 67 2" xfId="4610" xr:uid="{00000000-0005-0000-0000-0000F0630000}"/>
    <cellStyle name="Note 67 2 2" xfId="12589" xr:uid="{00000000-0005-0000-0000-0000F1630000}"/>
    <cellStyle name="Note 67 2 2 2" xfId="23877" xr:uid="{00000000-0005-0000-0000-0000F2630000}"/>
    <cellStyle name="Note 67 2 3" xfId="10595" xr:uid="{00000000-0005-0000-0000-0000F3630000}"/>
    <cellStyle name="Note 67 2 3 2" xfId="21883" xr:uid="{00000000-0005-0000-0000-0000F4630000}"/>
    <cellStyle name="Note 67 2 4" xfId="8601" xr:uid="{00000000-0005-0000-0000-0000F5630000}"/>
    <cellStyle name="Note 67 2 4 2" xfId="19889" xr:uid="{00000000-0005-0000-0000-0000F6630000}"/>
    <cellStyle name="Note 67 2 5" xfId="6607" xr:uid="{00000000-0005-0000-0000-0000F7630000}"/>
    <cellStyle name="Note 67 2 5 2" xfId="17895" xr:uid="{00000000-0005-0000-0000-0000F8630000}"/>
    <cellStyle name="Note 67 2 6" xfId="15901" xr:uid="{00000000-0005-0000-0000-0000F9630000}"/>
    <cellStyle name="Note 67 3" xfId="11592" xr:uid="{00000000-0005-0000-0000-0000FA630000}"/>
    <cellStyle name="Note 67 3 2" xfId="22880" xr:uid="{00000000-0005-0000-0000-0000FB630000}"/>
    <cellStyle name="Note 67 4" xfId="9598" xr:uid="{00000000-0005-0000-0000-0000FC630000}"/>
    <cellStyle name="Note 67 4 2" xfId="20886" xr:uid="{00000000-0005-0000-0000-0000FD630000}"/>
    <cellStyle name="Note 67 5" xfId="7604" xr:uid="{00000000-0005-0000-0000-0000FE630000}"/>
    <cellStyle name="Note 67 5 2" xfId="18892" xr:uid="{00000000-0005-0000-0000-0000FF630000}"/>
    <cellStyle name="Note 67 6" xfId="5610" xr:uid="{00000000-0005-0000-0000-000000640000}"/>
    <cellStyle name="Note 67 6 2" xfId="16898" xr:uid="{00000000-0005-0000-0000-000001640000}"/>
    <cellStyle name="Note 67 7" xfId="14904" xr:uid="{00000000-0005-0000-0000-000002640000}"/>
    <cellStyle name="Note 67 8" xfId="13588" xr:uid="{00000000-0005-0000-0000-000003640000}"/>
    <cellStyle name="Note 68" xfId="3377" xr:uid="{00000000-0005-0000-0000-000004640000}"/>
    <cellStyle name="Note 68 2" xfId="4611" xr:uid="{00000000-0005-0000-0000-000005640000}"/>
    <cellStyle name="Note 68 2 2" xfId="12590" xr:uid="{00000000-0005-0000-0000-000006640000}"/>
    <cellStyle name="Note 68 2 2 2" xfId="23878" xr:uid="{00000000-0005-0000-0000-000007640000}"/>
    <cellStyle name="Note 68 2 3" xfId="10596" xr:uid="{00000000-0005-0000-0000-000008640000}"/>
    <cellStyle name="Note 68 2 3 2" xfId="21884" xr:uid="{00000000-0005-0000-0000-000009640000}"/>
    <cellStyle name="Note 68 2 4" xfId="8602" xr:uid="{00000000-0005-0000-0000-00000A640000}"/>
    <cellStyle name="Note 68 2 4 2" xfId="19890" xr:uid="{00000000-0005-0000-0000-00000B640000}"/>
    <cellStyle name="Note 68 2 5" xfId="6608" xr:uid="{00000000-0005-0000-0000-00000C640000}"/>
    <cellStyle name="Note 68 2 5 2" xfId="17896" xr:uid="{00000000-0005-0000-0000-00000D640000}"/>
    <cellStyle name="Note 68 2 6" xfId="15902" xr:uid="{00000000-0005-0000-0000-00000E640000}"/>
    <cellStyle name="Note 68 3" xfId="11593" xr:uid="{00000000-0005-0000-0000-00000F640000}"/>
    <cellStyle name="Note 68 3 2" xfId="22881" xr:uid="{00000000-0005-0000-0000-000010640000}"/>
    <cellStyle name="Note 68 4" xfId="9599" xr:uid="{00000000-0005-0000-0000-000011640000}"/>
    <cellStyle name="Note 68 4 2" xfId="20887" xr:uid="{00000000-0005-0000-0000-000012640000}"/>
    <cellStyle name="Note 68 5" xfId="7605" xr:uid="{00000000-0005-0000-0000-000013640000}"/>
    <cellStyle name="Note 68 5 2" xfId="18893" xr:uid="{00000000-0005-0000-0000-000014640000}"/>
    <cellStyle name="Note 68 6" xfId="5611" xr:uid="{00000000-0005-0000-0000-000015640000}"/>
    <cellStyle name="Note 68 6 2" xfId="16899" xr:uid="{00000000-0005-0000-0000-000016640000}"/>
    <cellStyle name="Note 68 7" xfId="14905" xr:uid="{00000000-0005-0000-0000-000017640000}"/>
    <cellStyle name="Note 68 8" xfId="13589" xr:uid="{00000000-0005-0000-0000-000018640000}"/>
    <cellStyle name="Note 69" xfId="3378" xr:uid="{00000000-0005-0000-0000-000019640000}"/>
    <cellStyle name="Note 69 2" xfId="4612" xr:uid="{00000000-0005-0000-0000-00001A640000}"/>
    <cellStyle name="Note 69 2 2" xfId="12591" xr:uid="{00000000-0005-0000-0000-00001B640000}"/>
    <cellStyle name="Note 69 2 2 2" xfId="23879" xr:uid="{00000000-0005-0000-0000-00001C640000}"/>
    <cellStyle name="Note 69 2 3" xfId="10597" xr:uid="{00000000-0005-0000-0000-00001D640000}"/>
    <cellStyle name="Note 69 2 3 2" xfId="21885" xr:uid="{00000000-0005-0000-0000-00001E640000}"/>
    <cellStyle name="Note 69 2 4" xfId="8603" xr:uid="{00000000-0005-0000-0000-00001F640000}"/>
    <cellStyle name="Note 69 2 4 2" xfId="19891" xr:uid="{00000000-0005-0000-0000-000020640000}"/>
    <cellStyle name="Note 69 2 5" xfId="6609" xr:uid="{00000000-0005-0000-0000-000021640000}"/>
    <cellStyle name="Note 69 2 5 2" xfId="17897" xr:uid="{00000000-0005-0000-0000-000022640000}"/>
    <cellStyle name="Note 69 2 6" xfId="15903" xr:uid="{00000000-0005-0000-0000-000023640000}"/>
    <cellStyle name="Note 69 3" xfId="11594" xr:uid="{00000000-0005-0000-0000-000024640000}"/>
    <cellStyle name="Note 69 3 2" xfId="22882" xr:uid="{00000000-0005-0000-0000-000025640000}"/>
    <cellStyle name="Note 69 4" xfId="9600" xr:uid="{00000000-0005-0000-0000-000026640000}"/>
    <cellStyle name="Note 69 4 2" xfId="20888" xr:uid="{00000000-0005-0000-0000-000027640000}"/>
    <cellStyle name="Note 69 5" xfId="7606" xr:uid="{00000000-0005-0000-0000-000028640000}"/>
    <cellStyle name="Note 69 5 2" xfId="18894" xr:uid="{00000000-0005-0000-0000-000029640000}"/>
    <cellStyle name="Note 69 6" xfId="5612" xr:uid="{00000000-0005-0000-0000-00002A640000}"/>
    <cellStyle name="Note 69 6 2" xfId="16900" xr:uid="{00000000-0005-0000-0000-00002B640000}"/>
    <cellStyle name="Note 69 7" xfId="14906" xr:uid="{00000000-0005-0000-0000-00002C640000}"/>
    <cellStyle name="Note 69 8" xfId="13590" xr:uid="{00000000-0005-0000-0000-00002D640000}"/>
    <cellStyle name="Note 7" xfId="3379" xr:uid="{00000000-0005-0000-0000-00002E640000}"/>
    <cellStyle name="Note 7 10" xfId="24757" xr:uid="{00000000-0005-0000-0000-00002F640000}"/>
    <cellStyle name="Note 7 11" xfId="25079" xr:uid="{00000000-0005-0000-0000-000030640000}"/>
    <cellStyle name="Note 7 2" xfId="4613" xr:uid="{00000000-0005-0000-0000-000031640000}"/>
    <cellStyle name="Note 7 2 2" xfId="12592" xr:uid="{00000000-0005-0000-0000-000032640000}"/>
    <cellStyle name="Note 7 2 2 2" xfId="23880" xr:uid="{00000000-0005-0000-0000-000033640000}"/>
    <cellStyle name="Note 7 2 3" xfId="10598" xr:uid="{00000000-0005-0000-0000-000034640000}"/>
    <cellStyle name="Note 7 2 3 2" xfId="21886" xr:uid="{00000000-0005-0000-0000-000035640000}"/>
    <cellStyle name="Note 7 2 4" xfId="8604" xr:uid="{00000000-0005-0000-0000-000036640000}"/>
    <cellStyle name="Note 7 2 4 2" xfId="19892" xr:uid="{00000000-0005-0000-0000-000037640000}"/>
    <cellStyle name="Note 7 2 5" xfId="6610" xr:uid="{00000000-0005-0000-0000-000038640000}"/>
    <cellStyle name="Note 7 2 5 2" xfId="17898" xr:uid="{00000000-0005-0000-0000-000039640000}"/>
    <cellStyle name="Note 7 2 6" xfId="15904" xr:uid="{00000000-0005-0000-0000-00003A640000}"/>
    <cellStyle name="Note 7 2 7" xfId="24461" xr:uid="{00000000-0005-0000-0000-00003B640000}"/>
    <cellStyle name="Note 7 2 8" xfId="24905" xr:uid="{00000000-0005-0000-0000-00003C640000}"/>
    <cellStyle name="Note 7 2 9" xfId="25267" xr:uid="{00000000-0005-0000-0000-00003D640000}"/>
    <cellStyle name="Note 7 3" xfId="11595" xr:uid="{00000000-0005-0000-0000-00003E640000}"/>
    <cellStyle name="Note 7 3 2" xfId="22883" xr:uid="{00000000-0005-0000-0000-00003F640000}"/>
    <cellStyle name="Note 7 4" xfId="9601" xr:uid="{00000000-0005-0000-0000-000040640000}"/>
    <cellStyle name="Note 7 4 2" xfId="20889" xr:uid="{00000000-0005-0000-0000-000041640000}"/>
    <cellStyle name="Note 7 5" xfId="7607" xr:uid="{00000000-0005-0000-0000-000042640000}"/>
    <cellStyle name="Note 7 5 2" xfId="18895" xr:uid="{00000000-0005-0000-0000-000043640000}"/>
    <cellStyle name="Note 7 6" xfId="5613" xr:uid="{00000000-0005-0000-0000-000044640000}"/>
    <cellStyle name="Note 7 6 2" xfId="16901" xr:uid="{00000000-0005-0000-0000-000045640000}"/>
    <cellStyle name="Note 7 7" xfId="14907" xr:uid="{00000000-0005-0000-0000-000046640000}"/>
    <cellStyle name="Note 7 8" xfId="13591" xr:uid="{00000000-0005-0000-0000-000047640000}"/>
    <cellStyle name="Note 7 9" xfId="24195" xr:uid="{00000000-0005-0000-0000-000048640000}"/>
    <cellStyle name="Note 70" xfId="3380" xr:uid="{00000000-0005-0000-0000-000049640000}"/>
    <cellStyle name="Note 70 2" xfId="4614" xr:uid="{00000000-0005-0000-0000-00004A640000}"/>
    <cellStyle name="Note 70 2 2" xfId="12593" xr:uid="{00000000-0005-0000-0000-00004B640000}"/>
    <cellStyle name="Note 70 2 2 2" xfId="23881" xr:uid="{00000000-0005-0000-0000-00004C640000}"/>
    <cellStyle name="Note 70 2 3" xfId="10599" xr:uid="{00000000-0005-0000-0000-00004D640000}"/>
    <cellStyle name="Note 70 2 3 2" xfId="21887" xr:uid="{00000000-0005-0000-0000-00004E640000}"/>
    <cellStyle name="Note 70 2 4" xfId="8605" xr:uid="{00000000-0005-0000-0000-00004F640000}"/>
    <cellStyle name="Note 70 2 4 2" xfId="19893" xr:uid="{00000000-0005-0000-0000-000050640000}"/>
    <cellStyle name="Note 70 2 5" xfId="6611" xr:uid="{00000000-0005-0000-0000-000051640000}"/>
    <cellStyle name="Note 70 2 5 2" xfId="17899" xr:uid="{00000000-0005-0000-0000-000052640000}"/>
    <cellStyle name="Note 70 2 6" xfId="15905" xr:uid="{00000000-0005-0000-0000-000053640000}"/>
    <cellStyle name="Note 70 3" xfId="11596" xr:uid="{00000000-0005-0000-0000-000054640000}"/>
    <cellStyle name="Note 70 3 2" xfId="22884" xr:uid="{00000000-0005-0000-0000-000055640000}"/>
    <cellStyle name="Note 70 4" xfId="9602" xr:uid="{00000000-0005-0000-0000-000056640000}"/>
    <cellStyle name="Note 70 4 2" xfId="20890" xr:uid="{00000000-0005-0000-0000-000057640000}"/>
    <cellStyle name="Note 70 5" xfId="7608" xr:uid="{00000000-0005-0000-0000-000058640000}"/>
    <cellStyle name="Note 70 5 2" xfId="18896" xr:uid="{00000000-0005-0000-0000-000059640000}"/>
    <cellStyle name="Note 70 6" xfId="5614" xr:uid="{00000000-0005-0000-0000-00005A640000}"/>
    <cellStyle name="Note 70 6 2" xfId="16902" xr:uid="{00000000-0005-0000-0000-00005B640000}"/>
    <cellStyle name="Note 70 7" xfId="14908" xr:uid="{00000000-0005-0000-0000-00005C640000}"/>
    <cellStyle name="Note 70 8" xfId="13592" xr:uid="{00000000-0005-0000-0000-00005D640000}"/>
    <cellStyle name="Note 71" xfId="3381" xr:uid="{00000000-0005-0000-0000-00005E640000}"/>
    <cellStyle name="Note 71 2" xfId="4615" xr:uid="{00000000-0005-0000-0000-00005F640000}"/>
    <cellStyle name="Note 71 2 2" xfId="12594" xr:uid="{00000000-0005-0000-0000-000060640000}"/>
    <cellStyle name="Note 71 2 2 2" xfId="23882" xr:uid="{00000000-0005-0000-0000-000061640000}"/>
    <cellStyle name="Note 71 2 3" xfId="10600" xr:uid="{00000000-0005-0000-0000-000062640000}"/>
    <cellStyle name="Note 71 2 3 2" xfId="21888" xr:uid="{00000000-0005-0000-0000-000063640000}"/>
    <cellStyle name="Note 71 2 4" xfId="8606" xr:uid="{00000000-0005-0000-0000-000064640000}"/>
    <cellStyle name="Note 71 2 4 2" xfId="19894" xr:uid="{00000000-0005-0000-0000-000065640000}"/>
    <cellStyle name="Note 71 2 5" xfId="6612" xr:uid="{00000000-0005-0000-0000-000066640000}"/>
    <cellStyle name="Note 71 2 5 2" xfId="17900" xr:uid="{00000000-0005-0000-0000-000067640000}"/>
    <cellStyle name="Note 71 2 6" xfId="15906" xr:uid="{00000000-0005-0000-0000-000068640000}"/>
    <cellStyle name="Note 71 3" xfId="11597" xr:uid="{00000000-0005-0000-0000-000069640000}"/>
    <cellStyle name="Note 71 3 2" xfId="22885" xr:uid="{00000000-0005-0000-0000-00006A640000}"/>
    <cellStyle name="Note 71 4" xfId="9603" xr:uid="{00000000-0005-0000-0000-00006B640000}"/>
    <cellStyle name="Note 71 4 2" xfId="20891" xr:uid="{00000000-0005-0000-0000-00006C640000}"/>
    <cellStyle name="Note 71 5" xfId="7609" xr:uid="{00000000-0005-0000-0000-00006D640000}"/>
    <cellStyle name="Note 71 5 2" xfId="18897" xr:uid="{00000000-0005-0000-0000-00006E640000}"/>
    <cellStyle name="Note 71 6" xfId="5615" xr:uid="{00000000-0005-0000-0000-00006F640000}"/>
    <cellStyle name="Note 71 6 2" xfId="16903" xr:uid="{00000000-0005-0000-0000-000070640000}"/>
    <cellStyle name="Note 71 7" xfId="14909" xr:uid="{00000000-0005-0000-0000-000071640000}"/>
    <cellStyle name="Note 71 8" xfId="13593" xr:uid="{00000000-0005-0000-0000-000072640000}"/>
    <cellStyle name="Note 72" xfId="3382" xr:uid="{00000000-0005-0000-0000-000073640000}"/>
    <cellStyle name="Note 72 2" xfId="4616" xr:uid="{00000000-0005-0000-0000-000074640000}"/>
    <cellStyle name="Note 72 2 2" xfId="12595" xr:uid="{00000000-0005-0000-0000-000075640000}"/>
    <cellStyle name="Note 72 2 2 2" xfId="23883" xr:uid="{00000000-0005-0000-0000-000076640000}"/>
    <cellStyle name="Note 72 2 3" xfId="10601" xr:uid="{00000000-0005-0000-0000-000077640000}"/>
    <cellStyle name="Note 72 2 3 2" xfId="21889" xr:uid="{00000000-0005-0000-0000-000078640000}"/>
    <cellStyle name="Note 72 2 4" xfId="8607" xr:uid="{00000000-0005-0000-0000-000079640000}"/>
    <cellStyle name="Note 72 2 4 2" xfId="19895" xr:uid="{00000000-0005-0000-0000-00007A640000}"/>
    <cellStyle name="Note 72 2 5" xfId="6613" xr:uid="{00000000-0005-0000-0000-00007B640000}"/>
    <cellStyle name="Note 72 2 5 2" xfId="17901" xr:uid="{00000000-0005-0000-0000-00007C640000}"/>
    <cellStyle name="Note 72 2 6" xfId="15907" xr:uid="{00000000-0005-0000-0000-00007D640000}"/>
    <cellStyle name="Note 72 3" xfId="11598" xr:uid="{00000000-0005-0000-0000-00007E640000}"/>
    <cellStyle name="Note 72 3 2" xfId="22886" xr:uid="{00000000-0005-0000-0000-00007F640000}"/>
    <cellStyle name="Note 72 4" xfId="9604" xr:uid="{00000000-0005-0000-0000-000080640000}"/>
    <cellStyle name="Note 72 4 2" xfId="20892" xr:uid="{00000000-0005-0000-0000-000081640000}"/>
    <cellStyle name="Note 72 5" xfId="7610" xr:uid="{00000000-0005-0000-0000-000082640000}"/>
    <cellStyle name="Note 72 5 2" xfId="18898" xr:uid="{00000000-0005-0000-0000-000083640000}"/>
    <cellStyle name="Note 72 6" xfId="5616" xr:uid="{00000000-0005-0000-0000-000084640000}"/>
    <cellStyle name="Note 72 6 2" xfId="16904" xr:uid="{00000000-0005-0000-0000-000085640000}"/>
    <cellStyle name="Note 72 7" xfId="14910" xr:uid="{00000000-0005-0000-0000-000086640000}"/>
    <cellStyle name="Note 72 8" xfId="13594" xr:uid="{00000000-0005-0000-0000-000087640000}"/>
    <cellStyle name="Note 8" xfId="3383" xr:uid="{00000000-0005-0000-0000-000088640000}"/>
    <cellStyle name="Note 8 10" xfId="24758" xr:uid="{00000000-0005-0000-0000-000089640000}"/>
    <cellStyle name="Note 8 11" xfId="25080" xr:uid="{00000000-0005-0000-0000-00008A640000}"/>
    <cellStyle name="Note 8 2" xfId="4617" xr:uid="{00000000-0005-0000-0000-00008B640000}"/>
    <cellStyle name="Note 8 2 2" xfId="12596" xr:uid="{00000000-0005-0000-0000-00008C640000}"/>
    <cellStyle name="Note 8 2 2 2" xfId="23884" xr:uid="{00000000-0005-0000-0000-00008D640000}"/>
    <cellStyle name="Note 8 2 3" xfId="10602" xr:uid="{00000000-0005-0000-0000-00008E640000}"/>
    <cellStyle name="Note 8 2 3 2" xfId="21890" xr:uid="{00000000-0005-0000-0000-00008F640000}"/>
    <cellStyle name="Note 8 2 4" xfId="8608" xr:uid="{00000000-0005-0000-0000-000090640000}"/>
    <cellStyle name="Note 8 2 4 2" xfId="19896" xr:uid="{00000000-0005-0000-0000-000091640000}"/>
    <cellStyle name="Note 8 2 5" xfId="6614" xr:uid="{00000000-0005-0000-0000-000092640000}"/>
    <cellStyle name="Note 8 2 5 2" xfId="17902" xr:uid="{00000000-0005-0000-0000-000093640000}"/>
    <cellStyle name="Note 8 2 6" xfId="15908" xr:uid="{00000000-0005-0000-0000-000094640000}"/>
    <cellStyle name="Note 8 2 7" xfId="24462" xr:uid="{00000000-0005-0000-0000-000095640000}"/>
    <cellStyle name="Note 8 2 8" xfId="24906" xr:uid="{00000000-0005-0000-0000-000096640000}"/>
    <cellStyle name="Note 8 2 9" xfId="25268" xr:uid="{00000000-0005-0000-0000-000097640000}"/>
    <cellStyle name="Note 8 3" xfId="11599" xr:uid="{00000000-0005-0000-0000-000098640000}"/>
    <cellStyle name="Note 8 3 2" xfId="22887" xr:uid="{00000000-0005-0000-0000-000099640000}"/>
    <cellStyle name="Note 8 4" xfId="9605" xr:uid="{00000000-0005-0000-0000-00009A640000}"/>
    <cellStyle name="Note 8 4 2" xfId="20893" xr:uid="{00000000-0005-0000-0000-00009B640000}"/>
    <cellStyle name="Note 8 5" xfId="7611" xr:uid="{00000000-0005-0000-0000-00009C640000}"/>
    <cellStyle name="Note 8 5 2" xfId="18899" xr:uid="{00000000-0005-0000-0000-00009D640000}"/>
    <cellStyle name="Note 8 6" xfId="5617" xr:uid="{00000000-0005-0000-0000-00009E640000}"/>
    <cellStyle name="Note 8 6 2" xfId="16905" xr:uid="{00000000-0005-0000-0000-00009F640000}"/>
    <cellStyle name="Note 8 7" xfId="14911" xr:uid="{00000000-0005-0000-0000-0000A0640000}"/>
    <cellStyle name="Note 8 8" xfId="13595" xr:uid="{00000000-0005-0000-0000-0000A1640000}"/>
    <cellStyle name="Note 8 9" xfId="24196" xr:uid="{00000000-0005-0000-0000-0000A2640000}"/>
    <cellStyle name="Note 9" xfId="3384" xr:uid="{00000000-0005-0000-0000-0000A3640000}"/>
    <cellStyle name="Note 9 10" xfId="24759" xr:uid="{00000000-0005-0000-0000-0000A4640000}"/>
    <cellStyle name="Note 9 11" xfId="25081" xr:uid="{00000000-0005-0000-0000-0000A5640000}"/>
    <cellStyle name="Note 9 2" xfId="4618" xr:uid="{00000000-0005-0000-0000-0000A6640000}"/>
    <cellStyle name="Note 9 2 2" xfId="12597" xr:uid="{00000000-0005-0000-0000-0000A7640000}"/>
    <cellStyle name="Note 9 2 2 2" xfId="23885" xr:uid="{00000000-0005-0000-0000-0000A8640000}"/>
    <cellStyle name="Note 9 2 3" xfId="10603" xr:uid="{00000000-0005-0000-0000-0000A9640000}"/>
    <cellStyle name="Note 9 2 3 2" xfId="21891" xr:uid="{00000000-0005-0000-0000-0000AA640000}"/>
    <cellStyle name="Note 9 2 4" xfId="8609" xr:uid="{00000000-0005-0000-0000-0000AB640000}"/>
    <cellStyle name="Note 9 2 4 2" xfId="19897" xr:uid="{00000000-0005-0000-0000-0000AC640000}"/>
    <cellStyle name="Note 9 2 5" xfId="6615" xr:uid="{00000000-0005-0000-0000-0000AD640000}"/>
    <cellStyle name="Note 9 2 5 2" xfId="17903" xr:uid="{00000000-0005-0000-0000-0000AE640000}"/>
    <cellStyle name="Note 9 2 6" xfId="15909" xr:uid="{00000000-0005-0000-0000-0000AF640000}"/>
    <cellStyle name="Note 9 2 7" xfId="24463" xr:uid="{00000000-0005-0000-0000-0000B0640000}"/>
    <cellStyle name="Note 9 2 8" xfId="24907" xr:uid="{00000000-0005-0000-0000-0000B1640000}"/>
    <cellStyle name="Note 9 2 9" xfId="25269" xr:uid="{00000000-0005-0000-0000-0000B2640000}"/>
    <cellStyle name="Note 9 3" xfId="11600" xr:uid="{00000000-0005-0000-0000-0000B3640000}"/>
    <cellStyle name="Note 9 3 2" xfId="22888" xr:uid="{00000000-0005-0000-0000-0000B4640000}"/>
    <cellStyle name="Note 9 4" xfId="9606" xr:uid="{00000000-0005-0000-0000-0000B5640000}"/>
    <cellStyle name="Note 9 4 2" xfId="20894" xr:uid="{00000000-0005-0000-0000-0000B6640000}"/>
    <cellStyle name="Note 9 5" xfId="7612" xr:uid="{00000000-0005-0000-0000-0000B7640000}"/>
    <cellStyle name="Note 9 5 2" xfId="18900" xr:uid="{00000000-0005-0000-0000-0000B8640000}"/>
    <cellStyle name="Note 9 6" xfId="5618" xr:uid="{00000000-0005-0000-0000-0000B9640000}"/>
    <cellStyle name="Note 9 6 2" xfId="16906" xr:uid="{00000000-0005-0000-0000-0000BA640000}"/>
    <cellStyle name="Note 9 7" xfId="14912" xr:uid="{00000000-0005-0000-0000-0000BB640000}"/>
    <cellStyle name="Note 9 8" xfId="13596" xr:uid="{00000000-0005-0000-0000-0000BC640000}"/>
    <cellStyle name="Note 9 9" xfId="24197" xr:uid="{00000000-0005-0000-0000-0000BD640000}"/>
    <cellStyle name="Number" xfId="62" xr:uid="{00000000-0005-0000-0000-0000BE640000}"/>
    <cellStyle name="Number 10" xfId="24416" xr:uid="{00000000-0005-0000-0000-0000BF640000}"/>
    <cellStyle name="number 11" xfId="23923" xr:uid="{00000000-0005-0000-0000-0000C0640000}"/>
    <cellStyle name="number 12" xfId="24248" xr:uid="{00000000-0005-0000-0000-0000C1640000}"/>
    <cellStyle name="number 13" xfId="24529" xr:uid="{00000000-0005-0000-0000-0000C2640000}"/>
    <cellStyle name="number 14" xfId="24518" xr:uid="{00000000-0005-0000-0000-0000C3640000}"/>
    <cellStyle name="number 15" xfId="24522" xr:uid="{00000000-0005-0000-0000-0000C4640000}"/>
    <cellStyle name="number 16" xfId="24184" xr:uid="{00000000-0005-0000-0000-0000C5640000}"/>
    <cellStyle name="number 17" xfId="24532" xr:uid="{00000000-0005-0000-0000-0000C6640000}"/>
    <cellStyle name="number 18" xfId="24521" xr:uid="{00000000-0005-0000-0000-0000C7640000}"/>
    <cellStyle name="number 19" xfId="24523" xr:uid="{00000000-0005-0000-0000-0000C8640000}"/>
    <cellStyle name="number 2" xfId="24199" xr:uid="{00000000-0005-0000-0000-0000C9640000}"/>
    <cellStyle name="number 20" xfId="24542" xr:uid="{00000000-0005-0000-0000-0000CA640000}"/>
    <cellStyle name="number 21" xfId="24065" xr:uid="{00000000-0005-0000-0000-0000CB640000}"/>
    <cellStyle name="number 22" xfId="24551" xr:uid="{00000000-0005-0000-0000-0000CC640000}"/>
    <cellStyle name="number 23" xfId="24770" xr:uid="{00000000-0005-0000-0000-0000CD640000}"/>
    <cellStyle name="number 24" xfId="24671" xr:uid="{00000000-0005-0000-0000-0000CE640000}"/>
    <cellStyle name="number 25" xfId="24779" xr:uid="{00000000-0005-0000-0000-0000CF640000}"/>
    <cellStyle name="number 26" xfId="24860" xr:uid="{00000000-0005-0000-0000-0000D0640000}"/>
    <cellStyle name="number 27" xfId="24936" xr:uid="{00000000-0005-0000-0000-0000D1640000}"/>
    <cellStyle name="number 28" xfId="24931" xr:uid="{00000000-0005-0000-0000-0000D2640000}"/>
    <cellStyle name="number 29" xfId="24764" xr:uid="{00000000-0005-0000-0000-0000D3640000}"/>
    <cellStyle name="number 3" xfId="24200" xr:uid="{00000000-0005-0000-0000-0000D4640000}"/>
    <cellStyle name="number 30" xfId="24917" xr:uid="{00000000-0005-0000-0000-0000D5640000}"/>
    <cellStyle name="number 31" xfId="24940" xr:uid="{00000000-0005-0000-0000-0000D6640000}"/>
    <cellStyle name="number 32" xfId="24704" xr:uid="{00000000-0005-0000-0000-0000D7640000}"/>
    <cellStyle name="number 33" xfId="24670" xr:uid="{00000000-0005-0000-0000-0000D8640000}"/>
    <cellStyle name="number 34" xfId="24555" xr:uid="{00000000-0005-0000-0000-0000D9640000}"/>
    <cellStyle name="number 35" xfId="24945" xr:uid="{00000000-0005-0000-0000-0000DA640000}"/>
    <cellStyle name="Number 4" xfId="24198" xr:uid="{00000000-0005-0000-0000-0000DB640000}"/>
    <cellStyle name="Number 5" xfId="24311" xr:uid="{00000000-0005-0000-0000-0000DC640000}"/>
    <cellStyle name="Number 6" xfId="24309" xr:uid="{00000000-0005-0000-0000-0000DD640000}"/>
    <cellStyle name="Number 7" xfId="24310" xr:uid="{00000000-0005-0000-0000-0000DE640000}"/>
    <cellStyle name="Number 8" xfId="24464" xr:uid="{00000000-0005-0000-0000-0000DF640000}"/>
    <cellStyle name="Number 9" xfId="24394" xr:uid="{00000000-0005-0000-0000-0000E0640000}"/>
    <cellStyle name="Numbers" xfId="578" xr:uid="{00000000-0005-0000-0000-0000E1640000}"/>
    <cellStyle name="Numbers - Bold" xfId="579" xr:uid="{00000000-0005-0000-0000-0000E2640000}"/>
    <cellStyle name="Numbers - Bold 2" xfId="24201" xr:uid="{00000000-0005-0000-0000-0000E3640000}"/>
    <cellStyle name="Output 10" xfId="3385" xr:uid="{00000000-0005-0000-0000-0000E4640000}"/>
    <cellStyle name="Output 11" xfId="3386" xr:uid="{00000000-0005-0000-0000-0000E5640000}"/>
    <cellStyle name="Output 12" xfId="3387" xr:uid="{00000000-0005-0000-0000-0000E6640000}"/>
    <cellStyle name="Output 13" xfId="3388" xr:uid="{00000000-0005-0000-0000-0000E7640000}"/>
    <cellStyle name="Output 14" xfId="3389" xr:uid="{00000000-0005-0000-0000-0000E8640000}"/>
    <cellStyle name="Output 15" xfId="3390" xr:uid="{00000000-0005-0000-0000-0000E9640000}"/>
    <cellStyle name="Output 16" xfId="3391" xr:uid="{00000000-0005-0000-0000-0000EA640000}"/>
    <cellStyle name="Output 17" xfId="3392" xr:uid="{00000000-0005-0000-0000-0000EB640000}"/>
    <cellStyle name="Output 18" xfId="3393" xr:uid="{00000000-0005-0000-0000-0000EC640000}"/>
    <cellStyle name="Output 19" xfId="3394" xr:uid="{00000000-0005-0000-0000-0000ED640000}"/>
    <cellStyle name="Output 2" xfId="3395" xr:uid="{00000000-0005-0000-0000-0000EE640000}"/>
    <cellStyle name="Output 2 2" xfId="24203" xr:uid="{00000000-0005-0000-0000-0000EF640000}"/>
    <cellStyle name="Output 2 2 10" xfId="30272" xr:uid="{DCE1C103-3D14-4547-9075-9B6E303A52C0}"/>
    <cellStyle name="Output 2 2 2" xfId="24696" xr:uid="{00000000-0005-0000-0000-0000F0640000}"/>
    <cellStyle name="Output 2 2 2 2" xfId="25348" xr:uid="{00000000-0005-0000-0000-0000F1640000}"/>
    <cellStyle name="Output 2 2 2 2 2" xfId="27502" xr:uid="{00000000-0005-0000-0000-0000F2640000}"/>
    <cellStyle name="Output 2 2 2 2 2 2" xfId="32093" xr:uid="{42C663E5-A371-41F5-996D-3C7F2C7AC786}"/>
    <cellStyle name="Output 2 2 2 2 3" xfId="26899" xr:uid="{00000000-0005-0000-0000-0000F3640000}"/>
    <cellStyle name="Output 2 2 2 2 3 2" xfId="31660" xr:uid="{0B9DEE9B-19F5-4821-A0AB-618AF7C4AD6B}"/>
    <cellStyle name="Output 2 2 2 2 4" xfId="27429" xr:uid="{00000000-0005-0000-0000-0000F4640000}"/>
    <cellStyle name="Output 2 2 2 2 4 2" xfId="32027" xr:uid="{6BE9E15E-3B80-45CB-B0CD-E32F7BE3C48A}"/>
    <cellStyle name="Output 2 2 2 2 5" xfId="29431" xr:uid="{00000000-0005-0000-0000-0000F5640000}"/>
    <cellStyle name="Output 2 2 2 2 6" xfId="30506" xr:uid="{933995D5-1AC7-4DA5-9481-B0BE61836167}"/>
    <cellStyle name="Output 2 2 2 3" xfId="25655" xr:uid="{00000000-0005-0000-0000-0000F6640000}"/>
    <cellStyle name="Output 2 2 2 3 2" xfId="27808" xr:uid="{00000000-0005-0000-0000-0000F7640000}"/>
    <cellStyle name="Output 2 2 2 3 2 2" xfId="32395" xr:uid="{548268A3-880C-475A-85E1-ACF533B9BB83}"/>
    <cellStyle name="Output 2 2 2 3 3" xfId="26373" xr:uid="{00000000-0005-0000-0000-0000F8640000}"/>
    <cellStyle name="Output 2 2 2 3 3 2" xfId="31161" xr:uid="{DB9CDCEC-91A2-469B-AD70-B448B07D06A9}"/>
    <cellStyle name="Output 2 2 2 3 4" xfId="26493" xr:uid="{00000000-0005-0000-0000-0000F9640000}"/>
    <cellStyle name="Output 2 2 2 3 4 2" xfId="31281" xr:uid="{7B1DB79D-B650-4F0F-AE6A-4093819F38CB}"/>
    <cellStyle name="Output 2 2 2 3 5" xfId="29432" xr:uid="{00000000-0005-0000-0000-0000FA640000}"/>
    <cellStyle name="Output 2 2 2 3 6" xfId="30649" xr:uid="{4053F19C-5F21-49D9-A45C-CA1DEEED4E11}"/>
    <cellStyle name="Output 2 2 2 4" xfId="27285" xr:uid="{00000000-0005-0000-0000-0000FB640000}"/>
    <cellStyle name="Output 2 2 2 4 2" xfId="31917" xr:uid="{42D0F2B0-2251-48CD-B1F3-E7D626723E74}"/>
    <cellStyle name="Output 2 2 2 5" xfId="26305" xr:uid="{00000000-0005-0000-0000-0000FC640000}"/>
    <cellStyle name="Output 2 2 2 5 2" xfId="31093" xr:uid="{5A4E41E3-BCA7-430E-8CCB-50DE830400B9}"/>
    <cellStyle name="Output 2 2 2 6" xfId="26113" xr:uid="{00000000-0005-0000-0000-0000FD640000}"/>
    <cellStyle name="Output 2 2 2 6 2" xfId="30903" xr:uid="{B0AD8FCA-C033-44E9-9A25-440F6EF94D36}"/>
    <cellStyle name="Output 2 2 2 7" xfId="29430" xr:uid="{00000000-0005-0000-0000-0000FE640000}"/>
    <cellStyle name="Output 2 2 2 8" xfId="30357" xr:uid="{DB5D011C-02C3-4958-9CCF-41F837F64BF4}"/>
    <cellStyle name="Output 2 2 3" xfId="25083" xr:uid="{00000000-0005-0000-0000-0000FF640000}"/>
    <cellStyle name="Output 2 2 3 2" xfId="25416" xr:uid="{00000000-0005-0000-0000-000000650000}"/>
    <cellStyle name="Output 2 2 3 2 2" xfId="27570" xr:uid="{00000000-0005-0000-0000-000001650000}"/>
    <cellStyle name="Output 2 2 3 2 2 2" xfId="32161" xr:uid="{281CD17C-5843-4712-A418-80D255162421}"/>
    <cellStyle name="Output 2 2 3 2 3" xfId="26442" xr:uid="{00000000-0005-0000-0000-000002650000}"/>
    <cellStyle name="Output 2 2 3 2 3 2" xfId="31230" xr:uid="{25CF1797-FDD9-4BC0-BFD2-3EB87D207F26}"/>
    <cellStyle name="Output 2 2 3 2 4" xfId="27020" xr:uid="{00000000-0005-0000-0000-000003650000}"/>
    <cellStyle name="Output 2 2 3 2 4 2" xfId="31780" xr:uid="{3223D64C-54DD-47F9-8468-0804F0F36C5A}"/>
    <cellStyle name="Output 2 2 3 2 5" xfId="29434" xr:uid="{00000000-0005-0000-0000-000004650000}"/>
    <cellStyle name="Output 2 2 3 2 6" xfId="30574" xr:uid="{87F20BB6-52C3-43AA-8F00-5D03A962B8EF}"/>
    <cellStyle name="Output 2 2 3 3" xfId="25683" xr:uid="{00000000-0005-0000-0000-000005650000}"/>
    <cellStyle name="Output 2 2 3 3 2" xfId="27836" xr:uid="{00000000-0005-0000-0000-000006650000}"/>
    <cellStyle name="Output 2 2 3 3 2 2" xfId="32423" xr:uid="{8CEDCD94-5B53-42A0-A097-E682A2A5A511}"/>
    <cellStyle name="Output 2 2 3 3 3" xfId="26720" xr:uid="{00000000-0005-0000-0000-000007650000}"/>
    <cellStyle name="Output 2 2 3 3 3 2" xfId="31481" xr:uid="{30A982CF-ACB3-4DCF-9820-EFA99B1E051A}"/>
    <cellStyle name="Output 2 2 3 3 4" xfId="26435" xr:uid="{00000000-0005-0000-0000-000008650000}"/>
    <cellStyle name="Output 2 2 3 3 4 2" xfId="31223" xr:uid="{434779A2-B846-42DA-A19E-94A3D862EDA5}"/>
    <cellStyle name="Output 2 2 3 3 5" xfId="29435" xr:uid="{00000000-0005-0000-0000-000009650000}"/>
    <cellStyle name="Output 2 2 3 3 6" xfId="30677" xr:uid="{439641A3-24C0-445C-8649-C3298E89CD74}"/>
    <cellStyle name="Output 2 2 3 4" xfId="27370" xr:uid="{00000000-0005-0000-0000-00000A650000}"/>
    <cellStyle name="Output 2 2 3 4 2" xfId="31968" xr:uid="{B18CD462-96CA-4D13-990D-87A4C3134F28}"/>
    <cellStyle name="Output 2 2 3 5" xfId="26961" xr:uid="{00000000-0005-0000-0000-00000B650000}"/>
    <cellStyle name="Output 2 2 3 5 2" xfId="31722" xr:uid="{C2651AC7-0F41-4B9F-B28C-53AF82CC7690}"/>
    <cellStyle name="Output 2 2 3 6" xfId="26821" xr:uid="{00000000-0005-0000-0000-00000C650000}"/>
    <cellStyle name="Output 2 2 3 6 2" xfId="31582" xr:uid="{E79CB48D-99D7-493F-8204-9A38BDC95899}"/>
    <cellStyle name="Output 2 2 3 7" xfId="29433" xr:uid="{00000000-0005-0000-0000-00000D650000}"/>
    <cellStyle name="Output 2 2 3 8" xfId="30385" xr:uid="{6B307353-4838-44E2-AFBC-3A6B8DF7163E}"/>
    <cellStyle name="Output 2 2 4" xfId="25364" xr:uid="{00000000-0005-0000-0000-00000E650000}"/>
    <cellStyle name="Output 2 2 4 2" xfId="27518" xr:uid="{00000000-0005-0000-0000-00000F650000}"/>
    <cellStyle name="Output 2 2 4 2 2" xfId="32109" xr:uid="{B5CBABE0-75E8-49BF-A5DC-2EDC0B073311}"/>
    <cellStyle name="Output 2 2 4 3" xfId="26797" xr:uid="{00000000-0005-0000-0000-000010650000}"/>
    <cellStyle name="Output 2 2 4 3 2" xfId="31558" xr:uid="{B131AB37-2F0E-492A-891B-45AEA76B3DFE}"/>
    <cellStyle name="Output 2 2 4 4" xfId="26975" xr:uid="{00000000-0005-0000-0000-000011650000}"/>
    <cellStyle name="Output 2 2 4 4 2" xfId="31736" xr:uid="{C68E1A18-1DBA-4C1D-9C77-D48802DDE92A}"/>
    <cellStyle name="Output 2 2 4 5" xfId="29436" xr:uid="{00000000-0005-0000-0000-000012650000}"/>
    <cellStyle name="Output 2 2 4 6" xfId="30522" xr:uid="{29A4D768-C374-4DD4-8BE8-A99A7F8DE486}"/>
    <cellStyle name="Output 2 2 5" xfId="25570" xr:uid="{00000000-0005-0000-0000-000013650000}"/>
    <cellStyle name="Output 2 2 5 2" xfId="27723" xr:uid="{00000000-0005-0000-0000-000014650000}"/>
    <cellStyle name="Output 2 2 5 2 2" xfId="32310" xr:uid="{C2D678DA-A022-41EE-856A-A1139E6C85ED}"/>
    <cellStyle name="Output 2 2 5 3" xfId="26274" xr:uid="{00000000-0005-0000-0000-000015650000}"/>
    <cellStyle name="Output 2 2 5 3 2" xfId="31062" xr:uid="{F471183D-5E99-46F2-AE76-5484F587681C}"/>
    <cellStyle name="Output 2 2 5 4" xfId="26859" xr:uid="{00000000-0005-0000-0000-000016650000}"/>
    <cellStyle name="Output 2 2 5 4 2" xfId="31620" xr:uid="{150CF3B9-B9D0-4100-AD08-8076AC0DC192}"/>
    <cellStyle name="Output 2 2 5 5" xfId="29437" xr:uid="{00000000-0005-0000-0000-000017650000}"/>
    <cellStyle name="Output 2 2 5 6" xfId="30627" xr:uid="{59FCEFA5-C7FE-43F0-A70D-F9F78FC3D0D6}"/>
    <cellStyle name="Output 2 2 6" xfId="27095" xr:uid="{00000000-0005-0000-0000-000018650000}"/>
    <cellStyle name="Output 2 2 6 2" xfId="31819" xr:uid="{8B3B49F8-CDC4-41F2-95AC-3EEF0F401DD3}"/>
    <cellStyle name="Output 2 2 7" xfId="26833" xr:uid="{00000000-0005-0000-0000-000019650000}"/>
    <cellStyle name="Output 2 2 7 2" xfId="31594" xr:uid="{DD555F28-E2A7-49E9-8697-20ED9C57FE38}"/>
    <cellStyle name="Output 2 2 8" xfId="26177" xr:uid="{00000000-0005-0000-0000-00001A650000}"/>
    <cellStyle name="Output 2 2 8 2" xfId="30966" xr:uid="{09ACD90A-DCB4-437E-81EE-6C5EC64BAA5D}"/>
    <cellStyle name="Output 2 2 9" xfId="29429" xr:uid="{00000000-0005-0000-0000-00001B650000}"/>
    <cellStyle name="Output 2 3" xfId="24202" xr:uid="{00000000-0005-0000-0000-00001C650000}"/>
    <cellStyle name="Output 2 3 2" xfId="25453" xr:uid="{00000000-0005-0000-0000-00001D650000}"/>
    <cellStyle name="Output 2 3 2 2" xfId="27607" xr:uid="{00000000-0005-0000-0000-00001E650000}"/>
    <cellStyle name="Output 2 3 2 2 2" xfId="32198" xr:uid="{DF210FFD-3CA1-42B1-93BC-520F0F08C91D}"/>
    <cellStyle name="Output 2 3 2 3" xfId="26342" xr:uid="{00000000-0005-0000-0000-00001F650000}"/>
    <cellStyle name="Output 2 3 2 3 2" xfId="31130" xr:uid="{584CF3C1-DCF4-4200-A239-D07A1AE3F827}"/>
    <cellStyle name="Output 2 3 2 4" xfId="27085" xr:uid="{00000000-0005-0000-0000-000020650000}"/>
    <cellStyle name="Output 2 3 2 4 2" xfId="31809" xr:uid="{DA330AEC-ECA9-48EB-BC1C-D7F1A04A6202}"/>
    <cellStyle name="Output 2 3 2 5" xfId="29439" xr:uid="{00000000-0005-0000-0000-000021650000}"/>
    <cellStyle name="Output 2 3 2 6" xfId="30611" xr:uid="{83BFB739-C260-436E-8BE3-EA36933A9687}"/>
    <cellStyle name="Output 2 3 3" xfId="25569" xr:uid="{00000000-0005-0000-0000-000022650000}"/>
    <cellStyle name="Output 2 3 3 2" xfId="27722" xr:uid="{00000000-0005-0000-0000-000023650000}"/>
    <cellStyle name="Output 2 3 3 2 2" xfId="32309" xr:uid="{9C9437C4-32EC-4C88-B97C-ECD919EB8DA7}"/>
    <cellStyle name="Output 2 3 3 3" xfId="26935" xr:uid="{00000000-0005-0000-0000-000024650000}"/>
    <cellStyle name="Output 2 3 3 3 2" xfId="31696" xr:uid="{D0BCD7A6-9F34-49E2-9EF6-C7B97AF4F58A}"/>
    <cellStyle name="Output 2 3 3 4" xfId="26255" xr:uid="{00000000-0005-0000-0000-000025650000}"/>
    <cellStyle name="Output 2 3 3 4 2" xfId="31043" xr:uid="{E1B8F8F2-9175-4034-A52F-572856526372}"/>
    <cellStyle name="Output 2 3 3 5" xfId="29440" xr:uid="{00000000-0005-0000-0000-000026650000}"/>
    <cellStyle name="Output 2 3 3 6" xfId="30626" xr:uid="{E6E4ADC8-35B2-4189-86F7-4FF2BC0F32AA}"/>
    <cellStyle name="Output 2 3 4" xfId="27094" xr:uid="{00000000-0005-0000-0000-000027650000}"/>
    <cellStyle name="Output 2 3 4 2" xfId="31818" xr:uid="{EB9029CB-4289-4ED1-BDCE-F8F177FFFB23}"/>
    <cellStyle name="Output 2 3 5" xfId="26869" xr:uid="{00000000-0005-0000-0000-000028650000}"/>
    <cellStyle name="Output 2 3 5 2" xfId="31630" xr:uid="{8C63DAA5-7C90-4FE2-9B3A-1E1256155BBD}"/>
    <cellStyle name="Output 2 3 6" xfId="26773" xr:uid="{00000000-0005-0000-0000-000029650000}"/>
    <cellStyle name="Output 2 3 6 2" xfId="31534" xr:uid="{4A78A448-212B-4BCB-B418-29671EAE3C33}"/>
    <cellStyle name="Output 2 3 7" xfId="29438" xr:uid="{00000000-0005-0000-0000-00002A650000}"/>
    <cellStyle name="Output 2 3 8" xfId="30271" xr:uid="{9354A33E-795C-4F12-ADF4-6C4A62A2D882}"/>
    <cellStyle name="Output 2 4" xfId="24697" xr:uid="{00000000-0005-0000-0000-00002B650000}"/>
    <cellStyle name="Output 2 4 2" xfId="25449" xr:uid="{00000000-0005-0000-0000-00002C650000}"/>
    <cellStyle name="Output 2 4 2 2" xfId="27603" xr:uid="{00000000-0005-0000-0000-00002D650000}"/>
    <cellStyle name="Output 2 4 2 2 2" xfId="32194" xr:uid="{CD85BCC6-FB4B-4551-B1B7-A75E086A2075}"/>
    <cellStyle name="Output 2 4 2 3" xfId="26992" xr:uid="{00000000-0005-0000-0000-00002E650000}"/>
    <cellStyle name="Output 2 4 2 3 2" xfId="31753" xr:uid="{F395A3D3-FC9D-4659-9F6A-3DFA14EBD1F0}"/>
    <cellStyle name="Output 2 4 2 4" xfId="26102" xr:uid="{00000000-0005-0000-0000-00002F650000}"/>
    <cellStyle name="Output 2 4 2 4 2" xfId="30892" xr:uid="{AA21A2CC-50B5-4116-8051-5D63C1302F95}"/>
    <cellStyle name="Output 2 4 2 5" xfId="29442" xr:uid="{00000000-0005-0000-0000-000030650000}"/>
    <cellStyle name="Output 2 4 2 6" xfId="30607" xr:uid="{CCCE90C1-4F56-4E62-A061-680004B6F070}"/>
    <cellStyle name="Output 2 4 3" xfId="25656" xr:uid="{00000000-0005-0000-0000-000031650000}"/>
    <cellStyle name="Output 2 4 3 2" xfId="27809" xr:uid="{00000000-0005-0000-0000-000032650000}"/>
    <cellStyle name="Output 2 4 3 2 2" xfId="32396" xr:uid="{82BCBA83-1C2F-4B29-BBE8-DF83E4A4E6E8}"/>
    <cellStyle name="Output 2 4 3 3" xfId="26485" xr:uid="{00000000-0005-0000-0000-000033650000}"/>
    <cellStyle name="Output 2 4 3 3 2" xfId="31273" xr:uid="{926CC5B5-ACD6-4EE0-9B93-BE6FA8452264}"/>
    <cellStyle name="Output 2 4 3 4" xfId="26957" xr:uid="{00000000-0005-0000-0000-000034650000}"/>
    <cellStyle name="Output 2 4 3 4 2" xfId="31718" xr:uid="{0C68EBE7-BCFE-454F-8453-DD84AA81D203}"/>
    <cellStyle name="Output 2 4 3 5" xfId="29443" xr:uid="{00000000-0005-0000-0000-000035650000}"/>
    <cellStyle name="Output 2 4 3 6" xfId="30650" xr:uid="{8F3220D4-05D7-4535-A80E-A57CE1391C87}"/>
    <cellStyle name="Output 2 4 4" xfId="27286" xr:uid="{00000000-0005-0000-0000-000036650000}"/>
    <cellStyle name="Output 2 4 4 2" xfId="31918" xr:uid="{48C23195-ECED-448C-8E64-D6C61A702FD7}"/>
    <cellStyle name="Output 2 4 5" xfId="26409" xr:uid="{00000000-0005-0000-0000-000037650000}"/>
    <cellStyle name="Output 2 4 5 2" xfId="31197" xr:uid="{0EBE9790-BD72-4B9F-BE16-5E68E8292592}"/>
    <cellStyle name="Output 2 4 6" xfId="26847" xr:uid="{00000000-0005-0000-0000-000038650000}"/>
    <cellStyle name="Output 2 4 6 2" xfId="31608" xr:uid="{5CEC1917-AE41-422C-A25C-DF2A7D0B04E5}"/>
    <cellStyle name="Output 2 4 7" xfId="29441" xr:uid="{00000000-0005-0000-0000-000039650000}"/>
    <cellStyle name="Output 2 4 8" xfId="30358" xr:uid="{F82DAA41-799F-4F63-8A3D-BF6B06974826}"/>
    <cellStyle name="Output 2 5" xfId="25082" xr:uid="{00000000-0005-0000-0000-00003A650000}"/>
    <cellStyle name="Output 2 5 2" xfId="25315" xr:uid="{00000000-0005-0000-0000-00003B650000}"/>
    <cellStyle name="Output 2 5 2 2" xfId="27469" xr:uid="{00000000-0005-0000-0000-00003C650000}"/>
    <cellStyle name="Output 2 5 2 2 2" xfId="32060" xr:uid="{3A41A2E8-B23F-4EB7-BE7E-F4DB293C517F}"/>
    <cellStyle name="Output 2 5 2 3" xfId="26058" xr:uid="{00000000-0005-0000-0000-00003D650000}"/>
    <cellStyle name="Output 2 5 2 3 2" xfId="30848" xr:uid="{58E4DA8C-8A37-484E-9E16-5D5635F07810}"/>
    <cellStyle name="Output 2 5 2 4" xfId="26212" xr:uid="{00000000-0005-0000-0000-00003E650000}"/>
    <cellStyle name="Output 2 5 2 4 2" xfId="31000" xr:uid="{C7D2B977-2C02-4A8E-8825-75872F3D2C88}"/>
    <cellStyle name="Output 2 5 2 5" xfId="29445" xr:uid="{00000000-0005-0000-0000-00003F650000}"/>
    <cellStyle name="Output 2 5 2 6" xfId="30473" xr:uid="{1E60F62C-E412-4069-BFA9-D7298A664340}"/>
    <cellStyle name="Output 2 5 3" xfId="25682" xr:uid="{00000000-0005-0000-0000-000040650000}"/>
    <cellStyle name="Output 2 5 3 2" xfId="27835" xr:uid="{00000000-0005-0000-0000-000041650000}"/>
    <cellStyle name="Output 2 5 3 2 2" xfId="32422" xr:uid="{86069AF5-1C14-4489-AF6A-91D062A1CD7C}"/>
    <cellStyle name="Output 2 5 3 3" xfId="26523" xr:uid="{00000000-0005-0000-0000-000042650000}"/>
    <cellStyle name="Output 2 5 3 3 2" xfId="31310" xr:uid="{94A0CF26-9178-4C4D-B8F5-FD4A132E2E0D}"/>
    <cellStyle name="Output 2 5 3 4" xfId="26392" xr:uid="{00000000-0005-0000-0000-000043650000}"/>
    <cellStyle name="Output 2 5 3 4 2" xfId="31180" xr:uid="{211B2FC6-FCE1-4CC7-9DD1-05E0B52528F1}"/>
    <cellStyle name="Output 2 5 3 5" xfId="29446" xr:uid="{00000000-0005-0000-0000-000044650000}"/>
    <cellStyle name="Output 2 5 3 6" xfId="30676" xr:uid="{20ADCEBA-4334-4034-B238-F25CEA94F99E}"/>
    <cellStyle name="Output 2 5 4" xfId="27369" xr:uid="{00000000-0005-0000-0000-000045650000}"/>
    <cellStyle name="Output 2 5 4 2" xfId="31967" xr:uid="{CA8F1301-F33E-4BFE-94CB-2B1E76F724F4}"/>
    <cellStyle name="Output 2 5 5" xfId="26200" xr:uid="{00000000-0005-0000-0000-000046650000}"/>
    <cellStyle name="Output 2 5 5 2" xfId="30988" xr:uid="{FF2D9FD0-8B34-4DCA-9FE6-36B522F41A56}"/>
    <cellStyle name="Output 2 5 6" xfId="26703" xr:uid="{00000000-0005-0000-0000-000047650000}"/>
    <cellStyle name="Output 2 5 6 2" xfId="31465" xr:uid="{65E6843C-F6BA-4F64-8E7D-97B8343C9476}"/>
    <cellStyle name="Output 2 5 7" xfId="29444" xr:uid="{00000000-0005-0000-0000-000048650000}"/>
    <cellStyle name="Output 2 5 8" xfId="30384" xr:uid="{2C97CDBD-11DA-4E6F-870A-5A8EA0B5FB0B}"/>
    <cellStyle name="Output 20" xfId="3396" xr:uid="{00000000-0005-0000-0000-000049650000}"/>
    <cellStyle name="Output 21" xfId="3397" xr:uid="{00000000-0005-0000-0000-00004A650000}"/>
    <cellStyle name="Output 22" xfId="3398" xr:uid="{00000000-0005-0000-0000-00004B650000}"/>
    <cellStyle name="Output 23" xfId="3399" xr:uid="{00000000-0005-0000-0000-00004C650000}"/>
    <cellStyle name="Output 24" xfId="3400" xr:uid="{00000000-0005-0000-0000-00004D650000}"/>
    <cellStyle name="Output 25" xfId="3401" xr:uid="{00000000-0005-0000-0000-00004E650000}"/>
    <cellStyle name="Output 26" xfId="3402" xr:uid="{00000000-0005-0000-0000-00004F650000}"/>
    <cellStyle name="Output 27" xfId="3403" xr:uid="{00000000-0005-0000-0000-000050650000}"/>
    <cellStyle name="Output 28" xfId="3404" xr:uid="{00000000-0005-0000-0000-000051650000}"/>
    <cellStyle name="Output 29" xfId="3405" xr:uid="{00000000-0005-0000-0000-000052650000}"/>
    <cellStyle name="Output 3" xfId="3406" xr:uid="{00000000-0005-0000-0000-000053650000}"/>
    <cellStyle name="Output 3 2" xfId="24205" xr:uid="{00000000-0005-0000-0000-000054650000}"/>
    <cellStyle name="Output 3 2 10" xfId="30274" xr:uid="{2A26B280-7488-48E8-BEEC-3698104A611B}"/>
    <cellStyle name="Output 3 2 2" xfId="24694" xr:uid="{00000000-0005-0000-0000-000055650000}"/>
    <cellStyle name="Output 3 2 2 2" xfId="25331" xr:uid="{00000000-0005-0000-0000-000056650000}"/>
    <cellStyle name="Output 3 2 2 2 2" xfId="27485" xr:uid="{00000000-0005-0000-0000-000057650000}"/>
    <cellStyle name="Output 3 2 2 2 2 2" xfId="32076" xr:uid="{7488E164-165C-4FC0-8719-C5C830A42DA8}"/>
    <cellStyle name="Output 3 2 2 2 3" xfId="26341" xr:uid="{00000000-0005-0000-0000-000058650000}"/>
    <cellStyle name="Output 3 2 2 2 3 2" xfId="31129" xr:uid="{B9CC4A1A-CCA9-47C5-B9E2-B3089B2E1083}"/>
    <cellStyle name="Output 3 2 2 2 4" xfId="26432" xr:uid="{00000000-0005-0000-0000-000059650000}"/>
    <cellStyle name="Output 3 2 2 2 4 2" xfId="31220" xr:uid="{231FEAFC-A004-4C0B-B413-1F737E918851}"/>
    <cellStyle name="Output 3 2 2 2 5" xfId="29449" xr:uid="{00000000-0005-0000-0000-00005A650000}"/>
    <cellStyle name="Output 3 2 2 2 6" xfId="30489" xr:uid="{1F4FBDD3-793D-4AE0-9550-AD6D1CF79B19}"/>
    <cellStyle name="Output 3 2 2 3" xfId="25653" xr:uid="{00000000-0005-0000-0000-00005B650000}"/>
    <cellStyle name="Output 3 2 2 3 2" xfId="27806" xr:uid="{00000000-0005-0000-0000-00005C650000}"/>
    <cellStyle name="Output 3 2 2 3 2 2" xfId="32393" xr:uid="{B540B139-07BB-494C-A263-E7D8FA64B388}"/>
    <cellStyle name="Output 3 2 2 3 3" xfId="26934" xr:uid="{00000000-0005-0000-0000-00005D650000}"/>
    <cellStyle name="Output 3 2 2 3 3 2" xfId="31695" xr:uid="{26960753-72BC-4623-8FE4-A992FD56D167}"/>
    <cellStyle name="Output 3 2 2 3 4" xfId="26399" xr:uid="{00000000-0005-0000-0000-00005E650000}"/>
    <cellStyle name="Output 3 2 2 3 4 2" xfId="31187" xr:uid="{15E5EAAB-B889-427B-AAC8-6D751F819B8B}"/>
    <cellStyle name="Output 3 2 2 3 5" xfId="29450" xr:uid="{00000000-0005-0000-0000-00005F650000}"/>
    <cellStyle name="Output 3 2 2 3 6" xfId="30647" xr:uid="{B91BD17B-ECB3-4665-BD8D-4EE939A94E7F}"/>
    <cellStyle name="Output 3 2 2 4" xfId="27283" xr:uid="{00000000-0005-0000-0000-000060650000}"/>
    <cellStyle name="Output 3 2 2 4 2" xfId="31915" xr:uid="{FB840D84-094C-46CA-B4EA-521E7A952A9C}"/>
    <cellStyle name="Output 3 2 2 5" xfId="26868" xr:uid="{00000000-0005-0000-0000-000061650000}"/>
    <cellStyle name="Output 3 2 2 5 2" xfId="31629" xr:uid="{DED0EA34-B1CE-4CAA-BBD3-8F5462FFCD4F}"/>
    <cellStyle name="Output 3 2 2 6" xfId="26265" xr:uid="{00000000-0005-0000-0000-000062650000}"/>
    <cellStyle name="Output 3 2 2 6 2" xfId="31053" xr:uid="{214EA071-C6DC-42B3-B298-DD2456BD84E8}"/>
    <cellStyle name="Output 3 2 2 7" xfId="29448" xr:uid="{00000000-0005-0000-0000-000063650000}"/>
    <cellStyle name="Output 3 2 2 8" xfId="30355" xr:uid="{750F99AB-77EC-47B7-92A0-80A4AA3C7D43}"/>
    <cellStyle name="Output 3 2 3" xfId="25085" xr:uid="{00000000-0005-0000-0000-000064650000}"/>
    <cellStyle name="Output 3 2 3 2" xfId="25430" xr:uid="{00000000-0005-0000-0000-000065650000}"/>
    <cellStyle name="Output 3 2 3 2 2" xfId="27584" xr:uid="{00000000-0005-0000-0000-000066650000}"/>
    <cellStyle name="Output 3 2 3 2 2 2" xfId="32175" xr:uid="{1913AC51-FC5F-43F2-85E3-D6445D7E3670}"/>
    <cellStyle name="Output 3 2 3 2 3" xfId="26991" xr:uid="{00000000-0005-0000-0000-000067650000}"/>
    <cellStyle name="Output 3 2 3 2 3 2" xfId="31752" xr:uid="{3198CCE6-AFB6-4E91-AB1B-6C745F9D5612}"/>
    <cellStyle name="Output 3 2 3 2 4" xfId="26165" xr:uid="{00000000-0005-0000-0000-000068650000}"/>
    <cellStyle name="Output 3 2 3 2 4 2" xfId="30954" xr:uid="{E9BD259B-4935-471A-9823-6DE778B9AEE7}"/>
    <cellStyle name="Output 3 2 3 2 5" xfId="29452" xr:uid="{00000000-0005-0000-0000-000069650000}"/>
    <cellStyle name="Output 3 2 3 2 6" xfId="30588" xr:uid="{765E5510-97E0-455B-94C2-6D814FCFDD81}"/>
    <cellStyle name="Output 3 2 3 3" xfId="25685" xr:uid="{00000000-0005-0000-0000-00006A650000}"/>
    <cellStyle name="Output 3 2 3 3 2" xfId="27838" xr:uid="{00000000-0005-0000-0000-00006B650000}"/>
    <cellStyle name="Output 3 2 3 3 2 2" xfId="32425" xr:uid="{EAB84C10-6A23-4711-ADE4-726A1767C049}"/>
    <cellStyle name="Output 3 2 3 3 3" xfId="26484" xr:uid="{00000000-0005-0000-0000-00006C650000}"/>
    <cellStyle name="Output 3 2 3 3 3 2" xfId="31272" xr:uid="{D2FE5DE9-56E4-4942-AF2E-D2E292D3B07C}"/>
    <cellStyle name="Output 3 2 3 3 4" xfId="26767" xr:uid="{00000000-0005-0000-0000-00006D650000}"/>
    <cellStyle name="Output 3 2 3 3 4 2" xfId="31528" xr:uid="{32D30248-4F2A-49B1-8BDC-09FD9F178375}"/>
    <cellStyle name="Output 3 2 3 3 5" xfId="29453" xr:uid="{00000000-0005-0000-0000-00006E650000}"/>
    <cellStyle name="Output 3 2 3 3 6" xfId="30679" xr:uid="{897A3A4E-07FC-4BF2-8F34-F205721D4106}"/>
    <cellStyle name="Output 3 2 3 4" xfId="27372" xr:uid="{00000000-0005-0000-0000-00006F650000}"/>
    <cellStyle name="Output 3 2 3 4 2" xfId="31970" xr:uid="{D5A78513-BDCE-46D0-83D6-DFFFF1A9E5DA}"/>
    <cellStyle name="Output 3 2 3 5" xfId="26408" xr:uid="{00000000-0005-0000-0000-000070650000}"/>
    <cellStyle name="Output 3 2 3 5 2" xfId="31196" xr:uid="{E4E7E666-E712-4A12-90B2-83A094DBC823}"/>
    <cellStyle name="Output 3 2 3 6" xfId="26420" xr:uid="{00000000-0005-0000-0000-000071650000}"/>
    <cellStyle name="Output 3 2 3 6 2" xfId="31208" xr:uid="{B94CC6A0-9633-4AF4-B484-6E6470A37FF4}"/>
    <cellStyle name="Output 3 2 3 7" xfId="29451" xr:uid="{00000000-0005-0000-0000-000072650000}"/>
    <cellStyle name="Output 3 2 3 8" xfId="30387" xr:uid="{2230571B-5B73-4BB7-8E28-64CC922C59DF}"/>
    <cellStyle name="Output 3 2 4" xfId="25291" xr:uid="{00000000-0005-0000-0000-000073650000}"/>
    <cellStyle name="Output 3 2 4 2" xfId="27446" xr:uid="{00000000-0005-0000-0000-000074650000}"/>
    <cellStyle name="Output 3 2 4 2 2" xfId="32041" xr:uid="{7F54BF0E-98B5-4F73-9029-6B69E2F0BC81}"/>
    <cellStyle name="Output 3 2 4 3" xfId="26199" xr:uid="{00000000-0005-0000-0000-000075650000}"/>
    <cellStyle name="Output 3 2 4 3 2" xfId="30987" xr:uid="{3B625F35-42BC-4A47-8B58-CC654B1E2728}"/>
    <cellStyle name="Output 3 2 4 4" xfId="26296" xr:uid="{00000000-0005-0000-0000-000076650000}"/>
    <cellStyle name="Output 3 2 4 4 2" xfId="31084" xr:uid="{CDC8CFFF-F326-4E58-89AD-4F8622800C29}"/>
    <cellStyle name="Output 3 2 4 5" xfId="29454" xr:uid="{00000000-0005-0000-0000-000077650000}"/>
    <cellStyle name="Output 3 2 4 6" xfId="30454" xr:uid="{2C3EE11F-AACE-426F-B9F7-85E4717F405C}"/>
    <cellStyle name="Output 3 2 5" xfId="25572" xr:uid="{00000000-0005-0000-0000-000078650000}"/>
    <cellStyle name="Output 3 2 5 2" xfId="27725" xr:uid="{00000000-0005-0000-0000-000079650000}"/>
    <cellStyle name="Output 3 2 5 2 2" xfId="32312" xr:uid="{7E82A170-1061-46C8-9CC7-B8484D222DD6}"/>
    <cellStyle name="Output 3 2 5 3" xfId="26057" xr:uid="{00000000-0005-0000-0000-00007A650000}"/>
    <cellStyle name="Output 3 2 5 3 2" xfId="30847" xr:uid="{36CF5F33-5340-475C-9FB7-A12BAB757050}"/>
    <cellStyle name="Output 3 2 5 4" xfId="26825" xr:uid="{00000000-0005-0000-0000-00007B650000}"/>
    <cellStyle name="Output 3 2 5 4 2" xfId="31586" xr:uid="{7364EC0A-6276-45A3-82A3-65BE6E6B5131}"/>
    <cellStyle name="Output 3 2 5 5" xfId="29455" xr:uid="{00000000-0005-0000-0000-00007C650000}"/>
    <cellStyle name="Output 3 2 5 6" xfId="30629" xr:uid="{3C522C64-083D-4E48-843A-535AAF799AA3}"/>
    <cellStyle name="Output 3 2 6" xfId="27097" xr:uid="{00000000-0005-0000-0000-00007D650000}"/>
    <cellStyle name="Output 3 2 6 2" xfId="31821" xr:uid="{08BF1CD2-E348-417E-8BA8-BBE6E1888014}"/>
    <cellStyle name="Output 3 2 7" xfId="26273" xr:uid="{00000000-0005-0000-0000-00007E650000}"/>
    <cellStyle name="Output 3 2 7 2" xfId="31061" xr:uid="{AE7F386A-B039-4966-8C61-F6A00BDA3C53}"/>
    <cellStyle name="Output 3 2 8" xfId="27087" xr:uid="{00000000-0005-0000-0000-00007F650000}"/>
    <cellStyle name="Output 3 2 8 2" xfId="31811" xr:uid="{1E84F317-68CA-4F0A-B1F9-0469F25ADC7B}"/>
    <cellStyle name="Output 3 2 9" xfId="29447" xr:uid="{00000000-0005-0000-0000-000080650000}"/>
    <cellStyle name="Output 3 3" xfId="24204" xr:uid="{00000000-0005-0000-0000-000081650000}"/>
    <cellStyle name="Output 3 3 2" xfId="25301" xr:uid="{00000000-0005-0000-0000-000082650000}"/>
    <cellStyle name="Output 3 3 2 2" xfId="27455" xr:uid="{00000000-0005-0000-0000-000083650000}"/>
    <cellStyle name="Output 3 3 2 2 2" xfId="32047" xr:uid="{C803FF56-7B9C-441A-94D7-ED884C5B05B8}"/>
    <cellStyle name="Output 3 3 2 3" xfId="26687" xr:uid="{00000000-0005-0000-0000-000084650000}"/>
    <cellStyle name="Output 3 3 2 3 2" xfId="31449" xr:uid="{6B72D10E-0749-4E86-8B4C-AE6368250C62}"/>
    <cellStyle name="Output 3 3 2 4" xfId="26316" xr:uid="{00000000-0005-0000-0000-000085650000}"/>
    <cellStyle name="Output 3 3 2 4 2" xfId="31104" xr:uid="{78F5F27F-897E-4424-AF70-8E28126EC55C}"/>
    <cellStyle name="Output 3 3 2 5" xfId="29457" xr:uid="{00000000-0005-0000-0000-000086650000}"/>
    <cellStyle name="Output 3 3 2 6" xfId="30460" xr:uid="{9FB50E51-8A5D-4CE8-93E0-C582F8739036}"/>
    <cellStyle name="Output 3 3 3" xfId="25571" xr:uid="{00000000-0005-0000-0000-000087650000}"/>
    <cellStyle name="Output 3 3 3 2" xfId="27724" xr:uid="{00000000-0005-0000-0000-000088650000}"/>
    <cellStyle name="Output 3 3 3 2 2" xfId="32311" xr:uid="{0EA6FF67-D80D-47CE-9F04-8EE7A86D3730}"/>
    <cellStyle name="Output 3 3 3 3" xfId="26757" xr:uid="{00000000-0005-0000-0000-000089650000}"/>
    <cellStyle name="Output 3 3 3 3 2" xfId="31518" xr:uid="{B8523047-418B-4933-9F57-776516022B48}"/>
    <cellStyle name="Output 3 3 3 4" xfId="26348" xr:uid="{00000000-0005-0000-0000-00008A650000}"/>
    <cellStyle name="Output 3 3 3 4 2" xfId="31136" xr:uid="{C17F693D-4336-4715-A4F7-2DACC21033FB}"/>
    <cellStyle name="Output 3 3 3 5" xfId="29458" xr:uid="{00000000-0005-0000-0000-00008B650000}"/>
    <cellStyle name="Output 3 3 3 6" xfId="30628" xr:uid="{494D6980-D536-4258-9851-B766800DF1B1}"/>
    <cellStyle name="Output 3 3 4" xfId="27096" xr:uid="{00000000-0005-0000-0000-00008C650000}"/>
    <cellStyle name="Output 3 3 4 2" xfId="31820" xr:uid="{F76C237F-A817-4B8B-A3B0-75B0B7F4B017}"/>
    <cellStyle name="Output 3 3 5" xfId="26522" xr:uid="{00000000-0005-0000-0000-00008D650000}"/>
    <cellStyle name="Output 3 3 5 2" xfId="31309" xr:uid="{E1574523-B1BB-4A6E-ABF4-53A6648D1EC4}"/>
    <cellStyle name="Output 3 3 6" xfId="26466" xr:uid="{00000000-0005-0000-0000-00008E650000}"/>
    <cellStyle name="Output 3 3 6 2" xfId="31254" xr:uid="{0BAB0FF3-3135-45D5-AE31-9FC3F56F3962}"/>
    <cellStyle name="Output 3 3 7" xfId="29456" xr:uid="{00000000-0005-0000-0000-00008F650000}"/>
    <cellStyle name="Output 3 3 8" xfId="30273" xr:uid="{1AF8186D-D079-48E5-A1A4-352BEF5DD113}"/>
    <cellStyle name="Output 3 4" xfId="24695" xr:uid="{00000000-0005-0000-0000-000090650000}"/>
    <cellStyle name="Output 3 4 2" xfId="25432" xr:uid="{00000000-0005-0000-0000-000091650000}"/>
    <cellStyle name="Output 3 4 2 2" xfId="27586" xr:uid="{00000000-0005-0000-0000-000092650000}"/>
    <cellStyle name="Output 3 4 2 2 2" xfId="32177" xr:uid="{81C6FE3D-C914-40E6-B007-0BA59B66C6BD}"/>
    <cellStyle name="Output 3 4 2 3" xfId="26832" xr:uid="{00000000-0005-0000-0000-000093650000}"/>
    <cellStyle name="Output 3 4 2 3 2" xfId="31593" xr:uid="{3A751743-FAE8-433E-B913-B3701EA15B4E}"/>
    <cellStyle name="Output 3 4 2 4" xfId="27301" xr:uid="{00000000-0005-0000-0000-000094650000}"/>
    <cellStyle name="Output 3 4 2 4 2" xfId="31930" xr:uid="{F3EAE003-843F-4ACF-9404-DF4A2D5BA588}"/>
    <cellStyle name="Output 3 4 2 5" xfId="29460" xr:uid="{00000000-0005-0000-0000-000095650000}"/>
    <cellStyle name="Output 3 4 2 6" xfId="30590" xr:uid="{E8F0EF19-6CF6-4900-929F-83575BBEB9DB}"/>
    <cellStyle name="Output 3 4 3" xfId="25654" xr:uid="{00000000-0005-0000-0000-000096650000}"/>
    <cellStyle name="Output 3 4 3 2" xfId="27807" xr:uid="{00000000-0005-0000-0000-000097650000}"/>
    <cellStyle name="Output 3 4 3 2 2" xfId="32394" xr:uid="{B3E4D8F2-166F-4620-AD96-A36C253866D1}"/>
    <cellStyle name="Output 3 4 3 3" xfId="26304" xr:uid="{00000000-0005-0000-0000-000098650000}"/>
    <cellStyle name="Output 3 4 3 3 2" xfId="31092" xr:uid="{FA4903FC-7DC3-462B-BD8C-158A1958EB1D}"/>
    <cellStyle name="Output 3 4 3 4" xfId="26986" xr:uid="{00000000-0005-0000-0000-000099650000}"/>
    <cellStyle name="Output 3 4 3 4 2" xfId="31747" xr:uid="{2637A803-BD27-4E34-85B3-A55DCFE95A00}"/>
    <cellStyle name="Output 3 4 3 5" xfId="29461" xr:uid="{00000000-0005-0000-0000-00009A650000}"/>
    <cellStyle name="Output 3 4 3 6" xfId="30648" xr:uid="{9E888293-0095-41C1-91B2-C09C7DE1D941}"/>
    <cellStyle name="Output 3 4 4" xfId="27284" xr:uid="{00000000-0005-0000-0000-00009B650000}"/>
    <cellStyle name="Output 3 4 4 2" xfId="31916" xr:uid="{FE46649B-CB34-4FAF-8B60-ECB0661E523F}"/>
    <cellStyle name="Output 3 4 5" xfId="26232" xr:uid="{00000000-0005-0000-0000-00009C650000}"/>
    <cellStyle name="Output 3 4 5 2" xfId="31020" xr:uid="{068FBBF0-A979-40FB-A401-D0522AB9EADA}"/>
    <cellStyle name="Output 3 4 6" xfId="26211" xr:uid="{00000000-0005-0000-0000-00009D650000}"/>
    <cellStyle name="Output 3 4 6 2" xfId="30999" xr:uid="{BD79A07E-B0FA-4724-A695-1F9D4DB10FCB}"/>
    <cellStyle name="Output 3 4 7" xfId="29459" xr:uid="{00000000-0005-0000-0000-00009E650000}"/>
    <cellStyle name="Output 3 4 8" xfId="30356" xr:uid="{F7781ABB-DB4B-4D71-971F-E8C1830B035F}"/>
    <cellStyle name="Output 3 5" xfId="25084" xr:uid="{00000000-0005-0000-0000-00009F650000}"/>
    <cellStyle name="Output 3 5 2" xfId="25329" xr:uid="{00000000-0005-0000-0000-0000A0650000}"/>
    <cellStyle name="Output 3 5 2 2" xfId="27483" xr:uid="{00000000-0005-0000-0000-0000A1650000}"/>
    <cellStyle name="Output 3 5 2 2 2" xfId="32074" xr:uid="{1529C002-ACB6-4989-A679-774A0D144E00}"/>
    <cellStyle name="Output 3 5 2 3" xfId="26372" xr:uid="{00000000-0005-0000-0000-0000A2650000}"/>
    <cellStyle name="Output 3 5 2 3 2" xfId="31160" xr:uid="{4D95A527-CD61-4B65-8DBE-A5343F355E80}"/>
    <cellStyle name="Output 3 5 2 4" xfId="26492" xr:uid="{00000000-0005-0000-0000-0000A3650000}"/>
    <cellStyle name="Output 3 5 2 4 2" xfId="31280" xr:uid="{6405EFEA-4612-4912-90F6-172B0F641266}"/>
    <cellStyle name="Output 3 5 2 5" xfId="29463" xr:uid="{00000000-0005-0000-0000-0000A4650000}"/>
    <cellStyle name="Output 3 5 2 6" xfId="30487" xr:uid="{2F1D2CF8-4A5A-4B80-BC9C-6A709A98C3D6}"/>
    <cellStyle name="Output 3 5 3" xfId="25684" xr:uid="{00000000-0005-0000-0000-0000A5650000}"/>
    <cellStyle name="Output 3 5 3 2" xfId="27837" xr:uid="{00000000-0005-0000-0000-0000A6650000}"/>
    <cellStyle name="Output 3 5 3 2 2" xfId="32424" xr:uid="{B18842C8-1A6B-445F-81B7-745147CAC293}"/>
    <cellStyle name="Output 3 5 3 3" xfId="26960" xr:uid="{00000000-0005-0000-0000-0000A7650000}"/>
    <cellStyle name="Output 3 5 3 3 2" xfId="31721" xr:uid="{078F0A7D-D752-40D2-8235-CEBEEA733443}"/>
    <cellStyle name="Output 3 5 3 4" xfId="26791" xr:uid="{00000000-0005-0000-0000-0000A8650000}"/>
    <cellStyle name="Output 3 5 3 4 2" xfId="31552" xr:uid="{2225498F-B6B3-45D4-8F63-2B64E0C41753}"/>
    <cellStyle name="Output 3 5 3 5" xfId="29464" xr:uid="{00000000-0005-0000-0000-0000A9650000}"/>
    <cellStyle name="Output 3 5 3 6" xfId="30678" xr:uid="{7504C6FB-025E-4EE0-B5A6-D04CA296E85E}"/>
    <cellStyle name="Output 3 5 4" xfId="27371" xr:uid="{00000000-0005-0000-0000-0000AA650000}"/>
    <cellStyle name="Output 3 5 4 2" xfId="31969" xr:uid="{042F8C3A-CA1B-4967-AA75-DDA77369E675}"/>
    <cellStyle name="Output 3 5 5" xfId="26898" xr:uid="{00000000-0005-0000-0000-0000AB650000}"/>
    <cellStyle name="Output 3 5 5 2" xfId="31659" xr:uid="{8B426CCF-9543-409D-A8B7-6454DE4CF4E0}"/>
    <cellStyle name="Output 3 5 6" xfId="26512" xr:uid="{00000000-0005-0000-0000-0000AC650000}"/>
    <cellStyle name="Output 3 5 6 2" xfId="31300" xr:uid="{597020EC-C5D3-4EEC-8C65-914C04CF3456}"/>
    <cellStyle name="Output 3 5 7" xfId="29462" xr:uid="{00000000-0005-0000-0000-0000AD650000}"/>
    <cellStyle name="Output 3 5 8" xfId="30386" xr:uid="{A4AB3468-99B1-4BFD-8456-D4C429C5BF66}"/>
    <cellStyle name="Output 30" xfId="3407" xr:uid="{00000000-0005-0000-0000-0000AE650000}"/>
    <cellStyle name="Output 31" xfId="3408" xr:uid="{00000000-0005-0000-0000-0000AF650000}"/>
    <cellStyle name="Output 32" xfId="3409" xr:uid="{00000000-0005-0000-0000-0000B0650000}"/>
    <cellStyle name="Output 33" xfId="3410" xr:uid="{00000000-0005-0000-0000-0000B1650000}"/>
    <cellStyle name="Output 34" xfId="3411" xr:uid="{00000000-0005-0000-0000-0000B2650000}"/>
    <cellStyle name="Output 35" xfId="3412" xr:uid="{00000000-0005-0000-0000-0000B3650000}"/>
    <cellStyle name="Output 36" xfId="3413" xr:uid="{00000000-0005-0000-0000-0000B4650000}"/>
    <cellStyle name="Output 37" xfId="3414" xr:uid="{00000000-0005-0000-0000-0000B5650000}"/>
    <cellStyle name="Output 38" xfId="3415" xr:uid="{00000000-0005-0000-0000-0000B6650000}"/>
    <cellStyle name="Output 39" xfId="3416" xr:uid="{00000000-0005-0000-0000-0000B7650000}"/>
    <cellStyle name="Output 4" xfId="3417" xr:uid="{00000000-0005-0000-0000-0000B8650000}"/>
    <cellStyle name="Output 4 2" xfId="24206" xr:uid="{00000000-0005-0000-0000-0000B9650000}"/>
    <cellStyle name="Output 4 2 2" xfId="25373" xr:uid="{00000000-0005-0000-0000-0000BA650000}"/>
    <cellStyle name="Output 4 2 2 2" xfId="27527" xr:uid="{00000000-0005-0000-0000-0000BB650000}"/>
    <cellStyle name="Output 4 2 2 2 2" xfId="32118" xr:uid="{3D8A2EC9-FCDE-4402-8C54-7AD770E4D412}"/>
    <cellStyle name="Output 4 2 2 3" xfId="26521" xr:uid="{00000000-0005-0000-0000-0000BC650000}"/>
    <cellStyle name="Output 4 2 2 3 2" xfId="31308" xr:uid="{190E44AD-0DCE-48A8-9E6D-35F49CC8A774}"/>
    <cellStyle name="Output 4 2 2 4" xfId="26505" xr:uid="{00000000-0005-0000-0000-0000BD650000}"/>
    <cellStyle name="Output 4 2 2 4 2" xfId="31293" xr:uid="{20A711CF-F736-4C95-BB93-576C4D81ABBB}"/>
    <cellStyle name="Output 4 2 2 5" xfId="29466" xr:uid="{00000000-0005-0000-0000-0000BE650000}"/>
    <cellStyle name="Output 4 2 2 6" xfId="30531" xr:uid="{E73A6EAC-057F-4752-8B55-F733F1A02183}"/>
    <cellStyle name="Output 4 2 3" xfId="25573" xr:uid="{00000000-0005-0000-0000-0000BF650000}"/>
    <cellStyle name="Output 4 2 3 2" xfId="27726" xr:uid="{00000000-0005-0000-0000-0000C0650000}"/>
    <cellStyle name="Output 4 2 3 2 2" xfId="32313" xr:uid="{8EBCF177-B770-443A-A1D9-8B52CB9E0BFE}"/>
    <cellStyle name="Output 4 2 3 3" xfId="26686" xr:uid="{00000000-0005-0000-0000-0000C1650000}"/>
    <cellStyle name="Output 4 2 3 3 2" xfId="31448" xr:uid="{47501D18-58D2-4C58-A9F1-30B97789C270}"/>
    <cellStyle name="Output 4 2 3 4" xfId="26731" xr:uid="{00000000-0005-0000-0000-0000C2650000}"/>
    <cellStyle name="Output 4 2 3 4 2" xfId="31492" xr:uid="{1A71CF52-4D4E-4EFA-9B90-F80838774782}"/>
    <cellStyle name="Output 4 2 3 5" xfId="29467" xr:uid="{00000000-0005-0000-0000-0000C3650000}"/>
    <cellStyle name="Output 4 2 3 6" xfId="30630" xr:uid="{F68B1B98-EE55-44A1-940C-EE7BE2ACFADB}"/>
    <cellStyle name="Output 4 2 4" xfId="27098" xr:uid="{00000000-0005-0000-0000-0000C4650000}"/>
    <cellStyle name="Output 4 2 4 2" xfId="31822" xr:uid="{E9F8F9BB-95C6-4E2E-BC5A-9BBA70910C39}"/>
    <cellStyle name="Output 4 2 5" xfId="26056" xr:uid="{00000000-0005-0000-0000-0000C5650000}"/>
    <cellStyle name="Output 4 2 5 2" xfId="30846" xr:uid="{B527F1C7-BF9A-4B99-8E25-4851191FC4E5}"/>
    <cellStyle name="Output 4 2 6" xfId="26431" xr:uid="{00000000-0005-0000-0000-0000C6650000}"/>
    <cellStyle name="Output 4 2 6 2" xfId="31219" xr:uid="{BFA2808E-F39D-4B8A-B9CF-07768CD78273}"/>
    <cellStyle name="Output 4 2 7" xfId="29465" xr:uid="{00000000-0005-0000-0000-0000C7650000}"/>
    <cellStyle name="Output 4 2 8" xfId="30275" xr:uid="{826C8349-8605-4D62-BC9E-794BCE666ACD}"/>
    <cellStyle name="Output 4 3" xfId="24693" xr:uid="{00000000-0005-0000-0000-0000C8650000}"/>
    <cellStyle name="Output 4 3 2" xfId="25417" xr:uid="{00000000-0005-0000-0000-0000C9650000}"/>
    <cellStyle name="Output 4 3 2 2" xfId="27571" xr:uid="{00000000-0005-0000-0000-0000CA650000}"/>
    <cellStyle name="Output 4 3 2 2 2" xfId="32162" xr:uid="{B2A34967-EFC7-45AA-A1EB-8FFABFC11428}"/>
    <cellStyle name="Output 4 3 2 3" xfId="26231" xr:uid="{00000000-0005-0000-0000-0000CB650000}"/>
    <cellStyle name="Output 4 3 2 3 2" xfId="31019" xr:uid="{9DF52E42-47C3-4EBA-A101-A21696FCCC92}"/>
    <cellStyle name="Output 4 3 2 4" xfId="26510" xr:uid="{00000000-0005-0000-0000-0000CC650000}"/>
    <cellStyle name="Output 4 3 2 4 2" xfId="31298" xr:uid="{6F0F686D-5CFB-4027-98EC-BB2A0C242998}"/>
    <cellStyle name="Output 4 3 2 5" xfId="29469" xr:uid="{00000000-0005-0000-0000-0000CD650000}"/>
    <cellStyle name="Output 4 3 2 6" xfId="30575" xr:uid="{F464DB54-45E7-4A63-A500-DF28582A7A0D}"/>
    <cellStyle name="Output 4 3 3" xfId="25652" xr:uid="{00000000-0005-0000-0000-0000CE650000}"/>
    <cellStyle name="Output 4 3 3 2" xfId="27805" xr:uid="{00000000-0005-0000-0000-0000CF650000}"/>
    <cellStyle name="Output 4 3 3 2 2" xfId="32392" xr:uid="{DA04AE6B-EB07-4CB9-831E-23492BFACE35}"/>
    <cellStyle name="Output 4 3 3 3" xfId="26831" xr:uid="{00000000-0005-0000-0000-0000D0650000}"/>
    <cellStyle name="Output 4 3 3 3 2" xfId="31592" xr:uid="{AC92D269-B1F3-4D41-9369-92711CAFE336}"/>
    <cellStyle name="Output 4 3 3 4" xfId="26471" xr:uid="{00000000-0005-0000-0000-0000D1650000}"/>
    <cellStyle name="Output 4 3 3 4 2" xfId="31259" xr:uid="{728FE5C9-8CFC-4E74-B088-EFBE12B47675}"/>
    <cellStyle name="Output 4 3 3 5" xfId="29470" xr:uid="{00000000-0005-0000-0000-0000D2650000}"/>
    <cellStyle name="Output 4 3 3 6" xfId="30646" xr:uid="{600880FF-D840-43D7-B555-9A5957E9C98E}"/>
    <cellStyle name="Output 4 3 4" xfId="27282" xr:uid="{00000000-0005-0000-0000-0000D3650000}"/>
    <cellStyle name="Output 4 3 4 2" xfId="31914" xr:uid="{ABF405BA-82A0-40E9-908A-FB769B4EC3BD}"/>
    <cellStyle name="Output 4 3 5" xfId="26756" xr:uid="{00000000-0005-0000-0000-0000D4650000}"/>
    <cellStyle name="Output 4 3 5 2" xfId="31517" xr:uid="{79CEAE65-F505-44C4-886C-42EA9D4EC755}"/>
    <cellStyle name="Output 4 3 6" xfId="26509" xr:uid="{00000000-0005-0000-0000-0000D5650000}"/>
    <cellStyle name="Output 4 3 6 2" xfId="31297" xr:uid="{33B13523-CE3B-4118-AEA9-7D76BDECF7EC}"/>
    <cellStyle name="Output 4 3 7" xfId="29468" xr:uid="{00000000-0005-0000-0000-0000D6650000}"/>
    <cellStyle name="Output 4 3 8" xfId="30354" xr:uid="{81EE0AEB-7B18-4244-9A58-1DC964FE0D11}"/>
    <cellStyle name="Output 4 4" xfId="25086" xr:uid="{00000000-0005-0000-0000-0000D7650000}"/>
    <cellStyle name="Output 4 4 2" xfId="25346" xr:uid="{00000000-0005-0000-0000-0000D8650000}"/>
    <cellStyle name="Output 4 4 2 2" xfId="27500" xr:uid="{00000000-0005-0000-0000-0000D9650000}"/>
    <cellStyle name="Output 4 4 2 2 2" xfId="32091" xr:uid="{F5BB273A-1729-4705-A182-2D9E5545EF1B}"/>
    <cellStyle name="Output 4 4 2 3" xfId="26902" xr:uid="{00000000-0005-0000-0000-0000DA650000}"/>
    <cellStyle name="Output 4 4 2 3 2" xfId="31663" xr:uid="{9A848791-22C8-41AF-9B3F-3FD903B00D81}"/>
    <cellStyle name="Output 4 4 2 4" xfId="26169" xr:uid="{00000000-0005-0000-0000-0000DB650000}"/>
    <cellStyle name="Output 4 4 2 4 2" xfId="30958" xr:uid="{746A65C9-7C43-4EA7-B6D1-34D12B31B222}"/>
    <cellStyle name="Output 4 4 2 5" xfId="29472" xr:uid="{00000000-0005-0000-0000-0000DC650000}"/>
    <cellStyle name="Output 4 4 2 6" xfId="30504" xr:uid="{4AC06288-C896-4AF1-A601-A2750F14C762}"/>
    <cellStyle name="Output 4 4 3" xfId="25686" xr:uid="{00000000-0005-0000-0000-0000DD650000}"/>
    <cellStyle name="Output 4 4 3 2" xfId="27839" xr:uid="{00000000-0005-0000-0000-0000DE650000}"/>
    <cellStyle name="Output 4 4 3 2 2" xfId="32426" xr:uid="{70CDABC8-4430-410A-9A85-AE636EAB0401}"/>
    <cellStyle name="Output 4 4 3 3" xfId="26376" xr:uid="{00000000-0005-0000-0000-0000DF650000}"/>
    <cellStyle name="Output 4 4 3 3 2" xfId="31164" xr:uid="{15A44261-61B2-4C87-B666-C2E2CFB7E95A}"/>
    <cellStyle name="Output 4 4 3 4" xfId="26091" xr:uid="{00000000-0005-0000-0000-0000E0650000}"/>
    <cellStyle name="Output 4 4 3 4 2" xfId="30881" xr:uid="{903CA740-CD32-4BA3-AFE2-0CF87691D600}"/>
    <cellStyle name="Output 4 4 3 5" xfId="29473" xr:uid="{00000000-0005-0000-0000-0000E1650000}"/>
    <cellStyle name="Output 4 4 3 6" xfId="30680" xr:uid="{F174372C-933D-4A1E-963F-0E87EC0FC3D5}"/>
    <cellStyle name="Output 4 4 4" xfId="27373" xr:uid="{00000000-0005-0000-0000-0000E2650000}"/>
    <cellStyle name="Output 4 4 4 2" xfId="31971" xr:uid="{1153D6D7-83BC-4B17-A8E8-16161C9E2EEF}"/>
    <cellStyle name="Output 4 4 5" xfId="26303" xr:uid="{00000000-0005-0000-0000-0000E3650000}"/>
    <cellStyle name="Output 4 4 5 2" xfId="31091" xr:uid="{A3C758BF-4EA4-4052-B7CC-4F37FA88F457}"/>
    <cellStyle name="Output 4 4 6" xfId="26112" xr:uid="{00000000-0005-0000-0000-0000E4650000}"/>
    <cellStyle name="Output 4 4 6 2" xfId="30902" xr:uid="{0457C529-81C3-417C-9200-8E23C6B6927F}"/>
    <cellStyle name="Output 4 4 7" xfId="29471" xr:uid="{00000000-0005-0000-0000-0000E5650000}"/>
    <cellStyle name="Output 4 4 8" xfId="30388" xr:uid="{C8A28406-8FF6-43BE-BADF-6DF050F23B9C}"/>
    <cellStyle name="Output 40" xfId="3418" xr:uid="{00000000-0005-0000-0000-0000E6650000}"/>
    <cellStyle name="Output 41" xfId="3419" xr:uid="{00000000-0005-0000-0000-0000E7650000}"/>
    <cellStyle name="Output 42" xfId="3420" xr:uid="{00000000-0005-0000-0000-0000E8650000}"/>
    <cellStyle name="Output 43" xfId="3421" xr:uid="{00000000-0005-0000-0000-0000E9650000}"/>
    <cellStyle name="Output 44" xfId="3422" xr:uid="{00000000-0005-0000-0000-0000EA650000}"/>
    <cellStyle name="Output 45" xfId="3423" xr:uid="{00000000-0005-0000-0000-0000EB650000}"/>
    <cellStyle name="Output 46" xfId="3424" xr:uid="{00000000-0005-0000-0000-0000EC650000}"/>
    <cellStyle name="Output 47" xfId="3425" xr:uid="{00000000-0005-0000-0000-0000ED650000}"/>
    <cellStyle name="Output 48" xfId="3426" xr:uid="{00000000-0005-0000-0000-0000EE650000}"/>
    <cellStyle name="Output 49" xfId="3427" xr:uid="{00000000-0005-0000-0000-0000EF650000}"/>
    <cellStyle name="Output 5" xfId="3428" xr:uid="{00000000-0005-0000-0000-0000F0650000}"/>
    <cellStyle name="Output 5 2" xfId="24207" xr:uid="{00000000-0005-0000-0000-0000F1650000}"/>
    <cellStyle name="Output 5 2 2" xfId="25386" xr:uid="{00000000-0005-0000-0000-0000F2650000}"/>
    <cellStyle name="Output 5 2 2 2" xfId="27540" xr:uid="{00000000-0005-0000-0000-0000F3650000}"/>
    <cellStyle name="Output 5 2 2 2 2" xfId="32131" xr:uid="{C21299F5-DA9E-4C54-A67A-95D720D819F6}"/>
    <cellStyle name="Output 5 2 2 3" xfId="26055" xr:uid="{00000000-0005-0000-0000-0000F4650000}"/>
    <cellStyle name="Output 5 2 2 3 2" xfId="30845" xr:uid="{EF415332-278B-44C4-8208-615650DE093B}"/>
    <cellStyle name="Output 5 2 2 4" xfId="26105" xr:uid="{00000000-0005-0000-0000-0000F5650000}"/>
    <cellStyle name="Output 5 2 2 4 2" xfId="30895" xr:uid="{580B5F9A-5A13-470D-939F-747EB3F1C18B}"/>
    <cellStyle name="Output 5 2 2 5" xfId="29475" xr:uid="{00000000-0005-0000-0000-0000F6650000}"/>
    <cellStyle name="Output 5 2 2 6" xfId="30544" xr:uid="{749853D3-EE64-4713-BBB3-C3BC14602863}"/>
    <cellStyle name="Output 5 2 3" xfId="25574" xr:uid="{00000000-0005-0000-0000-0000F7650000}"/>
    <cellStyle name="Output 5 2 3 2" xfId="27727" xr:uid="{00000000-0005-0000-0000-0000F8650000}"/>
    <cellStyle name="Output 5 2 3 2 2" xfId="32314" xr:uid="{8CB0A743-5058-4DB6-AE0C-F2EDFD7CB0FF}"/>
    <cellStyle name="Output 5 2 3 3" xfId="26520" xr:uid="{00000000-0005-0000-0000-0000F9650000}"/>
    <cellStyle name="Output 5 2 3 3 2" xfId="31307" xr:uid="{6238FD2B-41A9-498E-8B49-B58DACAE9A7B}"/>
    <cellStyle name="Output 5 2 3 4" xfId="26128" xr:uid="{00000000-0005-0000-0000-0000FA650000}"/>
    <cellStyle name="Output 5 2 3 4 2" xfId="30918" xr:uid="{082167CB-57D2-41CF-B6AD-5229A155B581}"/>
    <cellStyle name="Output 5 2 3 5" xfId="29476" xr:uid="{00000000-0005-0000-0000-0000FB650000}"/>
    <cellStyle name="Output 5 2 3 6" xfId="30631" xr:uid="{F11CE463-7741-4D1E-A37A-685A9F7A9BE3}"/>
    <cellStyle name="Output 5 2 4" xfId="27099" xr:uid="{00000000-0005-0000-0000-0000FC650000}"/>
    <cellStyle name="Output 5 2 4 2" xfId="31823" xr:uid="{EDB0AA9C-4AD0-4035-B6AF-236916A0C727}"/>
    <cellStyle name="Output 5 2 5" xfId="26198" xr:uid="{00000000-0005-0000-0000-0000FD650000}"/>
    <cellStyle name="Output 5 2 5 2" xfId="30986" xr:uid="{20A33222-5F4A-4AAE-A1FF-9D6D722B3E65}"/>
    <cellStyle name="Output 5 2 6" xfId="26973" xr:uid="{00000000-0005-0000-0000-0000FE650000}"/>
    <cellStyle name="Output 5 2 6 2" xfId="31734" xr:uid="{80602983-75E9-4400-BA0E-6FFC1343DDD6}"/>
    <cellStyle name="Output 5 2 7" xfId="29474" xr:uid="{00000000-0005-0000-0000-0000FF650000}"/>
    <cellStyle name="Output 5 2 8" xfId="30276" xr:uid="{224B722A-2DC7-470C-858C-9DB2446F1C42}"/>
    <cellStyle name="Output 5 3" xfId="24692" xr:uid="{00000000-0005-0000-0000-000000660000}"/>
    <cellStyle name="Output 5 3 2" xfId="25316" xr:uid="{00000000-0005-0000-0000-000001660000}"/>
    <cellStyle name="Output 5 3 2 2" xfId="27470" xr:uid="{00000000-0005-0000-0000-000002660000}"/>
    <cellStyle name="Output 5 3 2 2 2" xfId="32061" xr:uid="{9FEC8E8F-C04C-4A97-9F74-4830A94CADD1}"/>
    <cellStyle name="Output 5 3 2 3" xfId="26755" xr:uid="{00000000-0005-0000-0000-000003660000}"/>
    <cellStyle name="Output 5 3 2 3 2" xfId="31516" xr:uid="{7A8C561D-2ECC-4EBD-9352-87B17EBE84E0}"/>
    <cellStyle name="Output 5 3 2 4" xfId="26139" xr:uid="{00000000-0005-0000-0000-000004660000}"/>
    <cellStyle name="Output 5 3 2 4 2" xfId="30929" xr:uid="{1973B49D-2C10-4A5D-9BE3-AA81E77CC702}"/>
    <cellStyle name="Output 5 3 2 5" xfId="29478" xr:uid="{00000000-0005-0000-0000-000005660000}"/>
    <cellStyle name="Output 5 3 2 6" xfId="30474" xr:uid="{AFB0E1F2-7B89-4ADC-8B2D-70EC9CDD84A6}"/>
    <cellStyle name="Output 5 3 3" xfId="25651" xr:uid="{00000000-0005-0000-0000-000006660000}"/>
    <cellStyle name="Output 5 3 3 2" xfId="27804" xr:uid="{00000000-0005-0000-0000-000007660000}"/>
    <cellStyle name="Output 5 3 3 2 2" xfId="32391" xr:uid="{DE24E81E-B3D8-4C0C-B94D-5522B9A2F146}"/>
    <cellStyle name="Output 5 3 3 3" xfId="26230" xr:uid="{00000000-0005-0000-0000-000008660000}"/>
    <cellStyle name="Output 5 3 3 3 2" xfId="31018" xr:uid="{5B6473A3-9447-4325-9B53-D5B3C41FCB50}"/>
    <cellStyle name="Output 5 3 3 4" xfId="26835" xr:uid="{00000000-0005-0000-0000-000009660000}"/>
    <cellStyle name="Output 5 3 3 4 2" xfId="31596" xr:uid="{5D65A81A-0872-4220-A8B5-EBA6C9760E14}"/>
    <cellStyle name="Output 5 3 3 5" xfId="29479" xr:uid="{00000000-0005-0000-0000-00000A660000}"/>
    <cellStyle name="Output 5 3 3 6" xfId="30645" xr:uid="{443AA39F-8282-4A09-AE1C-C3B3A9EA33D3}"/>
    <cellStyle name="Output 5 3 4" xfId="27281" xr:uid="{00000000-0005-0000-0000-00000B660000}"/>
    <cellStyle name="Output 5 3 4 2" xfId="31913" xr:uid="{9C12D475-3910-47DA-965D-AF3C3412661E}"/>
    <cellStyle name="Output 5 3 5" xfId="26685" xr:uid="{00000000-0005-0000-0000-00000C660000}"/>
    <cellStyle name="Output 5 3 5 2" xfId="31447" xr:uid="{5A915660-2CB4-47B8-9DD8-7AC570690A8C}"/>
    <cellStyle name="Output 5 3 6" xfId="26851" xr:uid="{00000000-0005-0000-0000-00000D660000}"/>
    <cellStyle name="Output 5 3 6 2" xfId="31612" xr:uid="{59123FFA-454E-4721-8C9E-8E3857274875}"/>
    <cellStyle name="Output 5 3 7" xfId="29477" xr:uid="{00000000-0005-0000-0000-00000E660000}"/>
    <cellStyle name="Output 5 3 8" xfId="30353" xr:uid="{390D1A66-D87E-4166-80E8-4142049C3384}"/>
    <cellStyle name="Output 5 4" xfId="25087" xr:uid="{00000000-0005-0000-0000-00000F660000}"/>
    <cellStyle name="Output 5 4 2" xfId="25447" xr:uid="{00000000-0005-0000-0000-000010660000}"/>
    <cellStyle name="Output 5 4 2 2" xfId="27601" xr:uid="{00000000-0005-0000-0000-000011660000}"/>
    <cellStyle name="Output 5 4 2 2 2" xfId="32192" xr:uid="{C7725F63-0F79-41B1-B97A-FA5CF32977A8}"/>
    <cellStyle name="Output 5 4 2 3" xfId="26302" xr:uid="{00000000-0005-0000-0000-000012660000}"/>
    <cellStyle name="Output 5 4 2 3 2" xfId="31090" xr:uid="{A1BBA7A3-50E7-4A92-B47E-7EC97B0155B0}"/>
    <cellStyle name="Output 5 4 2 4" xfId="26297" xr:uid="{00000000-0005-0000-0000-000013660000}"/>
    <cellStyle name="Output 5 4 2 4 2" xfId="31085" xr:uid="{4DFD09A5-6866-435C-A6C6-C60046A7560A}"/>
    <cellStyle name="Output 5 4 2 5" xfId="29481" xr:uid="{00000000-0005-0000-0000-000014660000}"/>
    <cellStyle name="Output 5 4 2 6" xfId="30605" xr:uid="{20004057-9A16-4489-AFA4-ACA6683613B9}"/>
    <cellStyle name="Output 5 4 3" xfId="25687" xr:uid="{00000000-0005-0000-0000-000015660000}"/>
    <cellStyle name="Output 5 4 3 2" xfId="27840" xr:uid="{00000000-0005-0000-0000-000016660000}"/>
    <cellStyle name="Output 5 4 3 2 2" xfId="32427" xr:uid="{4E8EA835-B3CC-436A-88C7-1C4CAB3A6CDD}"/>
    <cellStyle name="Output 5 4 3 3" xfId="26897" xr:uid="{00000000-0005-0000-0000-000017660000}"/>
    <cellStyle name="Output 5 4 3 3 2" xfId="31658" xr:uid="{2D633D92-955E-4E6F-826B-6D4CEC307816}"/>
    <cellStyle name="Output 5 4 3 4" xfId="26977" xr:uid="{00000000-0005-0000-0000-000018660000}"/>
    <cellStyle name="Output 5 4 3 4 2" xfId="31738" xr:uid="{EABB6049-9B33-4F26-A608-6EB0F6D80D45}"/>
    <cellStyle name="Output 5 4 3 5" xfId="29482" xr:uid="{00000000-0005-0000-0000-000019660000}"/>
    <cellStyle name="Output 5 4 3 6" xfId="30681" xr:uid="{0547B335-1A1D-464D-889E-50868DCBC76D}"/>
    <cellStyle name="Output 5 4 4" xfId="27374" xr:uid="{00000000-0005-0000-0000-00001A660000}"/>
    <cellStyle name="Output 5 4 4 2" xfId="31972" xr:uid="{09B5B18C-0A33-43C6-8F49-0E7E646FAA82}"/>
    <cellStyle name="Output 5 4 5" xfId="26830" xr:uid="{00000000-0005-0000-0000-00001B660000}"/>
    <cellStyle name="Output 5 4 5 2" xfId="31591" xr:uid="{598E9AAB-5CB6-4EFB-8C20-AC1B749AB475}"/>
    <cellStyle name="Output 5 4 6" xfId="26697" xr:uid="{00000000-0005-0000-0000-00001C660000}"/>
    <cellStyle name="Output 5 4 6 2" xfId="31459" xr:uid="{F0D3363E-AC87-470A-8443-A862BFF19447}"/>
    <cellStyle name="Output 5 4 7" xfId="29480" xr:uid="{00000000-0005-0000-0000-00001D660000}"/>
    <cellStyle name="Output 5 4 8" xfId="30389" xr:uid="{3072FB48-8F1B-43E3-90B5-D7C94F566F7A}"/>
    <cellStyle name="Output 50" xfId="3429" xr:uid="{00000000-0005-0000-0000-00001E660000}"/>
    <cellStyle name="Output 51" xfId="3430" xr:uid="{00000000-0005-0000-0000-00001F660000}"/>
    <cellStyle name="Output 52" xfId="3431" xr:uid="{00000000-0005-0000-0000-000020660000}"/>
    <cellStyle name="Output 53" xfId="3432" xr:uid="{00000000-0005-0000-0000-000021660000}"/>
    <cellStyle name="Output 54" xfId="3433" xr:uid="{00000000-0005-0000-0000-000022660000}"/>
    <cellStyle name="Output 55" xfId="3434" xr:uid="{00000000-0005-0000-0000-000023660000}"/>
    <cellStyle name="Output 56" xfId="3435" xr:uid="{00000000-0005-0000-0000-000024660000}"/>
    <cellStyle name="Output 57" xfId="3436" xr:uid="{00000000-0005-0000-0000-000025660000}"/>
    <cellStyle name="Output 58" xfId="3437" xr:uid="{00000000-0005-0000-0000-000026660000}"/>
    <cellStyle name="Output 59" xfId="3438" xr:uid="{00000000-0005-0000-0000-000027660000}"/>
    <cellStyle name="Output 6" xfId="3439" xr:uid="{00000000-0005-0000-0000-000028660000}"/>
    <cellStyle name="Output 60" xfId="3440" xr:uid="{00000000-0005-0000-0000-000029660000}"/>
    <cellStyle name="Output 61" xfId="3441" xr:uid="{00000000-0005-0000-0000-00002A660000}"/>
    <cellStyle name="Output 62" xfId="3442" xr:uid="{00000000-0005-0000-0000-00002B660000}"/>
    <cellStyle name="Output 63" xfId="3443" xr:uid="{00000000-0005-0000-0000-00002C660000}"/>
    <cellStyle name="Output 64" xfId="3444" xr:uid="{00000000-0005-0000-0000-00002D660000}"/>
    <cellStyle name="Output 65" xfId="3445" xr:uid="{00000000-0005-0000-0000-00002E660000}"/>
    <cellStyle name="Output 66" xfId="3446" xr:uid="{00000000-0005-0000-0000-00002F660000}"/>
    <cellStyle name="Output 67" xfId="3447" xr:uid="{00000000-0005-0000-0000-000030660000}"/>
    <cellStyle name="Output 68" xfId="3448" xr:uid="{00000000-0005-0000-0000-000031660000}"/>
    <cellStyle name="Output 69" xfId="3449" xr:uid="{00000000-0005-0000-0000-000032660000}"/>
    <cellStyle name="Output 7" xfId="3450" xr:uid="{00000000-0005-0000-0000-000033660000}"/>
    <cellStyle name="Output 70" xfId="3451" xr:uid="{00000000-0005-0000-0000-000034660000}"/>
    <cellStyle name="Output 71" xfId="3452" xr:uid="{00000000-0005-0000-0000-000035660000}"/>
    <cellStyle name="Output 72" xfId="3453" xr:uid="{00000000-0005-0000-0000-000036660000}"/>
    <cellStyle name="Output 8" xfId="3454" xr:uid="{00000000-0005-0000-0000-000037660000}"/>
    <cellStyle name="Output 9" xfId="3455" xr:uid="{00000000-0005-0000-0000-000038660000}"/>
    <cellStyle name="Output Amounts" xfId="580" xr:uid="{00000000-0005-0000-0000-000039660000}"/>
    <cellStyle name="Output Amounts 2" xfId="3456" xr:uid="{00000000-0005-0000-0000-00003A660000}"/>
    <cellStyle name="Output Amounts 2 2" xfId="24208" xr:uid="{00000000-0005-0000-0000-00003B660000}"/>
    <cellStyle name="Output Amounts 3" xfId="13903" xr:uid="{00000000-0005-0000-0000-00003C660000}"/>
    <cellStyle name="Output Column Headings" xfId="3457" xr:uid="{00000000-0005-0000-0000-00003D660000}"/>
    <cellStyle name="Output Line Items" xfId="581" xr:uid="{00000000-0005-0000-0000-00003E660000}"/>
    <cellStyle name="Output Line Items 2" xfId="3458" xr:uid="{00000000-0005-0000-0000-00003F660000}"/>
    <cellStyle name="Output Line Items 3" xfId="13904" xr:uid="{00000000-0005-0000-0000-000040660000}"/>
    <cellStyle name="Output Report Heading" xfId="3459" xr:uid="{00000000-0005-0000-0000-000041660000}"/>
    <cellStyle name="Output Report Title" xfId="3460" xr:uid="{00000000-0005-0000-0000-000042660000}"/>
    <cellStyle name="Page Heading Large" xfId="582" xr:uid="{00000000-0005-0000-0000-000043660000}"/>
    <cellStyle name="Page Heading Small" xfId="583" xr:uid="{00000000-0005-0000-0000-000044660000}"/>
    <cellStyle name="Password" xfId="63" xr:uid="{00000000-0005-0000-0000-000045660000}"/>
    <cellStyle name="Password 2" xfId="24525" xr:uid="{00000000-0005-0000-0000-000046660000}"/>
    <cellStyle name="Password 2 2" xfId="27923" xr:uid="{00000000-0005-0000-0000-000047660000}"/>
    <cellStyle name="Password 2 2 2" xfId="32481" xr:uid="{4B9F2FAA-841D-4817-9798-5F63593C9445}"/>
    <cellStyle name="pct_sub" xfId="584" xr:uid="{00000000-0005-0000-0000-000048660000}"/>
    <cellStyle name="Percen - Style1" xfId="64" xr:uid="{00000000-0005-0000-0000-000049660000}"/>
    <cellStyle name="Percen - Style2" xfId="65" xr:uid="{00000000-0005-0000-0000-00004A660000}"/>
    <cellStyle name="Percent" xfId="25793" builtinId="5"/>
    <cellStyle name="Percent (0)" xfId="585" xr:uid="{00000000-0005-0000-0000-00004C660000}"/>
    <cellStyle name="Percent (0) 2" xfId="26048" xr:uid="{00000000-0005-0000-0000-00004D660000}"/>
    <cellStyle name="Percent [1]" xfId="586" xr:uid="{00000000-0005-0000-0000-00004E660000}"/>
    <cellStyle name="Percent [2]" xfId="66" xr:uid="{00000000-0005-0000-0000-00004F660000}"/>
    <cellStyle name="Percent [2] 2" xfId="25814" xr:uid="{00000000-0005-0000-0000-000050660000}"/>
    <cellStyle name="Percent 10" xfId="205" xr:uid="{00000000-0005-0000-0000-000051660000}"/>
    <cellStyle name="Percent 10 2" xfId="25895" xr:uid="{00000000-0005-0000-0000-000052660000}"/>
    <cellStyle name="Percent 11" xfId="206" xr:uid="{00000000-0005-0000-0000-000053660000}"/>
    <cellStyle name="Percent 11 2" xfId="25896" xr:uid="{00000000-0005-0000-0000-000054660000}"/>
    <cellStyle name="Percent 12" xfId="207" xr:uid="{00000000-0005-0000-0000-000055660000}"/>
    <cellStyle name="Percent 12 2" xfId="25897" xr:uid="{00000000-0005-0000-0000-000056660000}"/>
    <cellStyle name="Percent 13" xfId="208" xr:uid="{00000000-0005-0000-0000-000057660000}"/>
    <cellStyle name="Percent 13 2" xfId="25898" xr:uid="{00000000-0005-0000-0000-000058660000}"/>
    <cellStyle name="Percent 14" xfId="209" xr:uid="{00000000-0005-0000-0000-000059660000}"/>
    <cellStyle name="Percent 14 2" xfId="25899" xr:uid="{00000000-0005-0000-0000-00005A660000}"/>
    <cellStyle name="Percent 15" xfId="210" xr:uid="{00000000-0005-0000-0000-00005B660000}"/>
    <cellStyle name="Percent 15 2" xfId="25900" xr:uid="{00000000-0005-0000-0000-00005C660000}"/>
    <cellStyle name="Percent 16" xfId="211" xr:uid="{00000000-0005-0000-0000-00005D660000}"/>
    <cellStyle name="Percent 16 2" xfId="25901" xr:uid="{00000000-0005-0000-0000-00005E660000}"/>
    <cellStyle name="Percent 17" xfId="212" xr:uid="{00000000-0005-0000-0000-00005F660000}"/>
    <cellStyle name="Percent 17 2" xfId="25902" xr:uid="{00000000-0005-0000-0000-000060660000}"/>
    <cellStyle name="Percent 18" xfId="286" xr:uid="{00000000-0005-0000-0000-000061660000}"/>
    <cellStyle name="Percent 18 2" xfId="25943" xr:uid="{00000000-0005-0000-0000-000062660000}"/>
    <cellStyle name="Percent 19" xfId="287" xr:uid="{00000000-0005-0000-0000-000063660000}"/>
    <cellStyle name="Percent 19 2" xfId="25944" xr:uid="{00000000-0005-0000-0000-000064660000}"/>
    <cellStyle name="Percent 2" xfId="67" xr:uid="{00000000-0005-0000-0000-000065660000}"/>
    <cellStyle name="Percent 2 10" xfId="12601" xr:uid="{00000000-0005-0000-0000-000066660000}"/>
    <cellStyle name="Percent 2 11" xfId="24210" xr:uid="{00000000-0005-0000-0000-000067660000}"/>
    <cellStyle name="Percent 2 12" xfId="25748" xr:uid="{00000000-0005-0000-0000-000068660000}"/>
    <cellStyle name="Percent 2 2" xfId="213" xr:uid="{00000000-0005-0000-0000-000069660000}"/>
    <cellStyle name="Percent 2 2 2" xfId="467" xr:uid="{00000000-0005-0000-0000-00006A660000}"/>
    <cellStyle name="Percent 2 2 2 2" xfId="13831" xr:uid="{00000000-0005-0000-0000-00006B660000}"/>
    <cellStyle name="Percent 2 2 3" xfId="663" xr:uid="{00000000-0005-0000-0000-00006C660000}"/>
    <cellStyle name="Percent 2 2 4" xfId="23897" xr:uid="{00000000-0005-0000-0000-00006D660000}"/>
    <cellStyle name="Percent 2 2 5" xfId="25903" xr:uid="{00000000-0005-0000-0000-00006E660000}"/>
    <cellStyle name="Percent 2 3" xfId="358" xr:uid="{00000000-0005-0000-0000-00006F660000}"/>
    <cellStyle name="Percent 2 3 2" xfId="441" xr:uid="{00000000-0005-0000-0000-000070660000}"/>
    <cellStyle name="Percent 2 3 2 2" xfId="527" xr:uid="{00000000-0005-0000-0000-000071660000}"/>
    <cellStyle name="Percent 2 3 2 2 2" xfId="13890" xr:uid="{00000000-0005-0000-0000-000072660000}"/>
    <cellStyle name="Percent 2 3 2 3" xfId="13813" xr:uid="{00000000-0005-0000-0000-000073660000}"/>
    <cellStyle name="Percent 2 3 3" xfId="490" xr:uid="{00000000-0005-0000-0000-000074660000}"/>
    <cellStyle name="Percent 2 3 3 2" xfId="13853" xr:uid="{00000000-0005-0000-0000-000075660000}"/>
    <cellStyle name="Percent 2 3 4" xfId="13768" xr:uid="{00000000-0005-0000-0000-000076660000}"/>
    <cellStyle name="Percent 2 3 5" xfId="24211" xr:uid="{00000000-0005-0000-0000-000077660000}"/>
    <cellStyle name="Percent 2 3 5 2" xfId="27101" xr:uid="{00000000-0005-0000-0000-000078660000}"/>
    <cellStyle name="Percent 2 4" xfId="410" xr:uid="{00000000-0005-0000-0000-000079660000}"/>
    <cellStyle name="Percent 2 4 2" xfId="510" xr:uid="{00000000-0005-0000-0000-00007A660000}"/>
    <cellStyle name="Percent 2 4 2 2" xfId="13873" xr:uid="{00000000-0005-0000-0000-00007B660000}"/>
    <cellStyle name="Percent 2 4 3" xfId="13792" xr:uid="{00000000-0005-0000-0000-00007C660000}"/>
    <cellStyle name="Percent 2 4 4" xfId="24212" xr:uid="{00000000-0005-0000-0000-00007D660000}"/>
    <cellStyle name="Percent 2 4 4 2" xfId="27102" xr:uid="{00000000-0005-0000-0000-00007E660000}"/>
    <cellStyle name="Percent 2 5" xfId="466" xr:uid="{00000000-0005-0000-0000-00007F660000}"/>
    <cellStyle name="Percent 2 5 2" xfId="13830" xr:uid="{00000000-0005-0000-0000-000080660000}"/>
    <cellStyle name="Percent 2 5 3" xfId="24213" xr:uid="{00000000-0005-0000-0000-000081660000}"/>
    <cellStyle name="Percent 2 5 3 2" xfId="27103" xr:uid="{00000000-0005-0000-0000-000082660000}"/>
    <cellStyle name="Percent 2 6" xfId="475" xr:uid="{00000000-0005-0000-0000-000083660000}"/>
    <cellStyle name="Percent 2 6 2" xfId="13838" xr:uid="{00000000-0005-0000-0000-000084660000}"/>
    <cellStyle name="Percent 2 6 3" xfId="24214" xr:uid="{00000000-0005-0000-0000-000085660000}"/>
    <cellStyle name="Percent 2 6 3 2" xfId="27104" xr:uid="{00000000-0005-0000-0000-000086660000}"/>
    <cellStyle name="Percent 2 7" xfId="662" xr:uid="{00000000-0005-0000-0000-000087660000}"/>
    <cellStyle name="Percent 2 7 2" xfId="13914" xr:uid="{00000000-0005-0000-0000-000088660000}"/>
    <cellStyle name="Percent 2 7 3" xfId="24215" xr:uid="{00000000-0005-0000-0000-000089660000}"/>
    <cellStyle name="Percent 2 7 3 2" xfId="27105" xr:uid="{00000000-0005-0000-0000-00008A660000}"/>
    <cellStyle name="Percent 2 8" xfId="3461" xr:uid="{00000000-0005-0000-0000-00008B660000}"/>
    <cellStyle name="Percent 2 8 2" xfId="24216" xr:uid="{00000000-0005-0000-0000-00008C660000}"/>
    <cellStyle name="Percent 2 8 2 2" xfId="27106" xr:uid="{00000000-0005-0000-0000-00008D660000}"/>
    <cellStyle name="Percent 2 9" xfId="13619" xr:uid="{00000000-0005-0000-0000-00008E660000}"/>
    <cellStyle name="Percent 20" xfId="296" xr:uid="{00000000-0005-0000-0000-00008F660000}"/>
    <cellStyle name="Percent 20 2" xfId="25949" xr:uid="{00000000-0005-0000-0000-000090660000}"/>
    <cellStyle name="Percent 21" xfId="297" xr:uid="{00000000-0005-0000-0000-000091660000}"/>
    <cellStyle name="Percent 21 2" xfId="25950" xr:uid="{00000000-0005-0000-0000-000092660000}"/>
    <cellStyle name="Percent 22" xfId="298" xr:uid="{00000000-0005-0000-0000-000093660000}"/>
    <cellStyle name="Percent 22 2" xfId="25951" xr:uid="{00000000-0005-0000-0000-000094660000}"/>
    <cellStyle name="Percent 23" xfId="299" xr:uid="{00000000-0005-0000-0000-000095660000}"/>
    <cellStyle name="Percent 23 2" xfId="25952" xr:uid="{00000000-0005-0000-0000-000096660000}"/>
    <cellStyle name="Percent 24" xfId="304" xr:uid="{00000000-0005-0000-0000-000097660000}"/>
    <cellStyle name="Percent 24 2" xfId="25955" xr:uid="{00000000-0005-0000-0000-000098660000}"/>
    <cellStyle name="Percent 25" xfId="305" xr:uid="{00000000-0005-0000-0000-000099660000}"/>
    <cellStyle name="Percent 25 2" xfId="25956" xr:uid="{00000000-0005-0000-0000-00009A660000}"/>
    <cellStyle name="Percent 26" xfId="325" xr:uid="{00000000-0005-0000-0000-00009B660000}"/>
    <cellStyle name="Percent 26 2" xfId="25967" xr:uid="{00000000-0005-0000-0000-00009C660000}"/>
    <cellStyle name="Percent 27" xfId="326" xr:uid="{00000000-0005-0000-0000-00009D660000}"/>
    <cellStyle name="Percent 27 2" xfId="25968" xr:uid="{00000000-0005-0000-0000-00009E660000}"/>
    <cellStyle name="Percent 28" xfId="327" xr:uid="{00000000-0005-0000-0000-00009F660000}"/>
    <cellStyle name="Percent 28 2" xfId="25969" xr:uid="{00000000-0005-0000-0000-0000A0660000}"/>
    <cellStyle name="Percent 29" xfId="328" xr:uid="{00000000-0005-0000-0000-0000A1660000}"/>
    <cellStyle name="Percent 29 2" xfId="25970" xr:uid="{00000000-0005-0000-0000-0000A2660000}"/>
    <cellStyle name="Percent 3" xfId="68" xr:uid="{00000000-0005-0000-0000-0000A3660000}"/>
    <cellStyle name="Percent 3 10" xfId="25088" xr:uid="{00000000-0005-0000-0000-0000A4660000}"/>
    <cellStyle name="Percent 3 11" xfId="25815" xr:uid="{00000000-0005-0000-0000-0000A5660000}"/>
    <cellStyle name="Percent 3 2" xfId="171" xr:uid="{00000000-0005-0000-0000-0000A6660000}"/>
    <cellStyle name="Percent 3 2 2" xfId="362" xr:uid="{00000000-0005-0000-0000-0000A7660000}"/>
    <cellStyle name="Percent 3 2 2 2" xfId="444" xr:uid="{00000000-0005-0000-0000-0000A8660000}"/>
    <cellStyle name="Percent 3 2 2 2 2" xfId="530" xr:uid="{00000000-0005-0000-0000-0000A9660000}"/>
    <cellStyle name="Percent 3 2 2 2 2 2" xfId="13893" xr:uid="{00000000-0005-0000-0000-0000AA660000}"/>
    <cellStyle name="Percent 3 2 2 2 3" xfId="13816" xr:uid="{00000000-0005-0000-0000-0000AB660000}"/>
    <cellStyle name="Percent 3 2 2 3" xfId="493" xr:uid="{00000000-0005-0000-0000-0000AC660000}"/>
    <cellStyle name="Percent 3 2 2 3 2" xfId="13856" xr:uid="{00000000-0005-0000-0000-0000AD660000}"/>
    <cellStyle name="Percent 3 2 2 4" xfId="13772" xr:uid="{00000000-0005-0000-0000-0000AE660000}"/>
    <cellStyle name="Percent 3 2 2 5" xfId="24468" xr:uid="{00000000-0005-0000-0000-0000AF660000}"/>
    <cellStyle name="Percent 3 2 2 6" xfId="24910" xr:uid="{00000000-0005-0000-0000-0000B0660000}"/>
    <cellStyle name="Percent 3 2 2 7" xfId="25271" xr:uid="{00000000-0005-0000-0000-0000B1660000}"/>
    <cellStyle name="Percent 3 2 3" xfId="424" xr:uid="{00000000-0005-0000-0000-0000B2660000}"/>
    <cellStyle name="Percent 3 2 3 2" xfId="515" xr:uid="{00000000-0005-0000-0000-0000B3660000}"/>
    <cellStyle name="Percent 3 2 3 2 2" xfId="13878" xr:uid="{00000000-0005-0000-0000-0000B4660000}"/>
    <cellStyle name="Percent 3 2 3 3" xfId="13801" xr:uid="{00000000-0005-0000-0000-0000B5660000}"/>
    <cellStyle name="Percent 3 2 4" xfId="478" xr:uid="{00000000-0005-0000-0000-0000B6660000}"/>
    <cellStyle name="Percent 3 2 4 2" xfId="13841" xr:uid="{00000000-0005-0000-0000-0000B7660000}"/>
    <cellStyle name="Percent 3 2 5" xfId="13686" xr:uid="{00000000-0005-0000-0000-0000B8660000}"/>
    <cellStyle name="Percent 3 2 6" xfId="24218" xr:uid="{00000000-0005-0000-0000-0000B9660000}"/>
    <cellStyle name="Percent 3 2 7" xfId="24763" xr:uid="{00000000-0005-0000-0000-0000BA660000}"/>
    <cellStyle name="Percent 3 2 8" xfId="25089" xr:uid="{00000000-0005-0000-0000-0000BB660000}"/>
    <cellStyle name="Percent 3 3" xfId="214" xr:uid="{00000000-0005-0000-0000-0000BC660000}"/>
    <cellStyle name="Percent 3 3 2" xfId="368" xr:uid="{00000000-0005-0000-0000-0000BD660000}"/>
    <cellStyle name="Percent 3 3 2 2" xfId="450" xr:uid="{00000000-0005-0000-0000-0000BE660000}"/>
    <cellStyle name="Percent 3 3 2 2 2" xfId="536" xr:uid="{00000000-0005-0000-0000-0000BF660000}"/>
    <cellStyle name="Percent 3 3 2 2 2 2" xfId="13899" xr:uid="{00000000-0005-0000-0000-0000C0660000}"/>
    <cellStyle name="Percent 3 3 2 2 3" xfId="13822" xr:uid="{00000000-0005-0000-0000-0000C1660000}"/>
    <cellStyle name="Percent 3 3 2 3" xfId="499" xr:uid="{00000000-0005-0000-0000-0000C2660000}"/>
    <cellStyle name="Percent 3 3 2 3 2" xfId="13862" xr:uid="{00000000-0005-0000-0000-0000C3660000}"/>
    <cellStyle name="Percent 3 3 2 4" xfId="13778" xr:uid="{00000000-0005-0000-0000-0000C4660000}"/>
    <cellStyle name="Percent 3 3 3" xfId="431" xr:uid="{00000000-0005-0000-0000-0000C5660000}"/>
    <cellStyle name="Percent 3 3 3 2" xfId="521" xr:uid="{00000000-0005-0000-0000-0000C6660000}"/>
    <cellStyle name="Percent 3 3 3 2 2" xfId="13884" xr:uid="{00000000-0005-0000-0000-0000C7660000}"/>
    <cellStyle name="Percent 3 3 3 3" xfId="13807" xr:uid="{00000000-0005-0000-0000-0000C8660000}"/>
    <cellStyle name="Percent 3 3 4" xfId="484" xr:uid="{00000000-0005-0000-0000-0000C9660000}"/>
    <cellStyle name="Percent 3 3 4 2" xfId="13847" xr:uid="{00000000-0005-0000-0000-0000CA660000}"/>
    <cellStyle name="Percent 3 3 5" xfId="13704" xr:uid="{00000000-0005-0000-0000-0000CB660000}"/>
    <cellStyle name="Percent 3 3 6" xfId="24467" xr:uid="{00000000-0005-0000-0000-0000CC660000}"/>
    <cellStyle name="Percent 3 3 7" xfId="24909" xr:uid="{00000000-0005-0000-0000-0000CD660000}"/>
    <cellStyle name="Percent 3 3 8" xfId="25270" xr:uid="{00000000-0005-0000-0000-0000CE660000}"/>
    <cellStyle name="Percent 3 4" xfId="3621" xr:uid="{00000000-0005-0000-0000-0000CF660000}"/>
    <cellStyle name="Percent 3 5" xfId="13620" xr:uid="{00000000-0005-0000-0000-0000D0660000}"/>
    <cellStyle name="Percent 3 5 2" xfId="26562" xr:uid="{00000000-0005-0000-0000-0000D1660000}"/>
    <cellStyle name="Percent 3 6" xfId="13598" xr:uid="{00000000-0005-0000-0000-0000D2660000}"/>
    <cellStyle name="Percent 3 7" xfId="23907" xr:uid="{00000000-0005-0000-0000-0000D3660000}"/>
    <cellStyle name="Percent 3 8" xfId="24217" xr:uid="{00000000-0005-0000-0000-0000D4660000}"/>
    <cellStyle name="Percent 3 9" xfId="24762" xr:uid="{00000000-0005-0000-0000-0000D5660000}"/>
    <cellStyle name="Percent 30" xfId="329" xr:uid="{00000000-0005-0000-0000-0000D6660000}"/>
    <cellStyle name="Percent 30 2" xfId="25971" xr:uid="{00000000-0005-0000-0000-0000D7660000}"/>
    <cellStyle name="Percent 31" xfId="330" xr:uid="{00000000-0005-0000-0000-0000D8660000}"/>
    <cellStyle name="Percent 31 2" xfId="25972" xr:uid="{00000000-0005-0000-0000-0000D9660000}"/>
    <cellStyle name="Percent 32" xfId="331" xr:uid="{00000000-0005-0000-0000-0000DA660000}"/>
    <cellStyle name="Percent 32 2" xfId="25973" xr:uid="{00000000-0005-0000-0000-0000DB660000}"/>
    <cellStyle name="Percent 33" xfId="332" xr:uid="{00000000-0005-0000-0000-0000DC660000}"/>
    <cellStyle name="Percent 33 2" xfId="25974" xr:uid="{00000000-0005-0000-0000-0000DD660000}"/>
    <cellStyle name="Percent 34" xfId="344" xr:uid="{00000000-0005-0000-0000-0000DE660000}"/>
    <cellStyle name="Percent 34 2" xfId="25982" xr:uid="{00000000-0005-0000-0000-0000DF660000}"/>
    <cellStyle name="Percent 35" xfId="345" xr:uid="{00000000-0005-0000-0000-0000E0660000}"/>
    <cellStyle name="Percent 35 2" xfId="25983" xr:uid="{00000000-0005-0000-0000-0000E1660000}"/>
    <cellStyle name="Percent 36" xfId="346" xr:uid="{00000000-0005-0000-0000-0000E2660000}"/>
    <cellStyle name="Percent 36 2" xfId="25984" xr:uid="{00000000-0005-0000-0000-0000E3660000}"/>
    <cellStyle name="Percent 37" xfId="347" xr:uid="{00000000-0005-0000-0000-0000E4660000}"/>
    <cellStyle name="Percent 37 2" xfId="25985" xr:uid="{00000000-0005-0000-0000-0000E5660000}"/>
    <cellStyle name="Percent 38" xfId="396" xr:uid="{00000000-0005-0000-0000-0000E6660000}"/>
    <cellStyle name="Percent 38 2" xfId="26006" xr:uid="{00000000-0005-0000-0000-0000E7660000}"/>
    <cellStyle name="Percent 39" xfId="372" xr:uid="{00000000-0005-0000-0000-0000E8660000}"/>
    <cellStyle name="Percent 39 2" xfId="502" xr:uid="{00000000-0005-0000-0000-0000E9660000}"/>
    <cellStyle name="Percent 39 2 2" xfId="13865" xr:uid="{00000000-0005-0000-0000-0000EA660000}"/>
    <cellStyle name="Percent 39 3" xfId="13781" xr:uid="{00000000-0005-0000-0000-0000EB660000}"/>
    <cellStyle name="Percent 4" xfId="69" xr:uid="{00000000-0005-0000-0000-0000EC660000}"/>
    <cellStyle name="Percent 4 2" xfId="24304" xr:uid="{00000000-0005-0000-0000-0000ED660000}"/>
    <cellStyle name="Percent 4 2 2" xfId="27140" xr:uid="{00000000-0005-0000-0000-0000EE660000}"/>
    <cellStyle name="Percent 4 3" xfId="24219" xr:uid="{00000000-0005-0000-0000-0000EF660000}"/>
    <cellStyle name="Percent 4 4" xfId="25792" xr:uid="{00000000-0005-0000-0000-0000F0660000}"/>
    <cellStyle name="Percent 40" xfId="418" xr:uid="{00000000-0005-0000-0000-0000F1660000}"/>
    <cellStyle name="Percent 40 2" xfId="511" xr:uid="{00000000-0005-0000-0000-0000F2660000}"/>
    <cellStyle name="Percent 40 2 2" xfId="13874" xr:uid="{00000000-0005-0000-0000-0000F3660000}"/>
    <cellStyle name="Percent 40 3" xfId="13797" xr:uid="{00000000-0005-0000-0000-0000F4660000}"/>
    <cellStyle name="Percent 41" xfId="432" xr:uid="{00000000-0005-0000-0000-0000F5660000}"/>
    <cellStyle name="Percent 41 2" xfId="522" xr:uid="{00000000-0005-0000-0000-0000F6660000}"/>
    <cellStyle name="Percent 41 2 2" xfId="13885" xr:uid="{00000000-0005-0000-0000-0000F7660000}"/>
    <cellStyle name="Percent 41 3" xfId="13808" xr:uid="{00000000-0005-0000-0000-0000F8660000}"/>
    <cellStyle name="Percent 42" xfId="453" xr:uid="{00000000-0005-0000-0000-0000F9660000}"/>
    <cellStyle name="Percent 42 2" xfId="539" xr:uid="{00000000-0005-0000-0000-0000FA660000}"/>
    <cellStyle name="Percent 42 2 2" xfId="13902" xr:uid="{00000000-0005-0000-0000-0000FB660000}"/>
    <cellStyle name="Percent 42 3" xfId="13825" xr:uid="{00000000-0005-0000-0000-0000FC660000}"/>
    <cellStyle name="Percent 43" xfId="13602" xr:uid="{00000000-0005-0000-0000-0000FD660000}"/>
    <cellStyle name="Percent 43 2" xfId="26555" xr:uid="{00000000-0005-0000-0000-0000FE660000}"/>
    <cellStyle name="Percent 44" xfId="23887" xr:uid="{00000000-0005-0000-0000-0000FF660000}"/>
    <cellStyle name="Percent 45" xfId="23890" xr:uid="{00000000-0005-0000-0000-000000670000}"/>
    <cellStyle name="Percent 46" xfId="23894" xr:uid="{00000000-0005-0000-0000-000001670000}"/>
    <cellStyle name="Percent 47" xfId="4" xr:uid="{00000000-0005-0000-0000-000002670000}"/>
    <cellStyle name="Percent 47 2" xfId="25798" xr:uid="{00000000-0005-0000-0000-000003670000}"/>
    <cellStyle name="Percent 48" xfId="25279" xr:uid="{00000000-0005-0000-0000-000004670000}"/>
    <cellStyle name="Percent 48 2" xfId="27434" xr:uid="{00000000-0005-0000-0000-000005670000}"/>
    <cellStyle name="Percent 49" xfId="25292" xr:uid="{00000000-0005-0000-0000-000006670000}"/>
    <cellStyle name="Percent 49 2" xfId="27447" xr:uid="{00000000-0005-0000-0000-000007670000}"/>
    <cellStyle name="Percent 5" xfId="70" xr:uid="{00000000-0005-0000-0000-000008670000}"/>
    <cellStyle name="Percent 5 2" xfId="24292" xr:uid="{00000000-0005-0000-0000-000009670000}"/>
    <cellStyle name="Percent 5 3" xfId="25816" xr:uid="{00000000-0005-0000-0000-00000A670000}"/>
    <cellStyle name="Percent 50" xfId="25458" xr:uid="{00000000-0005-0000-0000-00000B670000}"/>
    <cellStyle name="Percent 50 2" xfId="27611" xr:uid="{00000000-0005-0000-0000-00000C670000}"/>
    <cellStyle name="Percent 51" xfId="25749" xr:uid="{00000000-0005-0000-0000-00000D670000}"/>
    <cellStyle name="Percent 52" xfId="25756" xr:uid="{00000000-0005-0000-0000-00000E670000}"/>
    <cellStyle name="Percent 53" xfId="25758" xr:uid="{00000000-0005-0000-0000-00000F670000}"/>
    <cellStyle name="Percent 54" xfId="25762" xr:uid="{00000000-0005-0000-0000-000010670000}"/>
    <cellStyle name="Percent 55" xfId="25763" xr:uid="{00000000-0005-0000-0000-000011670000}"/>
    <cellStyle name="Percent 56" xfId="33384" xr:uid="{F3D10FFD-904D-4367-BA74-C69DECCFD030}"/>
    <cellStyle name="Percent 6" xfId="215" xr:uid="{00000000-0005-0000-0000-000012670000}"/>
    <cellStyle name="Percent 6 2" xfId="664" xr:uid="{00000000-0005-0000-0000-000013670000}"/>
    <cellStyle name="Percent 6 2 2" xfId="24480" xr:uid="{00000000-0005-0000-0000-000014670000}"/>
    <cellStyle name="Percent 6 2 3" xfId="24912" xr:uid="{00000000-0005-0000-0000-000015670000}"/>
    <cellStyle name="Percent 6 2 4" xfId="25272" xr:uid="{00000000-0005-0000-0000-000016670000}"/>
    <cellStyle name="Percent 6 3" xfId="24294" xr:uid="{00000000-0005-0000-0000-000017670000}"/>
    <cellStyle name="Percent 6 4" xfId="24775" xr:uid="{00000000-0005-0000-0000-000018670000}"/>
    <cellStyle name="Percent 6 5" xfId="25144" xr:uid="{00000000-0005-0000-0000-000019670000}"/>
    <cellStyle name="Percent 6 6" xfId="25904" xr:uid="{00000000-0005-0000-0000-00001A670000}"/>
    <cellStyle name="Percent 6 7" xfId="33389" xr:uid="{EB158124-7EEB-4BEB-9BE5-27ADF0EEB1F8}"/>
    <cellStyle name="Percent 7" xfId="216" xr:uid="{00000000-0005-0000-0000-00001B670000}"/>
    <cellStyle name="Percent 7 2" xfId="25905" xr:uid="{00000000-0005-0000-0000-00001C670000}"/>
    <cellStyle name="Percent 8" xfId="217" xr:uid="{00000000-0005-0000-0000-00001D670000}"/>
    <cellStyle name="Percent 8 2" xfId="25906" xr:uid="{00000000-0005-0000-0000-00001E670000}"/>
    <cellStyle name="Percent 9" xfId="218" xr:uid="{00000000-0005-0000-0000-00001F670000}"/>
    <cellStyle name="Percent 9 2" xfId="25907" xr:uid="{00000000-0005-0000-0000-000020670000}"/>
    <cellStyle name="Percent Hard" xfId="587" xr:uid="{00000000-0005-0000-0000-000021670000}"/>
    <cellStyle name="Percent Hard 2" xfId="24220" xr:uid="{00000000-0005-0000-0000-000022670000}"/>
    <cellStyle name="Percent(0)" xfId="71" xr:uid="{00000000-0005-0000-0000-000023670000}"/>
    <cellStyle name="Percentage" xfId="588" xr:uid="{00000000-0005-0000-0000-000024670000}"/>
    <cellStyle name="Perlong" xfId="589" xr:uid="{00000000-0005-0000-0000-000025670000}"/>
    <cellStyle name="Private" xfId="590" xr:uid="{00000000-0005-0000-0000-000026670000}"/>
    <cellStyle name="Private 2" xfId="24780" xr:uid="{00000000-0005-0000-0000-000027670000}"/>
    <cellStyle name="Private1" xfId="591" xr:uid="{00000000-0005-0000-0000-000028670000}"/>
    <cellStyle name="Private1 2" xfId="24221" xr:uid="{00000000-0005-0000-0000-000029670000}"/>
    <cellStyle name="Project Start" xfId="33361" xr:uid="{2D22D0E9-5F9A-4E46-A0E9-5778482523FF}"/>
    <cellStyle name="r" xfId="592" xr:uid="{00000000-0005-0000-0000-00002A670000}"/>
    <cellStyle name="r 2" xfId="24222" xr:uid="{00000000-0005-0000-0000-00002B670000}"/>
    <cellStyle name="r_10_21 A&amp;G Review" xfId="593" xr:uid="{00000000-0005-0000-0000-00002C670000}"/>
    <cellStyle name="r_10_21 A&amp;G Review 2" xfId="24223" xr:uid="{00000000-0005-0000-0000-00002D670000}"/>
    <cellStyle name="r_10_21 A&amp;G Review Raul" xfId="594" xr:uid="{00000000-0005-0000-0000-00002E670000}"/>
    <cellStyle name="r_10_21 A&amp;G Review Raul 2" xfId="24224" xr:uid="{00000000-0005-0000-0000-00002F670000}"/>
    <cellStyle name="r_10-17" xfId="595" xr:uid="{00000000-0005-0000-0000-000030670000}"/>
    <cellStyle name="r_10-17 2" xfId="24225" xr:uid="{00000000-0005-0000-0000-000031670000}"/>
    <cellStyle name="r_2003 Reduction &amp; Sensitivities" xfId="596" xr:uid="{00000000-0005-0000-0000-000032670000}"/>
    <cellStyle name="r_2003 Reduction &amp; Sensitivities 2" xfId="24226" xr:uid="{00000000-0005-0000-0000-000033670000}"/>
    <cellStyle name="r_2003BudgetVariances" xfId="597" xr:uid="{00000000-0005-0000-0000-000034670000}"/>
    <cellStyle name="r_2003BudgetVariances 2" xfId="24227" xr:uid="{00000000-0005-0000-0000-000035670000}"/>
    <cellStyle name="r_Aug 02 FOR" xfId="598" xr:uid="{00000000-0005-0000-0000-000036670000}"/>
    <cellStyle name="r_Aug 02 FOR 2" xfId="24228" xr:uid="{00000000-0005-0000-0000-000037670000}"/>
    <cellStyle name="r_forecastTools6" xfId="599" xr:uid="{00000000-0005-0000-0000-000038670000}"/>
    <cellStyle name="r_forecastTools6 2" xfId="24229" xr:uid="{00000000-0005-0000-0000-000039670000}"/>
    <cellStyle name="r_Interest model" xfId="600" xr:uid="{00000000-0005-0000-0000-00003A670000}"/>
    <cellStyle name="r_Interest model 2" xfId="24230" xr:uid="{00000000-0005-0000-0000-00003B670000}"/>
    <cellStyle name="r_Interest model_PGE FS 1999 - 2006 10-23 V1 - for budget pres" xfId="601" xr:uid="{00000000-0005-0000-0000-00003C670000}"/>
    <cellStyle name="r_Interest model_PGE FS 1999 - 2006 10-23 V1 - for budget pres 2" xfId="24231" xr:uid="{00000000-0005-0000-0000-00003D670000}"/>
    <cellStyle name="r_Mary Cilia Model with Current Projections (LINKED)" xfId="602" xr:uid="{00000000-0005-0000-0000-00003E670000}"/>
    <cellStyle name="r_Mary Cilia Model with Current Projections (LINKED) 2" xfId="24232" xr:uid="{00000000-0005-0000-0000-00003F670000}"/>
    <cellStyle name="r_OpCo and Prelim Budget-2003 Final" xfId="603" xr:uid="{00000000-0005-0000-0000-000040670000}"/>
    <cellStyle name="r_OpCo and Prelim Budget-2003 Final 2" xfId="24233" xr:uid="{00000000-0005-0000-0000-000041670000}"/>
    <cellStyle name="r_OpCo and Prelim Budget-2003 Final_PGE FS 1999 - 2006 10-23 V1 - for budget pres" xfId="604" xr:uid="{00000000-0005-0000-0000-000042670000}"/>
    <cellStyle name="r_OpCo and Prelim Budget-2003 Final_PGE FS 1999 - 2006 10-23 V1 - for budget pres 2" xfId="24234" xr:uid="{00000000-0005-0000-0000-000043670000}"/>
    <cellStyle name="r_PGE FS 1999 - 2006 10-23 V1 - for budget pres" xfId="605" xr:uid="{00000000-0005-0000-0000-000044670000}"/>
    <cellStyle name="r_PGE FS 1999 - 2006 10-23 V1 - for budget pres 2" xfId="24235" xr:uid="{00000000-0005-0000-0000-000045670000}"/>
    <cellStyle name="r_PGE OpCo Forecast for Budget Presentation" xfId="606" xr:uid="{00000000-0005-0000-0000-000046670000}"/>
    <cellStyle name="r_PGE OpCo Forecast for Budget Presentation 2" xfId="24236" xr:uid="{00000000-0005-0000-0000-000047670000}"/>
    <cellStyle name="r_PGG Draft Cons Forecast 4-14 Revised" xfId="607" xr:uid="{00000000-0005-0000-0000-000048670000}"/>
    <cellStyle name="r_PGG Draft Cons Forecast 4-14 Revised 2" xfId="24237" xr:uid="{00000000-0005-0000-0000-000049670000}"/>
    <cellStyle name="r_PGG Draft Cons Forecast 4-14 Revised_PGE FS 1999 - 2006 10-23 V1 - for budget pres" xfId="608" xr:uid="{00000000-0005-0000-0000-00004A670000}"/>
    <cellStyle name="r_PGG Draft Cons Forecast 4-14 Revised_PGE FS 1999 - 2006 10-23 V1 - for budget pres 2" xfId="24238" xr:uid="{00000000-0005-0000-0000-00004B670000}"/>
    <cellStyle name="r_Reg Assets &amp; Liab" xfId="609" xr:uid="{00000000-0005-0000-0000-00004C670000}"/>
    <cellStyle name="r_Reg Assets &amp; Liab 2" xfId="24239" xr:uid="{00000000-0005-0000-0000-00004D670000}"/>
    <cellStyle name="r_Summary" xfId="610" xr:uid="{00000000-0005-0000-0000-00004E670000}"/>
    <cellStyle name="r_Summary - OpCo and Prelim Budget-2003 Final" xfId="611" xr:uid="{00000000-0005-0000-0000-00004F670000}"/>
    <cellStyle name="r_Summary - OpCo and Prelim Budget-2003 Final 2" xfId="24241" xr:uid="{00000000-0005-0000-0000-000050670000}"/>
    <cellStyle name="r_Summary - OpCo and Prelim Budget-2003 Final_PGE FS 1999 - 2006 10-23 V1 - for budget pres" xfId="612" xr:uid="{00000000-0005-0000-0000-000051670000}"/>
    <cellStyle name="r_Summary - OpCo and Prelim Budget-2003 Final_PGE FS 1999 - 2006 10-23 V1 - for budget pres 2" xfId="24242" xr:uid="{00000000-0005-0000-0000-000052670000}"/>
    <cellStyle name="r_Summary 10" xfId="24465" xr:uid="{00000000-0005-0000-0000-000053670000}"/>
    <cellStyle name="r_Summary 11" xfId="24393" xr:uid="{00000000-0005-0000-0000-000054670000}"/>
    <cellStyle name="r_Summary 12" xfId="24418" xr:uid="{00000000-0005-0000-0000-000055670000}"/>
    <cellStyle name="r_Summary 13" xfId="24395" xr:uid="{00000000-0005-0000-0000-000056670000}"/>
    <cellStyle name="r_Summary 14" xfId="24475" xr:uid="{00000000-0005-0000-0000-000057670000}"/>
    <cellStyle name="r_Summary 15" xfId="24396" xr:uid="{00000000-0005-0000-0000-000058670000}"/>
    <cellStyle name="r_Summary 16" xfId="24415" xr:uid="{00000000-0005-0000-0000-000059670000}"/>
    <cellStyle name="r_Summary 17" xfId="24397" xr:uid="{00000000-0005-0000-0000-00005A670000}"/>
    <cellStyle name="r_Summary 18" xfId="24414" xr:uid="{00000000-0005-0000-0000-00005B670000}"/>
    <cellStyle name="r_Summary 19" xfId="24499" xr:uid="{00000000-0005-0000-0000-00005C670000}"/>
    <cellStyle name="r_Summary 2" xfId="24240" xr:uid="{00000000-0005-0000-0000-00005D670000}"/>
    <cellStyle name="r_Summary 20" xfId="24413" xr:uid="{00000000-0005-0000-0000-00005E670000}"/>
    <cellStyle name="r_Summary 21" xfId="24398" xr:uid="{00000000-0005-0000-0000-00005F670000}"/>
    <cellStyle name="r_Summary 22" xfId="24412" xr:uid="{00000000-0005-0000-0000-000060670000}"/>
    <cellStyle name="r_Summary 23" xfId="24505" xr:uid="{00000000-0005-0000-0000-000061670000}"/>
    <cellStyle name="r_Summary 24" xfId="24410" xr:uid="{00000000-0005-0000-0000-000062670000}"/>
    <cellStyle name="r_Summary 25" xfId="24492" xr:uid="{00000000-0005-0000-0000-000063670000}"/>
    <cellStyle name="r_Summary 26" xfId="24473" xr:uid="{00000000-0005-0000-0000-000064670000}"/>
    <cellStyle name="r_Summary 3" xfId="24312" xr:uid="{00000000-0005-0000-0000-000065670000}"/>
    <cellStyle name="r_Summary 4" xfId="24308" xr:uid="{00000000-0005-0000-0000-000066670000}"/>
    <cellStyle name="r_Summary 5" xfId="24313" xr:uid="{00000000-0005-0000-0000-000067670000}"/>
    <cellStyle name="r_Summary 6" xfId="24472" xr:uid="{00000000-0005-0000-0000-000068670000}"/>
    <cellStyle name="r_Summary 7" xfId="24486" xr:uid="{00000000-0005-0000-0000-000069670000}"/>
    <cellStyle name="r_Summary 8" xfId="24469" xr:uid="{00000000-0005-0000-0000-00006A670000}"/>
    <cellStyle name="r_Summary 9" xfId="24504" xr:uid="{00000000-0005-0000-0000-00006B670000}"/>
    <cellStyle name="r_Summary_PGE FS 1999 - 2006 10-23 V1 - for budget pres" xfId="613" xr:uid="{00000000-0005-0000-0000-00006C670000}"/>
    <cellStyle name="r_Summary_PGE FS 1999 - 2006 10-23 V1 - for budget pres 2" xfId="24243" xr:uid="{00000000-0005-0000-0000-00006D670000}"/>
    <cellStyle name="Report" xfId="33373" xr:uid="{3C5FB271-747A-4FA4-92B1-FB8F0818A272}"/>
    <cellStyle name="Report Bar" xfId="33374" xr:uid="{03763989-2A7E-44D5-AA6B-68FCC542FCB2}"/>
    <cellStyle name="Report Heading" xfId="33372" xr:uid="{0DDF0DB9-3C3A-4352-91CA-DF976F9EA82D}"/>
    <cellStyle name="Report Unit Cost" xfId="33378" xr:uid="{77B97DFB-24F9-4A05-A9D3-181EFEE03660}"/>
    <cellStyle name="Reports Total" xfId="33375" xr:uid="{E7B81530-84E9-40B7-9425-6E3FFA19FF2B}"/>
    <cellStyle name="ReportTitlePrompt" xfId="3462" xr:uid="{00000000-0005-0000-0000-00006E670000}"/>
    <cellStyle name="ReportTitleValue" xfId="3463" xr:uid="{00000000-0005-0000-0000-00006F670000}"/>
    <cellStyle name="Right" xfId="614" xr:uid="{00000000-0005-0000-0000-000070670000}"/>
    <cellStyle name="Right 2" xfId="24244" xr:uid="{00000000-0005-0000-0000-000071670000}"/>
    <cellStyle name="RowAcctAbovePrompt" xfId="3464" xr:uid="{00000000-0005-0000-0000-000072670000}"/>
    <cellStyle name="RowAcctSOBAbovePrompt" xfId="3465" xr:uid="{00000000-0005-0000-0000-000073670000}"/>
    <cellStyle name="RowAcctSOBValue" xfId="3466" xr:uid="{00000000-0005-0000-0000-000074670000}"/>
    <cellStyle name="RowAcctValue" xfId="3467" xr:uid="{00000000-0005-0000-0000-000075670000}"/>
    <cellStyle name="RowAttrAbovePrompt" xfId="3468" xr:uid="{00000000-0005-0000-0000-000076670000}"/>
    <cellStyle name="RowAttrValue" xfId="3469" xr:uid="{00000000-0005-0000-0000-000077670000}"/>
    <cellStyle name="RowColSetAbovePrompt" xfId="3470" xr:uid="{00000000-0005-0000-0000-000078670000}"/>
    <cellStyle name="RowColSetLeftPrompt" xfId="3471" xr:uid="{00000000-0005-0000-0000-000079670000}"/>
    <cellStyle name="RowColSetValue" xfId="3472" xr:uid="{00000000-0005-0000-0000-00007A670000}"/>
    <cellStyle name="RowLeftPrompt" xfId="3473" xr:uid="{00000000-0005-0000-0000-00007B670000}"/>
    <cellStyle name="SampleUsingFormatMask" xfId="3474" xr:uid="{00000000-0005-0000-0000-00007C670000}"/>
    <cellStyle name="SampleWithNoFormatMask" xfId="3475" xr:uid="{00000000-0005-0000-0000-00007D670000}"/>
    <cellStyle name="SAPBEXaggData" xfId="72" xr:uid="{00000000-0005-0000-0000-00007E670000}"/>
    <cellStyle name="SAPBEXaggData 2" xfId="13621" xr:uid="{00000000-0005-0000-0000-00007F670000}"/>
    <cellStyle name="SAPBEXaggData 2 2" xfId="25459" xr:uid="{00000000-0005-0000-0000-000080670000}"/>
    <cellStyle name="SAPBEXaggData 2 2 2" xfId="27612" xr:uid="{00000000-0005-0000-0000-000081670000}"/>
    <cellStyle name="SAPBEXaggData 2 2 2 2" xfId="32199" xr:uid="{7A7BD6F2-74F0-4048-8D37-2C46C5430AF4}"/>
    <cellStyle name="SAPBEXaggData 2 2 3" xfId="27933" xr:uid="{00000000-0005-0000-0000-000082670000}"/>
    <cellStyle name="SAPBEXaggData 2 2 3 2" xfId="32491" xr:uid="{3F83CFB6-827B-45AA-8D60-9E0DBAE8668E}"/>
    <cellStyle name="SAPBEXaggData 2 2 4" xfId="26086" xr:uid="{00000000-0005-0000-0000-000083670000}"/>
    <cellStyle name="SAPBEXaggData 2 2 4 2" xfId="30876" xr:uid="{99B58365-E574-4F2F-A259-B0562D23FF59}"/>
    <cellStyle name="SAPBEXaggData 2 2 5" xfId="29485" xr:uid="{00000000-0005-0000-0000-000084670000}"/>
    <cellStyle name="SAPBEXaggData 2 3" xfId="26563" xr:uid="{00000000-0005-0000-0000-000085670000}"/>
    <cellStyle name="SAPBEXaggData 2 3 2" xfId="31341" xr:uid="{AE0C367D-55E8-4404-BD2F-62CC8EA70B88}"/>
    <cellStyle name="SAPBEXaggData 2 4" xfId="27932" xr:uid="{00000000-0005-0000-0000-000086670000}"/>
    <cellStyle name="SAPBEXaggData 2 4 2" xfId="32490" xr:uid="{43D3AFEE-79CD-4E89-BE34-7C3ADB0ADBA4}"/>
    <cellStyle name="SAPBEXaggData 2 5" xfId="26182" xr:uid="{00000000-0005-0000-0000-000087670000}"/>
    <cellStyle name="SAPBEXaggData 2 5 2" xfId="30970" xr:uid="{76FB0124-5DEF-43D7-B453-15A9F7696749}"/>
    <cellStyle name="SAPBEXaggData 2 6" xfId="29484" xr:uid="{00000000-0005-0000-0000-000088670000}"/>
    <cellStyle name="SAPBEXaggData 2 7" xfId="30161" xr:uid="{92D858B1-E627-4278-8819-66066A4D4964}"/>
    <cellStyle name="SAPBEXaggData 3" xfId="24686" xr:uid="{00000000-0005-0000-0000-000089670000}"/>
    <cellStyle name="SAPBEXaggData 3 2" xfId="25423" xr:uid="{00000000-0005-0000-0000-00008A670000}"/>
    <cellStyle name="SAPBEXaggData 3 2 2" xfId="27577" xr:uid="{00000000-0005-0000-0000-00008B670000}"/>
    <cellStyle name="SAPBEXaggData 3 2 2 2" xfId="32168" xr:uid="{2177028A-E649-4749-8CF0-FE23E34394AA}"/>
    <cellStyle name="SAPBEXaggData 3 2 3" xfId="27935" xr:uid="{00000000-0005-0000-0000-00008C670000}"/>
    <cellStyle name="SAPBEXaggData 3 2 3 2" xfId="32493" xr:uid="{7BE0B56B-1AA1-4FAC-BDE4-7DFF8E096042}"/>
    <cellStyle name="SAPBEXaggData 3 2 4" xfId="26481" xr:uid="{00000000-0005-0000-0000-00008D670000}"/>
    <cellStyle name="SAPBEXaggData 3 2 4 2" xfId="31269" xr:uid="{D1DA1C18-EEF4-42D5-8980-11501320D07B}"/>
    <cellStyle name="SAPBEXaggData 3 2 5" xfId="29487" xr:uid="{00000000-0005-0000-0000-00008E670000}"/>
    <cellStyle name="SAPBEXaggData 3 2 6" xfId="30581" xr:uid="{E6267DBD-8039-4504-902D-3554711A2BB6}"/>
    <cellStyle name="SAPBEXaggData 3 3" xfId="25649" xr:uid="{00000000-0005-0000-0000-00008F670000}"/>
    <cellStyle name="SAPBEXaggData 3 3 2" xfId="27802" xr:uid="{00000000-0005-0000-0000-000090670000}"/>
    <cellStyle name="SAPBEXaggData 3 3 2 2" xfId="32389" xr:uid="{5B7352C9-F2B0-441C-9330-A7D74409D31B}"/>
    <cellStyle name="SAPBEXaggData 3 3 3" xfId="27936" xr:uid="{00000000-0005-0000-0000-000091670000}"/>
    <cellStyle name="SAPBEXaggData 3 3 3 2" xfId="32494" xr:uid="{44C476FD-528D-438E-A0A4-90B87E382C75}"/>
    <cellStyle name="SAPBEXaggData 3 3 4" xfId="26358" xr:uid="{00000000-0005-0000-0000-000092670000}"/>
    <cellStyle name="SAPBEXaggData 3 3 4 2" xfId="31146" xr:uid="{9614230F-CCB2-43FF-AE48-096DA24E68BF}"/>
    <cellStyle name="SAPBEXaggData 3 3 5" xfId="29488" xr:uid="{00000000-0005-0000-0000-000093670000}"/>
    <cellStyle name="SAPBEXaggData 3 4" xfId="27276" xr:uid="{00000000-0005-0000-0000-000094670000}"/>
    <cellStyle name="SAPBEXaggData 3 4 2" xfId="31911" xr:uid="{3CA71A48-4CF2-41B3-95D8-E85DF320C1E4}"/>
    <cellStyle name="SAPBEXaggData 3 5" xfId="27934" xr:uid="{00000000-0005-0000-0000-000095670000}"/>
    <cellStyle name="SAPBEXaggData 3 5 2" xfId="32492" xr:uid="{E48813A4-1068-4662-8CAC-621E63E9FE0E}"/>
    <cellStyle name="SAPBEXaggData 3 6" xfId="27002" xr:uid="{00000000-0005-0000-0000-000096670000}"/>
    <cellStyle name="SAPBEXaggData 3 6 2" xfId="31762" xr:uid="{1BC70BF3-7B93-48B2-871E-B34DAD7E576D}"/>
    <cellStyle name="SAPBEXaggData 3 7" xfId="29486" xr:uid="{00000000-0005-0000-0000-000097670000}"/>
    <cellStyle name="SAPBEXaggData 3 8" xfId="30351" xr:uid="{D5FBE9D2-09EE-41AE-A0D5-FDAB7AB77243}"/>
    <cellStyle name="SAPBEXaggData 4" xfId="25090" xr:uid="{00000000-0005-0000-0000-000098670000}"/>
    <cellStyle name="SAPBEXaggData 4 2" xfId="25284" xr:uid="{00000000-0005-0000-0000-000099670000}"/>
    <cellStyle name="SAPBEXaggData 4 2 2" xfId="27439" xr:uid="{00000000-0005-0000-0000-00009A670000}"/>
    <cellStyle name="SAPBEXaggData 4 2 2 2" xfId="32034" xr:uid="{B7CCC9D9-DA77-4CEE-BDBD-7235D8D30763}"/>
    <cellStyle name="SAPBEXaggData 4 2 3" xfId="27938" xr:uid="{00000000-0005-0000-0000-00009B670000}"/>
    <cellStyle name="SAPBEXaggData 4 2 3 2" xfId="32496" xr:uid="{FDAF7F3A-7EC0-4DCB-BF25-DA2B4B608BAF}"/>
    <cellStyle name="SAPBEXaggData 4 2 4" xfId="26504" xr:uid="{00000000-0005-0000-0000-00009C670000}"/>
    <cellStyle name="SAPBEXaggData 4 2 4 2" xfId="31292" xr:uid="{24268017-52C5-4E53-99C6-95B155F82897}"/>
    <cellStyle name="SAPBEXaggData 4 2 5" xfId="29490" xr:uid="{00000000-0005-0000-0000-00009D670000}"/>
    <cellStyle name="SAPBEXaggData 4 2 6" xfId="30447" xr:uid="{306C7358-CA26-4C50-AC08-159431AB7203}"/>
    <cellStyle name="SAPBEXaggData 4 3" xfId="25688" xr:uid="{00000000-0005-0000-0000-00009E670000}"/>
    <cellStyle name="SAPBEXaggData 4 3 2" xfId="27841" xr:uid="{00000000-0005-0000-0000-00009F670000}"/>
    <cellStyle name="SAPBEXaggData 4 3 2 2" xfId="32428" xr:uid="{07B83BB5-F8BE-4AD7-B2DD-EB548DA503D4}"/>
    <cellStyle name="SAPBEXaggData 4 3 3" xfId="27939" xr:uid="{00000000-0005-0000-0000-0000A0670000}"/>
    <cellStyle name="SAPBEXaggData 4 3 3 2" xfId="32497" xr:uid="{C31DE5D4-A8BD-494B-A31C-0B4EE801E6D3}"/>
    <cellStyle name="SAPBEXaggData 4 3 4" xfId="26153" xr:uid="{00000000-0005-0000-0000-0000A1670000}"/>
    <cellStyle name="SAPBEXaggData 4 3 4 2" xfId="30942" xr:uid="{901AD129-07F0-4424-A1DF-4AA7E9794EF9}"/>
    <cellStyle name="SAPBEXaggData 4 3 5" xfId="29491" xr:uid="{00000000-0005-0000-0000-0000A2670000}"/>
    <cellStyle name="SAPBEXaggData 4 3 6" xfId="30682" xr:uid="{7F262843-D914-46D2-98D9-21C54EBE1B58}"/>
    <cellStyle name="SAPBEXaggData 4 4" xfId="27375" xr:uid="{00000000-0005-0000-0000-0000A3670000}"/>
    <cellStyle name="SAPBEXaggData 4 4 2" xfId="31973" xr:uid="{463B635B-ADB9-49A3-9B5F-83825B88A49E}"/>
    <cellStyle name="SAPBEXaggData 4 5" xfId="27937" xr:uid="{00000000-0005-0000-0000-0000A4670000}"/>
    <cellStyle name="SAPBEXaggData 4 5 2" xfId="32495" xr:uid="{0E83D1A1-AACB-4FA7-BF79-E019B2F1BF1A}"/>
    <cellStyle name="SAPBEXaggData 4 6" xfId="26340" xr:uid="{00000000-0005-0000-0000-0000A5670000}"/>
    <cellStyle name="SAPBEXaggData 4 6 2" xfId="31128" xr:uid="{F8E6DAAB-A447-4C67-A238-00D1C1C24663}"/>
    <cellStyle name="SAPBEXaggData 4 7" xfId="29489" xr:uid="{00000000-0005-0000-0000-0000A6670000}"/>
    <cellStyle name="SAPBEXaggData 4 8" xfId="30390" xr:uid="{9C6A030D-0E4A-4472-9A6F-CE456E731981}"/>
    <cellStyle name="SAPBEXaggData 5" xfId="25817" xr:uid="{00000000-0005-0000-0000-0000A7670000}"/>
    <cellStyle name="SAPBEXaggData 5 2" xfId="30736" xr:uid="{FED3BBE0-F082-4204-B863-D7617B8A5650}"/>
    <cellStyle name="SAPBEXaggData 6" xfId="27931" xr:uid="{00000000-0005-0000-0000-0000A8670000}"/>
    <cellStyle name="SAPBEXaggData 6 2" xfId="32489" xr:uid="{BD633FB8-8F1F-4B50-BEB1-4926BD139C99}"/>
    <cellStyle name="SAPBEXaggData 7" xfId="26998" xr:uid="{00000000-0005-0000-0000-0000A9670000}"/>
    <cellStyle name="SAPBEXaggData 7 2" xfId="31759" xr:uid="{EC77DD63-4189-4254-BF4B-FFE0552C27B4}"/>
    <cellStyle name="SAPBEXaggData 8" xfId="29483" xr:uid="{00000000-0005-0000-0000-0000AA670000}"/>
    <cellStyle name="SAPBEXaggDataEmph" xfId="73" xr:uid="{00000000-0005-0000-0000-0000AB670000}"/>
    <cellStyle name="SAPBEXaggDataEmph 2" xfId="13622" xr:uid="{00000000-0005-0000-0000-0000AC670000}"/>
    <cellStyle name="SAPBEXaggDataEmph 2 2" xfId="25460" xr:uid="{00000000-0005-0000-0000-0000AD670000}"/>
    <cellStyle name="SAPBEXaggDataEmph 2 2 2" xfId="27613" xr:uid="{00000000-0005-0000-0000-0000AE670000}"/>
    <cellStyle name="SAPBEXaggDataEmph 2 2 2 2" xfId="32200" xr:uid="{9943412C-6B52-4057-85AC-B04ACBF651A9}"/>
    <cellStyle name="SAPBEXaggDataEmph 2 2 3" xfId="27942" xr:uid="{00000000-0005-0000-0000-0000AF670000}"/>
    <cellStyle name="SAPBEXaggDataEmph 2 2 3 2" xfId="32500" xr:uid="{3BF38509-B45F-47B1-AEE8-8F7854496A73}"/>
    <cellStyle name="SAPBEXaggDataEmph 2 2 4" xfId="26454" xr:uid="{00000000-0005-0000-0000-0000B0670000}"/>
    <cellStyle name="SAPBEXaggDataEmph 2 2 4 2" xfId="31242" xr:uid="{4A25A63D-F6FA-443A-8064-9F640FDFBA8F}"/>
    <cellStyle name="SAPBEXaggDataEmph 2 2 5" xfId="29494" xr:uid="{00000000-0005-0000-0000-0000B1670000}"/>
    <cellStyle name="SAPBEXaggDataEmph 2 3" xfId="26564" xr:uid="{00000000-0005-0000-0000-0000B2670000}"/>
    <cellStyle name="SAPBEXaggDataEmph 2 3 2" xfId="31342" xr:uid="{7366461D-9A5B-4041-860D-2947FC0B5C30}"/>
    <cellStyle name="SAPBEXaggDataEmph 2 4" xfId="27941" xr:uid="{00000000-0005-0000-0000-0000B3670000}"/>
    <cellStyle name="SAPBEXaggDataEmph 2 4 2" xfId="32499" xr:uid="{79E0896B-F8DA-4D2E-9C7F-02663A4C12AE}"/>
    <cellStyle name="SAPBEXaggDataEmph 2 5" xfId="26221" xr:uid="{00000000-0005-0000-0000-0000B4670000}"/>
    <cellStyle name="SAPBEXaggDataEmph 2 5 2" xfId="31009" xr:uid="{574C99AF-6BE7-40EC-957A-F1188AC7ED24}"/>
    <cellStyle name="SAPBEXaggDataEmph 2 6" xfId="29493" xr:uid="{00000000-0005-0000-0000-0000B5670000}"/>
    <cellStyle name="SAPBEXaggDataEmph 2 7" xfId="30162" xr:uid="{8FE27431-2CAD-4331-8C47-A09783957E5F}"/>
    <cellStyle name="SAPBEXaggDataEmph 3" xfId="24685" xr:uid="{00000000-0005-0000-0000-0000B6670000}"/>
    <cellStyle name="SAPBEXaggDataEmph 3 2" xfId="25322" xr:uid="{00000000-0005-0000-0000-0000B7670000}"/>
    <cellStyle name="SAPBEXaggDataEmph 3 2 2" xfId="27476" xr:uid="{00000000-0005-0000-0000-0000B8670000}"/>
    <cellStyle name="SAPBEXaggDataEmph 3 2 2 2" xfId="32067" xr:uid="{54DF0BB1-1063-4734-9211-483F57E4A3FB}"/>
    <cellStyle name="SAPBEXaggDataEmph 3 2 3" xfId="27944" xr:uid="{00000000-0005-0000-0000-0000B9670000}"/>
    <cellStyle name="SAPBEXaggDataEmph 3 2 3 2" xfId="32502" xr:uid="{D54AF13A-C036-48AA-952E-643A94995A50}"/>
    <cellStyle name="SAPBEXaggDataEmph 3 2 4" xfId="26909" xr:uid="{00000000-0005-0000-0000-0000BA670000}"/>
    <cellStyle name="SAPBEXaggDataEmph 3 2 4 2" xfId="31670" xr:uid="{9C449592-6412-4942-9F70-82C88C19C940}"/>
    <cellStyle name="SAPBEXaggDataEmph 3 2 5" xfId="29496" xr:uid="{00000000-0005-0000-0000-0000BB670000}"/>
    <cellStyle name="SAPBEXaggDataEmph 3 2 6" xfId="30480" xr:uid="{20CF48F5-71EC-45DC-922B-9D2A5F39DF0C}"/>
    <cellStyle name="SAPBEXaggDataEmph 3 3" xfId="25648" xr:uid="{00000000-0005-0000-0000-0000BC670000}"/>
    <cellStyle name="SAPBEXaggDataEmph 3 3 2" xfId="27801" xr:uid="{00000000-0005-0000-0000-0000BD670000}"/>
    <cellStyle name="SAPBEXaggDataEmph 3 3 2 2" xfId="32388" xr:uid="{BFAB6168-AB07-4884-8CFC-CB0608DCBE83}"/>
    <cellStyle name="SAPBEXaggDataEmph 3 3 3" xfId="27945" xr:uid="{00000000-0005-0000-0000-0000BE670000}"/>
    <cellStyle name="SAPBEXaggDataEmph 3 3 3 2" xfId="32503" xr:uid="{31D00C29-2572-4244-B638-06A4A865FAEF}"/>
    <cellStyle name="SAPBEXaggDataEmph 3 3 4" xfId="26754" xr:uid="{00000000-0005-0000-0000-0000BF670000}"/>
    <cellStyle name="SAPBEXaggDataEmph 3 3 4 2" xfId="31515" xr:uid="{F46301EF-2C38-4D50-AD77-C96A69D2628D}"/>
    <cellStyle name="SAPBEXaggDataEmph 3 3 5" xfId="29497" xr:uid="{00000000-0005-0000-0000-0000C0670000}"/>
    <cellStyle name="SAPBEXaggDataEmph 3 4" xfId="27275" xr:uid="{00000000-0005-0000-0000-0000C1670000}"/>
    <cellStyle name="SAPBEXaggDataEmph 3 4 2" xfId="31910" xr:uid="{23641B80-D9D0-4CFF-8D2B-130AD0BF4D03}"/>
    <cellStyle name="SAPBEXaggDataEmph 3 5" xfId="27943" xr:uid="{00000000-0005-0000-0000-0000C2670000}"/>
    <cellStyle name="SAPBEXaggDataEmph 3 5 2" xfId="32501" xr:uid="{13EF1773-6FD1-4D83-A330-8EC15923685B}"/>
    <cellStyle name="SAPBEXaggDataEmph 3 6" xfId="26335" xr:uid="{00000000-0005-0000-0000-0000C3670000}"/>
    <cellStyle name="SAPBEXaggDataEmph 3 6 2" xfId="31123" xr:uid="{B0912D5A-4199-4E2F-82B5-0A57B390166A}"/>
    <cellStyle name="SAPBEXaggDataEmph 3 7" xfId="29495" xr:uid="{00000000-0005-0000-0000-0000C4670000}"/>
    <cellStyle name="SAPBEXaggDataEmph 3 8" xfId="30350" xr:uid="{CE8C22E6-CB94-4204-8026-F5795026450D}"/>
    <cellStyle name="SAPBEXaggDataEmph 4" xfId="25091" xr:uid="{00000000-0005-0000-0000-0000C5670000}"/>
    <cellStyle name="SAPBEXaggDataEmph 4 2" xfId="25367" xr:uid="{00000000-0005-0000-0000-0000C6670000}"/>
    <cellStyle name="SAPBEXaggDataEmph 4 2 2" xfId="27521" xr:uid="{00000000-0005-0000-0000-0000C7670000}"/>
    <cellStyle name="SAPBEXaggDataEmph 4 2 2 2" xfId="32112" xr:uid="{C60A40D3-CA18-440D-84D5-97A0AB28A92B}"/>
    <cellStyle name="SAPBEXaggDataEmph 4 2 3" xfId="27947" xr:uid="{00000000-0005-0000-0000-0000C8670000}"/>
    <cellStyle name="SAPBEXaggDataEmph 4 2 3 2" xfId="32505" xr:uid="{74ADEB43-6520-48C9-93DA-575FF4DF576F}"/>
    <cellStyle name="SAPBEXaggDataEmph 4 2 4" xfId="26168" xr:uid="{00000000-0005-0000-0000-0000C9670000}"/>
    <cellStyle name="SAPBEXaggDataEmph 4 2 4 2" xfId="30957" xr:uid="{7498BD9D-4CFA-4BA3-A766-D10F4DADCFC5}"/>
    <cellStyle name="SAPBEXaggDataEmph 4 2 5" xfId="29499" xr:uid="{00000000-0005-0000-0000-0000CA670000}"/>
    <cellStyle name="SAPBEXaggDataEmph 4 2 6" xfId="30525" xr:uid="{0DF722A9-6088-4F15-8DF4-B550AD786D53}"/>
    <cellStyle name="SAPBEXaggDataEmph 4 3" xfId="25689" xr:uid="{00000000-0005-0000-0000-0000CB670000}"/>
    <cellStyle name="SAPBEXaggDataEmph 4 3 2" xfId="27842" xr:uid="{00000000-0005-0000-0000-0000CC670000}"/>
    <cellStyle name="SAPBEXaggDataEmph 4 3 2 2" xfId="32429" xr:uid="{6D1EF92A-2F89-4686-BD41-5D42C59E3E95}"/>
    <cellStyle name="SAPBEXaggDataEmph 4 3 3" xfId="27948" xr:uid="{00000000-0005-0000-0000-0000CD670000}"/>
    <cellStyle name="SAPBEXaggDataEmph 4 3 3 2" xfId="32506" xr:uid="{014DF5EE-92F5-45CB-84FA-9CC5EC3D2E70}"/>
    <cellStyle name="SAPBEXaggDataEmph 4 3 4" xfId="26948" xr:uid="{00000000-0005-0000-0000-0000CE670000}"/>
    <cellStyle name="SAPBEXaggDataEmph 4 3 4 2" xfId="31709" xr:uid="{1F734CDA-9E62-4294-ABFB-DEDC42CE4FE5}"/>
    <cellStyle name="SAPBEXaggDataEmph 4 3 5" xfId="29500" xr:uid="{00000000-0005-0000-0000-0000CF670000}"/>
    <cellStyle name="SAPBEXaggDataEmph 4 3 6" xfId="30683" xr:uid="{2AE0CF79-EC92-429E-872B-1F1F038F54D9}"/>
    <cellStyle name="SAPBEXaggDataEmph 4 4" xfId="27376" xr:uid="{00000000-0005-0000-0000-0000D0670000}"/>
    <cellStyle name="SAPBEXaggDataEmph 4 4 2" xfId="31974" xr:uid="{08031EE0-56B8-4D53-96A5-435E3924EC4F}"/>
    <cellStyle name="SAPBEXaggDataEmph 4 5" xfId="27946" xr:uid="{00000000-0005-0000-0000-0000D1670000}"/>
    <cellStyle name="SAPBEXaggDataEmph 4 5 2" xfId="32504" xr:uid="{C924DCD7-521E-4822-A44C-DACCFA12BDD1}"/>
    <cellStyle name="SAPBEXaggDataEmph 4 6" xfId="26469" xr:uid="{00000000-0005-0000-0000-0000D2670000}"/>
    <cellStyle name="SAPBEXaggDataEmph 4 6 2" xfId="31257" xr:uid="{17D2FE2B-EE31-4346-A44A-9C14017DC7A2}"/>
    <cellStyle name="SAPBEXaggDataEmph 4 7" xfId="29498" xr:uid="{00000000-0005-0000-0000-0000D3670000}"/>
    <cellStyle name="SAPBEXaggDataEmph 4 8" xfId="30391" xr:uid="{A84C56A4-17F0-4821-9032-911516372ACB}"/>
    <cellStyle name="SAPBEXaggDataEmph 5" xfId="25818" xr:uid="{00000000-0005-0000-0000-0000D4670000}"/>
    <cellStyle name="SAPBEXaggDataEmph 5 2" xfId="30737" xr:uid="{B8528054-D1B1-4038-8ADF-60AA48A9EC58}"/>
    <cellStyle name="SAPBEXaggDataEmph 6" xfId="27940" xr:uid="{00000000-0005-0000-0000-0000D5670000}"/>
    <cellStyle name="SAPBEXaggDataEmph 6 2" xfId="32498" xr:uid="{5847BF2B-83B2-49AD-B8D3-94C31F1E910B}"/>
    <cellStyle name="SAPBEXaggDataEmph 7" xfId="26491" xr:uid="{00000000-0005-0000-0000-0000D6670000}"/>
    <cellStyle name="SAPBEXaggDataEmph 7 2" xfId="31279" xr:uid="{0A8DB18F-F016-424D-97B4-F9ADB4A9F546}"/>
    <cellStyle name="SAPBEXaggDataEmph 8" xfId="29492" xr:uid="{00000000-0005-0000-0000-0000D7670000}"/>
    <cellStyle name="SAPBEXaggItem" xfId="74" xr:uid="{00000000-0005-0000-0000-0000D8670000}"/>
    <cellStyle name="SAPBEXaggItem 10" xfId="24684" xr:uid="{00000000-0005-0000-0000-0000D9670000}"/>
    <cellStyle name="SAPBEXaggItem 10 2" xfId="25409" xr:uid="{00000000-0005-0000-0000-0000DA670000}"/>
    <cellStyle name="SAPBEXaggItem 10 2 2" xfId="27563" xr:uid="{00000000-0005-0000-0000-0000DB670000}"/>
    <cellStyle name="SAPBEXaggItem 10 2 2 2" xfId="32154" xr:uid="{B74521FE-3223-4315-B9F7-61B24C7722D1}"/>
    <cellStyle name="SAPBEXaggItem 10 2 3" xfId="27951" xr:uid="{00000000-0005-0000-0000-0000DC670000}"/>
    <cellStyle name="SAPBEXaggItem 10 2 3 2" xfId="32509" xr:uid="{8E92B197-D23C-46DE-B3A6-F5AEE1E594A1}"/>
    <cellStyle name="SAPBEXaggItem 10 2 4" xfId="26166" xr:uid="{00000000-0005-0000-0000-0000DD670000}"/>
    <cellStyle name="SAPBEXaggItem 10 2 4 2" xfId="30955" xr:uid="{28491B5D-5E3F-4863-993D-5098E5BD2FD5}"/>
    <cellStyle name="SAPBEXaggItem 10 2 5" xfId="29503" xr:uid="{00000000-0005-0000-0000-0000DE670000}"/>
    <cellStyle name="SAPBEXaggItem 10 2 6" xfId="30567" xr:uid="{087DDFF5-E1C2-4399-9217-80D462584BD0}"/>
    <cellStyle name="SAPBEXaggItem 10 3" xfId="25647" xr:uid="{00000000-0005-0000-0000-0000DF670000}"/>
    <cellStyle name="SAPBEXaggItem 10 3 2" xfId="27800" xr:uid="{00000000-0005-0000-0000-0000E0670000}"/>
    <cellStyle name="SAPBEXaggItem 10 3 2 2" xfId="32387" xr:uid="{072507D8-4F56-461F-87DD-3E5504A66281}"/>
    <cellStyle name="SAPBEXaggItem 10 3 3" xfId="27952" xr:uid="{00000000-0005-0000-0000-0000E1670000}"/>
    <cellStyle name="SAPBEXaggItem 10 3 3 2" xfId="32510" xr:uid="{8F26D6BE-33FF-46CF-B902-F04EAB5440C3}"/>
    <cellStyle name="SAPBEXaggItem 10 3 4" xfId="26882" xr:uid="{00000000-0005-0000-0000-0000E2670000}"/>
    <cellStyle name="SAPBEXaggItem 10 3 4 2" xfId="31643" xr:uid="{1F3F05EC-9B52-4B68-8634-3F260E3E6DEC}"/>
    <cellStyle name="SAPBEXaggItem 10 3 5" xfId="29504" xr:uid="{00000000-0005-0000-0000-0000E3670000}"/>
    <cellStyle name="SAPBEXaggItem 10 4" xfId="27274" xr:uid="{00000000-0005-0000-0000-0000E4670000}"/>
    <cellStyle name="SAPBEXaggItem 10 4 2" xfId="31909" xr:uid="{A1C4326E-6013-4ECF-A55C-5471B7C7F821}"/>
    <cellStyle name="SAPBEXaggItem 10 5" xfId="27950" xr:uid="{00000000-0005-0000-0000-0000E5670000}"/>
    <cellStyle name="SAPBEXaggItem 10 5 2" xfId="32508" xr:uid="{F5277112-7DF0-4B8D-9164-B8663DE8CEF8}"/>
    <cellStyle name="SAPBEXaggItem 10 6" xfId="26857" xr:uid="{00000000-0005-0000-0000-0000E6670000}"/>
    <cellStyle name="SAPBEXaggItem 10 6 2" xfId="31618" xr:uid="{9C4842F1-45BB-4F44-88A1-95852B3A1866}"/>
    <cellStyle name="SAPBEXaggItem 10 7" xfId="29502" xr:uid="{00000000-0005-0000-0000-0000E7670000}"/>
    <cellStyle name="SAPBEXaggItem 10 8" xfId="30349" xr:uid="{D4A5156A-0B15-4B6E-A55D-63F7DFA21BE2}"/>
    <cellStyle name="SAPBEXaggItem 11" xfId="25092" xr:uid="{00000000-0005-0000-0000-0000E8670000}"/>
    <cellStyle name="SAPBEXaggItem 11 2" xfId="25381" xr:uid="{00000000-0005-0000-0000-0000E9670000}"/>
    <cellStyle name="SAPBEXaggItem 11 2 2" xfId="27535" xr:uid="{00000000-0005-0000-0000-0000EA670000}"/>
    <cellStyle name="SAPBEXaggItem 11 2 2 2" xfId="32126" xr:uid="{9EF60B37-DA76-47E9-AA2B-F013E73D8547}"/>
    <cellStyle name="SAPBEXaggItem 11 2 3" xfId="27954" xr:uid="{00000000-0005-0000-0000-0000EB670000}"/>
    <cellStyle name="SAPBEXaggItem 11 2 3 2" xfId="32512" xr:uid="{D4AA14C8-5798-4FA9-B1FA-69FD2FF5A912}"/>
    <cellStyle name="SAPBEXaggItem 11 2 4" xfId="26406" xr:uid="{00000000-0005-0000-0000-0000EC670000}"/>
    <cellStyle name="SAPBEXaggItem 11 2 4 2" xfId="31194" xr:uid="{8C113BAD-F87E-4528-B8E6-E39F9AC629DC}"/>
    <cellStyle name="SAPBEXaggItem 11 2 5" xfId="29506" xr:uid="{00000000-0005-0000-0000-0000ED670000}"/>
    <cellStyle name="SAPBEXaggItem 11 2 6" xfId="30539" xr:uid="{9053DE92-000A-4A2D-A739-A4DFF2169072}"/>
    <cellStyle name="SAPBEXaggItem 11 3" xfId="25690" xr:uid="{00000000-0005-0000-0000-0000EE670000}"/>
    <cellStyle name="SAPBEXaggItem 11 3 2" xfId="27843" xr:uid="{00000000-0005-0000-0000-0000EF670000}"/>
    <cellStyle name="SAPBEXaggItem 11 3 2 2" xfId="32430" xr:uid="{3917EC53-AED7-4A4A-A917-7FB25A88AE77}"/>
    <cellStyle name="SAPBEXaggItem 11 3 3" xfId="27955" xr:uid="{00000000-0005-0000-0000-0000F0670000}"/>
    <cellStyle name="SAPBEXaggItem 11 3 3 2" xfId="32513" xr:uid="{21A5235B-3031-4DFB-9FB6-1D326A7F0F52}"/>
    <cellStyle name="SAPBEXaggItem 11 3 4" xfId="26301" xr:uid="{00000000-0005-0000-0000-0000F1670000}"/>
    <cellStyle name="SAPBEXaggItem 11 3 4 2" xfId="31089" xr:uid="{85F038BF-B8F1-465E-82BE-8E5EB06A0DF3}"/>
    <cellStyle name="SAPBEXaggItem 11 3 5" xfId="29507" xr:uid="{00000000-0005-0000-0000-0000F2670000}"/>
    <cellStyle name="SAPBEXaggItem 11 3 6" xfId="30684" xr:uid="{0AECF593-E8A6-48AF-9EAD-894F056B0478}"/>
    <cellStyle name="SAPBEXaggItem 11 4" xfId="27377" xr:uid="{00000000-0005-0000-0000-0000F3670000}"/>
    <cellStyle name="SAPBEXaggItem 11 4 2" xfId="31975" xr:uid="{8304FCC8-0802-4D5D-8448-ED0454F17D0D}"/>
    <cellStyle name="SAPBEXaggItem 11 5" xfId="27953" xr:uid="{00000000-0005-0000-0000-0000F4670000}"/>
    <cellStyle name="SAPBEXaggItem 11 5 2" xfId="32511" xr:uid="{25658C88-2B1B-4681-8D31-1076576BB356}"/>
    <cellStyle name="SAPBEXaggItem 11 6" xfId="26383" xr:uid="{00000000-0005-0000-0000-0000F5670000}"/>
    <cellStyle name="SAPBEXaggItem 11 6 2" xfId="31171" xr:uid="{7D0356DA-B7A3-484B-8302-C3C25C3622A2}"/>
    <cellStyle name="SAPBEXaggItem 11 7" xfId="29505" xr:uid="{00000000-0005-0000-0000-0000F6670000}"/>
    <cellStyle name="SAPBEXaggItem 11 8" xfId="30392" xr:uid="{4D7370D3-43AD-4149-B84C-E3D9D496FBEA}"/>
    <cellStyle name="SAPBEXaggItem 12" xfId="25819" xr:uid="{00000000-0005-0000-0000-0000F7670000}"/>
    <cellStyle name="SAPBEXaggItem 12 2" xfId="30738" xr:uid="{C44E6247-E667-40D1-AD82-825B574EB392}"/>
    <cellStyle name="SAPBEXaggItem 13" xfId="27949" xr:uid="{00000000-0005-0000-0000-0000F8670000}"/>
    <cellStyle name="SAPBEXaggItem 13 2" xfId="32507" xr:uid="{2176C963-0CFC-416B-A0B4-232FAA12E1E8}"/>
    <cellStyle name="SAPBEXaggItem 14" xfId="26205" xr:uid="{00000000-0005-0000-0000-0000F9670000}"/>
    <cellStyle name="SAPBEXaggItem 14 2" xfId="30993" xr:uid="{6862602F-FADD-4028-B18E-34A738147A8F}"/>
    <cellStyle name="SAPBEXaggItem 15" xfId="29501" xr:uid="{00000000-0005-0000-0000-0000FA670000}"/>
    <cellStyle name="SAPBEXaggItem 2" xfId="75" xr:uid="{00000000-0005-0000-0000-0000FB670000}"/>
    <cellStyle name="SAPBEXaggItem 2 2" xfId="13624" xr:uid="{00000000-0005-0000-0000-0000FC670000}"/>
    <cellStyle name="SAPBEXaggItem 2 2 2" xfId="25462" xr:uid="{00000000-0005-0000-0000-0000FD670000}"/>
    <cellStyle name="SAPBEXaggItem 2 2 2 2" xfId="27615" xr:uid="{00000000-0005-0000-0000-0000FE670000}"/>
    <cellStyle name="SAPBEXaggItem 2 2 2 2 2" xfId="32202" xr:uid="{30541DEC-64B5-4BE6-83BD-03894DAA1359}"/>
    <cellStyle name="SAPBEXaggItem 2 2 2 3" xfId="27958" xr:uid="{00000000-0005-0000-0000-0000FF670000}"/>
    <cellStyle name="SAPBEXaggItem 2 2 2 3 2" xfId="32516" xr:uid="{243936E6-9CCC-4ADE-B24B-B103CA1240FE}"/>
    <cellStyle name="SAPBEXaggItem 2 2 2 4" xfId="26317" xr:uid="{00000000-0005-0000-0000-000000680000}"/>
    <cellStyle name="SAPBEXaggItem 2 2 2 4 2" xfId="31105" xr:uid="{3A9F09F0-3B32-45E4-9A11-A75A646612DE}"/>
    <cellStyle name="SAPBEXaggItem 2 2 2 5" xfId="29510" xr:uid="{00000000-0005-0000-0000-000001680000}"/>
    <cellStyle name="SAPBEXaggItem 2 2 3" xfId="26566" xr:uid="{00000000-0005-0000-0000-000002680000}"/>
    <cellStyle name="SAPBEXaggItem 2 2 3 2" xfId="31344" xr:uid="{D6E0D68C-EEF2-410B-8506-72321522D36D}"/>
    <cellStyle name="SAPBEXaggItem 2 2 4" xfId="27957" xr:uid="{00000000-0005-0000-0000-000003680000}"/>
    <cellStyle name="SAPBEXaggItem 2 2 4 2" xfId="32515" xr:uid="{2C7299DB-CE41-4D72-BC5B-6BBED918FD1F}"/>
    <cellStyle name="SAPBEXaggItem 2 2 5" xfId="26904" xr:uid="{00000000-0005-0000-0000-000004680000}"/>
    <cellStyle name="SAPBEXaggItem 2 2 5 2" xfId="31665" xr:uid="{506E356D-917B-44CD-8505-8A3C4CA07E7D}"/>
    <cellStyle name="SAPBEXaggItem 2 2 6" xfId="29509" xr:uid="{00000000-0005-0000-0000-000005680000}"/>
    <cellStyle name="SAPBEXaggItem 2 2 7" xfId="30164" xr:uid="{ED9227BC-E626-4CE1-9D94-689DFC627FD4}"/>
    <cellStyle name="SAPBEXaggItem 2 3" xfId="25820" xr:uid="{00000000-0005-0000-0000-000006680000}"/>
    <cellStyle name="SAPBEXaggItem 2 3 2" xfId="30739" xr:uid="{F5DCAC4C-336B-46A1-AB4B-8FBE0EA3C44E}"/>
    <cellStyle name="SAPBEXaggItem 2 4" xfId="27956" xr:uid="{00000000-0005-0000-0000-000007680000}"/>
    <cellStyle name="SAPBEXaggItem 2 4 2" xfId="32514" xr:uid="{E7BB1285-BFD4-4ED4-B845-0F9ED9341F4A}"/>
    <cellStyle name="SAPBEXaggItem 2 5" xfId="26062" xr:uid="{00000000-0005-0000-0000-000008680000}"/>
    <cellStyle name="SAPBEXaggItem 2 5 2" xfId="30852" xr:uid="{443E3975-48FE-4B9B-B914-3E705D7CDB18}"/>
    <cellStyle name="SAPBEXaggItem 2 6" xfId="29508" xr:uid="{00000000-0005-0000-0000-000009680000}"/>
    <cellStyle name="SAPBEXaggItem 3" xfId="219" xr:uid="{00000000-0005-0000-0000-00000A680000}"/>
    <cellStyle name="SAPBEXaggItem 3 2" xfId="13705" xr:uid="{00000000-0005-0000-0000-00000B680000}"/>
    <cellStyle name="SAPBEXaggItem 3 2 2" xfId="25519" xr:uid="{00000000-0005-0000-0000-00000C680000}"/>
    <cellStyle name="SAPBEXaggItem 3 2 2 2" xfId="27672" xr:uid="{00000000-0005-0000-0000-00000D680000}"/>
    <cellStyle name="SAPBEXaggItem 3 2 2 2 2" xfId="32259" xr:uid="{E0D9915F-48B2-4A39-A1C6-B538D9B38EEF}"/>
    <cellStyle name="SAPBEXaggItem 3 2 2 3" xfId="27961" xr:uid="{00000000-0005-0000-0000-00000E680000}"/>
    <cellStyle name="SAPBEXaggItem 3 2 2 3 2" xfId="32519" xr:uid="{A36459F3-A8BF-46E1-99C3-E1E1370FE7E6}"/>
    <cellStyle name="SAPBEXaggItem 3 2 2 4" xfId="26391" xr:uid="{00000000-0005-0000-0000-00000F680000}"/>
    <cellStyle name="SAPBEXaggItem 3 2 2 4 2" xfId="31179" xr:uid="{2001A3B1-D2F7-40F1-9F97-31ECF3C5AB7E}"/>
    <cellStyle name="SAPBEXaggItem 3 2 2 5" xfId="29513" xr:uid="{00000000-0005-0000-0000-000010680000}"/>
    <cellStyle name="SAPBEXaggItem 3 2 3" xfId="26625" xr:uid="{00000000-0005-0000-0000-000011680000}"/>
    <cellStyle name="SAPBEXaggItem 3 2 3 2" xfId="31402" xr:uid="{55D7E3F3-579D-414B-BDD8-77933C8AE563}"/>
    <cellStyle name="SAPBEXaggItem 3 2 4" xfId="27960" xr:uid="{00000000-0005-0000-0000-000012680000}"/>
    <cellStyle name="SAPBEXaggItem 3 2 4 2" xfId="32518" xr:uid="{C9F67F0F-C2F5-4DB9-8A37-DE5151299EA9}"/>
    <cellStyle name="SAPBEXaggItem 3 2 5" xfId="26266" xr:uid="{00000000-0005-0000-0000-000013680000}"/>
    <cellStyle name="SAPBEXaggItem 3 2 5 2" xfId="31054" xr:uid="{2CB9EBD2-ED97-42D5-8BF5-DC9776F42581}"/>
    <cellStyle name="SAPBEXaggItem 3 2 6" xfId="29512" xr:uid="{00000000-0005-0000-0000-000014680000}"/>
    <cellStyle name="SAPBEXaggItem 3 2 7" xfId="30221" xr:uid="{D10B12E2-130C-4B7C-964C-454B96EA5F50}"/>
    <cellStyle name="SAPBEXaggItem 3 3" xfId="25908" xr:uid="{00000000-0005-0000-0000-000015680000}"/>
    <cellStyle name="SAPBEXaggItem 3 3 2" xfId="30797" xr:uid="{93CC1510-AFC5-4F35-890C-252E33BC0A70}"/>
    <cellStyle name="SAPBEXaggItem 3 4" xfId="27959" xr:uid="{00000000-0005-0000-0000-000016680000}"/>
    <cellStyle name="SAPBEXaggItem 3 4 2" xfId="32517" xr:uid="{D92CA0BD-2D77-45C8-82F1-BF46574C2C5B}"/>
    <cellStyle name="SAPBEXaggItem 3 5" xfId="26052" xr:uid="{00000000-0005-0000-0000-000017680000}"/>
    <cellStyle name="SAPBEXaggItem 3 5 2" xfId="30844" xr:uid="{07EC4D8B-E13C-47C3-91FD-1C8BB3D41CEE}"/>
    <cellStyle name="SAPBEXaggItem 3 6" xfId="29511" xr:uid="{00000000-0005-0000-0000-000018680000}"/>
    <cellStyle name="SAPBEXaggItem 4" xfId="220" xr:uid="{00000000-0005-0000-0000-000019680000}"/>
    <cellStyle name="SAPBEXaggItem 4 2" xfId="13706" xr:uid="{00000000-0005-0000-0000-00001A680000}"/>
    <cellStyle name="SAPBEXaggItem 4 2 2" xfId="25520" xr:uid="{00000000-0005-0000-0000-00001B680000}"/>
    <cellStyle name="SAPBEXaggItem 4 2 2 2" xfId="27673" xr:uid="{00000000-0005-0000-0000-00001C680000}"/>
    <cellStyle name="SAPBEXaggItem 4 2 2 2 2" xfId="32260" xr:uid="{12BE9DC6-3CEC-420A-B5DF-31866BD31115}"/>
    <cellStyle name="SAPBEXaggItem 4 2 2 3" xfId="27964" xr:uid="{00000000-0005-0000-0000-00001D680000}"/>
    <cellStyle name="SAPBEXaggItem 4 2 2 3 2" xfId="32522" xr:uid="{3683C39F-22FE-4CFE-8E83-EF5C4FDE981B}"/>
    <cellStyle name="SAPBEXaggItem 4 2 2 4" xfId="27163" xr:uid="{00000000-0005-0000-0000-00001E680000}"/>
    <cellStyle name="SAPBEXaggItem 4 2 2 4 2" xfId="31854" xr:uid="{2C9E21CE-4E16-4A3E-93F1-2B22D5B5B9FF}"/>
    <cellStyle name="SAPBEXaggItem 4 2 2 5" xfId="29516" xr:uid="{00000000-0005-0000-0000-00001F680000}"/>
    <cellStyle name="SAPBEXaggItem 4 2 3" xfId="26626" xr:uid="{00000000-0005-0000-0000-000020680000}"/>
    <cellStyle name="SAPBEXaggItem 4 2 3 2" xfId="31403" xr:uid="{29E490A9-FFE6-4DBB-8117-4AEE49724ED3}"/>
    <cellStyle name="SAPBEXaggItem 4 2 4" xfId="27963" xr:uid="{00000000-0005-0000-0000-000021680000}"/>
    <cellStyle name="SAPBEXaggItem 4 2 4 2" xfId="32521" xr:uid="{2C5E36BC-A357-4C32-BA7C-D8FE10BE020B}"/>
    <cellStyle name="SAPBEXaggItem 4 2 5" xfId="26768" xr:uid="{00000000-0005-0000-0000-000022680000}"/>
    <cellStyle name="SAPBEXaggItem 4 2 5 2" xfId="31529" xr:uid="{B6F2BA62-FD11-4C09-9643-0B51AD09C6A5}"/>
    <cellStyle name="SAPBEXaggItem 4 2 6" xfId="29515" xr:uid="{00000000-0005-0000-0000-000023680000}"/>
    <cellStyle name="SAPBEXaggItem 4 2 7" xfId="30222" xr:uid="{2BD0EDD7-9FF1-4F38-BB5B-89384F5A2462}"/>
    <cellStyle name="SAPBEXaggItem 4 3" xfId="25909" xr:uid="{00000000-0005-0000-0000-000024680000}"/>
    <cellStyle name="SAPBEXaggItem 4 3 2" xfId="30798" xr:uid="{3BB2477D-00FB-4CDC-97E2-DAC118639692}"/>
    <cellStyle name="SAPBEXaggItem 4 4" xfId="27962" xr:uid="{00000000-0005-0000-0000-000025680000}"/>
    <cellStyle name="SAPBEXaggItem 4 4 2" xfId="32520" xr:uid="{6D5015CE-FF43-4B1C-B7CB-18ACE62B6A46}"/>
    <cellStyle name="SAPBEXaggItem 4 5" xfId="26183" xr:uid="{00000000-0005-0000-0000-000026680000}"/>
    <cellStyle name="SAPBEXaggItem 4 5 2" xfId="30971" xr:uid="{C3C28DB1-4E5B-4A9F-B559-C69A309D466D}"/>
    <cellStyle name="SAPBEXaggItem 4 6" xfId="29514" xr:uid="{00000000-0005-0000-0000-000027680000}"/>
    <cellStyle name="SAPBEXaggItem 5" xfId="221" xr:uid="{00000000-0005-0000-0000-000028680000}"/>
    <cellStyle name="SAPBEXaggItem 5 2" xfId="13707" xr:uid="{00000000-0005-0000-0000-000029680000}"/>
    <cellStyle name="SAPBEXaggItem 5 2 2" xfId="25521" xr:uid="{00000000-0005-0000-0000-00002A680000}"/>
    <cellStyle name="SAPBEXaggItem 5 2 2 2" xfId="27674" xr:uid="{00000000-0005-0000-0000-00002B680000}"/>
    <cellStyle name="SAPBEXaggItem 5 2 2 2 2" xfId="32261" xr:uid="{F182A2F6-136E-4C5C-B752-423E88972946}"/>
    <cellStyle name="SAPBEXaggItem 5 2 2 3" xfId="27967" xr:uid="{00000000-0005-0000-0000-00002C680000}"/>
    <cellStyle name="SAPBEXaggItem 5 2 2 3 2" xfId="32525" xr:uid="{21CE2B0C-82D9-4D40-BBE0-03E0CB1F148F}"/>
    <cellStyle name="SAPBEXaggItem 5 2 2 4" xfId="26981" xr:uid="{00000000-0005-0000-0000-00002D680000}"/>
    <cellStyle name="SAPBEXaggItem 5 2 2 4 2" xfId="31742" xr:uid="{5EDE199C-AC74-4F72-A100-2351A2C24FA1}"/>
    <cellStyle name="SAPBEXaggItem 5 2 2 5" xfId="29519" xr:uid="{00000000-0005-0000-0000-00002E680000}"/>
    <cellStyle name="SAPBEXaggItem 5 2 3" xfId="26627" xr:uid="{00000000-0005-0000-0000-00002F680000}"/>
    <cellStyle name="SAPBEXaggItem 5 2 3 2" xfId="31404" xr:uid="{F06AB396-BE62-4021-B130-0CFFC7C032E9}"/>
    <cellStyle name="SAPBEXaggItem 5 2 4" xfId="27966" xr:uid="{00000000-0005-0000-0000-000030680000}"/>
    <cellStyle name="SAPBEXaggItem 5 2 4 2" xfId="32524" xr:uid="{19737641-C03F-4A72-A575-F51089BCABE1}"/>
    <cellStyle name="SAPBEXaggItem 5 2 5" xfId="26119" xr:uid="{00000000-0005-0000-0000-000031680000}"/>
    <cellStyle name="SAPBEXaggItem 5 2 5 2" xfId="30909" xr:uid="{C9550E93-7063-404A-B355-B3C27B905E31}"/>
    <cellStyle name="SAPBEXaggItem 5 2 6" xfId="29518" xr:uid="{00000000-0005-0000-0000-000032680000}"/>
    <cellStyle name="SAPBEXaggItem 5 2 7" xfId="30223" xr:uid="{EC26C7B1-6A5D-420F-B943-F9928E2DB865}"/>
    <cellStyle name="SAPBEXaggItem 5 3" xfId="25910" xr:uid="{00000000-0005-0000-0000-000033680000}"/>
    <cellStyle name="SAPBEXaggItem 5 3 2" xfId="30799" xr:uid="{C46D9E85-4898-4E54-8A1C-59F7B438F9C1}"/>
    <cellStyle name="SAPBEXaggItem 5 4" xfId="27965" xr:uid="{00000000-0005-0000-0000-000034680000}"/>
    <cellStyle name="SAPBEXaggItem 5 4 2" xfId="32523" xr:uid="{7679A9AF-7641-43FE-B6C7-A5314B750B0C}"/>
    <cellStyle name="SAPBEXaggItem 5 5" xfId="26306" xr:uid="{00000000-0005-0000-0000-000035680000}"/>
    <cellStyle name="SAPBEXaggItem 5 5 2" xfId="31094" xr:uid="{E519DC92-CF95-41D7-8289-DB84D6485529}"/>
    <cellStyle name="SAPBEXaggItem 5 6" xfId="29517" xr:uid="{00000000-0005-0000-0000-000036680000}"/>
    <cellStyle name="SAPBEXaggItem 6" xfId="222" xr:uid="{00000000-0005-0000-0000-000037680000}"/>
    <cellStyle name="SAPBEXaggItem 6 2" xfId="13708" xr:uid="{00000000-0005-0000-0000-000038680000}"/>
    <cellStyle name="SAPBEXaggItem 6 2 2" xfId="25522" xr:uid="{00000000-0005-0000-0000-000039680000}"/>
    <cellStyle name="SAPBEXaggItem 6 2 2 2" xfId="27675" xr:uid="{00000000-0005-0000-0000-00003A680000}"/>
    <cellStyle name="SAPBEXaggItem 6 2 2 2 2" xfId="32262" xr:uid="{70242670-B391-433E-A32A-C92D71F3AD0A}"/>
    <cellStyle name="SAPBEXaggItem 6 2 2 3" xfId="27970" xr:uid="{00000000-0005-0000-0000-00003B680000}"/>
    <cellStyle name="SAPBEXaggItem 6 2 2 3 2" xfId="32528" xr:uid="{64E16CD8-6486-4FE8-8F4E-E69AE53A5526}"/>
    <cellStyle name="SAPBEXaggItem 6 2 2 4" xfId="26906" xr:uid="{00000000-0005-0000-0000-00003C680000}"/>
    <cellStyle name="SAPBEXaggItem 6 2 2 4 2" xfId="31667" xr:uid="{D3E14612-9744-4683-93F9-2B2638AA0336}"/>
    <cellStyle name="SAPBEXaggItem 6 2 2 5" xfId="29522" xr:uid="{00000000-0005-0000-0000-00003D680000}"/>
    <cellStyle name="SAPBEXaggItem 6 2 3" xfId="26628" xr:uid="{00000000-0005-0000-0000-00003E680000}"/>
    <cellStyle name="SAPBEXaggItem 6 2 3 2" xfId="31405" xr:uid="{716FFE8D-5284-49AB-89D9-99DE794BA86D}"/>
    <cellStyle name="SAPBEXaggItem 6 2 4" xfId="27969" xr:uid="{00000000-0005-0000-0000-00003F680000}"/>
    <cellStyle name="SAPBEXaggItem 6 2 4 2" xfId="32527" xr:uid="{78C3EFA7-7D05-4EA5-9401-D28A456615DB}"/>
    <cellStyle name="SAPBEXaggItem 6 2 5" xfId="26461" xr:uid="{00000000-0005-0000-0000-000040680000}"/>
    <cellStyle name="SAPBEXaggItem 6 2 5 2" xfId="31249" xr:uid="{99BEE67C-2864-45E8-BB85-005360524347}"/>
    <cellStyle name="SAPBEXaggItem 6 2 6" xfId="29521" xr:uid="{00000000-0005-0000-0000-000041680000}"/>
    <cellStyle name="SAPBEXaggItem 6 2 7" xfId="30224" xr:uid="{B15A37A5-992A-4823-A40D-4B5688652881}"/>
    <cellStyle name="SAPBEXaggItem 6 3" xfId="25911" xr:uid="{00000000-0005-0000-0000-000042680000}"/>
    <cellStyle name="SAPBEXaggItem 6 3 2" xfId="30800" xr:uid="{A0E1E6C9-5E57-4A3B-953C-13A06DD4CFF2}"/>
    <cellStyle name="SAPBEXaggItem 6 4" xfId="27968" xr:uid="{00000000-0005-0000-0000-000043680000}"/>
    <cellStyle name="SAPBEXaggItem 6 4 2" xfId="32526" xr:uid="{785162A5-177D-43D5-82A9-26E82C406B05}"/>
    <cellStyle name="SAPBEXaggItem 6 5" xfId="28548" xr:uid="{00000000-0005-0000-0000-000044680000}"/>
    <cellStyle name="SAPBEXaggItem 6 5 2" xfId="33106" xr:uid="{2467F98B-6CD6-483E-B94B-CC3FF76D9299}"/>
    <cellStyle name="SAPBEXaggItem 6 6" xfId="29520" xr:uid="{00000000-0005-0000-0000-000045680000}"/>
    <cellStyle name="SAPBEXaggItem 7" xfId="223" xr:uid="{00000000-0005-0000-0000-000046680000}"/>
    <cellStyle name="SAPBEXaggItem 7 2" xfId="13709" xr:uid="{00000000-0005-0000-0000-000047680000}"/>
    <cellStyle name="SAPBEXaggItem 7 2 2" xfId="25523" xr:uid="{00000000-0005-0000-0000-000048680000}"/>
    <cellStyle name="SAPBEXaggItem 7 2 2 2" xfId="27676" xr:uid="{00000000-0005-0000-0000-000049680000}"/>
    <cellStyle name="SAPBEXaggItem 7 2 2 2 2" xfId="32263" xr:uid="{EBD34FBB-AB38-416A-B8B3-69982702EC2D}"/>
    <cellStyle name="SAPBEXaggItem 7 2 2 3" xfId="27973" xr:uid="{00000000-0005-0000-0000-00004A680000}"/>
    <cellStyle name="SAPBEXaggItem 7 2 2 3 2" xfId="32531" xr:uid="{BB800DF0-1DAA-4642-936B-B343D0B7F122}"/>
    <cellStyle name="SAPBEXaggItem 7 2 2 4" xfId="26186" xr:uid="{00000000-0005-0000-0000-00004B680000}"/>
    <cellStyle name="SAPBEXaggItem 7 2 2 4 2" xfId="30974" xr:uid="{0947358E-CCFC-4C3B-A089-E811AFFD7A4F}"/>
    <cellStyle name="SAPBEXaggItem 7 2 2 5" xfId="29525" xr:uid="{00000000-0005-0000-0000-00004C680000}"/>
    <cellStyle name="SAPBEXaggItem 7 2 3" xfId="26629" xr:uid="{00000000-0005-0000-0000-00004D680000}"/>
    <cellStyle name="SAPBEXaggItem 7 2 3 2" xfId="31406" xr:uid="{3C3E1C8D-AF5E-4346-9571-C9A85D4981D3}"/>
    <cellStyle name="SAPBEXaggItem 7 2 4" xfId="27972" xr:uid="{00000000-0005-0000-0000-00004E680000}"/>
    <cellStyle name="SAPBEXaggItem 7 2 4 2" xfId="32530" xr:uid="{DC1BEBE2-944A-499F-BB39-BDE5FDD96BE0}"/>
    <cellStyle name="SAPBEXaggItem 7 2 5" xfId="26674" xr:uid="{00000000-0005-0000-0000-00004F680000}"/>
    <cellStyle name="SAPBEXaggItem 7 2 5 2" xfId="31442" xr:uid="{EFC2B2CC-BD19-48E7-ADD3-7633624B8FD2}"/>
    <cellStyle name="SAPBEXaggItem 7 2 6" xfId="29524" xr:uid="{00000000-0005-0000-0000-000050680000}"/>
    <cellStyle name="SAPBEXaggItem 7 2 7" xfId="30225" xr:uid="{93D4D274-EF56-4D53-A2C2-780C19DB2077}"/>
    <cellStyle name="SAPBEXaggItem 7 3" xfId="25912" xr:uid="{00000000-0005-0000-0000-000051680000}"/>
    <cellStyle name="SAPBEXaggItem 7 3 2" xfId="30801" xr:uid="{24FEE470-F957-4AE2-A667-1246E849CB65}"/>
    <cellStyle name="SAPBEXaggItem 7 4" xfId="27971" xr:uid="{00000000-0005-0000-0000-000052680000}"/>
    <cellStyle name="SAPBEXaggItem 7 4 2" xfId="32529" xr:uid="{3785EF5F-7D19-48B9-A212-019611222EE3}"/>
    <cellStyle name="SAPBEXaggItem 7 5" xfId="26552" xr:uid="{00000000-0005-0000-0000-000053680000}"/>
    <cellStyle name="SAPBEXaggItem 7 5 2" xfId="31339" xr:uid="{6C1414BD-BA99-482D-91DF-8FB1FFA52A56}"/>
    <cellStyle name="SAPBEXaggItem 7 6" xfId="29523" xr:uid="{00000000-0005-0000-0000-000054680000}"/>
    <cellStyle name="SAPBEXaggItem 8" xfId="411" xr:uid="{00000000-0005-0000-0000-000055680000}"/>
    <cellStyle name="SAPBEXaggItem 8 2" xfId="13793" xr:uid="{00000000-0005-0000-0000-000056680000}"/>
    <cellStyle name="SAPBEXaggItem 8 2 2" xfId="25551" xr:uid="{00000000-0005-0000-0000-000057680000}"/>
    <cellStyle name="SAPBEXaggItem 8 2 2 2" xfId="27704" xr:uid="{00000000-0005-0000-0000-000058680000}"/>
    <cellStyle name="SAPBEXaggItem 8 2 2 2 2" xfId="32291" xr:uid="{6DC406AE-AFAB-430F-BB81-C19AC3759CAD}"/>
    <cellStyle name="SAPBEXaggItem 8 2 2 3" xfId="27976" xr:uid="{00000000-0005-0000-0000-000059680000}"/>
    <cellStyle name="SAPBEXaggItem 8 2 2 3 2" xfId="32534" xr:uid="{A62B6919-3A28-4B77-9088-6248D3894C4C}"/>
    <cellStyle name="SAPBEXaggItem 8 2 2 4" xfId="26749" xr:uid="{00000000-0005-0000-0000-00005A680000}"/>
    <cellStyle name="SAPBEXaggItem 8 2 2 4 2" xfId="31510" xr:uid="{C5A1CBE1-0A18-4D98-A417-4D7C7C78A386}"/>
    <cellStyle name="SAPBEXaggItem 8 2 2 5" xfId="29528" xr:uid="{00000000-0005-0000-0000-00005B680000}"/>
    <cellStyle name="SAPBEXaggItem 8 2 3" xfId="26668" xr:uid="{00000000-0005-0000-0000-00005C680000}"/>
    <cellStyle name="SAPBEXaggItem 8 2 3 2" xfId="31436" xr:uid="{B03BDD18-ECB6-4043-9A45-CB0F52B045C9}"/>
    <cellStyle name="SAPBEXaggItem 8 2 4" xfId="27975" xr:uid="{00000000-0005-0000-0000-00005D680000}"/>
    <cellStyle name="SAPBEXaggItem 8 2 4 2" xfId="32533" xr:uid="{0E5B1CAB-01AA-4311-94CA-01FE43D408A0}"/>
    <cellStyle name="SAPBEXaggItem 8 2 5" xfId="26268" xr:uid="{00000000-0005-0000-0000-00005E680000}"/>
    <cellStyle name="SAPBEXaggItem 8 2 5 2" xfId="31056" xr:uid="{EE3482CC-69F4-4A2F-8923-9709F6E4F82F}"/>
    <cellStyle name="SAPBEXaggItem 8 2 6" xfId="29527" xr:uid="{00000000-0005-0000-0000-00005F680000}"/>
    <cellStyle name="SAPBEXaggItem 8 2 7" xfId="30253" xr:uid="{CD4C6A4F-2D00-43B8-A2A1-C00F1C983D88}"/>
    <cellStyle name="SAPBEXaggItem 8 3" xfId="26009" xr:uid="{00000000-0005-0000-0000-000060680000}"/>
    <cellStyle name="SAPBEXaggItem 8 3 2" xfId="30830" xr:uid="{F4355A6D-9509-40F8-B850-5671C68611F1}"/>
    <cellStyle name="SAPBEXaggItem 8 4" xfId="27974" xr:uid="{00000000-0005-0000-0000-000061680000}"/>
    <cellStyle name="SAPBEXaggItem 8 4 2" xfId="32532" xr:uid="{AA875B7C-BC23-4749-92BC-B9B05C4B6BAE}"/>
    <cellStyle name="SAPBEXaggItem 8 5" xfId="29181" xr:uid="{00000000-0005-0000-0000-000062680000}"/>
    <cellStyle name="SAPBEXaggItem 8 5 2" xfId="33164" xr:uid="{044A6D63-FE23-47F8-BDF8-EF2266674E38}"/>
    <cellStyle name="SAPBEXaggItem 8 6" xfId="29526" xr:uid="{00000000-0005-0000-0000-000063680000}"/>
    <cellStyle name="SAPBEXaggItem 9" xfId="13623" xr:uid="{00000000-0005-0000-0000-000064680000}"/>
    <cellStyle name="SAPBEXaggItem 9 2" xfId="25461" xr:uid="{00000000-0005-0000-0000-000065680000}"/>
    <cellStyle name="SAPBEXaggItem 9 2 2" xfId="27614" xr:uid="{00000000-0005-0000-0000-000066680000}"/>
    <cellStyle name="SAPBEXaggItem 9 2 2 2" xfId="32201" xr:uid="{6F39F519-175A-4458-A2E2-F7268719BA68}"/>
    <cellStyle name="SAPBEXaggItem 9 2 3" xfId="27978" xr:uid="{00000000-0005-0000-0000-000067680000}"/>
    <cellStyle name="SAPBEXaggItem 9 2 3 2" xfId="32536" xr:uid="{BA009972-05DE-4CB5-9159-D82C0754E3BF}"/>
    <cellStyle name="SAPBEXaggItem 9 2 4" xfId="26932" xr:uid="{00000000-0005-0000-0000-000068680000}"/>
    <cellStyle name="SAPBEXaggItem 9 2 4 2" xfId="31693" xr:uid="{6E2AEDC1-4E65-4E81-AEDB-CA430703B994}"/>
    <cellStyle name="SAPBEXaggItem 9 2 5" xfId="29530" xr:uid="{00000000-0005-0000-0000-000069680000}"/>
    <cellStyle name="SAPBEXaggItem 9 3" xfId="26565" xr:uid="{00000000-0005-0000-0000-00006A680000}"/>
    <cellStyle name="SAPBEXaggItem 9 3 2" xfId="31343" xr:uid="{D1091849-BA48-47B0-A0E7-37C4271F0CEC}"/>
    <cellStyle name="SAPBEXaggItem 9 4" xfId="27977" xr:uid="{00000000-0005-0000-0000-00006B680000}"/>
    <cellStyle name="SAPBEXaggItem 9 4 2" xfId="32535" xr:uid="{5DDDB630-060D-4F5C-AE8A-7E4F56371789}"/>
    <cellStyle name="SAPBEXaggItem 9 5" xfId="26693" xr:uid="{00000000-0005-0000-0000-00006C680000}"/>
    <cellStyle name="SAPBEXaggItem 9 5 2" xfId="31455" xr:uid="{EA69DF50-6BD8-4607-B275-05982B5FC0D9}"/>
    <cellStyle name="SAPBEXaggItem 9 6" xfId="29529" xr:uid="{00000000-0005-0000-0000-00006D680000}"/>
    <cellStyle name="SAPBEXaggItem 9 7" xfId="30163" xr:uid="{FE338DFF-0566-43F1-9D21-BC40584365A3}"/>
    <cellStyle name="SAPBEXaggItem_Copy of xSAPtemp5457" xfId="224" xr:uid="{00000000-0005-0000-0000-00006E680000}"/>
    <cellStyle name="SAPBEXaggItemX" xfId="76" xr:uid="{00000000-0005-0000-0000-00006F680000}"/>
    <cellStyle name="SAPBEXaggItemX 2" xfId="13625" xr:uid="{00000000-0005-0000-0000-000070680000}"/>
    <cellStyle name="SAPBEXaggItemX 2 2" xfId="25463" xr:uid="{00000000-0005-0000-0000-000071680000}"/>
    <cellStyle name="SAPBEXaggItemX 2 2 2" xfId="27616" xr:uid="{00000000-0005-0000-0000-000072680000}"/>
    <cellStyle name="SAPBEXaggItemX 2 2 2 2" xfId="32203" xr:uid="{3D0DDBDD-ECB6-4C89-A9F5-8B3D42B5B212}"/>
    <cellStyle name="SAPBEXaggItemX 2 2 3" xfId="27981" xr:uid="{00000000-0005-0000-0000-000073680000}"/>
    <cellStyle name="SAPBEXaggItemX 2 2 3 2" xfId="32539" xr:uid="{8DFA4C58-695F-4348-93AD-2BC8D97DE1D8}"/>
    <cellStyle name="SAPBEXaggItemX 2 2 4" xfId="26133" xr:uid="{00000000-0005-0000-0000-000074680000}"/>
    <cellStyle name="SAPBEXaggItemX 2 2 4 2" xfId="30923" xr:uid="{7BD78918-C3F4-4C69-BE60-AD3CD26405E7}"/>
    <cellStyle name="SAPBEXaggItemX 2 2 5" xfId="29533" xr:uid="{00000000-0005-0000-0000-000075680000}"/>
    <cellStyle name="SAPBEXaggItemX 2 3" xfId="26567" xr:uid="{00000000-0005-0000-0000-000076680000}"/>
    <cellStyle name="SAPBEXaggItemX 2 3 2" xfId="31345" xr:uid="{88F7FD74-E7E7-4F12-896A-1A971E1122D2}"/>
    <cellStyle name="SAPBEXaggItemX 2 4" xfId="27980" xr:uid="{00000000-0005-0000-0000-000077680000}"/>
    <cellStyle name="SAPBEXaggItemX 2 4 2" xfId="32538" xr:uid="{6634B7BE-23B0-4015-AB5A-D81307B2A401}"/>
    <cellStyle name="SAPBEXaggItemX 2 5" xfId="26518" xr:uid="{00000000-0005-0000-0000-000078680000}"/>
    <cellStyle name="SAPBEXaggItemX 2 5 2" xfId="31306" xr:uid="{C0E7BED4-4E66-4354-A7F2-BF688CE3F0D2}"/>
    <cellStyle name="SAPBEXaggItemX 2 6" xfId="29532" xr:uid="{00000000-0005-0000-0000-000079680000}"/>
    <cellStyle name="SAPBEXaggItemX 2 7" xfId="30165" xr:uid="{A88E2D5C-E34D-4436-A471-5C092A1AD7D6}"/>
    <cellStyle name="SAPBEXaggItemX 3" xfId="24683" xr:uid="{00000000-0005-0000-0000-00007A680000}"/>
    <cellStyle name="SAPBEXaggItemX 3 2" xfId="25307" xr:uid="{00000000-0005-0000-0000-00007B680000}"/>
    <cellStyle name="SAPBEXaggItemX 3 2 2" xfId="27461" xr:uid="{00000000-0005-0000-0000-00007C680000}"/>
    <cellStyle name="SAPBEXaggItemX 3 2 2 2" xfId="32053" xr:uid="{1AFDC90F-B368-4960-8CA2-66D4AB7968AC}"/>
    <cellStyle name="SAPBEXaggItemX 3 2 3" xfId="27983" xr:uid="{00000000-0005-0000-0000-00007D680000}"/>
    <cellStyle name="SAPBEXaggItemX 3 2 3 2" xfId="32541" xr:uid="{E3D80079-1F75-45FF-8268-96B13D753AA7}"/>
    <cellStyle name="SAPBEXaggItemX 3 2 4" xfId="26219" xr:uid="{00000000-0005-0000-0000-00007E680000}"/>
    <cellStyle name="SAPBEXaggItemX 3 2 4 2" xfId="31007" xr:uid="{0C62C2E9-D7C8-4697-8625-4E7930349DF8}"/>
    <cellStyle name="SAPBEXaggItemX 3 2 5" xfId="29535" xr:uid="{00000000-0005-0000-0000-00007F680000}"/>
    <cellStyle name="SAPBEXaggItemX 3 2 6" xfId="30466" xr:uid="{EB379C1D-B549-4431-B94F-557B600FA736}"/>
    <cellStyle name="SAPBEXaggItemX 3 3" xfId="25646" xr:uid="{00000000-0005-0000-0000-000080680000}"/>
    <cellStyle name="SAPBEXaggItemX 3 3 2" xfId="27799" xr:uid="{00000000-0005-0000-0000-000081680000}"/>
    <cellStyle name="SAPBEXaggItemX 3 3 2 2" xfId="32386" xr:uid="{3D69005C-1E99-47E1-A0DF-C3762968EDF4}"/>
    <cellStyle name="SAPBEXaggItemX 3 3 3" xfId="27984" xr:uid="{00000000-0005-0000-0000-000082680000}"/>
    <cellStyle name="SAPBEXaggItemX 3 3 3 2" xfId="32542" xr:uid="{CA5A6CB4-D863-44E1-9501-FF486F065B2B}"/>
    <cellStyle name="SAPBEXaggItemX 3 3 4" xfId="26155" xr:uid="{00000000-0005-0000-0000-000083680000}"/>
    <cellStyle name="SAPBEXaggItemX 3 3 4 2" xfId="30944" xr:uid="{59538DF5-9FBA-425E-8707-AF093049DF6D}"/>
    <cellStyle name="SAPBEXaggItemX 3 3 5" xfId="29536" xr:uid="{00000000-0005-0000-0000-000084680000}"/>
    <cellStyle name="SAPBEXaggItemX 3 4" xfId="27273" xr:uid="{00000000-0005-0000-0000-000085680000}"/>
    <cellStyle name="SAPBEXaggItemX 3 4 2" xfId="31908" xr:uid="{34208321-D694-4D9A-973D-F5BCD079944D}"/>
    <cellStyle name="SAPBEXaggItemX 3 5" xfId="27982" xr:uid="{00000000-0005-0000-0000-000086680000}"/>
    <cellStyle name="SAPBEXaggItemX 3 5 2" xfId="32540" xr:uid="{A69CFC7F-B0CD-4AD8-99E4-58640D9437AB}"/>
    <cellStyle name="SAPBEXaggItemX 3 6" xfId="26397" xr:uid="{00000000-0005-0000-0000-000087680000}"/>
    <cellStyle name="SAPBEXaggItemX 3 6 2" xfId="31185" xr:uid="{86F95E1E-BC1E-4FF6-8F2B-503A51CC5205}"/>
    <cellStyle name="SAPBEXaggItemX 3 7" xfId="29534" xr:uid="{00000000-0005-0000-0000-000088680000}"/>
    <cellStyle name="SAPBEXaggItemX 3 8" xfId="30348" xr:uid="{4425BD61-A63C-48B8-9A45-44CB2286B401}"/>
    <cellStyle name="SAPBEXaggItemX 4" xfId="25093" xr:uid="{00000000-0005-0000-0000-000089680000}"/>
    <cellStyle name="SAPBEXaggItemX 4 2" xfId="25395" xr:uid="{00000000-0005-0000-0000-00008A680000}"/>
    <cellStyle name="SAPBEXaggItemX 4 2 2" xfId="27549" xr:uid="{00000000-0005-0000-0000-00008B680000}"/>
    <cellStyle name="SAPBEXaggItemX 4 2 2 2" xfId="32140" xr:uid="{BC345D24-6B68-448C-B0B6-4ABFFFCD884B}"/>
    <cellStyle name="SAPBEXaggItemX 4 2 3" xfId="27986" xr:uid="{00000000-0005-0000-0000-00008C680000}"/>
    <cellStyle name="SAPBEXaggItemX 4 2 3 2" xfId="32544" xr:uid="{E063319A-C3FB-4269-BD04-3D3064CC6744}"/>
    <cellStyle name="SAPBEXaggItemX 4 2 4" xfId="26434" xr:uid="{00000000-0005-0000-0000-00008D680000}"/>
    <cellStyle name="SAPBEXaggItemX 4 2 4 2" xfId="31222" xr:uid="{C09F4D9E-8699-4F51-9273-0E9BA5F3AD36}"/>
    <cellStyle name="SAPBEXaggItemX 4 2 5" xfId="29538" xr:uid="{00000000-0005-0000-0000-00008E680000}"/>
    <cellStyle name="SAPBEXaggItemX 4 2 6" xfId="30553" xr:uid="{89CA3523-B029-4017-8D75-D77B5F1D5D6D}"/>
    <cellStyle name="SAPBEXaggItemX 4 3" xfId="25691" xr:uid="{00000000-0005-0000-0000-00008F680000}"/>
    <cellStyle name="SAPBEXaggItemX 4 3 2" xfId="27844" xr:uid="{00000000-0005-0000-0000-000090680000}"/>
    <cellStyle name="SAPBEXaggItemX 4 3 2 2" xfId="32431" xr:uid="{D9ADC7DD-7C60-4DCA-8668-1E03A9C2A4F7}"/>
    <cellStyle name="SAPBEXaggItemX 4 3 3" xfId="27987" xr:uid="{00000000-0005-0000-0000-000091680000}"/>
    <cellStyle name="SAPBEXaggItemX 4 3 3 2" xfId="32545" xr:uid="{2E0BF6CA-7DD3-46B5-A1FF-6047CBCFFABD}"/>
    <cellStyle name="SAPBEXaggItemX 4 3 4" xfId="26430" xr:uid="{00000000-0005-0000-0000-000092680000}"/>
    <cellStyle name="SAPBEXaggItemX 4 3 4 2" xfId="31218" xr:uid="{AF88F052-4CE3-461E-ABB1-6DC5857EB68A}"/>
    <cellStyle name="SAPBEXaggItemX 4 3 5" xfId="29539" xr:uid="{00000000-0005-0000-0000-000093680000}"/>
    <cellStyle name="SAPBEXaggItemX 4 3 6" xfId="30685" xr:uid="{F2CE445F-BA63-4C65-92D1-EA0CD236EB36}"/>
    <cellStyle name="SAPBEXaggItemX 4 4" xfId="27378" xr:uid="{00000000-0005-0000-0000-000094680000}"/>
    <cellStyle name="SAPBEXaggItemX 4 4 2" xfId="31976" xr:uid="{597C89C4-CC5E-46F2-8989-D025EFA05486}"/>
    <cellStyle name="SAPBEXaggItemX 4 5" xfId="27985" xr:uid="{00000000-0005-0000-0000-000095680000}"/>
    <cellStyle name="SAPBEXaggItemX 4 5 2" xfId="32543" xr:uid="{6CE6FC7B-1900-42DD-B9B3-BB72A114F1DF}"/>
    <cellStyle name="SAPBEXaggItemX 4 6" xfId="26836" xr:uid="{00000000-0005-0000-0000-000096680000}"/>
    <cellStyle name="SAPBEXaggItemX 4 6 2" xfId="31597" xr:uid="{A9C8BAAE-F7FA-400F-A25E-19C7F8C6B0E3}"/>
    <cellStyle name="SAPBEXaggItemX 4 7" xfId="29537" xr:uid="{00000000-0005-0000-0000-000097680000}"/>
    <cellStyle name="SAPBEXaggItemX 4 8" xfId="30393" xr:uid="{DC93A99E-E1E2-412C-A040-CB0B41549AB8}"/>
    <cellStyle name="SAPBEXaggItemX 5" xfId="25821" xr:uid="{00000000-0005-0000-0000-000098680000}"/>
    <cellStyle name="SAPBEXaggItemX 5 2" xfId="30740" xr:uid="{9C6525B9-86FD-4687-A552-98344B92E680}"/>
    <cellStyle name="SAPBEXaggItemX 6" xfId="27979" xr:uid="{00000000-0005-0000-0000-000099680000}"/>
    <cellStyle name="SAPBEXaggItemX 6 2" xfId="32537" xr:uid="{3036EDFF-E166-43A4-81D3-86C558783986}"/>
    <cellStyle name="SAPBEXaggItemX 7" xfId="26526" xr:uid="{00000000-0005-0000-0000-00009A680000}"/>
    <cellStyle name="SAPBEXaggItemX 7 2" xfId="31313" xr:uid="{95B57073-E330-4FF9-92A7-0DEC45469DC9}"/>
    <cellStyle name="SAPBEXaggItemX 8" xfId="29531" xr:uid="{00000000-0005-0000-0000-00009B680000}"/>
    <cellStyle name="SAPBEXchaText" xfId="6" xr:uid="{00000000-0005-0000-0000-00009C680000}"/>
    <cellStyle name="SAPBEXchaText 2" xfId="77" xr:uid="{00000000-0005-0000-0000-00009D680000}"/>
    <cellStyle name="SAPBEXchaText 2 2" xfId="459" xr:uid="{00000000-0005-0000-0000-00009E680000}"/>
    <cellStyle name="SAPBEXchaText 2 2 2" xfId="13827" xr:uid="{00000000-0005-0000-0000-00009F680000}"/>
    <cellStyle name="SAPBEXchaText 2 2 2 2" xfId="25377" xr:uid="{00000000-0005-0000-0000-0000A0680000}"/>
    <cellStyle name="SAPBEXchaText 2 2 2 2 2" xfId="27531" xr:uid="{00000000-0005-0000-0000-0000A1680000}"/>
    <cellStyle name="SAPBEXchaText 2 2 2 2 2 2" xfId="32122" xr:uid="{517A5F73-21E4-40DE-84F1-B893B929A254}"/>
    <cellStyle name="SAPBEXchaText 2 2 2 2 3" xfId="27991" xr:uid="{00000000-0005-0000-0000-0000A2680000}"/>
    <cellStyle name="SAPBEXchaText 2 2 2 2 3 2" xfId="32549" xr:uid="{95B6FFD3-1CA5-4B5C-ABE4-129AF2BEA197}"/>
    <cellStyle name="SAPBEXchaText 2 2 2 2 4" xfId="26793" xr:uid="{00000000-0005-0000-0000-0000A3680000}"/>
    <cellStyle name="SAPBEXchaText 2 2 2 2 4 2" xfId="31554" xr:uid="{70C3DCD5-2C5A-4810-B0A4-10B82287F78D}"/>
    <cellStyle name="SAPBEXchaText 2 2 2 2 5" xfId="29543" xr:uid="{00000000-0005-0000-0000-0000A4680000}"/>
    <cellStyle name="SAPBEXchaText 2 2 2 2 6" xfId="30535" xr:uid="{A10E716C-137A-4426-9B3C-9B2840608F9C}"/>
    <cellStyle name="SAPBEXchaText 2 2 2 3" xfId="26676" xr:uid="{00000000-0005-0000-0000-0000A5680000}"/>
    <cellStyle name="SAPBEXchaText 2 2 2 3 2" xfId="31443" xr:uid="{E7038897-4D0B-46F9-BF0D-CC14AE84173F}"/>
    <cellStyle name="SAPBEXchaText 2 2 2 4" xfId="27990" xr:uid="{00000000-0005-0000-0000-0000A6680000}"/>
    <cellStyle name="SAPBEXchaText 2 2 2 4 2" xfId="32548" xr:uid="{CFE10A90-AC74-4910-A08F-96351F4DAD22}"/>
    <cellStyle name="SAPBEXchaText 2 2 2 5" xfId="29542" xr:uid="{00000000-0005-0000-0000-0000A7680000}"/>
    <cellStyle name="SAPBEXchaText 2 2 3" xfId="26024" xr:uid="{00000000-0005-0000-0000-0000A8680000}"/>
    <cellStyle name="SAPBEXchaText 2 2 3 2" xfId="30834" xr:uid="{FD43B60E-CE47-4291-B7B1-EF599EEC9107}"/>
    <cellStyle name="SAPBEXchaText 2 2 4" xfId="27989" xr:uid="{00000000-0005-0000-0000-0000A9680000}"/>
    <cellStyle name="SAPBEXchaText 2 2 4 2" xfId="32547" xr:uid="{68AD3618-1FC3-44DA-8F85-A5DC29FDDE07}"/>
    <cellStyle name="SAPBEXchaText 2 2 5" xfId="29541" xr:uid="{00000000-0005-0000-0000-0000AA680000}"/>
    <cellStyle name="SAPBEXchaText 2 3" xfId="13626" xr:uid="{00000000-0005-0000-0000-0000AB680000}"/>
    <cellStyle name="SAPBEXchaText 2 3 2" xfId="25464" xr:uid="{00000000-0005-0000-0000-0000AC680000}"/>
    <cellStyle name="SAPBEXchaText 2 3 2 2" xfId="27617" xr:uid="{00000000-0005-0000-0000-0000AD680000}"/>
    <cellStyle name="SAPBEXchaText 2 3 2 2 2" xfId="32204" xr:uid="{3BDE0E90-0D5A-4A9A-87E7-45293BB26F63}"/>
    <cellStyle name="SAPBEXchaText 2 3 2 3" xfId="27993" xr:uid="{00000000-0005-0000-0000-0000AE680000}"/>
    <cellStyle name="SAPBEXchaText 2 3 2 3 2" xfId="32551" xr:uid="{9CA5A6D7-FFB7-4D95-85F4-CEE67D218524}"/>
    <cellStyle name="SAPBEXchaText 2 3 2 4" xfId="26286" xr:uid="{00000000-0005-0000-0000-0000AF680000}"/>
    <cellStyle name="SAPBEXchaText 2 3 2 4 2" xfId="31074" xr:uid="{C2B17216-A434-4F85-9D52-2448DA7A68E4}"/>
    <cellStyle name="SAPBEXchaText 2 3 2 5" xfId="29545" xr:uid="{00000000-0005-0000-0000-0000B0680000}"/>
    <cellStyle name="SAPBEXchaText 2 3 3" xfId="26568" xr:uid="{00000000-0005-0000-0000-0000B1680000}"/>
    <cellStyle name="SAPBEXchaText 2 3 3 2" xfId="31346" xr:uid="{2EDAD17F-BA8F-45DB-BB4E-BD5442817DCF}"/>
    <cellStyle name="SAPBEXchaText 2 3 4" xfId="27992" xr:uid="{00000000-0005-0000-0000-0000B2680000}"/>
    <cellStyle name="SAPBEXchaText 2 3 4 2" xfId="32550" xr:uid="{5E657833-0B6A-4719-B011-17FBB558EF2C}"/>
    <cellStyle name="SAPBEXchaText 2 3 5" xfId="26254" xr:uid="{00000000-0005-0000-0000-0000B3680000}"/>
    <cellStyle name="SAPBEXchaText 2 3 5 2" xfId="31042" xr:uid="{EEE72D27-03AE-4A34-B5B6-E0333C3D02EC}"/>
    <cellStyle name="SAPBEXchaText 2 3 6" xfId="29544" xr:uid="{00000000-0005-0000-0000-0000B4680000}"/>
    <cellStyle name="SAPBEXchaText 2 3 7" xfId="30166" xr:uid="{0595B4A8-BA58-41F6-B03E-EB4B668E4A63}"/>
    <cellStyle name="SAPBEXchaText 2 4" xfId="25822" xr:uid="{00000000-0005-0000-0000-0000B5680000}"/>
    <cellStyle name="SAPBEXchaText 2 4 2" xfId="30741" xr:uid="{7E802401-D9F8-47F3-A5B1-F0D625054632}"/>
    <cellStyle name="SAPBEXchaText 2 5" xfId="27988" xr:uid="{00000000-0005-0000-0000-0000B6680000}"/>
    <cellStyle name="SAPBEXchaText 2 5 2" xfId="32546" xr:uid="{CFE6E22C-DFD6-459F-AC7A-CF8B1CED5293}"/>
    <cellStyle name="SAPBEXchaText 2 6" xfId="26197" xr:uid="{00000000-0005-0000-0000-0000B7680000}"/>
    <cellStyle name="SAPBEXchaText 2 6 2" xfId="30985" xr:uid="{EB2351C8-693D-4C07-804D-D4AD7EDD5817}"/>
    <cellStyle name="SAPBEXchaText 2 7" xfId="29540" xr:uid="{00000000-0005-0000-0000-0000B8680000}"/>
    <cellStyle name="SAPBEXchaText 3" xfId="78" xr:uid="{00000000-0005-0000-0000-0000B9680000}"/>
    <cellStyle name="SAPBEXchaText 3 2" xfId="225" xr:uid="{00000000-0005-0000-0000-0000BA680000}"/>
    <cellStyle name="SAPBEXchaText 3 2 2" xfId="13710" xr:uid="{00000000-0005-0000-0000-0000BB680000}"/>
    <cellStyle name="SAPBEXchaText 3 2 2 2" xfId="25524" xr:uid="{00000000-0005-0000-0000-0000BC680000}"/>
    <cellStyle name="SAPBEXchaText 3 2 2 2 2" xfId="27677" xr:uid="{00000000-0005-0000-0000-0000BD680000}"/>
    <cellStyle name="SAPBEXchaText 3 2 2 2 2 2" xfId="32264" xr:uid="{7E294FA4-D9D0-4353-946D-CD0AC4C4C2BB}"/>
    <cellStyle name="SAPBEXchaText 3 2 2 2 3" xfId="27996" xr:uid="{00000000-0005-0000-0000-0000BE680000}"/>
    <cellStyle name="SAPBEXchaText 3 2 2 2 3 2" xfId="32554" xr:uid="{37132518-9494-4D51-92FF-FF36C4F07C3C}"/>
    <cellStyle name="SAPBEXchaText 3 2 2 2 4" xfId="27166" xr:uid="{00000000-0005-0000-0000-0000BF680000}"/>
    <cellStyle name="SAPBEXchaText 3 2 2 2 4 2" xfId="31856" xr:uid="{928CE0B0-0B8C-47E4-9F0A-600A7874C460}"/>
    <cellStyle name="SAPBEXchaText 3 2 2 2 5" xfId="29548" xr:uid="{00000000-0005-0000-0000-0000C0680000}"/>
    <cellStyle name="SAPBEXchaText 3 2 2 3" xfId="26630" xr:uid="{00000000-0005-0000-0000-0000C1680000}"/>
    <cellStyle name="SAPBEXchaText 3 2 2 3 2" xfId="31407" xr:uid="{1EF6FF5A-AD51-4EB0-8C08-C4DD97CAE6ED}"/>
    <cellStyle name="SAPBEXchaText 3 2 2 4" xfId="27995" xr:uid="{00000000-0005-0000-0000-0000C2680000}"/>
    <cellStyle name="SAPBEXchaText 3 2 2 4 2" xfId="32553" xr:uid="{8DAF9132-47F6-47F0-BD66-B95009B883F2}"/>
    <cellStyle name="SAPBEXchaText 3 2 2 5" xfId="26428" xr:uid="{00000000-0005-0000-0000-0000C3680000}"/>
    <cellStyle name="SAPBEXchaText 3 2 2 5 2" xfId="31216" xr:uid="{12152ADC-110A-4DD1-B433-EB74331DD682}"/>
    <cellStyle name="SAPBEXchaText 3 2 2 6" xfId="29547" xr:uid="{00000000-0005-0000-0000-0000C4680000}"/>
    <cellStyle name="SAPBEXchaText 3 2 2 7" xfId="30226" xr:uid="{0CFC239E-80EA-4315-99EA-AAB53E6A5BFE}"/>
    <cellStyle name="SAPBEXchaText 3 2 3" xfId="25913" xr:uid="{00000000-0005-0000-0000-0000C5680000}"/>
    <cellStyle name="SAPBEXchaText 3 2 3 2" xfId="30802" xr:uid="{345C8EED-8C64-42D2-AA14-033B66E8540F}"/>
    <cellStyle name="SAPBEXchaText 3 2 4" xfId="27994" xr:uid="{00000000-0005-0000-0000-0000C6680000}"/>
    <cellStyle name="SAPBEXchaText 3 2 4 2" xfId="32552" xr:uid="{0F203140-2F63-4B68-AC42-9ED28990ABEA}"/>
    <cellStyle name="SAPBEXchaText 3 2 5" xfId="26718" xr:uid="{00000000-0005-0000-0000-0000C7680000}"/>
    <cellStyle name="SAPBEXchaText 3 2 5 2" xfId="31480" xr:uid="{26E5D45F-F8DC-433E-AFD3-483040E37F48}"/>
    <cellStyle name="SAPBEXchaText 3 2 6" xfId="29546" xr:uid="{00000000-0005-0000-0000-0000C8680000}"/>
    <cellStyle name="SAPBEXchaText 4" xfId="226" xr:uid="{00000000-0005-0000-0000-0000C9680000}"/>
    <cellStyle name="SAPBEXchaText 4 2" xfId="13711" xr:uid="{00000000-0005-0000-0000-0000CA680000}"/>
    <cellStyle name="SAPBEXchaText 4 2 2" xfId="25525" xr:uid="{00000000-0005-0000-0000-0000CB680000}"/>
    <cellStyle name="SAPBEXchaText 4 2 2 2" xfId="27678" xr:uid="{00000000-0005-0000-0000-0000CC680000}"/>
    <cellStyle name="SAPBEXchaText 4 2 2 2 2" xfId="32265" xr:uid="{B858C0E6-884F-43C1-856F-02073EDD28BC}"/>
    <cellStyle name="SAPBEXchaText 4 2 2 3" xfId="27999" xr:uid="{00000000-0005-0000-0000-0000CD680000}"/>
    <cellStyle name="SAPBEXchaText 4 2 2 3 2" xfId="32557" xr:uid="{126FAD87-261A-475C-BFB4-9A6DF554F308}"/>
    <cellStyle name="SAPBEXchaText 4 2 2 4" xfId="27223" xr:uid="{00000000-0005-0000-0000-0000CE680000}"/>
    <cellStyle name="SAPBEXchaText 4 2 2 4 2" xfId="31859" xr:uid="{8F1A7A25-B5FC-4A8E-ACC9-71D3496DF3D1}"/>
    <cellStyle name="SAPBEXchaText 4 2 2 5" xfId="29551" xr:uid="{00000000-0005-0000-0000-0000CF680000}"/>
    <cellStyle name="SAPBEXchaText 4 2 3" xfId="26631" xr:uid="{00000000-0005-0000-0000-0000D0680000}"/>
    <cellStyle name="SAPBEXchaText 4 2 3 2" xfId="31408" xr:uid="{AD8A075E-0EEE-41CF-8EAD-959871169ED0}"/>
    <cellStyle name="SAPBEXchaText 4 2 4" xfId="27998" xr:uid="{00000000-0005-0000-0000-0000D1680000}"/>
    <cellStyle name="SAPBEXchaText 4 2 4 2" xfId="32556" xr:uid="{25F0FD44-40FA-4D21-8FCE-55B875B9B62A}"/>
    <cellStyle name="SAPBEXchaText 4 2 5" xfId="26270" xr:uid="{00000000-0005-0000-0000-0000D2680000}"/>
    <cellStyle name="SAPBEXchaText 4 2 5 2" xfId="31058" xr:uid="{402BFFB3-3012-440C-8AEF-3B82D974ADB8}"/>
    <cellStyle name="SAPBEXchaText 4 2 6" xfId="29550" xr:uid="{00000000-0005-0000-0000-0000D3680000}"/>
    <cellStyle name="SAPBEXchaText 4 2 7" xfId="30227" xr:uid="{3DFDBC6F-83DD-4083-81B1-EADFFD07A279}"/>
    <cellStyle name="SAPBEXchaText 4 3" xfId="25914" xr:uid="{00000000-0005-0000-0000-0000D4680000}"/>
    <cellStyle name="SAPBEXchaText 4 3 2" xfId="30803" xr:uid="{C37FD4F3-BFD5-42A9-865D-B5A57A25AE38}"/>
    <cellStyle name="SAPBEXchaText 4 4" xfId="27997" xr:uid="{00000000-0005-0000-0000-0000D5680000}"/>
    <cellStyle name="SAPBEXchaText 4 4 2" xfId="32555" xr:uid="{D32D80FC-7857-4BAD-8490-CE2CCD4055AD}"/>
    <cellStyle name="SAPBEXchaText 4 5" xfId="26375" xr:uid="{00000000-0005-0000-0000-0000D6680000}"/>
    <cellStyle name="SAPBEXchaText 4 5 2" xfId="31163" xr:uid="{7E5B18B3-A912-4228-91F2-BEDE34E9722F}"/>
    <cellStyle name="SAPBEXchaText 4 6" xfId="29549" xr:uid="{00000000-0005-0000-0000-0000D7680000}"/>
    <cellStyle name="SAPBEXchaText 5" xfId="227" xr:uid="{00000000-0005-0000-0000-0000D8680000}"/>
    <cellStyle name="SAPBEXchaText 5 2" xfId="13712" xr:uid="{00000000-0005-0000-0000-0000D9680000}"/>
    <cellStyle name="SAPBEXchaText 5 2 2" xfId="25526" xr:uid="{00000000-0005-0000-0000-0000DA680000}"/>
    <cellStyle name="SAPBEXchaText 5 2 2 2" xfId="27679" xr:uid="{00000000-0005-0000-0000-0000DB680000}"/>
    <cellStyle name="SAPBEXchaText 5 2 2 2 2" xfId="32266" xr:uid="{559D65D3-4284-4BBA-BF6F-9BEE9934CD07}"/>
    <cellStyle name="SAPBEXchaText 5 2 2 3" xfId="28002" xr:uid="{00000000-0005-0000-0000-0000DC680000}"/>
    <cellStyle name="SAPBEXchaText 5 2 2 3 2" xfId="32560" xr:uid="{E51BC055-1EA6-4830-B219-ADFD0E0D7CB9}"/>
    <cellStyle name="SAPBEXchaText 5 2 2 4" xfId="26253" xr:uid="{00000000-0005-0000-0000-0000DD680000}"/>
    <cellStyle name="SAPBEXchaText 5 2 2 4 2" xfId="31041" xr:uid="{B55A74B8-5C8C-4324-A8FA-0A94A0C97580}"/>
    <cellStyle name="SAPBEXchaText 5 2 2 5" xfId="29554" xr:uid="{00000000-0005-0000-0000-0000DE680000}"/>
    <cellStyle name="SAPBEXchaText 5 2 3" xfId="26632" xr:uid="{00000000-0005-0000-0000-0000DF680000}"/>
    <cellStyle name="SAPBEXchaText 5 2 3 2" xfId="31409" xr:uid="{6ACFAD36-E70C-46E7-9053-97FA2C949D7C}"/>
    <cellStyle name="SAPBEXchaText 5 2 4" xfId="28001" xr:uid="{00000000-0005-0000-0000-0000E0680000}"/>
    <cellStyle name="SAPBEXchaText 5 2 4 2" xfId="32559" xr:uid="{287C3159-6452-4C62-9A82-2C8C5B8CFBB3}"/>
    <cellStyle name="SAPBEXchaText 5 2 5" xfId="26781" xr:uid="{00000000-0005-0000-0000-0000E1680000}"/>
    <cellStyle name="SAPBEXchaText 5 2 5 2" xfId="31542" xr:uid="{341607B4-327F-4147-A312-2D0BA2D963C8}"/>
    <cellStyle name="SAPBEXchaText 5 2 6" xfId="29553" xr:uid="{00000000-0005-0000-0000-0000E2680000}"/>
    <cellStyle name="SAPBEXchaText 5 2 7" xfId="30228" xr:uid="{9EB76801-C39F-4F54-8C5F-410EF4173CFB}"/>
    <cellStyle name="SAPBEXchaText 5 3" xfId="25915" xr:uid="{00000000-0005-0000-0000-0000E3680000}"/>
    <cellStyle name="SAPBEXchaText 5 3 2" xfId="30804" xr:uid="{3B7309FB-7002-47D1-A7EA-B0D2082A025B}"/>
    <cellStyle name="SAPBEXchaText 5 4" xfId="28000" xr:uid="{00000000-0005-0000-0000-0000E4680000}"/>
    <cellStyle name="SAPBEXchaText 5 4 2" xfId="32558" xr:uid="{AF5C3298-95BA-4815-BB85-7D0AA9C3A416}"/>
    <cellStyle name="SAPBEXchaText 5 5" xfId="26962" xr:uid="{00000000-0005-0000-0000-0000E5680000}"/>
    <cellStyle name="SAPBEXchaText 5 5 2" xfId="31723" xr:uid="{80BADA1D-B2A5-40FD-B758-7870739A022B}"/>
    <cellStyle name="SAPBEXchaText 5 6" xfId="29552" xr:uid="{00000000-0005-0000-0000-0000E6680000}"/>
    <cellStyle name="SAPBEXchaText 6" xfId="228" xr:uid="{00000000-0005-0000-0000-0000E7680000}"/>
    <cellStyle name="SAPBEXchaText 6 2" xfId="13713" xr:uid="{00000000-0005-0000-0000-0000E8680000}"/>
    <cellStyle name="SAPBEXchaText 6 2 2" xfId="25527" xr:uid="{00000000-0005-0000-0000-0000E9680000}"/>
    <cellStyle name="SAPBEXchaText 6 2 2 2" xfId="27680" xr:uid="{00000000-0005-0000-0000-0000EA680000}"/>
    <cellStyle name="SAPBEXchaText 6 2 2 2 2" xfId="32267" xr:uid="{22A278FE-4785-402F-A704-7DA684524221}"/>
    <cellStyle name="SAPBEXchaText 6 2 2 3" xfId="28005" xr:uid="{00000000-0005-0000-0000-0000EB680000}"/>
    <cellStyle name="SAPBEXchaText 6 2 2 3 2" xfId="32563" xr:uid="{77B492B7-E005-4BDA-9F60-41DA8B159D10}"/>
    <cellStyle name="SAPBEXchaText 6 2 2 4" xfId="26706" xr:uid="{00000000-0005-0000-0000-0000EC680000}"/>
    <cellStyle name="SAPBEXchaText 6 2 2 4 2" xfId="31468" xr:uid="{33769E03-8EF4-4941-B988-B72755493EDE}"/>
    <cellStyle name="SAPBEXchaText 6 2 2 5" xfId="29557" xr:uid="{00000000-0005-0000-0000-0000ED680000}"/>
    <cellStyle name="SAPBEXchaText 6 2 3" xfId="26633" xr:uid="{00000000-0005-0000-0000-0000EE680000}"/>
    <cellStyle name="SAPBEXchaText 6 2 3 2" xfId="31410" xr:uid="{C3F4B057-375E-4E64-AAD1-F9A576842C49}"/>
    <cellStyle name="SAPBEXchaText 6 2 4" xfId="28004" xr:uid="{00000000-0005-0000-0000-0000EF680000}"/>
    <cellStyle name="SAPBEXchaText 6 2 4 2" xfId="32562" xr:uid="{109A7494-49C9-465C-AA2F-E2D6A51FD5CE}"/>
    <cellStyle name="SAPBEXchaText 6 2 5" xfId="26313" xr:uid="{00000000-0005-0000-0000-0000F0680000}"/>
    <cellStyle name="SAPBEXchaText 6 2 5 2" xfId="31101" xr:uid="{AB4DD600-9408-4A1B-81D9-E0FD9C5940C9}"/>
    <cellStyle name="SAPBEXchaText 6 2 6" xfId="29556" xr:uid="{00000000-0005-0000-0000-0000F1680000}"/>
    <cellStyle name="SAPBEXchaText 6 2 7" xfId="30229" xr:uid="{07BFFDE9-19ED-40E2-9E84-D6EE921289DA}"/>
    <cellStyle name="SAPBEXchaText 6 3" xfId="25916" xr:uid="{00000000-0005-0000-0000-0000F2680000}"/>
    <cellStyle name="SAPBEXchaText 6 3 2" xfId="30805" xr:uid="{547E3CD4-5D04-4CA0-BE2A-40E85AA24C77}"/>
    <cellStyle name="SAPBEXchaText 6 4" xfId="28003" xr:uid="{00000000-0005-0000-0000-0000F3680000}"/>
    <cellStyle name="SAPBEXchaText 6 4 2" xfId="32561" xr:uid="{529CEF8C-1B0A-4E5F-AFBD-214A932D0894}"/>
    <cellStyle name="SAPBEXchaText 6 5" xfId="26443" xr:uid="{00000000-0005-0000-0000-0000F4680000}"/>
    <cellStyle name="SAPBEXchaText 6 5 2" xfId="31231" xr:uid="{6E0B9770-2E74-4348-A569-CE7AD2039FC6}"/>
    <cellStyle name="SAPBEXchaText 6 6" xfId="29555" xr:uid="{00000000-0005-0000-0000-0000F5680000}"/>
    <cellStyle name="SAPBEXchaText 7" xfId="229" xr:uid="{00000000-0005-0000-0000-0000F6680000}"/>
    <cellStyle name="SAPBEXchaText 7 2" xfId="485" xr:uid="{00000000-0005-0000-0000-0000F7680000}"/>
    <cellStyle name="SAPBEXchaText 7 2 2" xfId="13848" xr:uid="{00000000-0005-0000-0000-0000F8680000}"/>
    <cellStyle name="SAPBEXchaText 7 2 2 2" xfId="25378" xr:uid="{00000000-0005-0000-0000-0000F9680000}"/>
    <cellStyle name="SAPBEXchaText 7 2 2 2 2" xfId="27532" xr:uid="{00000000-0005-0000-0000-0000FA680000}"/>
    <cellStyle name="SAPBEXchaText 7 2 2 2 2 2" xfId="32123" xr:uid="{52542E1C-A245-421E-A63F-7149ED5CAF07}"/>
    <cellStyle name="SAPBEXchaText 7 2 2 2 3" xfId="28009" xr:uid="{00000000-0005-0000-0000-0000FB680000}"/>
    <cellStyle name="SAPBEXchaText 7 2 2 2 3 2" xfId="32567" xr:uid="{C9C49F1C-1922-46F2-97FA-C73D5DB36765}"/>
    <cellStyle name="SAPBEXchaText 7 2 2 2 4" xfId="26695" xr:uid="{00000000-0005-0000-0000-0000FC680000}"/>
    <cellStyle name="SAPBEXchaText 7 2 2 2 4 2" xfId="31457" xr:uid="{FA22BCDF-DEAB-494D-84F6-B17610115B94}"/>
    <cellStyle name="SAPBEXchaText 7 2 2 2 5" xfId="29561" xr:uid="{00000000-0005-0000-0000-0000FD680000}"/>
    <cellStyle name="SAPBEXchaText 7 2 2 2 6" xfId="30536" xr:uid="{85627ADD-2E70-4E0A-8761-79BD6BCCAF26}"/>
    <cellStyle name="SAPBEXchaText 7 2 2 3" xfId="26682" xr:uid="{00000000-0005-0000-0000-0000FE680000}"/>
    <cellStyle name="SAPBEXchaText 7 2 2 3 2" xfId="31445" xr:uid="{ADD5E1F4-7E87-490E-9C7A-235FE63FBCFB}"/>
    <cellStyle name="SAPBEXchaText 7 2 2 4" xfId="28008" xr:uid="{00000000-0005-0000-0000-0000FF680000}"/>
    <cellStyle name="SAPBEXchaText 7 2 2 4 2" xfId="32566" xr:uid="{E7EE46A1-CD47-4F0F-89F6-A508DD1D2D8D}"/>
    <cellStyle name="SAPBEXchaText 7 2 2 5" xfId="29560" xr:uid="{00000000-0005-0000-0000-000000690000}"/>
    <cellStyle name="SAPBEXchaText 7 2 3" xfId="25281" xr:uid="{00000000-0005-0000-0000-000001690000}"/>
    <cellStyle name="SAPBEXchaText 7 2 3 2" xfId="27436" xr:uid="{00000000-0005-0000-0000-000002690000}"/>
    <cellStyle name="SAPBEXchaText 7 2 3 2 2" xfId="32031" xr:uid="{26E9CF18-7C80-4994-B256-3A233AC3E1B3}"/>
    <cellStyle name="SAPBEXchaText 7 2 3 3" xfId="28010" xr:uid="{00000000-0005-0000-0000-000003690000}"/>
    <cellStyle name="SAPBEXchaText 7 2 3 3 2" xfId="32568" xr:uid="{268CFA2B-9333-4E7F-8E79-30FCCE0F08FB}"/>
    <cellStyle name="SAPBEXchaText 7 2 3 4" xfId="26172" xr:uid="{00000000-0005-0000-0000-000004690000}"/>
    <cellStyle name="SAPBEXchaText 7 2 3 4 2" xfId="30961" xr:uid="{6211BFA3-F975-4ADC-B443-86342960E308}"/>
    <cellStyle name="SAPBEXchaText 7 2 3 5" xfId="29562" xr:uid="{00000000-0005-0000-0000-000005690000}"/>
    <cellStyle name="SAPBEXchaText 7 2 3 6" xfId="30444" xr:uid="{D48E3575-3E9D-49E2-A962-DA2D92976549}"/>
    <cellStyle name="SAPBEXchaText 7 2 4" xfId="26035" xr:uid="{00000000-0005-0000-0000-000006690000}"/>
    <cellStyle name="SAPBEXchaText 7 2 4 2" xfId="30836" xr:uid="{BE4AE009-DB32-4BEF-B9BE-B1E8BE6C7331}"/>
    <cellStyle name="SAPBEXchaText 7 2 5" xfId="28007" xr:uid="{00000000-0005-0000-0000-000007690000}"/>
    <cellStyle name="SAPBEXchaText 7 2 5 2" xfId="32565" xr:uid="{D16DF65E-1078-4433-B752-4F6539E88B19}"/>
    <cellStyle name="SAPBEXchaText 7 2 6" xfId="29559" xr:uid="{00000000-0005-0000-0000-000008690000}"/>
    <cellStyle name="SAPBEXchaText 7 3" xfId="13714" xr:uid="{00000000-0005-0000-0000-000009690000}"/>
    <cellStyle name="SAPBEXchaText 7 3 2" xfId="25375" xr:uid="{00000000-0005-0000-0000-00000A690000}"/>
    <cellStyle name="SAPBEXchaText 7 3 2 2" xfId="27529" xr:uid="{00000000-0005-0000-0000-00000B690000}"/>
    <cellStyle name="SAPBEXchaText 7 3 2 2 2" xfId="32120" xr:uid="{A647E9DF-6CCA-4031-A463-0DD6CEDC2378}"/>
    <cellStyle name="SAPBEXchaText 7 3 2 3" xfId="28012" xr:uid="{00000000-0005-0000-0000-00000C690000}"/>
    <cellStyle name="SAPBEXchaText 7 3 2 3 2" xfId="32570" xr:uid="{24C38923-1612-4E01-A24D-179F16D43DE4}"/>
    <cellStyle name="SAPBEXchaText 7 3 2 4" xfId="26437" xr:uid="{00000000-0005-0000-0000-00000D690000}"/>
    <cellStyle name="SAPBEXchaText 7 3 2 4 2" xfId="31225" xr:uid="{450E58AE-F4B2-4393-B864-ED097D7AD114}"/>
    <cellStyle name="SAPBEXchaText 7 3 2 5" xfId="29564" xr:uid="{00000000-0005-0000-0000-00000E690000}"/>
    <cellStyle name="SAPBEXchaText 7 3 2 6" xfId="30533" xr:uid="{770AF651-E803-4298-890B-DA6387FB1EBB}"/>
    <cellStyle name="SAPBEXchaText 7 3 3" xfId="26634" xr:uid="{00000000-0005-0000-0000-00000F690000}"/>
    <cellStyle name="SAPBEXchaText 7 3 3 2" xfId="31411" xr:uid="{B3C62764-76AC-4CB8-BAFF-FCE08627574B}"/>
    <cellStyle name="SAPBEXchaText 7 3 4" xfId="28011" xr:uid="{00000000-0005-0000-0000-000010690000}"/>
    <cellStyle name="SAPBEXchaText 7 3 4 2" xfId="32569" xr:uid="{8E3A5CBB-D14F-4674-B376-9FA70177463D}"/>
    <cellStyle name="SAPBEXchaText 7 3 5" xfId="29563" xr:uid="{00000000-0005-0000-0000-000011690000}"/>
    <cellStyle name="SAPBEXchaText 7 4" xfId="25917" xr:uid="{00000000-0005-0000-0000-000012690000}"/>
    <cellStyle name="SAPBEXchaText 7 4 2" xfId="30806" xr:uid="{191C6D76-E4B9-4333-A259-1764C903BE3F}"/>
    <cellStyle name="SAPBEXchaText 7 5" xfId="28006" xr:uid="{00000000-0005-0000-0000-000013690000}"/>
    <cellStyle name="SAPBEXchaText 7 5 2" xfId="32564" xr:uid="{CE1F5832-9711-46C6-A2C8-4E99971A8664}"/>
    <cellStyle name="SAPBEXchaText 7 6" xfId="29558" xr:uid="{00000000-0005-0000-0000-000014690000}"/>
    <cellStyle name="SAPBEXchaText_Copy of xSAPtemp5457" xfId="230" xr:uid="{00000000-0005-0000-0000-000015690000}"/>
    <cellStyle name="SAPBEXexcBad7" xfId="79" xr:uid="{00000000-0005-0000-0000-000016690000}"/>
    <cellStyle name="SAPBEXexcBad7 2" xfId="13627" xr:uid="{00000000-0005-0000-0000-000017690000}"/>
    <cellStyle name="SAPBEXexcBad7 2 2" xfId="25465" xr:uid="{00000000-0005-0000-0000-000018690000}"/>
    <cellStyle name="SAPBEXexcBad7 2 2 2" xfId="27618" xr:uid="{00000000-0005-0000-0000-000019690000}"/>
    <cellStyle name="SAPBEXexcBad7 2 2 2 2" xfId="32205" xr:uid="{F6AD5AA4-ECBC-418A-A7E1-42E606DA1138}"/>
    <cellStyle name="SAPBEXexcBad7 2 2 3" xfId="28015" xr:uid="{00000000-0005-0000-0000-00001A690000}"/>
    <cellStyle name="SAPBEXexcBad7 2 2 3 2" xfId="32573" xr:uid="{026DF6A2-58DD-4587-AB07-5DDD7569B7C3}"/>
    <cellStyle name="SAPBEXexcBad7 2 2 4" xfId="26828" xr:uid="{00000000-0005-0000-0000-00001B690000}"/>
    <cellStyle name="SAPBEXexcBad7 2 2 4 2" xfId="31589" xr:uid="{ED6B7712-49D8-4AC5-9613-5B7648C281F3}"/>
    <cellStyle name="SAPBEXexcBad7 2 2 5" xfId="29567" xr:uid="{00000000-0005-0000-0000-00001C690000}"/>
    <cellStyle name="SAPBEXexcBad7 2 3" xfId="26569" xr:uid="{00000000-0005-0000-0000-00001D690000}"/>
    <cellStyle name="SAPBEXexcBad7 2 3 2" xfId="31347" xr:uid="{E481D17E-DB36-4148-8BD9-7983806C7D2E}"/>
    <cellStyle name="SAPBEXexcBad7 2 4" xfId="28014" xr:uid="{00000000-0005-0000-0000-00001E690000}"/>
    <cellStyle name="SAPBEXexcBad7 2 4 2" xfId="32572" xr:uid="{B6290ED8-9888-4644-B6FC-F4A47D8DED48}"/>
    <cellStyle name="SAPBEXexcBad7 2 5" xfId="26331" xr:uid="{00000000-0005-0000-0000-00001F690000}"/>
    <cellStyle name="SAPBEXexcBad7 2 5 2" xfId="31119" xr:uid="{53FBD389-691E-47E6-8664-A65B6E39A4F2}"/>
    <cellStyle name="SAPBEXexcBad7 2 6" xfId="29566" xr:uid="{00000000-0005-0000-0000-000020690000}"/>
    <cellStyle name="SAPBEXexcBad7 2 7" xfId="30167" xr:uid="{9AC65CE3-3E18-421D-BBD1-75D1B22F539E}"/>
    <cellStyle name="SAPBEXexcBad7 3" xfId="24682" xr:uid="{00000000-0005-0000-0000-000021690000}"/>
    <cellStyle name="SAPBEXexcBad7 3 2" xfId="25399" xr:uid="{00000000-0005-0000-0000-000022690000}"/>
    <cellStyle name="SAPBEXexcBad7 3 2 2" xfId="27553" xr:uid="{00000000-0005-0000-0000-000023690000}"/>
    <cellStyle name="SAPBEXexcBad7 3 2 2 2" xfId="32144" xr:uid="{A3D1E332-B276-4048-8F3F-270228DE3347}"/>
    <cellStyle name="SAPBEXexcBad7 3 2 3" xfId="28017" xr:uid="{00000000-0005-0000-0000-000024690000}"/>
    <cellStyle name="SAPBEXexcBad7 3 2 3 2" xfId="32575" xr:uid="{0B2F08D5-842A-416F-9D9B-C01C498C1ADF}"/>
    <cellStyle name="SAPBEXexcBad7 3 2 4" xfId="26769" xr:uid="{00000000-0005-0000-0000-000025690000}"/>
    <cellStyle name="SAPBEXexcBad7 3 2 4 2" xfId="31530" xr:uid="{52A2D7A2-1FC3-4E37-A58B-87DF89BCF9F6}"/>
    <cellStyle name="SAPBEXexcBad7 3 2 5" xfId="29569" xr:uid="{00000000-0005-0000-0000-000026690000}"/>
    <cellStyle name="SAPBEXexcBad7 3 2 6" xfId="30557" xr:uid="{8278BFE8-B196-4672-B445-CC80D6A98836}"/>
    <cellStyle name="SAPBEXexcBad7 3 3" xfId="25645" xr:uid="{00000000-0005-0000-0000-000027690000}"/>
    <cellStyle name="SAPBEXexcBad7 3 3 2" xfId="27798" xr:uid="{00000000-0005-0000-0000-000028690000}"/>
    <cellStyle name="SAPBEXexcBad7 3 3 2 2" xfId="32385" xr:uid="{F2119AA1-EDD3-491F-88FF-0347398E06C8}"/>
    <cellStyle name="SAPBEXexcBad7 3 3 3" xfId="28018" xr:uid="{00000000-0005-0000-0000-000029690000}"/>
    <cellStyle name="SAPBEXexcBad7 3 3 3 2" xfId="32576" xr:uid="{480CEA6E-DAF1-462E-9D0B-3B8941B61CB8}"/>
    <cellStyle name="SAPBEXexcBad7 3 3 4" xfId="26911" xr:uid="{00000000-0005-0000-0000-00002A690000}"/>
    <cellStyle name="SAPBEXexcBad7 3 3 4 2" xfId="31672" xr:uid="{AEC26E8F-A103-4FA9-A7F1-8BF1A2521750}"/>
    <cellStyle name="SAPBEXexcBad7 3 3 5" xfId="29570" xr:uid="{00000000-0005-0000-0000-00002B690000}"/>
    <cellStyle name="SAPBEXexcBad7 3 4" xfId="27272" xr:uid="{00000000-0005-0000-0000-00002C690000}"/>
    <cellStyle name="SAPBEXexcBad7 3 4 2" xfId="31907" xr:uid="{20113CD8-D19F-4F06-998C-0F238747D050}"/>
    <cellStyle name="SAPBEXexcBad7 3 5" xfId="28016" xr:uid="{00000000-0005-0000-0000-00002D690000}"/>
    <cellStyle name="SAPBEXexcBad7 3 5 2" xfId="32574" xr:uid="{57FF2C4B-ED26-469F-9020-53E139B0CB3F}"/>
    <cellStyle name="SAPBEXexcBad7 3 6" xfId="26377" xr:uid="{00000000-0005-0000-0000-00002E690000}"/>
    <cellStyle name="SAPBEXexcBad7 3 6 2" xfId="31165" xr:uid="{B8F6F46E-F3B9-4988-B763-D012B07ADF1A}"/>
    <cellStyle name="SAPBEXexcBad7 3 7" xfId="29568" xr:uid="{00000000-0005-0000-0000-00002F690000}"/>
    <cellStyle name="SAPBEXexcBad7 3 8" xfId="30347" xr:uid="{C438EF61-56CC-443D-B94B-C158C7907B5D}"/>
    <cellStyle name="SAPBEXexcBad7 4" xfId="25094" xr:uid="{00000000-0005-0000-0000-000030690000}"/>
    <cellStyle name="SAPBEXexcBad7 4 2" xfId="25304" xr:uid="{00000000-0005-0000-0000-000031690000}"/>
    <cellStyle name="SAPBEXexcBad7 4 2 2" xfId="27458" xr:uid="{00000000-0005-0000-0000-000032690000}"/>
    <cellStyle name="SAPBEXexcBad7 4 2 2 2" xfId="32050" xr:uid="{DC0AC1C3-3A0B-4C51-B482-90730169D534}"/>
    <cellStyle name="SAPBEXexcBad7 4 2 3" xfId="28020" xr:uid="{00000000-0005-0000-0000-000033690000}"/>
    <cellStyle name="SAPBEXexcBad7 4 2 3 2" xfId="32578" xr:uid="{A5DD4115-76F8-458B-97E7-994376CB98E9}"/>
    <cellStyle name="SAPBEXexcBad7 4 2 4" xfId="26171" xr:uid="{00000000-0005-0000-0000-000034690000}"/>
    <cellStyle name="SAPBEXexcBad7 4 2 4 2" xfId="30960" xr:uid="{396F3595-FB48-4E71-B1AF-03BB8F7F7B72}"/>
    <cellStyle name="SAPBEXexcBad7 4 2 5" xfId="29572" xr:uid="{00000000-0005-0000-0000-000035690000}"/>
    <cellStyle name="SAPBEXexcBad7 4 2 6" xfId="30463" xr:uid="{27A585FC-FFB6-454E-A6AB-F7CA56A56366}"/>
    <cellStyle name="SAPBEXexcBad7 4 3" xfId="25692" xr:uid="{00000000-0005-0000-0000-000036690000}"/>
    <cellStyle name="SAPBEXexcBad7 4 3 2" xfId="27845" xr:uid="{00000000-0005-0000-0000-000037690000}"/>
    <cellStyle name="SAPBEXexcBad7 4 3 2 2" xfId="32432" xr:uid="{6BA12DF8-8B2F-44B9-9EF2-978B0395EDA0}"/>
    <cellStyle name="SAPBEXexcBad7 4 3 3" xfId="28021" xr:uid="{00000000-0005-0000-0000-000038690000}"/>
    <cellStyle name="SAPBEXexcBad7 4 3 3 2" xfId="32579" xr:uid="{49B39C9B-31D8-4869-ACCD-9EDCB33B5E92}"/>
    <cellStyle name="SAPBEXexcBad7 4 3 4" xfId="26347" xr:uid="{00000000-0005-0000-0000-000039690000}"/>
    <cellStyle name="SAPBEXexcBad7 4 3 4 2" xfId="31135" xr:uid="{BE02F2D0-D3F5-4BFF-999F-2BD977846F25}"/>
    <cellStyle name="SAPBEXexcBad7 4 3 5" xfId="29573" xr:uid="{00000000-0005-0000-0000-00003A690000}"/>
    <cellStyle name="SAPBEXexcBad7 4 3 6" xfId="30686" xr:uid="{313CAF11-3654-4251-A8FE-A1E3486C57E4}"/>
    <cellStyle name="SAPBEXexcBad7 4 4" xfId="27379" xr:uid="{00000000-0005-0000-0000-00003B690000}"/>
    <cellStyle name="SAPBEXexcBad7 4 4 2" xfId="31977" xr:uid="{F565D8CC-E8DD-4837-8B46-DB948B1A2BD3}"/>
    <cellStyle name="SAPBEXexcBad7 4 5" xfId="28019" xr:uid="{00000000-0005-0000-0000-00003C690000}"/>
    <cellStyle name="SAPBEXexcBad7 4 5 2" xfId="32577" xr:uid="{00507B9B-AD04-436E-BE7A-0D8C06798B90}"/>
    <cellStyle name="SAPBEXexcBad7 4 6" xfId="26326" xr:uid="{00000000-0005-0000-0000-00003D690000}"/>
    <cellStyle name="SAPBEXexcBad7 4 6 2" xfId="31114" xr:uid="{78C2E43B-6293-449B-8D6D-B3866686CDDB}"/>
    <cellStyle name="SAPBEXexcBad7 4 7" xfId="29571" xr:uid="{00000000-0005-0000-0000-00003E690000}"/>
    <cellStyle name="SAPBEXexcBad7 4 8" xfId="30394" xr:uid="{FA2A5D41-B10D-424E-B95E-AFEE97770A6C}"/>
    <cellStyle name="SAPBEXexcBad7 5" xfId="25823" xr:uid="{00000000-0005-0000-0000-00003F690000}"/>
    <cellStyle name="SAPBEXexcBad7 5 2" xfId="30742" xr:uid="{0D73545B-EB51-4FF6-AE12-49D0D0152D10}"/>
    <cellStyle name="SAPBEXexcBad7 6" xfId="28013" xr:uid="{00000000-0005-0000-0000-000040690000}"/>
    <cellStyle name="SAPBEXexcBad7 6 2" xfId="32571" xr:uid="{9D5EAA66-2CBD-47B0-B41F-483478D1FBDC}"/>
    <cellStyle name="SAPBEXexcBad7 7" xfId="26762" xr:uid="{00000000-0005-0000-0000-000041690000}"/>
    <cellStyle name="SAPBEXexcBad7 7 2" xfId="31523" xr:uid="{5C276D8F-829A-4AEA-9CDD-E9CDA20805B5}"/>
    <cellStyle name="SAPBEXexcBad7 8" xfId="29565" xr:uid="{00000000-0005-0000-0000-000042690000}"/>
    <cellStyle name="SAPBEXexcBad8" xfId="80" xr:uid="{00000000-0005-0000-0000-000043690000}"/>
    <cellStyle name="SAPBEXexcBad8 2" xfId="13628" xr:uid="{00000000-0005-0000-0000-000044690000}"/>
    <cellStyle name="SAPBEXexcBad8 2 2" xfId="25466" xr:uid="{00000000-0005-0000-0000-000045690000}"/>
    <cellStyle name="SAPBEXexcBad8 2 2 2" xfId="27619" xr:uid="{00000000-0005-0000-0000-000046690000}"/>
    <cellStyle name="SAPBEXexcBad8 2 2 2 2" xfId="32206" xr:uid="{CDD3FB0F-3B32-4792-BAD7-01135437722A}"/>
    <cellStyle name="SAPBEXexcBad8 2 2 3" xfId="28024" xr:uid="{00000000-0005-0000-0000-000047690000}"/>
    <cellStyle name="SAPBEXexcBad8 2 2 3 2" xfId="32582" xr:uid="{852CDD5A-CFDD-41BD-884F-0764829DD48B}"/>
    <cellStyle name="SAPBEXexcBad8 2 2 4" xfId="26218" xr:uid="{00000000-0005-0000-0000-000048690000}"/>
    <cellStyle name="SAPBEXexcBad8 2 2 4 2" xfId="31006" xr:uid="{59F473EF-FFC9-47AC-AE9D-1D01CABA42AE}"/>
    <cellStyle name="SAPBEXexcBad8 2 2 5" xfId="29576" xr:uid="{00000000-0005-0000-0000-000049690000}"/>
    <cellStyle name="SAPBEXexcBad8 2 3" xfId="26570" xr:uid="{00000000-0005-0000-0000-00004A690000}"/>
    <cellStyle name="SAPBEXexcBad8 2 3 2" xfId="31348" xr:uid="{4FAA151D-0B1D-4247-AE0E-106F5F863E86}"/>
    <cellStyle name="SAPBEXexcBad8 2 4" xfId="28023" xr:uid="{00000000-0005-0000-0000-00004B690000}"/>
    <cellStyle name="SAPBEXexcBad8 2 4 2" xfId="32581" xr:uid="{16F42EA7-92D7-401F-B360-936F52931500}"/>
    <cellStyle name="SAPBEXexcBad8 2 5" xfId="27149" xr:uid="{00000000-0005-0000-0000-00004C690000}"/>
    <cellStyle name="SAPBEXexcBad8 2 5 2" xfId="31851" xr:uid="{A7C9056D-9180-4EF6-A8EF-7AFCE465DBD2}"/>
    <cellStyle name="SAPBEXexcBad8 2 6" xfId="29575" xr:uid="{00000000-0005-0000-0000-00004D690000}"/>
    <cellStyle name="SAPBEXexcBad8 2 7" xfId="30168" xr:uid="{121A054E-F96F-4E7D-A7D5-F5A6086CD662}"/>
    <cellStyle name="SAPBEXexcBad8 3" xfId="24681" xr:uid="{00000000-0005-0000-0000-00004E690000}"/>
    <cellStyle name="SAPBEXexcBad8 3 2" xfId="25383" xr:uid="{00000000-0005-0000-0000-00004F690000}"/>
    <cellStyle name="SAPBEXexcBad8 3 2 2" xfId="27537" xr:uid="{00000000-0005-0000-0000-000050690000}"/>
    <cellStyle name="SAPBEXexcBad8 3 2 2 2" xfId="32128" xr:uid="{F80C21A3-8BB8-446F-97B9-203291513ACD}"/>
    <cellStyle name="SAPBEXexcBad8 3 2 3" xfId="28026" xr:uid="{00000000-0005-0000-0000-000051690000}"/>
    <cellStyle name="SAPBEXexcBad8 3 2 3 2" xfId="32584" xr:uid="{F16DB7E5-F56D-4541-BA28-D3E480CE4FCD}"/>
    <cellStyle name="SAPBEXexcBad8 3 2 4" xfId="26788" xr:uid="{00000000-0005-0000-0000-000052690000}"/>
    <cellStyle name="SAPBEXexcBad8 3 2 4 2" xfId="31549" xr:uid="{58E2C0DA-65C7-4E44-8ED8-2A596A0076DC}"/>
    <cellStyle name="SAPBEXexcBad8 3 2 5" xfId="29578" xr:uid="{00000000-0005-0000-0000-000053690000}"/>
    <cellStyle name="SAPBEXexcBad8 3 2 6" xfId="30541" xr:uid="{3A15369D-004C-445B-8405-78A515CBFA0F}"/>
    <cellStyle name="SAPBEXexcBad8 3 3" xfId="25644" xr:uid="{00000000-0005-0000-0000-000054690000}"/>
    <cellStyle name="SAPBEXexcBad8 3 3 2" xfId="27797" xr:uid="{00000000-0005-0000-0000-000055690000}"/>
    <cellStyle name="SAPBEXexcBad8 3 3 2 2" xfId="32384" xr:uid="{26D793D6-4ED2-428F-BABF-41F68C2542AB}"/>
    <cellStyle name="SAPBEXexcBad8 3 3 3" xfId="28027" xr:uid="{00000000-0005-0000-0000-000056690000}"/>
    <cellStyle name="SAPBEXexcBad8 3 3 3 2" xfId="32585" xr:uid="{328ECF25-030C-449C-857B-3A0E8035D72C}"/>
    <cellStyle name="SAPBEXexcBad8 3 3 4" xfId="26093" xr:uid="{00000000-0005-0000-0000-000057690000}"/>
    <cellStyle name="SAPBEXexcBad8 3 3 4 2" xfId="30883" xr:uid="{DA520042-7A94-45D0-BDA5-7697230027FE}"/>
    <cellStyle name="SAPBEXexcBad8 3 3 5" xfId="29579" xr:uid="{00000000-0005-0000-0000-000058690000}"/>
    <cellStyle name="SAPBEXexcBad8 3 4" xfId="27271" xr:uid="{00000000-0005-0000-0000-000059690000}"/>
    <cellStyle name="SAPBEXexcBad8 3 4 2" xfId="31906" xr:uid="{741DA6BA-C344-46FA-82A5-C36E8F827DBA}"/>
    <cellStyle name="SAPBEXexcBad8 3 5" xfId="28025" xr:uid="{00000000-0005-0000-0000-00005A690000}"/>
    <cellStyle name="SAPBEXexcBad8 3 5 2" xfId="32583" xr:uid="{F9DE1F9E-A864-495D-BFC6-A9E860F5D52E}"/>
    <cellStyle name="SAPBEXexcBad8 3 6" xfId="26453" xr:uid="{00000000-0005-0000-0000-00005B690000}"/>
    <cellStyle name="SAPBEXexcBad8 3 6 2" xfId="31241" xr:uid="{A68E2025-D99A-431C-908B-1DFF8A453799}"/>
    <cellStyle name="SAPBEXexcBad8 3 7" xfId="29577" xr:uid="{00000000-0005-0000-0000-00005C690000}"/>
    <cellStyle name="SAPBEXexcBad8 3 8" xfId="30346" xr:uid="{8EBBC0D5-37FF-4FAA-BA5F-5BFF8369F726}"/>
    <cellStyle name="SAPBEXexcBad8 4" xfId="25095" xr:uid="{00000000-0005-0000-0000-00005D690000}"/>
    <cellStyle name="SAPBEXexcBad8 4 2" xfId="25407" xr:uid="{00000000-0005-0000-0000-00005E690000}"/>
    <cellStyle name="SAPBEXexcBad8 4 2 2" xfId="27561" xr:uid="{00000000-0005-0000-0000-00005F690000}"/>
    <cellStyle name="SAPBEXexcBad8 4 2 2 2" xfId="32152" xr:uid="{4C604C83-579A-4275-B506-5B2247491A78}"/>
    <cellStyle name="SAPBEXexcBad8 4 2 3" xfId="28029" xr:uid="{00000000-0005-0000-0000-000060690000}"/>
    <cellStyle name="SAPBEXexcBad8 4 2 3 2" xfId="32587" xr:uid="{7E77D617-98FF-4E59-A025-AD3A5B0E6444}"/>
    <cellStyle name="SAPBEXexcBad8 4 2 4" xfId="26104" xr:uid="{00000000-0005-0000-0000-000061690000}"/>
    <cellStyle name="SAPBEXexcBad8 4 2 4 2" xfId="30894" xr:uid="{C1DEDFA8-7657-4D64-8CDC-41E6BF6B7207}"/>
    <cellStyle name="SAPBEXexcBad8 4 2 5" xfId="29581" xr:uid="{00000000-0005-0000-0000-000062690000}"/>
    <cellStyle name="SAPBEXexcBad8 4 2 6" xfId="30565" xr:uid="{3B46A29E-DE8B-45F9-BE1F-4659838470C7}"/>
    <cellStyle name="SAPBEXexcBad8 4 3" xfId="25693" xr:uid="{00000000-0005-0000-0000-000063690000}"/>
    <cellStyle name="SAPBEXexcBad8 4 3 2" xfId="27846" xr:uid="{00000000-0005-0000-0000-000064690000}"/>
    <cellStyle name="SAPBEXexcBad8 4 3 2 2" xfId="32433" xr:uid="{8A2D5EE9-267D-4015-B097-FE5A481D2AF9}"/>
    <cellStyle name="SAPBEXexcBad8 4 3 3" xfId="28030" xr:uid="{00000000-0005-0000-0000-000065690000}"/>
    <cellStyle name="SAPBEXexcBad8 4 3 3 2" xfId="32588" xr:uid="{FA891C18-4D79-4A97-8002-B27C3CCFDBAF}"/>
    <cellStyle name="SAPBEXexcBad8 4 3 4" xfId="26900" xr:uid="{00000000-0005-0000-0000-000066690000}"/>
    <cellStyle name="SAPBEXexcBad8 4 3 4 2" xfId="31661" xr:uid="{C35F3C85-EC52-486B-BECD-F168DFDAA926}"/>
    <cellStyle name="SAPBEXexcBad8 4 3 5" xfId="29582" xr:uid="{00000000-0005-0000-0000-000067690000}"/>
    <cellStyle name="SAPBEXexcBad8 4 3 6" xfId="30687" xr:uid="{0805A494-1235-4227-9F3C-AEC439FDCD09}"/>
    <cellStyle name="SAPBEXexcBad8 4 4" xfId="27380" xr:uid="{00000000-0005-0000-0000-000068690000}"/>
    <cellStyle name="SAPBEXexcBad8 4 4 2" xfId="31978" xr:uid="{F0FEA23A-5C77-4FA6-AE45-94940C566A56}"/>
    <cellStyle name="SAPBEXexcBad8 4 5" xfId="28028" xr:uid="{00000000-0005-0000-0000-000069690000}"/>
    <cellStyle name="SAPBEXexcBad8 4 5 2" xfId="32586" xr:uid="{4B5902EA-D4CD-4A5B-8A5A-0401112C48E2}"/>
    <cellStyle name="SAPBEXexcBad8 4 6" xfId="26785" xr:uid="{00000000-0005-0000-0000-00006A690000}"/>
    <cellStyle name="SAPBEXexcBad8 4 6 2" xfId="31546" xr:uid="{1F66D3C7-B6ED-4FD8-A58B-E3C553854D24}"/>
    <cellStyle name="SAPBEXexcBad8 4 7" xfId="29580" xr:uid="{00000000-0005-0000-0000-00006B690000}"/>
    <cellStyle name="SAPBEXexcBad8 4 8" xfId="30395" xr:uid="{08675E25-B07C-4CA5-A6A7-C14738973FF5}"/>
    <cellStyle name="SAPBEXexcBad8 5" xfId="25824" xr:uid="{00000000-0005-0000-0000-00006C690000}"/>
    <cellStyle name="SAPBEXexcBad8 5 2" xfId="30743" xr:uid="{3E372EA9-0ED3-4A1E-9999-5127CCA3674D}"/>
    <cellStyle name="SAPBEXexcBad8 6" xfId="28022" xr:uid="{00000000-0005-0000-0000-00006D690000}"/>
    <cellStyle name="SAPBEXexcBad8 6 2" xfId="32580" xr:uid="{2CB1FFE1-73C1-48D3-B832-C247E2C55BB0}"/>
    <cellStyle name="SAPBEXexcBad8 7" xfId="26238" xr:uid="{00000000-0005-0000-0000-00006E690000}"/>
    <cellStyle name="SAPBEXexcBad8 7 2" xfId="31026" xr:uid="{26EA9E22-F38C-4C7E-8B09-A86D266C206F}"/>
    <cellStyle name="SAPBEXexcBad8 8" xfId="29574" xr:uid="{00000000-0005-0000-0000-00006F690000}"/>
    <cellStyle name="SAPBEXexcBad9" xfId="81" xr:uid="{00000000-0005-0000-0000-000070690000}"/>
    <cellStyle name="SAPBEXexcBad9 2" xfId="13629" xr:uid="{00000000-0005-0000-0000-000071690000}"/>
    <cellStyle name="SAPBEXexcBad9 2 2" xfId="25467" xr:uid="{00000000-0005-0000-0000-000072690000}"/>
    <cellStyle name="SAPBEXexcBad9 2 2 2" xfId="27620" xr:uid="{00000000-0005-0000-0000-000073690000}"/>
    <cellStyle name="SAPBEXexcBad9 2 2 2 2" xfId="32207" xr:uid="{9219C994-1373-4C88-8225-2AAE9430DDC0}"/>
    <cellStyle name="SAPBEXexcBad9 2 2 3" xfId="28033" xr:uid="{00000000-0005-0000-0000-000074690000}"/>
    <cellStyle name="SAPBEXexcBad9 2 2 3 2" xfId="32591" xr:uid="{147B5E01-F6E4-40B2-80F8-3A1C91AC2264}"/>
    <cellStyle name="SAPBEXexcBad9 2 2 4" xfId="26927" xr:uid="{00000000-0005-0000-0000-000075690000}"/>
    <cellStyle name="SAPBEXexcBad9 2 2 4 2" xfId="31688" xr:uid="{66310ED7-13E0-475D-943C-1B92209832B0}"/>
    <cellStyle name="SAPBEXexcBad9 2 2 5" xfId="29585" xr:uid="{00000000-0005-0000-0000-000076690000}"/>
    <cellStyle name="SAPBEXexcBad9 2 3" xfId="26571" xr:uid="{00000000-0005-0000-0000-000077690000}"/>
    <cellStyle name="SAPBEXexcBad9 2 3 2" xfId="31349" xr:uid="{468C88E9-5348-4798-A7FB-656C57D4C49D}"/>
    <cellStyle name="SAPBEXexcBad9 2 4" xfId="28032" xr:uid="{00000000-0005-0000-0000-000078690000}"/>
    <cellStyle name="SAPBEXexcBad9 2 4 2" xfId="32590" xr:uid="{FDAF5511-97AE-4C91-9200-BD6139B1CCD4}"/>
    <cellStyle name="SAPBEXexcBad9 2 5" xfId="26418" xr:uid="{00000000-0005-0000-0000-000079690000}"/>
    <cellStyle name="SAPBEXexcBad9 2 5 2" xfId="31206" xr:uid="{817733A6-CA2D-4868-A91E-D5F88F616E6C}"/>
    <cellStyle name="SAPBEXexcBad9 2 6" xfId="29584" xr:uid="{00000000-0005-0000-0000-00007A690000}"/>
    <cellStyle name="SAPBEXexcBad9 2 7" xfId="30169" xr:uid="{5A46BD8B-99BA-4ADD-BD92-D2EDF95E3C6C}"/>
    <cellStyle name="SAPBEXexcBad9 3" xfId="24680" xr:uid="{00000000-0005-0000-0000-00007B690000}"/>
    <cellStyle name="SAPBEXexcBad9 3 2" xfId="25370" xr:uid="{00000000-0005-0000-0000-00007C690000}"/>
    <cellStyle name="SAPBEXexcBad9 3 2 2" xfId="27524" xr:uid="{00000000-0005-0000-0000-00007D690000}"/>
    <cellStyle name="SAPBEXexcBad9 3 2 2 2" xfId="32115" xr:uid="{5904040C-3BBB-423B-8860-5CC46C45B118}"/>
    <cellStyle name="SAPBEXexcBad9 3 2 3" xfId="28035" xr:uid="{00000000-0005-0000-0000-00007E690000}"/>
    <cellStyle name="SAPBEXexcBad9 3 2 3 2" xfId="32593" xr:uid="{93D296E2-06AB-4437-921B-1E975D5F7F06}"/>
    <cellStyle name="SAPBEXexcBad9 3 2 4" xfId="26704" xr:uid="{00000000-0005-0000-0000-00007F690000}"/>
    <cellStyle name="SAPBEXexcBad9 3 2 4 2" xfId="31466" xr:uid="{71DE239D-58B4-48FA-83E7-39092D3A3F62}"/>
    <cellStyle name="SAPBEXexcBad9 3 2 5" xfId="29587" xr:uid="{00000000-0005-0000-0000-000080690000}"/>
    <cellStyle name="SAPBEXexcBad9 3 2 6" xfId="30528" xr:uid="{BE9D39FA-F8D5-4FCD-880A-65D34BEEBDD0}"/>
    <cellStyle name="SAPBEXexcBad9 3 3" xfId="25643" xr:uid="{00000000-0005-0000-0000-000081690000}"/>
    <cellStyle name="SAPBEXexcBad9 3 3 2" xfId="27796" xr:uid="{00000000-0005-0000-0000-000082690000}"/>
    <cellStyle name="SAPBEXexcBad9 3 3 2 2" xfId="32383" xr:uid="{E5EE7670-C79F-4A61-BB0E-8D5B921C5D6A}"/>
    <cellStyle name="SAPBEXexcBad9 3 3 3" xfId="28036" xr:uid="{00000000-0005-0000-0000-000083690000}"/>
    <cellStyle name="SAPBEXexcBad9 3 3 3 2" xfId="32594" xr:uid="{9F72F696-A5AD-430D-8B4F-5E7A509BF504}"/>
    <cellStyle name="SAPBEXexcBad9 3 3 4" xfId="26530" xr:uid="{00000000-0005-0000-0000-000084690000}"/>
    <cellStyle name="SAPBEXexcBad9 3 3 4 2" xfId="31317" xr:uid="{0AF54538-BDD5-451D-B991-E41725C3156C}"/>
    <cellStyle name="SAPBEXexcBad9 3 3 5" xfId="29588" xr:uid="{00000000-0005-0000-0000-000085690000}"/>
    <cellStyle name="SAPBEXexcBad9 3 4" xfId="27270" xr:uid="{00000000-0005-0000-0000-000086690000}"/>
    <cellStyle name="SAPBEXexcBad9 3 4 2" xfId="31905" xr:uid="{8D260CF6-18A3-468A-BC1F-EF8242DA7411}"/>
    <cellStyle name="SAPBEXexcBad9 3 5" xfId="28034" xr:uid="{00000000-0005-0000-0000-000087690000}"/>
    <cellStyle name="SAPBEXexcBad9 3 5 2" xfId="32592" xr:uid="{92BF6394-75C1-4E2B-A1A7-0B62F3217125}"/>
    <cellStyle name="SAPBEXexcBad9 3 6" xfId="26886" xr:uid="{00000000-0005-0000-0000-000088690000}"/>
    <cellStyle name="SAPBEXexcBad9 3 6 2" xfId="31647" xr:uid="{2CA139E6-A935-4D43-9079-DF3D0C324EC1}"/>
    <cellStyle name="SAPBEXexcBad9 3 7" xfId="29586" xr:uid="{00000000-0005-0000-0000-000089690000}"/>
    <cellStyle name="SAPBEXexcBad9 3 8" xfId="30345" xr:uid="{7723DB4C-AAD9-44A2-86D4-2332F61D552D}"/>
    <cellStyle name="SAPBEXexcBad9 4" xfId="25096" xr:uid="{00000000-0005-0000-0000-00008A690000}"/>
    <cellStyle name="SAPBEXexcBad9 4 2" xfId="25320" xr:uid="{00000000-0005-0000-0000-00008B690000}"/>
    <cellStyle name="SAPBEXexcBad9 4 2 2" xfId="27474" xr:uid="{00000000-0005-0000-0000-00008C690000}"/>
    <cellStyle name="SAPBEXexcBad9 4 2 2 2" xfId="32065" xr:uid="{D3264A37-97E2-4BFF-8403-2B0F38FB2298}"/>
    <cellStyle name="SAPBEXexcBad9 4 2 3" xfId="28038" xr:uid="{00000000-0005-0000-0000-00008D690000}"/>
    <cellStyle name="SAPBEXexcBad9 4 2 3 2" xfId="32596" xr:uid="{ECE4F3D6-7129-48B1-8496-F77E5A7631A6}"/>
    <cellStyle name="SAPBEXexcBad9 4 2 4" xfId="26083" xr:uid="{00000000-0005-0000-0000-00008E690000}"/>
    <cellStyle name="SAPBEXexcBad9 4 2 4 2" xfId="30873" xr:uid="{EF3785BF-319D-48F7-8611-86DE9D9805DD}"/>
    <cellStyle name="SAPBEXexcBad9 4 2 5" xfId="29590" xr:uid="{00000000-0005-0000-0000-00008F690000}"/>
    <cellStyle name="SAPBEXexcBad9 4 2 6" xfId="30478" xr:uid="{55512588-FCE6-4E34-9525-10C463DEDDB6}"/>
    <cellStyle name="SAPBEXexcBad9 4 3" xfId="25694" xr:uid="{00000000-0005-0000-0000-000090690000}"/>
    <cellStyle name="SAPBEXexcBad9 4 3 2" xfId="27847" xr:uid="{00000000-0005-0000-0000-000091690000}"/>
    <cellStyle name="SAPBEXexcBad9 4 3 2 2" xfId="32434" xr:uid="{7977C168-4F68-4452-B0C1-4E2C277010CA}"/>
    <cellStyle name="SAPBEXexcBad9 4 3 3" xfId="28039" xr:uid="{00000000-0005-0000-0000-000092690000}"/>
    <cellStyle name="SAPBEXexcBad9 4 3 3 2" xfId="32597" xr:uid="{F43F0C88-FE17-43C5-B8D0-A84D84C581B3}"/>
    <cellStyle name="SAPBEXexcBad9 4 3 4" xfId="27316" xr:uid="{00000000-0005-0000-0000-000093690000}"/>
    <cellStyle name="SAPBEXexcBad9 4 3 4 2" xfId="31936" xr:uid="{072C2996-7E58-48FA-9C3C-E0F1FDF93C39}"/>
    <cellStyle name="SAPBEXexcBad9 4 3 5" xfId="29591" xr:uid="{00000000-0005-0000-0000-000094690000}"/>
    <cellStyle name="SAPBEXexcBad9 4 3 6" xfId="30688" xr:uid="{E7B6A86E-F651-4499-A81A-9D2E5C8EA0D3}"/>
    <cellStyle name="SAPBEXexcBad9 4 4" xfId="27381" xr:uid="{00000000-0005-0000-0000-000095690000}"/>
    <cellStyle name="SAPBEXexcBad9 4 4 2" xfId="31979" xr:uid="{04528EAB-C978-4019-ADE5-1EB760ED5A63}"/>
    <cellStyle name="SAPBEXexcBad9 4 5" xfId="28037" xr:uid="{00000000-0005-0000-0000-000096690000}"/>
    <cellStyle name="SAPBEXexcBad9 4 5 2" xfId="32595" xr:uid="{E63F6B05-8010-4AEA-B68C-AD363D2196B2}"/>
    <cellStyle name="SAPBEXexcBad9 4 6" xfId="26261" xr:uid="{00000000-0005-0000-0000-000097690000}"/>
    <cellStyle name="SAPBEXexcBad9 4 6 2" xfId="31049" xr:uid="{036F90B6-FA9D-4D6C-9A07-816B59726EDE}"/>
    <cellStyle name="SAPBEXexcBad9 4 7" xfId="29589" xr:uid="{00000000-0005-0000-0000-000098690000}"/>
    <cellStyle name="SAPBEXexcBad9 4 8" xfId="30396" xr:uid="{5497B413-3269-428A-ADFF-E39FDCFD8C2C}"/>
    <cellStyle name="SAPBEXexcBad9 5" xfId="25825" xr:uid="{00000000-0005-0000-0000-000099690000}"/>
    <cellStyle name="SAPBEXexcBad9 5 2" xfId="30744" xr:uid="{B9FDB609-DEC1-4553-856F-FF209B25523E}"/>
    <cellStyle name="SAPBEXexcBad9 6" xfId="28031" xr:uid="{00000000-0005-0000-0000-00009A690000}"/>
    <cellStyle name="SAPBEXexcBad9 6 2" xfId="32589" xr:uid="{742128E4-5277-4C17-A150-4CB06F50C9E8}"/>
    <cellStyle name="SAPBEXexcBad9 7" xfId="26839" xr:uid="{00000000-0005-0000-0000-00009B690000}"/>
    <cellStyle name="SAPBEXexcBad9 7 2" xfId="31600" xr:uid="{1476D7C8-A60A-4FB1-B4A2-CAF306157B4B}"/>
    <cellStyle name="SAPBEXexcBad9 8" xfId="29583" xr:uid="{00000000-0005-0000-0000-00009C690000}"/>
    <cellStyle name="SAPBEXexcCritical4" xfId="82" xr:uid="{00000000-0005-0000-0000-00009D690000}"/>
    <cellStyle name="SAPBEXexcCritical4 2" xfId="13630" xr:uid="{00000000-0005-0000-0000-00009E690000}"/>
    <cellStyle name="SAPBEXexcCritical4 2 2" xfId="25468" xr:uid="{00000000-0005-0000-0000-00009F690000}"/>
    <cellStyle name="SAPBEXexcCritical4 2 2 2" xfId="27621" xr:uid="{00000000-0005-0000-0000-0000A0690000}"/>
    <cellStyle name="SAPBEXexcCritical4 2 2 2 2" xfId="32208" xr:uid="{4C1A3557-8559-446F-BEE3-03BF902472E1}"/>
    <cellStyle name="SAPBEXexcCritical4 2 2 3" xfId="28042" xr:uid="{00000000-0005-0000-0000-0000A1690000}"/>
    <cellStyle name="SAPBEXexcCritical4 2 2 3 2" xfId="32600" xr:uid="{1EC165D3-BD9F-40F4-A9A5-5784127958E8}"/>
    <cellStyle name="SAPBEXexcCritical4 2 2 4" xfId="26891" xr:uid="{00000000-0005-0000-0000-0000A2690000}"/>
    <cellStyle name="SAPBEXexcCritical4 2 2 4 2" xfId="31652" xr:uid="{B19CE2F8-6FA7-4669-BC20-9C52A5C86E66}"/>
    <cellStyle name="SAPBEXexcCritical4 2 2 5" xfId="29594" xr:uid="{00000000-0005-0000-0000-0000A3690000}"/>
    <cellStyle name="SAPBEXexcCritical4 2 3" xfId="26572" xr:uid="{00000000-0005-0000-0000-0000A4690000}"/>
    <cellStyle name="SAPBEXexcCritical4 2 3 2" xfId="31350" xr:uid="{2CEA8ACE-5515-4B13-A8A3-7F63E30DE0FA}"/>
    <cellStyle name="SAPBEXexcCritical4 2 4" xfId="28041" xr:uid="{00000000-0005-0000-0000-0000A5690000}"/>
    <cellStyle name="SAPBEXexcCritical4 2 4 2" xfId="32599" xr:uid="{91E586E4-3882-4DF8-A48E-1CBB37128C11}"/>
    <cellStyle name="SAPBEXexcCritical4 2 5" xfId="26440" xr:uid="{00000000-0005-0000-0000-0000A6690000}"/>
    <cellStyle name="SAPBEXexcCritical4 2 5 2" xfId="31228" xr:uid="{0A11A3EE-4D47-4AF6-BD3B-57C75A471220}"/>
    <cellStyle name="SAPBEXexcCritical4 2 6" xfId="29593" xr:uid="{00000000-0005-0000-0000-0000A7690000}"/>
    <cellStyle name="SAPBEXexcCritical4 2 7" xfId="30170" xr:uid="{58A3AECB-2DA0-425D-9D17-340E10EDBC4A}"/>
    <cellStyle name="SAPBEXexcCritical4 3" xfId="24679" xr:uid="{00000000-0005-0000-0000-0000A8690000}"/>
    <cellStyle name="SAPBEXexcCritical4 3 2" xfId="25288" xr:uid="{00000000-0005-0000-0000-0000A9690000}"/>
    <cellStyle name="SAPBEXexcCritical4 3 2 2" xfId="27443" xr:uid="{00000000-0005-0000-0000-0000AA690000}"/>
    <cellStyle name="SAPBEXexcCritical4 3 2 2 2" xfId="32038" xr:uid="{0C834BEA-1894-4C1F-B9A4-DEB4E7C18754}"/>
    <cellStyle name="SAPBEXexcCritical4 3 2 3" xfId="28044" xr:uid="{00000000-0005-0000-0000-0000AB690000}"/>
    <cellStyle name="SAPBEXexcCritical4 3 2 3 2" xfId="32602" xr:uid="{ADA7A4CD-29BC-4F1A-8F0B-96057CE648F7}"/>
    <cellStyle name="SAPBEXexcCritical4 3 2 4" xfId="26721" xr:uid="{00000000-0005-0000-0000-0000AC690000}"/>
    <cellStyle name="SAPBEXexcCritical4 3 2 4 2" xfId="31482" xr:uid="{23AA9DE3-CCD4-456B-83D4-945869CDD871}"/>
    <cellStyle name="SAPBEXexcCritical4 3 2 5" xfId="29596" xr:uid="{00000000-0005-0000-0000-0000AD690000}"/>
    <cellStyle name="SAPBEXexcCritical4 3 2 6" xfId="30451" xr:uid="{C9F467A4-EC64-4110-8658-0E9CC956A4AE}"/>
    <cellStyle name="SAPBEXexcCritical4 3 3" xfId="25642" xr:uid="{00000000-0005-0000-0000-0000AE690000}"/>
    <cellStyle name="SAPBEXexcCritical4 3 3 2" xfId="27795" xr:uid="{00000000-0005-0000-0000-0000AF690000}"/>
    <cellStyle name="SAPBEXexcCritical4 3 3 2 2" xfId="32382" xr:uid="{1BCD7247-65D7-4B38-A22A-30576908620A}"/>
    <cellStyle name="SAPBEXexcCritical4 3 3 3" xfId="28045" xr:uid="{00000000-0005-0000-0000-0000B0690000}"/>
    <cellStyle name="SAPBEXexcCritical4 3 3 3 2" xfId="32603" xr:uid="{6420519A-2F43-44DF-913D-2727A45F7DD6}"/>
    <cellStyle name="SAPBEXexcCritical4 3 3 4" xfId="26545" xr:uid="{00000000-0005-0000-0000-0000B1690000}"/>
    <cellStyle name="SAPBEXexcCritical4 3 3 4 2" xfId="31332" xr:uid="{D8E73EB4-E864-437B-8056-746880BFBB26}"/>
    <cellStyle name="SAPBEXexcCritical4 3 3 5" xfId="29597" xr:uid="{00000000-0005-0000-0000-0000B2690000}"/>
    <cellStyle name="SAPBEXexcCritical4 3 4" xfId="27269" xr:uid="{00000000-0005-0000-0000-0000B3690000}"/>
    <cellStyle name="SAPBEXexcCritical4 3 4 2" xfId="31904" xr:uid="{B939282D-E9C7-4A38-BC31-D08288318DAB}"/>
    <cellStyle name="SAPBEXexcCritical4 3 5" xfId="28043" xr:uid="{00000000-0005-0000-0000-0000B4690000}"/>
    <cellStyle name="SAPBEXexcCritical4 3 5 2" xfId="32601" xr:uid="{E511E918-D7D8-4C6F-9BF1-EF4F9A4F79B7}"/>
    <cellStyle name="SAPBEXexcCritical4 3 6" xfId="27431" xr:uid="{00000000-0005-0000-0000-0000B5690000}"/>
    <cellStyle name="SAPBEXexcCritical4 3 6 2" xfId="32029" xr:uid="{E734B8A6-8438-40C5-8402-F8A9F89A88E0}"/>
    <cellStyle name="SAPBEXexcCritical4 3 7" xfId="29595" xr:uid="{00000000-0005-0000-0000-0000B6690000}"/>
    <cellStyle name="SAPBEXexcCritical4 3 8" xfId="30344" xr:uid="{C74F7E1B-840F-45DA-A86A-EB45BC080B92}"/>
    <cellStyle name="SAPBEXexcCritical4 4" xfId="25097" xr:uid="{00000000-0005-0000-0000-0000B7690000}"/>
    <cellStyle name="SAPBEXexcCritical4 4 2" xfId="25419" xr:uid="{00000000-0005-0000-0000-0000B8690000}"/>
    <cellStyle name="SAPBEXexcCritical4 4 2 2" xfId="27573" xr:uid="{00000000-0005-0000-0000-0000B9690000}"/>
    <cellStyle name="SAPBEXexcCritical4 4 2 2 2" xfId="32164" xr:uid="{6C533E4F-C7F3-401D-A2CF-74009D23DA54}"/>
    <cellStyle name="SAPBEXexcCritical4 4 2 3" xfId="28047" xr:uid="{00000000-0005-0000-0000-0000BA690000}"/>
    <cellStyle name="SAPBEXexcCritical4 4 2 3 2" xfId="32605" xr:uid="{ABB5BBFD-C752-47A0-A672-E72912235D69}"/>
    <cellStyle name="SAPBEXexcCritical4 4 2 4" xfId="26864" xr:uid="{00000000-0005-0000-0000-0000BB690000}"/>
    <cellStyle name="SAPBEXexcCritical4 4 2 4 2" xfId="31625" xr:uid="{AC5EBFA1-63FE-4CC3-A54A-19267982CF04}"/>
    <cellStyle name="SAPBEXexcCritical4 4 2 5" xfId="29599" xr:uid="{00000000-0005-0000-0000-0000BC690000}"/>
    <cellStyle name="SAPBEXexcCritical4 4 2 6" xfId="30577" xr:uid="{7ED3A99F-705A-411B-830D-64F6E5CF8980}"/>
    <cellStyle name="SAPBEXexcCritical4 4 3" xfId="25695" xr:uid="{00000000-0005-0000-0000-0000BD690000}"/>
    <cellStyle name="SAPBEXexcCritical4 4 3 2" xfId="27848" xr:uid="{00000000-0005-0000-0000-0000BE690000}"/>
    <cellStyle name="SAPBEXexcCritical4 4 3 2 2" xfId="32435" xr:uid="{A739D6FD-5B35-4406-9571-BF10110B53C2}"/>
    <cellStyle name="SAPBEXexcCritical4 4 3 3" xfId="28048" xr:uid="{00000000-0005-0000-0000-0000BF690000}"/>
    <cellStyle name="SAPBEXexcCritical4 4 3 3 2" xfId="32606" xr:uid="{636F7462-3337-4DFB-8DE2-44497B315D7F}"/>
    <cellStyle name="SAPBEXexcCritical4 4 3 4" xfId="26473" xr:uid="{00000000-0005-0000-0000-0000C0690000}"/>
    <cellStyle name="SAPBEXexcCritical4 4 3 4 2" xfId="31261" xr:uid="{E5E4E37D-D955-4DEA-B86C-2DC3C6C64B46}"/>
    <cellStyle name="SAPBEXexcCritical4 4 3 5" xfId="29600" xr:uid="{00000000-0005-0000-0000-0000C1690000}"/>
    <cellStyle name="SAPBEXexcCritical4 4 3 6" xfId="30689" xr:uid="{F46028BE-D214-4024-B49F-8181E8E1C8F2}"/>
    <cellStyle name="SAPBEXexcCritical4 4 4" xfId="27382" xr:uid="{00000000-0005-0000-0000-0000C2690000}"/>
    <cellStyle name="SAPBEXexcCritical4 4 4 2" xfId="31980" xr:uid="{EDE1B859-C2C2-4F53-B8E3-BA10D956968C}"/>
    <cellStyle name="SAPBEXexcCritical4 4 5" xfId="28046" xr:uid="{00000000-0005-0000-0000-0000C3690000}"/>
    <cellStyle name="SAPBEXexcCritical4 4 5 2" xfId="32604" xr:uid="{3A204148-B177-4470-A7EE-47BDF5C2BCED}"/>
    <cellStyle name="SAPBEXexcCritical4 4 6" xfId="26875" xr:uid="{00000000-0005-0000-0000-0000C4690000}"/>
    <cellStyle name="SAPBEXexcCritical4 4 6 2" xfId="31636" xr:uid="{2F5DB930-50CA-4BDB-B31A-D8DD74879E2A}"/>
    <cellStyle name="SAPBEXexcCritical4 4 7" xfId="29598" xr:uid="{00000000-0005-0000-0000-0000C5690000}"/>
    <cellStyle name="SAPBEXexcCritical4 4 8" xfId="30397" xr:uid="{CC0440E0-F90D-4E0B-AC5F-21FF8BBE30C6}"/>
    <cellStyle name="SAPBEXexcCritical4 5" xfId="25826" xr:uid="{00000000-0005-0000-0000-0000C6690000}"/>
    <cellStyle name="SAPBEXexcCritical4 5 2" xfId="30745" xr:uid="{FB75A25C-B024-4FCB-9184-F92F74F57870}"/>
    <cellStyle name="SAPBEXexcCritical4 6" xfId="28040" xr:uid="{00000000-0005-0000-0000-0000C7690000}"/>
    <cellStyle name="SAPBEXexcCritical4 6 2" xfId="32598" xr:uid="{9407BCAC-FC5C-4527-914B-98099D843D16}"/>
    <cellStyle name="SAPBEXexcCritical4 7" xfId="28544" xr:uid="{00000000-0005-0000-0000-0000C8690000}"/>
    <cellStyle name="SAPBEXexcCritical4 7 2" xfId="33102" xr:uid="{2796E429-B2A0-4461-8D28-4C03E84A230C}"/>
    <cellStyle name="SAPBEXexcCritical4 8" xfId="29592" xr:uid="{00000000-0005-0000-0000-0000C9690000}"/>
    <cellStyle name="SAPBEXexcCritical5" xfId="83" xr:uid="{00000000-0005-0000-0000-0000CA690000}"/>
    <cellStyle name="SAPBEXexcCritical5 2" xfId="13631" xr:uid="{00000000-0005-0000-0000-0000CB690000}"/>
    <cellStyle name="SAPBEXexcCritical5 2 2" xfId="25469" xr:uid="{00000000-0005-0000-0000-0000CC690000}"/>
    <cellStyle name="SAPBEXexcCritical5 2 2 2" xfId="27622" xr:uid="{00000000-0005-0000-0000-0000CD690000}"/>
    <cellStyle name="SAPBEXexcCritical5 2 2 2 2" xfId="32209" xr:uid="{99E80E00-0114-4690-AA88-FBBFD0A6923A}"/>
    <cellStyle name="SAPBEXexcCritical5 2 2 3" xfId="28051" xr:uid="{00000000-0005-0000-0000-0000CE690000}"/>
    <cellStyle name="SAPBEXexcCritical5 2 2 3 2" xfId="32609" xr:uid="{5F50C9B8-F086-42FF-A2A1-B5A66226DE78}"/>
    <cellStyle name="SAPBEXexcCritical5 2 2 4" xfId="26876" xr:uid="{00000000-0005-0000-0000-0000CF690000}"/>
    <cellStyle name="SAPBEXexcCritical5 2 2 4 2" xfId="31637" xr:uid="{45822982-4981-4072-8B74-CEA78E3A33D3}"/>
    <cellStyle name="SAPBEXexcCritical5 2 2 5" xfId="29603" xr:uid="{00000000-0005-0000-0000-0000D0690000}"/>
    <cellStyle name="SAPBEXexcCritical5 2 3" xfId="26573" xr:uid="{00000000-0005-0000-0000-0000D1690000}"/>
    <cellStyle name="SAPBEXexcCritical5 2 3 2" xfId="31351" xr:uid="{E8207FE1-76BA-456B-9EF4-2E9F13EAE089}"/>
    <cellStyle name="SAPBEXexcCritical5 2 4" xfId="28050" xr:uid="{00000000-0005-0000-0000-0000D2690000}"/>
    <cellStyle name="SAPBEXexcCritical5 2 4 2" xfId="32608" xr:uid="{B399BDED-9CA3-4D65-BEAB-B6C374479F24}"/>
    <cellStyle name="SAPBEXexcCritical5 2 5" xfId="26879" xr:uid="{00000000-0005-0000-0000-0000D3690000}"/>
    <cellStyle name="SAPBEXexcCritical5 2 5 2" xfId="31640" xr:uid="{1564924A-79FD-4C8F-BB53-CC3E151FCB18}"/>
    <cellStyle name="SAPBEXexcCritical5 2 6" xfId="29602" xr:uid="{00000000-0005-0000-0000-0000D4690000}"/>
    <cellStyle name="SAPBEXexcCritical5 2 7" xfId="30171" xr:uid="{8AB3656F-2BD5-4509-9FE2-535ACCE267AF}"/>
    <cellStyle name="SAPBEXexcCritical5 3" xfId="24678" xr:uid="{00000000-0005-0000-0000-0000D5690000}"/>
    <cellStyle name="SAPBEXexcCritical5 3 2" xfId="25299" xr:uid="{00000000-0005-0000-0000-0000D6690000}"/>
    <cellStyle name="SAPBEXexcCritical5 3 2 2" xfId="27453" xr:uid="{00000000-0005-0000-0000-0000D7690000}"/>
    <cellStyle name="SAPBEXexcCritical5 3 2 2 2" xfId="32045" xr:uid="{4BBE141B-12A2-4264-B2A9-8AE31239A911}"/>
    <cellStyle name="SAPBEXexcCritical5 3 2 3" xfId="28053" xr:uid="{00000000-0005-0000-0000-0000D8690000}"/>
    <cellStyle name="SAPBEXexcCritical5 3 2 3 2" xfId="32611" xr:uid="{23E69A51-8BD5-47C3-B992-1976428EF0F8}"/>
    <cellStyle name="SAPBEXexcCritical5 3 2 4" xfId="27224" xr:uid="{00000000-0005-0000-0000-0000D9690000}"/>
    <cellStyle name="SAPBEXexcCritical5 3 2 4 2" xfId="31860" xr:uid="{FBF18294-D765-4281-B22C-CD3B9D4DAD4B}"/>
    <cellStyle name="SAPBEXexcCritical5 3 2 5" xfId="29605" xr:uid="{00000000-0005-0000-0000-0000DA690000}"/>
    <cellStyle name="SAPBEXexcCritical5 3 2 6" xfId="30458" xr:uid="{CE5A29A8-8F55-4042-9E8F-1DCC7629A69D}"/>
    <cellStyle name="SAPBEXexcCritical5 3 3" xfId="25641" xr:uid="{00000000-0005-0000-0000-0000DB690000}"/>
    <cellStyle name="SAPBEXexcCritical5 3 3 2" xfId="27794" xr:uid="{00000000-0005-0000-0000-0000DC690000}"/>
    <cellStyle name="SAPBEXexcCritical5 3 3 2 2" xfId="32381" xr:uid="{D4555CD7-9F7D-4217-BCE6-F19E7255C716}"/>
    <cellStyle name="SAPBEXexcCritical5 3 3 3" xfId="28054" xr:uid="{00000000-0005-0000-0000-0000DD690000}"/>
    <cellStyle name="SAPBEXexcCritical5 3 3 3 2" xfId="32612" xr:uid="{F74E00A1-BA2A-422F-9613-802CCF1AB182}"/>
    <cellStyle name="SAPBEXexcCritical5 3 3 4" xfId="26362" xr:uid="{00000000-0005-0000-0000-0000DE690000}"/>
    <cellStyle name="SAPBEXexcCritical5 3 3 4 2" xfId="31150" xr:uid="{E03FF879-4919-455B-AE32-1FFA11BD9809}"/>
    <cellStyle name="SAPBEXexcCritical5 3 3 5" xfId="29606" xr:uid="{00000000-0005-0000-0000-0000DF690000}"/>
    <cellStyle name="SAPBEXexcCritical5 3 4" xfId="27268" xr:uid="{00000000-0005-0000-0000-0000E0690000}"/>
    <cellStyle name="SAPBEXexcCritical5 3 4 2" xfId="31903" xr:uid="{774B2D2F-858E-4ACE-9046-DF90B26CCDDC}"/>
    <cellStyle name="SAPBEXexcCritical5 3 5" xfId="28052" xr:uid="{00000000-0005-0000-0000-0000E1690000}"/>
    <cellStyle name="SAPBEXexcCritical5 3 5 2" xfId="32610" xr:uid="{38F06F44-77DC-4238-BF75-A05E771BEB52}"/>
    <cellStyle name="SAPBEXexcCritical5 3 6" xfId="26740" xr:uid="{00000000-0005-0000-0000-0000E2690000}"/>
    <cellStyle name="SAPBEXexcCritical5 3 6 2" xfId="31501" xr:uid="{505BB946-528C-4EF9-A6DD-0F03651AEBD4}"/>
    <cellStyle name="SAPBEXexcCritical5 3 7" xfId="29604" xr:uid="{00000000-0005-0000-0000-0000E3690000}"/>
    <cellStyle name="SAPBEXexcCritical5 3 8" xfId="30343" xr:uid="{1A1A846D-0107-4192-B410-F868EDB2E91D}"/>
    <cellStyle name="SAPBEXexcCritical5 4" xfId="25098" xr:uid="{00000000-0005-0000-0000-0000E4690000}"/>
    <cellStyle name="SAPBEXexcCritical5 4 2" xfId="25336" xr:uid="{00000000-0005-0000-0000-0000E5690000}"/>
    <cellStyle name="SAPBEXexcCritical5 4 2 2" xfId="27490" xr:uid="{00000000-0005-0000-0000-0000E6690000}"/>
    <cellStyle name="SAPBEXexcCritical5 4 2 2 2" xfId="32081" xr:uid="{EC655B21-FA03-4566-A5C9-5B4F5A22BD5D}"/>
    <cellStyle name="SAPBEXexcCritical5 4 2 3" xfId="28056" xr:uid="{00000000-0005-0000-0000-0000E7690000}"/>
    <cellStyle name="SAPBEXexcCritical5 4 2 3 2" xfId="32614" xr:uid="{324C3DB6-A13C-4944-A644-ECBE3F5AD5DA}"/>
    <cellStyle name="SAPBEXexcCritical5 4 2 4" xfId="26070" xr:uid="{00000000-0005-0000-0000-0000E8690000}"/>
    <cellStyle name="SAPBEXexcCritical5 4 2 4 2" xfId="30860" xr:uid="{497AF3F7-8308-45D8-9571-DDE5783F35A6}"/>
    <cellStyle name="SAPBEXexcCritical5 4 2 5" xfId="29608" xr:uid="{00000000-0005-0000-0000-0000E9690000}"/>
    <cellStyle name="SAPBEXexcCritical5 4 2 6" xfId="30494" xr:uid="{B8293346-A057-4C86-AD9F-4FBFDE061BB6}"/>
    <cellStyle name="SAPBEXexcCritical5 4 3" xfId="25696" xr:uid="{00000000-0005-0000-0000-0000EA690000}"/>
    <cellStyle name="SAPBEXexcCritical5 4 3 2" xfId="27849" xr:uid="{00000000-0005-0000-0000-0000EB690000}"/>
    <cellStyle name="SAPBEXexcCritical5 4 3 2 2" xfId="32436" xr:uid="{7B598F7F-51CF-45D7-A39D-51AB66D6AECE}"/>
    <cellStyle name="SAPBEXexcCritical5 4 3 3" xfId="28057" xr:uid="{00000000-0005-0000-0000-0000EC690000}"/>
    <cellStyle name="SAPBEXexcCritical5 4 3 3 2" xfId="32615" xr:uid="{5A54520A-9397-4886-A10A-B596197A9C33}"/>
    <cellStyle name="SAPBEXexcCritical5 4 3 4" xfId="26746" xr:uid="{00000000-0005-0000-0000-0000ED690000}"/>
    <cellStyle name="SAPBEXexcCritical5 4 3 4 2" xfId="31507" xr:uid="{E5CFDEE8-8CF9-4105-846A-3BB297C1271D}"/>
    <cellStyle name="SAPBEXexcCritical5 4 3 5" xfId="29609" xr:uid="{00000000-0005-0000-0000-0000EE690000}"/>
    <cellStyle name="SAPBEXexcCritical5 4 3 6" xfId="30690" xr:uid="{27E4E16B-454C-42F5-9427-31E95FD262FC}"/>
    <cellStyle name="SAPBEXexcCritical5 4 4" xfId="27383" xr:uid="{00000000-0005-0000-0000-0000EF690000}"/>
    <cellStyle name="SAPBEXexcCritical5 4 4 2" xfId="31981" xr:uid="{406C21E6-E7F5-47DE-9F9E-6C269E9EEFE7}"/>
    <cellStyle name="SAPBEXexcCritical5 4 5" xfId="28055" xr:uid="{00000000-0005-0000-0000-0000F0690000}"/>
    <cellStyle name="SAPBEXexcCritical5 4 5 2" xfId="32613" xr:uid="{E0003B20-0BC9-4348-B8BE-1D760071D72D}"/>
    <cellStyle name="SAPBEXexcCritical5 4 6" xfId="26750" xr:uid="{00000000-0005-0000-0000-0000F1690000}"/>
    <cellStyle name="SAPBEXexcCritical5 4 6 2" xfId="31511" xr:uid="{2063EC52-EE65-42E4-8938-3E60A26469C7}"/>
    <cellStyle name="SAPBEXexcCritical5 4 7" xfId="29607" xr:uid="{00000000-0005-0000-0000-0000F2690000}"/>
    <cellStyle name="SAPBEXexcCritical5 4 8" xfId="30398" xr:uid="{C41AB15E-E90E-4BB9-8F6A-F12EFC0AED99}"/>
    <cellStyle name="SAPBEXexcCritical5 5" xfId="25827" xr:uid="{00000000-0005-0000-0000-0000F3690000}"/>
    <cellStyle name="SAPBEXexcCritical5 5 2" xfId="30746" xr:uid="{74FF13CE-F034-4FD7-9E48-C85A29E46F45}"/>
    <cellStyle name="SAPBEXexcCritical5 6" xfId="28049" xr:uid="{00000000-0005-0000-0000-0000F4690000}"/>
    <cellStyle name="SAPBEXexcCritical5 6 2" xfId="32607" xr:uid="{3BED9352-1054-45B8-B18B-651B6F8F5287}"/>
    <cellStyle name="SAPBEXexcCritical5 7" xfId="28545" xr:uid="{00000000-0005-0000-0000-0000F5690000}"/>
    <cellStyle name="SAPBEXexcCritical5 7 2" xfId="33103" xr:uid="{277E054A-76F1-451C-9F15-8E953D37490C}"/>
    <cellStyle name="SAPBEXexcCritical5 8" xfId="29601" xr:uid="{00000000-0005-0000-0000-0000F6690000}"/>
    <cellStyle name="SAPBEXexcCritical6" xfId="84" xr:uid="{00000000-0005-0000-0000-0000F7690000}"/>
    <cellStyle name="SAPBEXexcCritical6 2" xfId="13632" xr:uid="{00000000-0005-0000-0000-0000F8690000}"/>
    <cellStyle name="SAPBEXexcCritical6 2 2" xfId="25470" xr:uid="{00000000-0005-0000-0000-0000F9690000}"/>
    <cellStyle name="SAPBEXexcCritical6 2 2 2" xfId="27623" xr:uid="{00000000-0005-0000-0000-0000FA690000}"/>
    <cellStyle name="SAPBEXexcCritical6 2 2 2 2" xfId="32210" xr:uid="{26C34A81-857B-4B50-939F-847D5EF8BB0D}"/>
    <cellStyle name="SAPBEXexcCritical6 2 2 3" xfId="28060" xr:uid="{00000000-0005-0000-0000-0000FB690000}"/>
    <cellStyle name="SAPBEXexcCritical6 2 2 3 2" xfId="32618" xr:uid="{9C795C82-91F9-403D-BF84-8B9387B1E136}"/>
    <cellStyle name="SAPBEXexcCritical6 2 2 4" xfId="26101" xr:uid="{00000000-0005-0000-0000-0000FC690000}"/>
    <cellStyle name="SAPBEXexcCritical6 2 2 4 2" xfId="30891" xr:uid="{198236DB-A634-4026-B64F-F2770ABC047B}"/>
    <cellStyle name="SAPBEXexcCritical6 2 2 5" xfId="29612" xr:uid="{00000000-0005-0000-0000-0000FD690000}"/>
    <cellStyle name="SAPBEXexcCritical6 2 3" xfId="26574" xr:uid="{00000000-0005-0000-0000-0000FE690000}"/>
    <cellStyle name="SAPBEXexcCritical6 2 3 2" xfId="31352" xr:uid="{CAF24C9A-4ECE-461C-BC9A-38F31EBA7F13}"/>
    <cellStyle name="SAPBEXexcCritical6 2 4" xfId="28059" xr:uid="{00000000-0005-0000-0000-0000FF690000}"/>
    <cellStyle name="SAPBEXexcCritical6 2 4 2" xfId="32617" xr:uid="{FFE45A90-A2D8-4636-B93B-14DCCE8CF8F4}"/>
    <cellStyle name="SAPBEXexcCritical6 2 5" xfId="26150" xr:uid="{00000000-0005-0000-0000-0000006A0000}"/>
    <cellStyle name="SAPBEXexcCritical6 2 5 2" xfId="30939" xr:uid="{F85CE9DF-CF3C-4896-B486-D92EE7387B9D}"/>
    <cellStyle name="SAPBEXexcCritical6 2 6" xfId="29611" xr:uid="{00000000-0005-0000-0000-0000016A0000}"/>
    <cellStyle name="SAPBEXexcCritical6 2 7" xfId="30172" xr:uid="{BEA7DEE5-39EA-4D09-A6A1-EE3EFE981962}"/>
    <cellStyle name="SAPBEXexcCritical6 3" xfId="24677" xr:uid="{00000000-0005-0000-0000-0000026A0000}"/>
    <cellStyle name="SAPBEXexcCritical6 3 2" xfId="25362" xr:uid="{00000000-0005-0000-0000-0000036A0000}"/>
    <cellStyle name="SAPBEXexcCritical6 3 2 2" xfId="27516" xr:uid="{00000000-0005-0000-0000-0000046A0000}"/>
    <cellStyle name="SAPBEXexcCritical6 3 2 2 2" xfId="32107" xr:uid="{BC9DF1E4-ED4D-46DB-BBE4-982402979D81}"/>
    <cellStyle name="SAPBEXexcCritical6 3 2 3" xfId="28062" xr:uid="{00000000-0005-0000-0000-0000056A0000}"/>
    <cellStyle name="SAPBEXexcCritical6 3 2 3 2" xfId="32620" xr:uid="{90446207-9C44-49F8-89C4-5FB73ED2BD27}"/>
    <cellStyle name="SAPBEXexcCritical6 3 2 4" xfId="26708" xr:uid="{00000000-0005-0000-0000-0000066A0000}"/>
    <cellStyle name="SAPBEXexcCritical6 3 2 4 2" xfId="31470" xr:uid="{F720F3AE-7E85-43D0-BC11-C09B8DD7E7E9}"/>
    <cellStyle name="SAPBEXexcCritical6 3 2 5" xfId="29614" xr:uid="{00000000-0005-0000-0000-0000076A0000}"/>
    <cellStyle name="SAPBEXexcCritical6 3 2 6" xfId="30520" xr:uid="{252FAF12-B543-42ED-83AC-CE978A12E063}"/>
    <cellStyle name="SAPBEXexcCritical6 3 3" xfId="25640" xr:uid="{00000000-0005-0000-0000-0000086A0000}"/>
    <cellStyle name="SAPBEXexcCritical6 3 3 2" xfId="27793" xr:uid="{00000000-0005-0000-0000-0000096A0000}"/>
    <cellStyle name="SAPBEXexcCritical6 3 3 2 2" xfId="32380" xr:uid="{6FBC0C63-F853-459F-8F94-DFAB32193DEE}"/>
    <cellStyle name="SAPBEXexcCritical6 3 3 3" xfId="28063" xr:uid="{00000000-0005-0000-0000-00000A6A0000}"/>
    <cellStyle name="SAPBEXexcCritical6 3 3 3 2" xfId="32621" xr:uid="{90FF20C9-4445-4035-9AE5-2B0AA56AFDC2}"/>
    <cellStyle name="SAPBEXexcCritical6 3 3 4" xfId="26323" xr:uid="{00000000-0005-0000-0000-00000B6A0000}"/>
    <cellStyle name="SAPBEXexcCritical6 3 3 4 2" xfId="31111" xr:uid="{C867DDB9-90FA-403C-87C9-6A7843DAC652}"/>
    <cellStyle name="SAPBEXexcCritical6 3 3 5" xfId="29615" xr:uid="{00000000-0005-0000-0000-00000C6A0000}"/>
    <cellStyle name="SAPBEXexcCritical6 3 4" xfId="27267" xr:uid="{00000000-0005-0000-0000-00000D6A0000}"/>
    <cellStyle name="SAPBEXexcCritical6 3 4 2" xfId="31902" xr:uid="{8AE1FEEC-5E97-42A6-8F8A-8893BBEF5439}"/>
    <cellStyle name="SAPBEXexcCritical6 3 5" xfId="28061" xr:uid="{00000000-0005-0000-0000-00000E6A0000}"/>
    <cellStyle name="SAPBEXexcCritical6 3 5 2" xfId="32619" xr:uid="{479103A8-09C6-435C-8787-413CCEE292EA}"/>
    <cellStyle name="SAPBEXexcCritical6 3 6" xfId="27073" xr:uid="{00000000-0005-0000-0000-00000F6A0000}"/>
    <cellStyle name="SAPBEXexcCritical6 3 6 2" xfId="31804" xr:uid="{9F829EA6-CB8A-4632-B09E-AAA8DCBD6EF6}"/>
    <cellStyle name="SAPBEXexcCritical6 3 7" xfId="29613" xr:uid="{00000000-0005-0000-0000-0000106A0000}"/>
    <cellStyle name="SAPBEXexcCritical6 3 8" xfId="30342" xr:uid="{C7D8BE66-880E-4138-87EE-70045B017C2E}"/>
    <cellStyle name="SAPBEXexcCritical6 4" xfId="25099" xr:uid="{00000000-0005-0000-0000-0000116A0000}"/>
    <cellStyle name="SAPBEXexcCritical6 4 2" xfId="25438" xr:uid="{00000000-0005-0000-0000-0000126A0000}"/>
    <cellStyle name="SAPBEXexcCritical6 4 2 2" xfId="27592" xr:uid="{00000000-0005-0000-0000-0000136A0000}"/>
    <cellStyle name="SAPBEXexcCritical6 4 2 2 2" xfId="32183" xr:uid="{F7C952EB-8E06-403B-BBBA-6063029C6FAF}"/>
    <cellStyle name="SAPBEXexcCritical6 4 2 3" xfId="28065" xr:uid="{00000000-0005-0000-0000-0000146A0000}"/>
    <cellStyle name="SAPBEXexcCritical6 4 2 3 2" xfId="32623" xr:uid="{7D0C2908-1570-4C01-A1F5-1CE5F8CA8898}"/>
    <cellStyle name="SAPBEXexcCritical6 4 2 4" xfId="26224" xr:uid="{00000000-0005-0000-0000-0000156A0000}"/>
    <cellStyle name="SAPBEXexcCritical6 4 2 4 2" xfId="31012" xr:uid="{53832BBB-09D3-47C5-9B82-3288F6E9F6C8}"/>
    <cellStyle name="SAPBEXexcCritical6 4 2 5" xfId="29617" xr:uid="{00000000-0005-0000-0000-0000166A0000}"/>
    <cellStyle name="SAPBEXexcCritical6 4 2 6" xfId="30596" xr:uid="{86D1E3E9-3B9D-43FF-A852-2F508F91F0E4}"/>
    <cellStyle name="SAPBEXexcCritical6 4 3" xfId="25697" xr:uid="{00000000-0005-0000-0000-0000176A0000}"/>
    <cellStyle name="SAPBEXexcCritical6 4 3 2" xfId="27850" xr:uid="{00000000-0005-0000-0000-0000186A0000}"/>
    <cellStyle name="SAPBEXexcCritical6 4 3 2 2" xfId="32437" xr:uid="{7C0F64B8-8EFE-41B7-98F7-1CD676F8CE85}"/>
    <cellStyle name="SAPBEXexcCritical6 4 3 3" xfId="28066" xr:uid="{00000000-0005-0000-0000-0000196A0000}"/>
    <cellStyle name="SAPBEXexcCritical6 4 3 3 2" xfId="32624" xr:uid="{AC94CA22-EC00-4B1D-A0EB-E7A016E748AC}"/>
    <cellStyle name="SAPBEXexcCritical6 4 3 4" xfId="26065" xr:uid="{00000000-0005-0000-0000-00001A6A0000}"/>
    <cellStyle name="SAPBEXexcCritical6 4 3 4 2" xfId="30855" xr:uid="{A5465FA8-96D4-4D8A-8D59-7BB960916B85}"/>
    <cellStyle name="SAPBEXexcCritical6 4 3 5" xfId="29618" xr:uid="{00000000-0005-0000-0000-00001B6A0000}"/>
    <cellStyle name="SAPBEXexcCritical6 4 3 6" xfId="30691" xr:uid="{4440E5C3-E176-4791-83D3-9407B017EC12}"/>
    <cellStyle name="SAPBEXexcCritical6 4 4" xfId="27384" xr:uid="{00000000-0005-0000-0000-00001C6A0000}"/>
    <cellStyle name="SAPBEXexcCritical6 4 4 2" xfId="31982" xr:uid="{CFCD3C9B-61D8-4770-8909-8B5FC2C06F08}"/>
    <cellStyle name="SAPBEXexcCritical6 4 5" xfId="28064" xr:uid="{00000000-0005-0000-0000-00001D6A0000}"/>
    <cellStyle name="SAPBEXexcCritical6 4 5 2" xfId="32622" xr:uid="{07AB86AD-AD5F-48C9-8DE5-5371188711FA}"/>
    <cellStyle name="SAPBEXexcCritical6 4 6" xfId="26457" xr:uid="{00000000-0005-0000-0000-00001E6A0000}"/>
    <cellStyle name="SAPBEXexcCritical6 4 6 2" xfId="31245" xr:uid="{09EDA572-A7D9-4C55-92A3-8D39A9581983}"/>
    <cellStyle name="SAPBEXexcCritical6 4 7" xfId="29616" xr:uid="{00000000-0005-0000-0000-00001F6A0000}"/>
    <cellStyle name="SAPBEXexcCritical6 4 8" xfId="30399" xr:uid="{3B66F580-6130-4CE1-8FF4-609101A2D878}"/>
    <cellStyle name="SAPBEXexcCritical6 5" xfId="25828" xr:uid="{00000000-0005-0000-0000-0000206A0000}"/>
    <cellStyle name="SAPBEXexcCritical6 5 2" xfId="30747" xr:uid="{9DB1144A-4394-47BF-BA7F-C4B0DF001748}"/>
    <cellStyle name="SAPBEXexcCritical6 6" xfId="28058" xr:uid="{00000000-0005-0000-0000-0000216A0000}"/>
    <cellStyle name="SAPBEXexcCritical6 6 2" xfId="32616" xr:uid="{4293D8B5-777B-4FAA-93F0-CE6ED28DDDB6}"/>
    <cellStyle name="SAPBEXexcCritical6 7" xfId="28546" xr:uid="{00000000-0005-0000-0000-0000226A0000}"/>
    <cellStyle name="SAPBEXexcCritical6 7 2" xfId="33104" xr:uid="{F1E41F9A-04E7-4B63-A2CB-753D8A8D55DC}"/>
    <cellStyle name="SAPBEXexcCritical6 8" xfId="29610" xr:uid="{00000000-0005-0000-0000-0000236A0000}"/>
    <cellStyle name="SAPBEXexcGood1" xfId="85" xr:uid="{00000000-0005-0000-0000-0000246A0000}"/>
    <cellStyle name="SAPBEXexcGood1 2" xfId="13633" xr:uid="{00000000-0005-0000-0000-0000256A0000}"/>
    <cellStyle name="SAPBEXexcGood1 2 2" xfId="25471" xr:uid="{00000000-0005-0000-0000-0000266A0000}"/>
    <cellStyle name="SAPBEXexcGood1 2 2 2" xfId="27624" xr:uid="{00000000-0005-0000-0000-0000276A0000}"/>
    <cellStyle name="SAPBEXexcGood1 2 2 2 2" xfId="32211" xr:uid="{1554FC34-CDD6-4716-B0A9-E70B8A3D823C}"/>
    <cellStyle name="SAPBEXexcGood1 2 2 3" xfId="28069" xr:uid="{00000000-0005-0000-0000-0000286A0000}"/>
    <cellStyle name="SAPBEXexcGood1 2 2 3 2" xfId="32627" xr:uid="{1A193866-2C2A-4907-88AC-68478140D504}"/>
    <cellStyle name="SAPBEXexcGood1 2 2 4" xfId="26213" xr:uid="{00000000-0005-0000-0000-0000296A0000}"/>
    <cellStyle name="SAPBEXexcGood1 2 2 4 2" xfId="31001" xr:uid="{04288C11-B811-4AD9-92D5-2C5808BD5AD0}"/>
    <cellStyle name="SAPBEXexcGood1 2 2 5" xfId="29621" xr:uid="{00000000-0005-0000-0000-00002A6A0000}"/>
    <cellStyle name="SAPBEXexcGood1 2 3" xfId="26575" xr:uid="{00000000-0005-0000-0000-00002B6A0000}"/>
    <cellStyle name="SAPBEXexcGood1 2 3 2" xfId="31353" xr:uid="{D865EBC2-1568-495B-A788-86B26AE5F652}"/>
    <cellStyle name="SAPBEXexcGood1 2 4" xfId="28068" xr:uid="{00000000-0005-0000-0000-00002C6A0000}"/>
    <cellStyle name="SAPBEXexcGood1 2 4 2" xfId="32626" xr:uid="{A744162D-BA2C-41C3-9E23-FB6D1E30AF91}"/>
    <cellStyle name="SAPBEXexcGood1 2 5" xfId="26074" xr:uid="{00000000-0005-0000-0000-00002D6A0000}"/>
    <cellStyle name="SAPBEXexcGood1 2 5 2" xfId="30864" xr:uid="{CCBB113D-9534-4DF0-8282-31CBBB3F1285}"/>
    <cellStyle name="SAPBEXexcGood1 2 6" xfId="29620" xr:uid="{00000000-0005-0000-0000-00002E6A0000}"/>
    <cellStyle name="SAPBEXexcGood1 2 7" xfId="30173" xr:uid="{694AA585-5977-4FA0-B1BD-977082E313E0}"/>
    <cellStyle name="SAPBEXexcGood1 3" xfId="24676" xr:uid="{00000000-0005-0000-0000-00002F6A0000}"/>
    <cellStyle name="SAPBEXexcGood1 3 2" xfId="25450" xr:uid="{00000000-0005-0000-0000-0000306A0000}"/>
    <cellStyle name="SAPBEXexcGood1 3 2 2" xfId="27604" xr:uid="{00000000-0005-0000-0000-0000316A0000}"/>
    <cellStyle name="SAPBEXexcGood1 3 2 2 2" xfId="32195" xr:uid="{FCA0D5DE-D0AF-484D-BAB1-2174FD15E82E}"/>
    <cellStyle name="SAPBEXexcGood1 3 2 3" xfId="28071" xr:uid="{00000000-0005-0000-0000-0000326A0000}"/>
    <cellStyle name="SAPBEXexcGood1 3 2 3 2" xfId="32629" xr:uid="{C6CA798F-7E2F-49BC-82EB-D4004B74CF47}"/>
    <cellStyle name="SAPBEXexcGood1 3 2 4" xfId="26498" xr:uid="{00000000-0005-0000-0000-0000336A0000}"/>
    <cellStyle name="SAPBEXexcGood1 3 2 4 2" xfId="31286" xr:uid="{1A12BBAF-9EB6-41FF-A454-804CA27CAB32}"/>
    <cellStyle name="SAPBEXexcGood1 3 2 5" xfId="29623" xr:uid="{00000000-0005-0000-0000-0000346A0000}"/>
    <cellStyle name="SAPBEXexcGood1 3 2 6" xfId="30608" xr:uid="{27031809-4567-4529-94B6-D33DC6040BF8}"/>
    <cellStyle name="SAPBEXexcGood1 3 3" xfId="25639" xr:uid="{00000000-0005-0000-0000-0000356A0000}"/>
    <cellStyle name="SAPBEXexcGood1 3 3 2" xfId="27792" xr:uid="{00000000-0005-0000-0000-0000366A0000}"/>
    <cellStyle name="SAPBEXexcGood1 3 3 2 2" xfId="32379" xr:uid="{44F5446D-57FA-4C85-A406-FC1DE840F46C}"/>
    <cellStyle name="SAPBEXexcGood1 3 3 3" xfId="28072" xr:uid="{00000000-0005-0000-0000-0000376A0000}"/>
    <cellStyle name="SAPBEXexcGood1 3 3 3 2" xfId="32630" xr:uid="{E7F42345-24C6-43AB-BD6B-1B455E6AE0F5}"/>
    <cellStyle name="SAPBEXexcGood1 3 3 4" xfId="26228" xr:uid="{00000000-0005-0000-0000-0000386A0000}"/>
    <cellStyle name="SAPBEXexcGood1 3 3 4 2" xfId="31016" xr:uid="{D11218D4-AD56-4805-83AA-84CAB136D96A}"/>
    <cellStyle name="SAPBEXexcGood1 3 3 5" xfId="29624" xr:uid="{00000000-0005-0000-0000-0000396A0000}"/>
    <cellStyle name="SAPBEXexcGood1 3 4" xfId="27266" xr:uid="{00000000-0005-0000-0000-00003A6A0000}"/>
    <cellStyle name="SAPBEXexcGood1 3 4 2" xfId="31901" xr:uid="{3AF74F43-1478-4578-A364-EE2105D3CD5A}"/>
    <cellStyle name="SAPBEXexcGood1 3 5" xfId="28070" xr:uid="{00000000-0005-0000-0000-00003B6A0000}"/>
    <cellStyle name="SAPBEXexcGood1 3 5 2" xfId="32628" xr:uid="{707429E0-E0BF-4936-B632-87809561496C}"/>
    <cellStyle name="SAPBEXexcGood1 3 6" xfId="26246" xr:uid="{00000000-0005-0000-0000-00003C6A0000}"/>
    <cellStyle name="SAPBEXexcGood1 3 6 2" xfId="31034" xr:uid="{1EF74320-2807-43A2-ABAF-14D5B247D390}"/>
    <cellStyle name="SAPBEXexcGood1 3 7" xfId="29622" xr:uid="{00000000-0005-0000-0000-00003D6A0000}"/>
    <cellStyle name="SAPBEXexcGood1 3 8" xfId="30341" xr:uid="{41692377-6B35-4149-8304-115CFD5774E4}"/>
    <cellStyle name="SAPBEXexcGood1 4" xfId="25100" xr:uid="{00000000-0005-0000-0000-00003E6A0000}"/>
    <cellStyle name="SAPBEXexcGood1 4 2" xfId="25355" xr:uid="{00000000-0005-0000-0000-00003F6A0000}"/>
    <cellStyle name="SAPBEXexcGood1 4 2 2" xfId="27509" xr:uid="{00000000-0005-0000-0000-0000406A0000}"/>
    <cellStyle name="SAPBEXexcGood1 4 2 2 2" xfId="32100" xr:uid="{8E86C159-6546-42A9-A894-DF8699F4DE07}"/>
    <cellStyle name="SAPBEXexcGood1 4 2 3" xfId="28074" xr:uid="{00000000-0005-0000-0000-0000416A0000}"/>
    <cellStyle name="SAPBEXexcGood1 4 2 3 2" xfId="32632" xr:uid="{21DDFAA8-12AE-4B69-8C9E-03CA46089785}"/>
    <cellStyle name="SAPBEXexcGood1 4 2 4" xfId="26843" xr:uid="{00000000-0005-0000-0000-0000426A0000}"/>
    <cellStyle name="SAPBEXexcGood1 4 2 4 2" xfId="31604" xr:uid="{14E5F535-9B4A-450E-AEDC-88C4695A50AA}"/>
    <cellStyle name="SAPBEXexcGood1 4 2 5" xfId="29626" xr:uid="{00000000-0005-0000-0000-0000436A0000}"/>
    <cellStyle name="SAPBEXexcGood1 4 2 6" xfId="30513" xr:uid="{2531F6A2-FB06-4F55-8C64-AE2CE6308E97}"/>
    <cellStyle name="SAPBEXexcGood1 4 3" xfId="25698" xr:uid="{00000000-0005-0000-0000-0000446A0000}"/>
    <cellStyle name="SAPBEXexcGood1 4 3 2" xfId="27851" xr:uid="{00000000-0005-0000-0000-0000456A0000}"/>
    <cellStyle name="SAPBEXexcGood1 4 3 2 2" xfId="32438" xr:uid="{DDFBE7E5-8675-41FD-9C03-E40A631AB6AC}"/>
    <cellStyle name="SAPBEXexcGood1 4 3 3" xfId="28075" xr:uid="{00000000-0005-0000-0000-0000466A0000}"/>
    <cellStyle name="SAPBEXexcGood1 4 3 3 2" xfId="32633" xr:uid="{4770C9A7-DBBD-4CC1-BDDD-321449B2001E}"/>
    <cellStyle name="SAPBEXexcGood1 4 3 4" xfId="27024" xr:uid="{00000000-0005-0000-0000-0000476A0000}"/>
    <cellStyle name="SAPBEXexcGood1 4 3 4 2" xfId="31784" xr:uid="{3F8C1EC1-203E-4B3B-B840-0C24A179E8A9}"/>
    <cellStyle name="SAPBEXexcGood1 4 3 5" xfId="29627" xr:uid="{00000000-0005-0000-0000-0000486A0000}"/>
    <cellStyle name="SAPBEXexcGood1 4 3 6" xfId="30692" xr:uid="{D4CFF224-BEC7-499F-9402-EC58E069D31A}"/>
    <cellStyle name="SAPBEXexcGood1 4 4" xfId="27385" xr:uid="{00000000-0005-0000-0000-0000496A0000}"/>
    <cellStyle name="SAPBEXexcGood1 4 4 2" xfId="31983" xr:uid="{A2F1DF43-FC5F-441C-A782-052B657CB537}"/>
    <cellStyle name="SAPBEXexcGood1 4 5" xfId="28073" xr:uid="{00000000-0005-0000-0000-00004A6A0000}"/>
    <cellStyle name="SAPBEXexcGood1 4 5 2" xfId="32631" xr:uid="{D97346D4-F5C7-4FFD-8CEB-47F92E852D94}"/>
    <cellStyle name="SAPBEXexcGood1 4 6" xfId="26142" xr:uid="{00000000-0005-0000-0000-00004B6A0000}"/>
    <cellStyle name="SAPBEXexcGood1 4 6 2" xfId="30932" xr:uid="{E80A8D29-2682-486A-8253-F6F50016B787}"/>
    <cellStyle name="SAPBEXexcGood1 4 7" xfId="29625" xr:uid="{00000000-0005-0000-0000-00004C6A0000}"/>
    <cellStyle name="SAPBEXexcGood1 4 8" xfId="30400" xr:uid="{EC650EDD-9D71-4E77-8657-55783BCDA62B}"/>
    <cellStyle name="SAPBEXexcGood1 5" xfId="25829" xr:uid="{00000000-0005-0000-0000-00004D6A0000}"/>
    <cellStyle name="SAPBEXexcGood1 5 2" xfId="30748" xr:uid="{D4958BCC-8F06-4590-8FAE-490F1E3D21B6}"/>
    <cellStyle name="SAPBEXexcGood1 6" xfId="28067" xr:uid="{00000000-0005-0000-0000-00004E6A0000}"/>
    <cellStyle name="SAPBEXexcGood1 6 2" xfId="32625" xr:uid="{150F3749-7AD9-4907-A67B-2E799E00C8F4}"/>
    <cellStyle name="SAPBEXexcGood1 7" xfId="26896" xr:uid="{00000000-0005-0000-0000-00004F6A0000}"/>
    <cellStyle name="SAPBEXexcGood1 7 2" xfId="31657" xr:uid="{0A46D05A-E537-486A-A31C-CBED703883B6}"/>
    <cellStyle name="SAPBEXexcGood1 8" xfId="29619" xr:uid="{00000000-0005-0000-0000-0000506A0000}"/>
    <cellStyle name="SAPBEXexcGood2" xfId="86" xr:uid="{00000000-0005-0000-0000-0000516A0000}"/>
    <cellStyle name="SAPBEXexcGood2 2" xfId="13634" xr:uid="{00000000-0005-0000-0000-0000526A0000}"/>
    <cellStyle name="SAPBEXexcGood2 2 2" xfId="25472" xr:uid="{00000000-0005-0000-0000-0000536A0000}"/>
    <cellStyle name="SAPBEXexcGood2 2 2 2" xfId="27625" xr:uid="{00000000-0005-0000-0000-0000546A0000}"/>
    <cellStyle name="SAPBEXexcGood2 2 2 2 2" xfId="32212" xr:uid="{BD69BBB3-9687-4497-8F4F-B08F89A7B84A}"/>
    <cellStyle name="SAPBEXexcGood2 2 2 3" xfId="28078" xr:uid="{00000000-0005-0000-0000-0000556A0000}"/>
    <cellStyle name="SAPBEXexcGood2 2 2 3 2" xfId="32636" xr:uid="{72D861A5-ACF2-432F-84D0-5C18991D134E}"/>
    <cellStyle name="SAPBEXexcGood2 2 2 4" xfId="26163" xr:uid="{00000000-0005-0000-0000-0000566A0000}"/>
    <cellStyle name="SAPBEXexcGood2 2 2 4 2" xfId="30952" xr:uid="{46DDA0E1-6C1F-4551-B71C-92443BD04DE4}"/>
    <cellStyle name="SAPBEXexcGood2 2 2 5" xfId="29630" xr:uid="{00000000-0005-0000-0000-0000576A0000}"/>
    <cellStyle name="SAPBEXexcGood2 2 3" xfId="26576" xr:uid="{00000000-0005-0000-0000-0000586A0000}"/>
    <cellStyle name="SAPBEXexcGood2 2 3 2" xfId="31354" xr:uid="{216F7E7B-AAEE-4318-AAD7-176A2AD17B32}"/>
    <cellStyle name="SAPBEXexcGood2 2 4" xfId="28077" xr:uid="{00000000-0005-0000-0000-0000596A0000}"/>
    <cellStyle name="SAPBEXexcGood2 2 4 2" xfId="32635" xr:uid="{9DD9FC08-F2D3-4FE8-83C1-156620C5F18A}"/>
    <cellStyle name="SAPBEXexcGood2 2 5" xfId="27298" xr:uid="{00000000-0005-0000-0000-00005A6A0000}"/>
    <cellStyle name="SAPBEXexcGood2 2 5 2" xfId="31927" xr:uid="{9FEC5567-EA59-42CC-A79D-D4DB02762D0C}"/>
    <cellStyle name="SAPBEXexcGood2 2 6" xfId="29629" xr:uid="{00000000-0005-0000-0000-00005B6A0000}"/>
    <cellStyle name="SAPBEXexcGood2 2 7" xfId="30174" xr:uid="{3BAAA5C4-B903-4A36-B9E9-D4D9ECDA51CC}"/>
    <cellStyle name="SAPBEXexcGood2 3" xfId="24675" xr:uid="{00000000-0005-0000-0000-00005C6A0000}"/>
    <cellStyle name="SAPBEXexcGood2 3 2" xfId="25349" xr:uid="{00000000-0005-0000-0000-00005D6A0000}"/>
    <cellStyle name="SAPBEXexcGood2 3 2 2" xfId="27503" xr:uid="{00000000-0005-0000-0000-00005E6A0000}"/>
    <cellStyle name="SAPBEXexcGood2 3 2 2 2" xfId="32094" xr:uid="{6F96B1DB-4DF2-471B-BF87-EF2C0C7B2DE1}"/>
    <cellStyle name="SAPBEXexcGood2 3 2 3" xfId="28080" xr:uid="{00000000-0005-0000-0000-00005F6A0000}"/>
    <cellStyle name="SAPBEXexcGood2 3 2 3 2" xfId="32638" xr:uid="{CE68B3BA-3870-4696-AB4F-D988852EFDE1}"/>
    <cellStyle name="SAPBEXexcGood2 3 2 4" xfId="26538" xr:uid="{00000000-0005-0000-0000-0000606A0000}"/>
    <cellStyle name="SAPBEXexcGood2 3 2 4 2" xfId="31325" xr:uid="{C24BF63E-DF61-4479-9FE7-69E4CE8F0F64}"/>
    <cellStyle name="SAPBEXexcGood2 3 2 5" xfId="29632" xr:uid="{00000000-0005-0000-0000-0000616A0000}"/>
    <cellStyle name="SAPBEXexcGood2 3 2 6" xfId="30507" xr:uid="{595524C6-3DAB-49B0-A494-40E2E8AB83F2}"/>
    <cellStyle name="SAPBEXexcGood2 3 3" xfId="25638" xr:uid="{00000000-0005-0000-0000-0000626A0000}"/>
    <cellStyle name="SAPBEXexcGood2 3 3 2" xfId="27791" xr:uid="{00000000-0005-0000-0000-0000636A0000}"/>
    <cellStyle name="SAPBEXexcGood2 3 3 2 2" xfId="32378" xr:uid="{C8588750-E75A-4F59-B9A7-C7DFBA7CEF2F}"/>
    <cellStyle name="SAPBEXexcGood2 3 3 3" xfId="28081" xr:uid="{00000000-0005-0000-0000-0000646A0000}"/>
    <cellStyle name="SAPBEXexcGood2 3 3 3 2" xfId="32639" xr:uid="{68B64CCE-0B3D-4906-A5DF-0FD4A808BC59}"/>
    <cellStyle name="SAPBEXexcGood2 3 3 4" xfId="26774" xr:uid="{00000000-0005-0000-0000-0000656A0000}"/>
    <cellStyle name="SAPBEXexcGood2 3 3 4 2" xfId="31535" xr:uid="{7E05FCE6-CE01-40A6-B74C-27A45924EE2B}"/>
    <cellStyle name="SAPBEXexcGood2 3 3 5" xfId="29633" xr:uid="{00000000-0005-0000-0000-0000666A0000}"/>
    <cellStyle name="SAPBEXexcGood2 3 4" xfId="27265" xr:uid="{00000000-0005-0000-0000-0000676A0000}"/>
    <cellStyle name="SAPBEXexcGood2 3 4 2" xfId="31900" xr:uid="{8FC7BFFD-5F99-4FA9-AD9C-52A0239F0200}"/>
    <cellStyle name="SAPBEXexcGood2 3 5" xfId="28079" xr:uid="{00000000-0005-0000-0000-0000686A0000}"/>
    <cellStyle name="SAPBEXexcGood2 3 5 2" xfId="32637" xr:uid="{1A2CCA56-4E77-4FAA-A9F5-84F2822592EE}"/>
    <cellStyle name="SAPBEXexcGood2 3 6" xfId="26114" xr:uid="{00000000-0005-0000-0000-0000696A0000}"/>
    <cellStyle name="SAPBEXexcGood2 3 6 2" xfId="30904" xr:uid="{ED82B3D5-FE3E-4E59-BDCA-1452FA01E688}"/>
    <cellStyle name="SAPBEXexcGood2 3 7" xfId="29631" xr:uid="{00000000-0005-0000-0000-00006A6A0000}"/>
    <cellStyle name="SAPBEXexcGood2 3 8" xfId="30340" xr:uid="{B87C0325-503B-4E78-82B8-B77F65A2A6C9}"/>
    <cellStyle name="SAPBEXexcGood2 4" xfId="25101" xr:uid="{00000000-0005-0000-0000-00006B6A0000}"/>
    <cellStyle name="SAPBEXexcGood2 4 2" xfId="25389" xr:uid="{00000000-0005-0000-0000-00006C6A0000}"/>
    <cellStyle name="SAPBEXexcGood2 4 2 2" xfId="27543" xr:uid="{00000000-0005-0000-0000-00006D6A0000}"/>
    <cellStyle name="SAPBEXexcGood2 4 2 2 2" xfId="32134" xr:uid="{7675364F-0E93-416C-BF6B-FCC235F13888}"/>
    <cellStyle name="SAPBEXexcGood2 4 2 3" xfId="28083" xr:uid="{00000000-0005-0000-0000-00006E6A0000}"/>
    <cellStyle name="SAPBEXexcGood2 4 2 3 2" xfId="32641" xr:uid="{99A7084F-3A70-4F75-828D-19DA62E0CE1A}"/>
    <cellStyle name="SAPBEXexcGood2 4 2 4" xfId="26701" xr:uid="{00000000-0005-0000-0000-00006F6A0000}"/>
    <cellStyle name="SAPBEXexcGood2 4 2 4 2" xfId="31463" xr:uid="{FE819582-987C-46FC-865A-59163CBAA526}"/>
    <cellStyle name="SAPBEXexcGood2 4 2 5" xfId="29635" xr:uid="{00000000-0005-0000-0000-0000706A0000}"/>
    <cellStyle name="SAPBEXexcGood2 4 2 6" xfId="30547" xr:uid="{6C180AF8-F9FB-415F-85CE-E35E80562A24}"/>
    <cellStyle name="SAPBEXexcGood2 4 3" xfId="25699" xr:uid="{00000000-0005-0000-0000-0000716A0000}"/>
    <cellStyle name="SAPBEXexcGood2 4 3 2" xfId="27852" xr:uid="{00000000-0005-0000-0000-0000726A0000}"/>
    <cellStyle name="SAPBEXexcGood2 4 3 2 2" xfId="32439" xr:uid="{96EC0925-E6D8-43CC-95E3-B253057684E6}"/>
    <cellStyle name="SAPBEXexcGood2 4 3 3" xfId="28084" xr:uid="{00000000-0005-0000-0000-0000736A0000}"/>
    <cellStyle name="SAPBEXexcGood2 4 3 3 2" xfId="32642" xr:uid="{250934E6-CCE8-4E01-BE72-9CB3A8DB6B01}"/>
    <cellStyle name="SAPBEXexcGood2 4 3 4" xfId="26422" xr:uid="{00000000-0005-0000-0000-0000746A0000}"/>
    <cellStyle name="SAPBEXexcGood2 4 3 4 2" xfId="31210" xr:uid="{49BAD80E-2BC0-4DA3-B172-F8B58244A9FA}"/>
    <cellStyle name="SAPBEXexcGood2 4 3 5" xfId="29636" xr:uid="{00000000-0005-0000-0000-0000756A0000}"/>
    <cellStyle name="SAPBEXexcGood2 4 3 6" xfId="30693" xr:uid="{222B41BF-E9D8-426F-AAB9-BE653F407B35}"/>
    <cellStyle name="SAPBEXexcGood2 4 4" xfId="27386" xr:uid="{00000000-0005-0000-0000-0000766A0000}"/>
    <cellStyle name="SAPBEXexcGood2 4 4 2" xfId="31984" xr:uid="{5B4FA06C-1289-40EA-8C0C-7B49C58A48DE}"/>
    <cellStyle name="SAPBEXexcGood2 4 5" xfId="28082" xr:uid="{00000000-0005-0000-0000-0000776A0000}"/>
    <cellStyle name="SAPBEXexcGood2 4 5 2" xfId="32640" xr:uid="{D6114681-6D13-43F9-9715-B1F38D1BB53D}"/>
    <cellStyle name="SAPBEXexcGood2 4 6" xfId="26425" xr:uid="{00000000-0005-0000-0000-0000786A0000}"/>
    <cellStyle name="SAPBEXexcGood2 4 6 2" xfId="31213" xr:uid="{C82DD26D-FBD8-45AC-BBCA-A760CD788471}"/>
    <cellStyle name="SAPBEXexcGood2 4 7" xfId="29634" xr:uid="{00000000-0005-0000-0000-0000796A0000}"/>
    <cellStyle name="SAPBEXexcGood2 4 8" xfId="30401" xr:uid="{6C36F019-58B0-4C8D-84F1-D4D42765D3B7}"/>
    <cellStyle name="SAPBEXexcGood2 5" xfId="25830" xr:uid="{00000000-0005-0000-0000-00007A6A0000}"/>
    <cellStyle name="SAPBEXexcGood2 5 2" xfId="30749" xr:uid="{155F6BB7-0B12-422B-B9A6-F3D7A35B2E5A}"/>
    <cellStyle name="SAPBEXexcGood2 6" xfId="28076" xr:uid="{00000000-0005-0000-0000-00007B6A0000}"/>
    <cellStyle name="SAPBEXexcGood2 6 2" xfId="32634" xr:uid="{4390D5DC-DFE4-4901-9CD2-331CF3D24E28}"/>
    <cellStyle name="SAPBEXexcGood2 7" xfId="26834" xr:uid="{00000000-0005-0000-0000-00007C6A0000}"/>
    <cellStyle name="SAPBEXexcGood2 7 2" xfId="31595" xr:uid="{352FA75F-B9F5-44C6-A434-15029B45A5A3}"/>
    <cellStyle name="SAPBEXexcGood2 8" xfId="29628" xr:uid="{00000000-0005-0000-0000-00007D6A0000}"/>
    <cellStyle name="SAPBEXexcGood3" xfId="87" xr:uid="{00000000-0005-0000-0000-00007E6A0000}"/>
    <cellStyle name="SAPBEXexcGood3 2" xfId="13635" xr:uid="{00000000-0005-0000-0000-00007F6A0000}"/>
    <cellStyle name="SAPBEXexcGood3 2 2" xfId="25473" xr:uid="{00000000-0005-0000-0000-0000806A0000}"/>
    <cellStyle name="SAPBEXexcGood3 2 2 2" xfId="27626" xr:uid="{00000000-0005-0000-0000-0000816A0000}"/>
    <cellStyle name="SAPBEXexcGood3 2 2 2 2" xfId="32213" xr:uid="{308820AF-EA17-4165-8CB7-7173CBB6D535}"/>
    <cellStyle name="SAPBEXexcGood3 2 2 3" xfId="28087" xr:uid="{00000000-0005-0000-0000-0000826A0000}"/>
    <cellStyle name="SAPBEXexcGood3 2 2 3 2" xfId="32645" xr:uid="{B1A9B84F-CD48-4909-81D2-674130ABC560}"/>
    <cellStyle name="SAPBEXexcGood3 2 2 4" xfId="26321" xr:uid="{00000000-0005-0000-0000-0000836A0000}"/>
    <cellStyle name="SAPBEXexcGood3 2 2 4 2" xfId="31109" xr:uid="{2A2788E4-45DA-408E-9195-1DAC38F5CF7A}"/>
    <cellStyle name="SAPBEXexcGood3 2 2 5" xfId="29639" xr:uid="{00000000-0005-0000-0000-0000846A0000}"/>
    <cellStyle name="SAPBEXexcGood3 2 3" xfId="26577" xr:uid="{00000000-0005-0000-0000-0000856A0000}"/>
    <cellStyle name="SAPBEXexcGood3 2 3 2" xfId="31355" xr:uid="{B43766C2-2CDC-48FC-B6F9-418E16E51639}"/>
    <cellStyle name="SAPBEXexcGood3 2 4" xfId="28086" xr:uid="{00000000-0005-0000-0000-0000866A0000}"/>
    <cellStyle name="SAPBEXexcGood3 2 4 2" xfId="32644" xr:uid="{92D8CE86-9B32-4449-97FE-2A77309F59E0}"/>
    <cellStyle name="SAPBEXexcGood3 2 5" xfId="26918" xr:uid="{00000000-0005-0000-0000-0000876A0000}"/>
    <cellStyle name="SAPBEXexcGood3 2 5 2" xfId="31679" xr:uid="{96392683-3B26-48A7-B64D-276B7C277673}"/>
    <cellStyle name="SAPBEXexcGood3 2 6" xfId="29638" xr:uid="{00000000-0005-0000-0000-0000886A0000}"/>
    <cellStyle name="SAPBEXexcGood3 2 7" xfId="30175" xr:uid="{216BBBA7-92D6-4F0B-8D6E-F4AFC7622EEE}"/>
    <cellStyle name="SAPBEXexcGood3 3" xfId="24674" xr:uid="{00000000-0005-0000-0000-0000896A0000}"/>
    <cellStyle name="SAPBEXexcGood3 3 2" xfId="25433" xr:uid="{00000000-0005-0000-0000-00008A6A0000}"/>
    <cellStyle name="SAPBEXexcGood3 3 2 2" xfId="27587" xr:uid="{00000000-0005-0000-0000-00008B6A0000}"/>
    <cellStyle name="SAPBEXexcGood3 3 2 2 2" xfId="32178" xr:uid="{FA6B6EAE-9199-4A5F-9B96-7797C8C78F58}"/>
    <cellStyle name="SAPBEXexcGood3 3 2 3" xfId="28089" xr:uid="{00000000-0005-0000-0000-00008C6A0000}"/>
    <cellStyle name="SAPBEXexcGood3 3 2 3 2" xfId="32647" xr:uid="{9EFBE913-686F-4E8E-8ED1-3A81D116D952}"/>
    <cellStyle name="SAPBEXexcGood3 3 2 4" xfId="26852" xr:uid="{00000000-0005-0000-0000-00008D6A0000}"/>
    <cellStyle name="SAPBEXexcGood3 3 2 4 2" xfId="31613" xr:uid="{074EE185-0A89-4EBA-9DC5-2B4F090A3A94}"/>
    <cellStyle name="SAPBEXexcGood3 3 2 5" xfId="29641" xr:uid="{00000000-0005-0000-0000-00008E6A0000}"/>
    <cellStyle name="SAPBEXexcGood3 3 2 6" xfId="30591" xr:uid="{838D04DD-103B-414F-BC58-4C6DF5DF7315}"/>
    <cellStyle name="SAPBEXexcGood3 3 3" xfId="25637" xr:uid="{00000000-0005-0000-0000-00008F6A0000}"/>
    <cellStyle name="SAPBEXexcGood3 3 3 2" xfId="27790" xr:uid="{00000000-0005-0000-0000-0000906A0000}"/>
    <cellStyle name="SAPBEXexcGood3 3 3 2 2" xfId="32377" xr:uid="{1EFF2F61-1D5F-40CB-9D1C-865B3FC0AC24}"/>
    <cellStyle name="SAPBEXexcGood3 3 3 3" xfId="28090" xr:uid="{00000000-0005-0000-0000-0000916A0000}"/>
    <cellStyle name="SAPBEXexcGood3 3 3 3 2" xfId="32648" xr:uid="{0F16DB00-979B-45A2-8549-D10C3898B861}"/>
    <cellStyle name="SAPBEXexcGood3 3 3 4" xfId="26122" xr:uid="{00000000-0005-0000-0000-0000926A0000}"/>
    <cellStyle name="SAPBEXexcGood3 3 3 4 2" xfId="30912" xr:uid="{16F4B9F3-B3D8-4AE9-80B3-1BDECF8E1D1F}"/>
    <cellStyle name="SAPBEXexcGood3 3 3 5" xfId="29642" xr:uid="{00000000-0005-0000-0000-0000936A0000}"/>
    <cellStyle name="SAPBEXexcGood3 3 4" xfId="27264" xr:uid="{00000000-0005-0000-0000-0000946A0000}"/>
    <cellStyle name="SAPBEXexcGood3 3 4 2" xfId="31899" xr:uid="{C8E115A2-1050-4BE0-B1C2-E0550387E6E9}"/>
    <cellStyle name="SAPBEXexcGood3 3 5" xfId="28088" xr:uid="{00000000-0005-0000-0000-0000956A0000}"/>
    <cellStyle name="SAPBEXexcGood3 3 5 2" xfId="32646" xr:uid="{4593537D-1988-445A-B987-F76DB3C83564}"/>
    <cellStyle name="SAPBEXexcGood3 3 6" xfId="26497" xr:uid="{00000000-0005-0000-0000-0000966A0000}"/>
    <cellStyle name="SAPBEXexcGood3 3 6 2" xfId="31285" xr:uid="{A89ED4F8-B9F3-4585-B8ED-4B30C3A0B7DF}"/>
    <cellStyle name="SAPBEXexcGood3 3 7" xfId="29640" xr:uid="{00000000-0005-0000-0000-0000976A0000}"/>
    <cellStyle name="SAPBEXexcGood3 3 8" xfId="30339" xr:uid="{A10B9BBE-A017-4110-816E-976CEBC785EB}"/>
    <cellStyle name="SAPBEXexcGood3 4" xfId="25102" xr:uid="{00000000-0005-0000-0000-0000986A0000}"/>
    <cellStyle name="SAPBEXexcGood3 4 2" xfId="25403" xr:uid="{00000000-0005-0000-0000-0000996A0000}"/>
    <cellStyle name="SAPBEXexcGood3 4 2 2" xfId="27557" xr:uid="{00000000-0005-0000-0000-00009A6A0000}"/>
    <cellStyle name="SAPBEXexcGood3 4 2 2 2" xfId="32148" xr:uid="{542CF1F8-27C0-469F-8AEC-B0D7B4A50FF4}"/>
    <cellStyle name="SAPBEXexcGood3 4 2 3" xfId="28092" xr:uid="{00000000-0005-0000-0000-00009B6A0000}"/>
    <cellStyle name="SAPBEXexcGood3 4 2 3 2" xfId="32650" xr:uid="{15E0F195-36C6-40E2-8492-132C97A12795}"/>
    <cellStyle name="SAPBEXexcGood3 4 2 4" xfId="26429" xr:uid="{00000000-0005-0000-0000-00009C6A0000}"/>
    <cellStyle name="SAPBEXexcGood3 4 2 4 2" xfId="31217" xr:uid="{65498FA9-8518-4B20-83B7-75E062005796}"/>
    <cellStyle name="SAPBEXexcGood3 4 2 5" xfId="29644" xr:uid="{00000000-0005-0000-0000-00009D6A0000}"/>
    <cellStyle name="SAPBEXexcGood3 4 2 6" xfId="30561" xr:uid="{3EA48A4A-95C8-46B7-87B5-49395A280B9F}"/>
    <cellStyle name="SAPBEXexcGood3 4 3" xfId="25700" xr:uid="{00000000-0005-0000-0000-00009E6A0000}"/>
    <cellStyle name="SAPBEXexcGood3 4 3 2" xfId="27853" xr:uid="{00000000-0005-0000-0000-00009F6A0000}"/>
    <cellStyle name="SAPBEXexcGood3 4 3 2 2" xfId="32440" xr:uid="{D81E7EED-7569-4AD9-971D-1F7B7355FA1B}"/>
    <cellStyle name="SAPBEXexcGood3 4 3 3" xfId="28093" xr:uid="{00000000-0005-0000-0000-0000A06A0000}"/>
    <cellStyle name="SAPBEXexcGood3 4 3 3 2" xfId="32651" xr:uid="{16D3B326-3D72-4267-88CC-E67D6A54EF78}"/>
    <cellStyle name="SAPBEXexcGood3 4 3 4" xfId="27053" xr:uid="{00000000-0005-0000-0000-0000A16A0000}"/>
    <cellStyle name="SAPBEXexcGood3 4 3 4 2" xfId="31798" xr:uid="{2C68E6D1-3E67-409B-BF6C-B6084F228CD6}"/>
    <cellStyle name="SAPBEXexcGood3 4 3 5" xfId="29645" xr:uid="{00000000-0005-0000-0000-0000A26A0000}"/>
    <cellStyle name="SAPBEXexcGood3 4 3 6" xfId="30694" xr:uid="{B75B2F71-0114-47AF-96F5-188A76429835}"/>
    <cellStyle name="SAPBEXexcGood3 4 4" xfId="27387" xr:uid="{00000000-0005-0000-0000-0000A36A0000}"/>
    <cellStyle name="SAPBEXexcGood3 4 4 2" xfId="31985" xr:uid="{6A2A0B73-961F-4CB5-A15E-68039EFC5330}"/>
    <cellStyle name="SAPBEXexcGood3 4 5" xfId="28091" xr:uid="{00000000-0005-0000-0000-0000A46A0000}"/>
    <cellStyle name="SAPBEXexcGood3 4 5 2" xfId="32649" xr:uid="{FE3AED5C-5B6A-4D2F-810C-1EB9902D5B68}"/>
    <cellStyle name="SAPBEXexcGood3 4 6" xfId="26366" xr:uid="{00000000-0005-0000-0000-0000A56A0000}"/>
    <cellStyle name="SAPBEXexcGood3 4 6 2" xfId="31154" xr:uid="{7497A226-7643-4024-8C96-3F1A568E8FD9}"/>
    <cellStyle name="SAPBEXexcGood3 4 7" xfId="29643" xr:uid="{00000000-0005-0000-0000-0000A66A0000}"/>
    <cellStyle name="SAPBEXexcGood3 4 8" xfId="30402" xr:uid="{ED003E65-943C-433A-84DB-1FB42DB52D1B}"/>
    <cellStyle name="SAPBEXexcGood3 5" xfId="25831" xr:uid="{00000000-0005-0000-0000-0000A76A0000}"/>
    <cellStyle name="SAPBEXexcGood3 5 2" xfId="30750" xr:uid="{AF146F60-3BF2-4358-9326-F8C799AFC8A0}"/>
    <cellStyle name="SAPBEXexcGood3 6" xfId="28085" xr:uid="{00000000-0005-0000-0000-0000A86A0000}"/>
    <cellStyle name="SAPBEXexcGood3 6 2" xfId="32643" xr:uid="{438F3376-66E5-4807-8B5D-13A0DD7022A1}"/>
    <cellStyle name="SAPBEXexcGood3 7" xfId="28547" xr:uid="{00000000-0005-0000-0000-0000A96A0000}"/>
    <cellStyle name="SAPBEXexcGood3 7 2" xfId="33105" xr:uid="{CF99A7DA-DA15-46F4-87AC-C8AC1D81F52B}"/>
    <cellStyle name="SAPBEXexcGood3 8" xfId="29637" xr:uid="{00000000-0005-0000-0000-0000AA6A0000}"/>
    <cellStyle name="SAPBEXfilterDrill" xfId="88" xr:uid="{00000000-0005-0000-0000-0000AB6A0000}"/>
    <cellStyle name="SAPBEXfilterDrill 2" xfId="25832" xr:uid="{00000000-0005-0000-0000-0000AC6A0000}"/>
    <cellStyle name="SAPBEXfilterDrill 2 2" xfId="30751" xr:uid="{3491FB93-C1FC-46DE-99AF-DB71115FB942}"/>
    <cellStyle name="SAPBEXfilterItem" xfId="89" xr:uid="{00000000-0005-0000-0000-0000AD6A0000}"/>
    <cellStyle name="SAPBEXfilterItem 2" xfId="90" xr:uid="{00000000-0005-0000-0000-0000AE6A0000}"/>
    <cellStyle name="SAPBEXfilterItem 3" xfId="231" xr:uid="{00000000-0005-0000-0000-0000AF6A0000}"/>
    <cellStyle name="SAPBEXfilterItem 4" xfId="232" xr:uid="{00000000-0005-0000-0000-0000B06A0000}"/>
    <cellStyle name="SAPBEXfilterItem 5" xfId="233" xr:uid="{00000000-0005-0000-0000-0000B16A0000}"/>
    <cellStyle name="SAPBEXfilterItem 6" xfId="234" xr:uid="{00000000-0005-0000-0000-0000B26A0000}"/>
    <cellStyle name="SAPBEXfilterItem 7" xfId="235" xr:uid="{00000000-0005-0000-0000-0000B36A0000}"/>
    <cellStyle name="SAPBEXfilterItem 8" xfId="412" xr:uid="{00000000-0005-0000-0000-0000B46A0000}"/>
    <cellStyle name="SAPBEXfilterItem_Copy of xSAPtemp5457" xfId="236" xr:uid="{00000000-0005-0000-0000-0000B56A0000}"/>
    <cellStyle name="SAPBEXfilterText" xfId="91" xr:uid="{00000000-0005-0000-0000-0000B66A0000}"/>
    <cellStyle name="SAPBEXfilterText 2" xfId="92" xr:uid="{00000000-0005-0000-0000-0000B76A0000}"/>
    <cellStyle name="SAPBEXfilterText 2 2" xfId="24246" xr:uid="{00000000-0005-0000-0000-0000B86A0000}"/>
    <cellStyle name="SAPBEXfilterText 3" xfId="93" xr:uid="{00000000-0005-0000-0000-0000B96A0000}"/>
    <cellStyle name="SAPBEXfilterText 3 2" xfId="24247" xr:uid="{00000000-0005-0000-0000-0000BA6A0000}"/>
    <cellStyle name="SAPBEXfilterText 4" xfId="237" xr:uid="{00000000-0005-0000-0000-0000BB6A0000}"/>
    <cellStyle name="SAPBEXfilterText 5" xfId="238" xr:uid="{00000000-0005-0000-0000-0000BC6A0000}"/>
    <cellStyle name="SAPBEXformats" xfId="94" xr:uid="{00000000-0005-0000-0000-0000BD6A0000}"/>
    <cellStyle name="SAPBEXformats 2" xfId="13636" xr:uid="{00000000-0005-0000-0000-0000BE6A0000}"/>
    <cellStyle name="SAPBEXformats 2 2" xfId="25474" xr:uid="{00000000-0005-0000-0000-0000BF6A0000}"/>
    <cellStyle name="SAPBEXformats 2 2 2" xfId="27627" xr:uid="{00000000-0005-0000-0000-0000C06A0000}"/>
    <cellStyle name="SAPBEXformats 2 2 2 2" xfId="32214" xr:uid="{D278B83A-6DDC-4CEA-B434-95123C280B1E}"/>
    <cellStyle name="SAPBEXformats 2 2 3" xfId="28096" xr:uid="{00000000-0005-0000-0000-0000C16A0000}"/>
    <cellStyle name="SAPBEXformats 2 2 3 2" xfId="32654" xr:uid="{957C83D0-3927-47A9-A6FB-D8330177BF9A}"/>
    <cellStyle name="SAPBEXformats 2 2 4" xfId="27430" xr:uid="{00000000-0005-0000-0000-0000C26A0000}"/>
    <cellStyle name="SAPBEXformats 2 2 4 2" xfId="32028" xr:uid="{442177C5-4F97-41A7-BD70-69E13B4543F6}"/>
    <cellStyle name="SAPBEXformats 2 2 5" xfId="29648" xr:uid="{00000000-0005-0000-0000-0000C36A0000}"/>
    <cellStyle name="SAPBEXformats 2 3" xfId="26578" xr:uid="{00000000-0005-0000-0000-0000C46A0000}"/>
    <cellStyle name="SAPBEXformats 2 3 2" xfId="31356" xr:uid="{21DCC941-E0F1-463A-8AA4-9F34059D9DB5}"/>
    <cellStyle name="SAPBEXformats 2 4" xfId="28095" xr:uid="{00000000-0005-0000-0000-0000C56A0000}"/>
    <cellStyle name="SAPBEXformats 2 4 2" xfId="32653" xr:uid="{C6E7657E-F1DB-45D8-AA6B-208A5BF40671}"/>
    <cellStyle name="SAPBEXformats 2 5" xfId="29185" xr:uid="{00000000-0005-0000-0000-0000C66A0000}"/>
    <cellStyle name="SAPBEXformats 2 5 2" xfId="33168" xr:uid="{8F734FC7-1A1B-4AF3-AEAF-5F9D53DEC1C5}"/>
    <cellStyle name="SAPBEXformats 2 6" xfId="29647" xr:uid="{00000000-0005-0000-0000-0000C76A0000}"/>
    <cellStyle name="SAPBEXformats 2 7" xfId="30176" xr:uid="{3CCEDD8D-F920-4419-A45C-C955E685E11E}"/>
    <cellStyle name="SAPBEXformats 3" xfId="24673" xr:uid="{00000000-0005-0000-0000-0000C86A0000}"/>
    <cellStyle name="SAPBEXformats 3 2" xfId="25332" xr:uid="{00000000-0005-0000-0000-0000C96A0000}"/>
    <cellStyle name="SAPBEXformats 3 2 2" xfId="27486" xr:uid="{00000000-0005-0000-0000-0000CA6A0000}"/>
    <cellStyle name="SAPBEXformats 3 2 2 2" xfId="32077" xr:uid="{745C9583-D683-4F41-A694-04A8D1245772}"/>
    <cellStyle name="SAPBEXformats 3 2 3" xfId="28098" xr:uid="{00000000-0005-0000-0000-0000CB6A0000}"/>
    <cellStyle name="SAPBEXformats 3 2 3 2" xfId="32656" xr:uid="{EEEC1752-6C75-4172-930F-F60AB54966E1}"/>
    <cellStyle name="SAPBEXformats 3 2 4" xfId="26887" xr:uid="{00000000-0005-0000-0000-0000CC6A0000}"/>
    <cellStyle name="SAPBEXformats 3 2 4 2" xfId="31648" xr:uid="{1D5005B6-6A0B-4125-B5CA-C97B270D5A92}"/>
    <cellStyle name="SAPBEXformats 3 2 5" xfId="29650" xr:uid="{00000000-0005-0000-0000-0000CD6A0000}"/>
    <cellStyle name="SAPBEXformats 3 2 6" xfId="30490" xr:uid="{1FDD796B-D48C-4CF8-821F-B06FFC1504F6}"/>
    <cellStyle name="SAPBEXformats 3 3" xfId="25636" xr:uid="{00000000-0005-0000-0000-0000CE6A0000}"/>
    <cellStyle name="SAPBEXformats 3 3 2" xfId="27789" xr:uid="{00000000-0005-0000-0000-0000CF6A0000}"/>
    <cellStyle name="SAPBEXformats 3 3 2 2" xfId="32376" xr:uid="{2F4DAE6E-6C10-434E-BEB0-E82424E349E8}"/>
    <cellStyle name="SAPBEXformats 3 3 3" xfId="28099" xr:uid="{00000000-0005-0000-0000-0000D06A0000}"/>
    <cellStyle name="SAPBEXformats 3 3 3 2" xfId="32657" xr:uid="{E66069EF-D153-4575-8F1D-F5DAA9605257}"/>
    <cellStyle name="SAPBEXformats 3 3 4" xfId="26878" xr:uid="{00000000-0005-0000-0000-0000D16A0000}"/>
    <cellStyle name="SAPBEXformats 3 3 4 2" xfId="31639" xr:uid="{39317AA8-8D56-4917-BF65-A9663961389A}"/>
    <cellStyle name="SAPBEXformats 3 3 5" xfId="29651" xr:uid="{00000000-0005-0000-0000-0000D26A0000}"/>
    <cellStyle name="SAPBEXformats 3 4" xfId="27263" xr:uid="{00000000-0005-0000-0000-0000D36A0000}"/>
    <cellStyle name="SAPBEXformats 3 4 2" xfId="31898" xr:uid="{2DBB42DF-8BD6-45ED-86B9-BEC3FFF64943}"/>
    <cellStyle name="SAPBEXformats 3 5" xfId="28097" xr:uid="{00000000-0005-0000-0000-0000D46A0000}"/>
    <cellStyle name="SAPBEXformats 3 5 2" xfId="32655" xr:uid="{E01DF4DF-898C-4094-8EC5-C72246BDA1E8}"/>
    <cellStyle name="SAPBEXformats 3 6" xfId="26792" xr:uid="{00000000-0005-0000-0000-0000D56A0000}"/>
    <cellStyle name="SAPBEXformats 3 6 2" xfId="31553" xr:uid="{475C94B3-160D-4146-99BE-FF9364786E68}"/>
    <cellStyle name="SAPBEXformats 3 7" xfId="29649" xr:uid="{00000000-0005-0000-0000-0000D66A0000}"/>
    <cellStyle name="SAPBEXformats 3 8" xfId="30338" xr:uid="{CEE7A237-CC94-4644-A44B-4ABA4373387C}"/>
    <cellStyle name="SAPBEXformats 4" xfId="25103" xr:uid="{00000000-0005-0000-0000-0000D76A0000}"/>
    <cellStyle name="SAPBEXformats 4 2" xfId="25314" xr:uid="{00000000-0005-0000-0000-0000D86A0000}"/>
    <cellStyle name="SAPBEXformats 4 2 2" xfId="27468" xr:uid="{00000000-0005-0000-0000-0000D96A0000}"/>
    <cellStyle name="SAPBEXformats 4 2 2 2" xfId="32059" xr:uid="{531D6C35-7398-47CA-8E6E-396F0AAEC12F}"/>
    <cellStyle name="SAPBEXformats 4 2 3" xfId="28101" xr:uid="{00000000-0005-0000-0000-0000DA6A0000}"/>
    <cellStyle name="SAPBEXformats 4 2 3 2" xfId="32659" xr:uid="{9BA25405-5199-47A7-AA87-029BF4F03D3F}"/>
    <cellStyle name="SAPBEXformats 4 2 4" xfId="26088" xr:uid="{00000000-0005-0000-0000-0000DB6A0000}"/>
    <cellStyle name="SAPBEXformats 4 2 4 2" xfId="30878" xr:uid="{541FDA16-4D2D-452F-B7C0-950EA4155BF9}"/>
    <cellStyle name="SAPBEXformats 4 2 5" xfId="29653" xr:uid="{00000000-0005-0000-0000-0000DC6A0000}"/>
    <cellStyle name="SAPBEXformats 4 2 6" xfId="30472" xr:uid="{DC2B5A52-4E88-4582-8A8E-13F9568CC981}"/>
    <cellStyle name="SAPBEXformats 4 3" xfId="25701" xr:uid="{00000000-0005-0000-0000-0000DD6A0000}"/>
    <cellStyle name="SAPBEXformats 4 3 2" xfId="27854" xr:uid="{00000000-0005-0000-0000-0000DE6A0000}"/>
    <cellStyle name="SAPBEXformats 4 3 2 2" xfId="32441" xr:uid="{CAF41298-BE9F-4FAD-B7EC-08D9E35FB92D}"/>
    <cellStyle name="SAPBEXformats 4 3 3" xfId="28102" xr:uid="{00000000-0005-0000-0000-0000DF6A0000}"/>
    <cellStyle name="SAPBEXformats 4 3 3 2" xfId="32660" xr:uid="{6C596889-0A35-446B-B06C-7AD63BB08C62}"/>
    <cellStyle name="SAPBEXformats 4 3 4" xfId="26699" xr:uid="{00000000-0005-0000-0000-0000E06A0000}"/>
    <cellStyle name="SAPBEXformats 4 3 4 2" xfId="31461" xr:uid="{C84A56BF-5738-4D92-8DC6-A6289D6CC1C5}"/>
    <cellStyle name="SAPBEXformats 4 3 5" xfId="29654" xr:uid="{00000000-0005-0000-0000-0000E16A0000}"/>
    <cellStyle name="SAPBEXformats 4 3 6" xfId="30695" xr:uid="{BB3A1379-A04B-4717-B708-E5621F5C76EF}"/>
    <cellStyle name="SAPBEXformats 4 4" xfId="27388" xr:uid="{00000000-0005-0000-0000-0000E26A0000}"/>
    <cellStyle name="SAPBEXformats 4 4 2" xfId="31986" xr:uid="{8A8F8762-F47E-40B2-9EFD-F1CE7D48C2D4}"/>
    <cellStyle name="SAPBEXformats 4 5" xfId="28100" xr:uid="{00000000-0005-0000-0000-0000E36A0000}"/>
    <cellStyle name="SAPBEXformats 4 5 2" xfId="32658" xr:uid="{C3945E2D-B22C-4F0A-9C2F-E4D111202428}"/>
    <cellStyle name="SAPBEXformats 4 6" xfId="26778" xr:uid="{00000000-0005-0000-0000-0000E46A0000}"/>
    <cellStyle name="SAPBEXformats 4 6 2" xfId="31539" xr:uid="{45964939-CE95-43D5-A2DF-A04176C5BF09}"/>
    <cellStyle name="SAPBEXformats 4 7" xfId="29652" xr:uid="{00000000-0005-0000-0000-0000E56A0000}"/>
    <cellStyle name="SAPBEXformats 4 8" xfId="30403" xr:uid="{8BEB6974-6890-4108-ACB3-B23AC1CD07F7}"/>
    <cellStyle name="SAPBEXformats 5" xfId="25833" xr:uid="{00000000-0005-0000-0000-0000E66A0000}"/>
    <cellStyle name="SAPBEXformats 5 2" xfId="30752" xr:uid="{76D3A9B9-4571-4CC8-B939-11DE8342D48F}"/>
    <cellStyle name="SAPBEXformats 6" xfId="28094" xr:uid="{00000000-0005-0000-0000-0000E76A0000}"/>
    <cellStyle name="SAPBEXformats 6 2" xfId="32652" xr:uid="{29AA3335-CBC6-444E-90CE-A94CC5BEEE73}"/>
    <cellStyle name="SAPBEXformats 7" xfId="26969" xr:uid="{00000000-0005-0000-0000-0000E86A0000}"/>
    <cellStyle name="SAPBEXformats 7 2" xfId="31730" xr:uid="{A763D440-1575-44AC-92AC-9680ED033164}"/>
    <cellStyle name="SAPBEXformats 8" xfId="29646" xr:uid="{00000000-0005-0000-0000-0000E96A0000}"/>
    <cellStyle name="SAPBEXheaderItem" xfId="95" xr:uid="{00000000-0005-0000-0000-0000EA6A0000}"/>
    <cellStyle name="SAPBEXheaderItem 2" xfId="96" xr:uid="{00000000-0005-0000-0000-0000EB6A0000}"/>
    <cellStyle name="SAPBEXheaderItem 2 2" xfId="24249" xr:uid="{00000000-0005-0000-0000-0000EC6A0000}"/>
    <cellStyle name="SAPBEXheaderItem 3" xfId="97" xr:uid="{00000000-0005-0000-0000-0000ED6A0000}"/>
    <cellStyle name="SAPBEXheaderItem 3 2" xfId="98" xr:uid="{00000000-0005-0000-0000-0000EE6A0000}"/>
    <cellStyle name="SAPBEXheaderItem 3 3" xfId="24250" xr:uid="{00000000-0005-0000-0000-0000EF6A0000}"/>
    <cellStyle name="SAPBEXheaderItem 4" xfId="239" xr:uid="{00000000-0005-0000-0000-0000F06A0000}"/>
    <cellStyle name="SAPBEXheaderItem 5" xfId="240" xr:uid="{00000000-0005-0000-0000-0000F16A0000}"/>
    <cellStyle name="SAPBEXheaderItem 6" xfId="241" xr:uid="{00000000-0005-0000-0000-0000F26A0000}"/>
    <cellStyle name="SAPBEXheaderItem 7" xfId="242" xr:uid="{00000000-0005-0000-0000-0000F36A0000}"/>
    <cellStyle name="SAPBEXheaderItem 8" xfId="243" xr:uid="{00000000-0005-0000-0000-0000F46A0000}"/>
    <cellStyle name="SAPBEXheaderItem 9" xfId="413" xr:uid="{00000000-0005-0000-0000-0000F56A0000}"/>
    <cellStyle name="SAPBEXheaderItem_Copy of xSAPtemp5457" xfId="244" xr:uid="{00000000-0005-0000-0000-0000F66A0000}"/>
    <cellStyle name="SAPBEXheaderText" xfId="99" xr:uid="{00000000-0005-0000-0000-0000F76A0000}"/>
    <cellStyle name="SAPBEXheaderText 2" xfId="100" xr:uid="{00000000-0005-0000-0000-0000F86A0000}"/>
    <cellStyle name="SAPBEXheaderText 2 2" xfId="24251" xr:uid="{00000000-0005-0000-0000-0000F96A0000}"/>
    <cellStyle name="SAPBEXheaderText 3" xfId="101" xr:uid="{00000000-0005-0000-0000-0000FA6A0000}"/>
    <cellStyle name="SAPBEXheaderText 3 2" xfId="24252" xr:uid="{00000000-0005-0000-0000-0000FB6A0000}"/>
    <cellStyle name="SAPBEXheaderText 4" xfId="102" xr:uid="{00000000-0005-0000-0000-0000FC6A0000}"/>
    <cellStyle name="SAPBEXheaderText 5" xfId="245" xr:uid="{00000000-0005-0000-0000-0000FD6A0000}"/>
    <cellStyle name="SAPBEXheaderText 6" xfId="246" xr:uid="{00000000-0005-0000-0000-0000FE6A0000}"/>
    <cellStyle name="SAPBEXheaderText 7" xfId="247" xr:uid="{00000000-0005-0000-0000-0000FF6A0000}"/>
    <cellStyle name="SAPBEXheaderText 8" xfId="248" xr:uid="{00000000-0005-0000-0000-0000006B0000}"/>
    <cellStyle name="SAPBEXheaderText 9" xfId="414" xr:uid="{00000000-0005-0000-0000-0000016B0000}"/>
    <cellStyle name="SAPBEXheaderText_Copy of xSAPtemp5457" xfId="249" xr:uid="{00000000-0005-0000-0000-0000026B0000}"/>
    <cellStyle name="SAPBEXHLevel0" xfId="103" xr:uid="{00000000-0005-0000-0000-0000036B0000}"/>
    <cellStyle name="SAPBEXHLevel0 10" xfId="28103" xr:uid="{00000000-0005-0000-0000-0000046B0000}"/>
    <cellStyle name="SAPBEXHLevel0 10 2" xfId="32661" xr:uid="{1007D9F4-C483-4CB3-9678-CB0C7E24DE75}"/>
    <cellStyle name="SAPBEXHLevel0 11" xfId="26997" xr:uid="{00000000-0005-0000-0000-0000056B0000}"/>
    <cellStyle name="SAPBEXHLevel0 11 2" xfId="31758" xr:uid="{42874892-21AF-4921-A9C2-76034A26F922}"/>
    <cellStyle name="SAPBEXHLevel0 12" xfId="29655" xr:uid="{00000000-0005-0000-0000-0000066B0000}"/>
    <cellStyle name="SAPBEXHLevel0 2" xfId="104" xr:uid="{00000000-0005-0000-0000-0000076B0000}"/>
    <cellStyle name="SAPBEXHLevel0 2 2" xfId="13638" xr:uid="{00000000-0005-0000-0000-0000086B0000}"/>
    <cellStyle name="SAPBEXHLevel0 2 2 2" xfId="25476" xr:uid="{00000000-0005-0000-0000-0000096B0000}"/>
    <cellStyle name="SAPBEXHLevel0 2 2 2 2" xfId="27629" xr:uid="{00000000-0005-0000-0000-00000A6B0000}"/>
    <cellStyle name="SAPBEXHLevel0 2 2 2 2 2" xfId="32216" xr:uid="{7B298B73-A2C7-4972-BC63-D9B946A6E718}"/>
    <cellStyle name="SAPBEXHLevel0 2 2 2 3" xfId="28106" xr:uid="{00000000-0005-0000-0000-00000B6B0000}"/>
    <cellStyle name="SAPBEXHLevel0 2 2 2 3 2" xfId="32664" xr:uid="{E7F317E7-BCAD-47C6-B104-293C7D1AA01A}"/>
    <cellStyle name="SAPBEXHLevel0 2 2 2 4" xfId="26840" xr:uid="{00000000-0005-0000-0000-00000C6B0000}"/>
    <cellStyle name="SAPBEXHLevel0 2 2 2 4 2" xfId="31601" xr:uid="{3F3FE9FF-344C-41C9-887A-3164767D7DB7}"/>
    <cellStyle name="SAPBEXHLevel0 2 2 2 5" xfId="29658" xr:uid="{00000000-0005-0000-0000-00000D6B0000}"/>
    <cellStyle name="SAPBEXHLevel0 2 2 3" xfId="26580" xr:uid="{00000000-0005-0000-0000-00000E6B0000}"/>
    <cellStyle name="SAPBEXHLevel0 2 2 3 2" xfId="31358" xr:uid="{02E16D72-8899-4A71-AB65-2FF6BCF6D0D3}"/>
    <cellStyle name="SAPBEXHLevel0 2 2 4" xfId="28105" xr:uid="{00000000-0005-0000-0000-00000F6B0000}"/>
    <cellStyle name="SAPBEXHLevel0 2 2 4 2" xfId="32663" xr:uid="{84ACD932-5D46-4B99-B19C-3101C518DA30}"/>
    <cellStyle name="SAPBEXHLevel0 2 2 5" xfId="26371" xr:uid="{00000000-0005-0000-0000-0000106B0000}"/>
    <cellStyle name="SAPBEXHLevel0 2 2 5 2" xfId="31159" xr:uid="{9B100636-DCF6-4B61-8304-64FFB6A85262}"/>
    <cellStyle name="SAPBEXHLevel0 2 2 6" xfId="29657" xr:uid="{00000000-0005-0000-0000-0000116B0000}"/>
    <cellStyle name="SAPBEXHLevel0 2 2 7" xfId="30178" xr:uid="{21DC3046-D69E-4717-8D23-7A4404E4AB8B}"/>
    <cellStyle name="SAPBEXHLevel0 2 3" xfId="24253" xr:uid="{00000000-0005-0000-0000-0000126B0000}"/>
    <cellStyle name="SAPBEXHLevel0 2 3 2" xfId="25575" xr:uid="{00000000-0005-0000-0000-0000136B0000}"/>
    <cellStyle name="SAPBEXHLevel0 2 3 2 2" xfId="27728" xr:uid="{00000000-0005-0000-0000-0000146B0000}"/>
    <cellStyle name="SAPBEXHLevel0 2 3 2 2 2" xfId="32315" xr:uid="{5DBB23BE-9359-4EAA-8819-A0619DC5C6E1}"/>
    <cellStyle name="SAPBEXHLevel0 2 3 2 3" xfId="28108" xr:uid="{00000000-0005-0000-0000-0000156B0000}"/>
    <cellStyle name="SAPBEXHLevel0 2 3 2 3 2" xfId="32666" xr:uid="{345DAA13-C4F1-4369-9286-C5B2067437F6}"/>
    <cellStyle name="SAPBEXHLevel0 2 3 2 4" xfId="27010" xr:uid="{00000000-0005-0000-0000-0000166B0000}"/>
    <cellStyle name="SAPBEXHLevel0 2 3 2 4 2" xfId="31770" xr:uid="{86F98E1B-09DB-4E31-8D4C-DD8CA4BCFA29}"/>
    <cellStyle name="SAPBEXHLevel0 2 3 2 5" xfId="29660" xr:uid="{00000000-0005-0000-0000-0000176B0000}"/>
    <cellStyle name="SAPBEXHLevel0 2 3 3" xfId="27108" xr:uid="{00000000-0005-0000-0000-0000186B0000}"/>
    <cellStyle name="SAPBEXHLevel0 2 3 3 2" xfId="31826" xr:uid="{D779E60C-4A8F-4FC4-8A8F-131CF168D935}"/>
    <cellStyle name="SAPBEXHLevel0 2 3 4" xfId="28107" xr:uid="{00000000-0005-0000-0000-0000196B0000}"/>
    <cellStyle name="SAPBEXHLevel0 2 3 4 2" xfId="32665" xr:uid="{5D47A21C-D9B1-4D5E-BD7F-1C785E1F7012}"/>
    <cellStyle name="SAPBEXHLevel0 2 3 5" xfId="26929" xr:uid="{00000000-0005-0000-0000-00001A6B0000}"/>
    <cellStyle name="SAPBEXHLevel0 2 3 5 2" xfId="31690" xr:uid="{638F08CB-81F2-4D61-A114-BB295EF7714E}"/>
    <cellStyle name="SAPBEXHLevel0 2 3 6" xfId="29659" xr:uid="{00000000-0005-0000-0000-00001B6B0000}"/>
    <cellStyle name="SAPBEXHLevel0 2 3 7" xfId="30277" xr:uid="{06A6A1AD-8EF2-4F18-81C3-D40EA51BB9C0}"/>
    <cellStyle name="SAPBEXHLevel0 2 4" xfId="24668" xr:uid="{00000000-0005-0000-0000-00001C6B0000}"/>
    <cellStyle name="SAPBEXHLevel0 2 4 2" xfId="25357" xr:uid="{00000000-0005-0000-0000-00001D6B0000}"/>
    <cellStyle name="SAPBEXHLevel0 2 4 2 2" xfId="27511" xr:uid="{00000000-0005-0000-0000-00001E6B0000}"/>
    <cellStyle name="SAPBEXHLevel0 2 4 2 2 2" xfId="32102" xr:uid="{B9E554D5-3C00-4528-833B-90B9C97A6922}"/>
    <cellStyle name="SAPBEXHLevel0 2 4 2 3" xfId="28110" xr:uid="{00000000-0005-0000-0000-00001F6B0000}"/>
    <cellStyle name="SAPBEXHLevel0 2 4 2 3 2" xfId="32668" xr:uid="{F6BEE18A-83E5-48FE-BC26-1D4ECE9E122A}"/>
    <cellStyle name="SAPBEXHLevel0 2 4 2 4" xfId="26532" xr:uid="{00000000-0005-0000-0000-0000206B0000}"/>
    <cellStyle name="SAPBEXHLevel0 2 4 2 4 2" xfId="31319" xr:uid="{566CA492-9584-49DA-A226-C350F3AE1D5F}"/>
    <cellStyle name="SAPBEXHLevel0 2 4 2 5" xfId="29662" xr:uid="{00000000-0005-0000-0000-0000216B0000}"/>
    <cellStyle name="SAPBEXHLevel0 2 4 2 6" xfId="30515" xr:uid="{F572173F-BFEB-4274-B1BB-AFD32D4910DE}"/>
    <cellStyle name="SAPBEXHLevel0 2 4 3" xfId="25634" xr:uid="{00000000-0005-0000-0000-0000226B0000}"/>
    <cellStyle name="SAPBEXHLevel0 2 4 3 2" xfId="27787" xr:uid="{00000000-0005-0000-0000-0000236B0000}"/>
    <cellStyle name="SAPBEXHLevel0 2 4 3 2 2" xfId="32374" xr:uid="{BB80C584-F3F2-45C6-864C-49C53581BB44}"/>
    <cellStyle name="SAPBEXHLevel0 2 4 3 3" xfId="28111" xr:uid="{00000000-0005-0000-0000-0000246B0000}"/>
    <cellStyle name="SAPBEXHLevel0 2 4 3 3 2" xfId="32669" xr:uid="{83A420D9-A83C-4FD3-B58D-71620EFDE24C}"/>
    <cellStyle name="SAPBEXHLevel0 2 4 3 4" xfId="27001" xr:uid="{00000000-0005-0000-0000-0000256B0000}"/>
    <cellStyle name="SAPBEXHLevel0 2 4 3 4 2" xfId="31761" xr:uid="{FBFB06F9-0841-4C0C-BDA6-AE8C08186C8D}"/>
    <cellStyle name="SAPBEXHLevel0 2 4 3 5" xfId="29663" xr:uid="{00000000-0005-0000-0000-0000266B0000}"/>
    <cellStyle name="SAPBEXHLevel0 2 4 4" xfId="27261" xr:uid="{00000000-0005-0000-0000-0000276B0000}"/>
    <cellStyle name="SAPBEXHLevel0 2 4 4 2" xfId="31896" xr:uid="{33BB7FBC-5347-4BDA-BA57-A1CFCD3A8D28}"/>
    <cellStyle name="SAPBEXHLevel0 2 4 5" xfId="28109" xr:uid="{00000000-0005-0000-0000-0000286B0000}"/>
    <cellStyle name="SAPBEXHLevel0 2 4 5 2" xfId="32667" xr:uid="{BD92D1DD-FCC5-4429-BBE2-DB2FC2D92999}"/>
    <cellStyle name="SAPBEXHLevel0 2 4 6" xfId="26144" xr:uid="{00000000-0005-0000-0000-0000296B0000}"/>
    <cellStyle name="SAPBEXHLevel0 2 4 6 2" xfId="30934" xr:uid="{A2BA4C79-6BE7-4747-9B57-AB6F8D1E320C}"/>
    <cellStyle name="SAPBEXHLevel0 2 4 7" xfId="29661" xr:uid="{00000000-0005-0000-0000-00002A6B0000}"/>
    <cellStyle name="SAPBEXHLevel0 2 4 8" xfId="30336" xr:uid="{A5ECF39D-215E-47AA-89A5-7CA40D11AEC4}"/>
    <cellStyle name="SAPBEXHLevel0 2 5" xfId="25105" xr:uid="{00000000-0005-0000-0000-00002B6B0000}"/>
    <cellStyle name="SAPBEXHLevel0 2 5 2" xfId="25328" xr:uid="{00000000-0005-0000-0000-00002C6B0000}"/>
    <cellStyle name="SAPBEXHLevel0 2 5 2 2" xfId="27482" xr:uid="{00000000-0005-0000-0000-00002D6B0000}"/>
    <cellStyle name="SAPBEXHLevel0 2 5 2 2 2" xfId="32073" xr:uid="{1C827190-C06C-4044-BAF3-0F096D5852AB}"/>
    <cellStyle name="SAPBEXHLevel0 2 5 2 3" xfId="28113" xr:uid="{00000000-0005-0000-0000-00002E6B0000}"/>
    <cellStyle name="SAPBEXHLevel0 2 5 2 3 2" xfId="32671" xr:uid="{3E6251D2-76CD-46D8-96A3-5FD886CA0766}"/>
    <cellStyle name="SAPBEXHLevel0 2 5 2 4" xfId="26078" xr:uid="{00000000-0005-0000-0000-00002F6B0000}"/>
    <cellStyle name="SAPBEXHLevel0 2 5 2 4 2" xfId="30868" xr:uid="{CAFD4758-676E-43F2-A1B3-33C5E85CCBB9}"/>
    <cellStyle name="SAPBEXHLevel0 2 5 2 5" xfId="29665" xr:uid="{00000000-0005-0000-0000-0000306B0000}"/>
    <cellStyle name="SAPBEXHLevel0 2 5 2 6" xfId="30486" xr:uid="{79F67CD6-FD80-47E4-BDF5-B543871CC22A}"/>
    <cellStyle name="SAPBEXHLevel0 2 5 3" xfId="25703" xr:uid="{00000000-0005-0000-0000-0000316B0000}"/>
    <cellStyle name="SAPBEXHLevel0 2 5 3 2" xfId="27856" xr:uid="{00000000-0005-0000-0000-0000326B0000}"/>
    <cellStyle name="SAPBEXHLevel0 2 5 3 2 2" xfId="32443" xr:uid="{4C629BCE-B01E-4D89-97C2-20B3105583E0}"/>
    <cellStyle name="SAPBEXHLevel0 2 5 3 3" xfId="28114" xr:uid="{00000000-0005-0000-0000-0000336B0000}"/>
    <cellStyle name="SAPBEXHLevel0 2 5 3 3 2" xfId="32672" xr:uid="{0031AEA8-1D1E-4EC5-9B26-993A374E0880}"/>
    <cellStyle name="SAPBEXHLevel0 2 5 3 4" xfId="26980" xr:uid="{00000000-0005-0000-0000-0000346B0000}"/>
    <cellStyle name="SAPBEXHLevel0 2 5 3 4 2" xfId="31741" xr:uid="{DC4F3916-7B16-4725-B86F-EF6A81E74913}"/>
    <cellStyle name="SAPBEXHLevel0 2 5 3 5" xfId="29666" xr:uid="{00000000-0005-0000-0000-0000356B0000}"/>
    <cellStyle name="SAPBEXHLevel0 2 5 3 6" xfId="30697" xr:uid="{1680A952-2676-4583-96CB-493DE9B3435D}"/>
    <cellStyle name="SAPBEXHLevel0 2 5 4" xfId="27390" xr:uid="{00000000-0005-0000-0000-0000366B0000}"/>
    <cellStyle name="SAPBEXHLevel0 2 5 4 2" xfId="31988" xr:uid="{CDE7C17A-A04C-465E-B7BA-E51B906DA432}"/>
    <cellStyle name="SAPBEXHLevel0 2 5 5" xfId="28112" xr:uid="{00000000-0005-0000-0000-0000376B0000}"/>
    <cellStyle name="SAPBEXHLevel0 2 5 5 2" xfId="32670" xr:uid="{AD5B0E88-0C29-4CDD-BA0C-517DE75DB933}"/>
    <cellStyle name="SAPBEXHLevel0 2 5 6" xfId="26226" xr:uid="{00000000-0005-0000-0000-0000386B0000}"/>
    <cellStyle name="SAPBEXHLevel0 2 5 6 2" xfId="31014" xr:uid="{27E4CD17-B8A4-4CFE-989A-0AC71FD574EF}"/>
    <cellStyle name="SAPBEXHLevel0 2 5 7" xfId="29664" xr:uid="{00000000-0005-0000-0000-0000396B0000}"/>
    <cellStyle name="SAPBEXHLevel0 2 5 8" xfId="30405" xr:uid="{43A192A3-3703-44CB-BFA1-B0D9A2CD1193}"/>
    <cellStyle name="SAPBEXHLevel0 2 6" xfId="25835" xr:uid="{00000000-0005-0000-0000-00003A6B0000}"/>
    <cellStyle name="SAPBEXHLevel0 2 6 2" xfId="30754" xr:uid="{C0966D3F-A15A-4841-8F1B-C331F5FC3E49}"/>
    <cellStyle name="SAPBEXHLevel0 2 7" xfId="28104" xr:uid="{00000000-0005-0000-0000-00003B6B0000}"/>
    <cellStyle name="SAPBEXHLevel0 2 7 2" xfId="32662" xr:uid="{5CD015DB-9D79-4C4E-827B-6D03AE262D64}"/>
    <cellStyle name="SAPBEXHLevel0 2 8" xfId="26490" xr:uid="{00000000-0005-0000-0000-00003C6B0000}"/>
    <cellStyle name="SAPBEXHLevel0 2 8 2" xfId="31278" xr:uid="{8D9A7171-B877-4C8B-9662-1E2732232090}"/>
    <cellStyle name="SAPBEXHLevel0 2 9" xfId="29656" xr:uid="{00000000-0005-0000-0000-00003D6B0000}"/>
    <cellStyle name="SAPBEXHLevel0 3" xfId="105" xr:uid="{00000000-0005-0000-0000-00003E6B0000}"/>
    <cellStyle name="SAPBEXHLevel0 3 2" xfId="13639" xr:uid="{00000000-0005-0000-0000-00003F6B0000}"/>
    <cellStyle name="SAPBEXHLevel0 3 2 2" xfId="25477" xr:uid="{00000000-0005-0000-0000-0000406B0000}"/>
    <cellStyle name="SAPBEXHLevel0 3 2 2 2" xfId="27630" xr:uid="{00000000-0005-0000-0000-0000416B0000}"/>
    <cellStyle name="SAPBEXHLevel0 3 2 2 2 2" xfId="32217" xr:uid="{BFD1346D-0532-4B33-B2CB-EF7207C2EA8C}"/>
    <cellStyle name="SAPBEXHLevel0 3 2 2 3" xfId="28117" xr:uid="{00000000-0005-0000-0000-0000426B0000}"/>
    <cellStyle name="SAPBEXHLevel0 3 2 2 3 2" xfId="32675" xr:uid="{100C9099-C4FA-4A43-9BBF-06483191EA60}"/>
    <cellStyle name="SAPBEXHLevel0 3 2 2 4" xfId="26201" xr:uid="{00000000-0005-0000-0000-0000436B0000}"/>
    <cellStyle name="SAPBEXHLevel0 3 2 2 4 2" xfId="30989" xr:uid="{F886C104-FEB0-4396-B6D3-4A9288723D41}"/>
    <cellStyle name="SAPBEXHLevel0 3 2 2 5" xfId="29669" xr:uid="{00000000-0005-0000-0000-0000446B0000}"/>
    <cellStyle name="SAPBEXHLevel0 3 2 3" xfId="26581" xr:uid="{00000000-0005-0000-0000-0000456B0000}"/>
    <cellStyle name="SAPBEXHLevel0 3 2 3 2" xfId="31359" xr:uid="{806AE72E-E6BF-4AE1-BACC-25557BD03B3A}"/>
    <cellStyle name="SAPBEXHLevel0 3 2 4" xfId="28116" xr:uid="{00000000-0005-0000-0000-0000466B0000}"/>
    <cellStyle name="SAPBEXHLevel0 3 2 4 2" xfId="32674" xr:uid="{98F4DF41-9961-4216-B393-3A9F5B153380}"/>
    <cellStyle name="SAPBEXHLevel0 3 2 5" xfId="26085" xr:uid="{00000000-0005-0000-0000-0000476B0000}"/>
    <cellStyle name="SAPBEXHLevel0 3 2 5 2" xfId="30875" xr:uid="{11CBB1D0-2FA2-4DB6-B91E-F59B0AA19F88}"/>
    <cellStyle name="SAPBEXHLevel0 3 2 6" xfId="29668" xr:uid="{00000000-0005-0000-0000-0000486B0000}"/>
    <cellStyle name="SAPBEXHLevel0 3 2 7" xfId="30179" xr:uid="{59B81943-37CB-41A6-BB33-212DA07C1674}"/>
    <cellStyle name="SAPBEXHLevel0 3 3" xfId="24254" xr:uid="{00000000-0005-0000-0000-0000496B0000}"/>
    <cellStyle name="SAPBEXHLevel0 3 3 2" xfId="25576" xr:uid="{00000000-0005-0000-0000-00004A6B0000}"/>
    <cellStyle name="SAPBEXHLevel0 3 3 2 2" xfId="27729" xr:uid="{00000000-0005-0000-0000-00004B6B0000}"/>
    <cellStyle name="SAPBEXHLevel0 3 3 2 2 2" xfId="32316" xr:uid="{FD26BE80-B426-483B-8760-386C120CA39E}"/>
    <cellStyle name="SAPBEXHLevel0 3 3 2 3" xfId="28119" xr:uid="{00000000-0005-0000-0000-00004C6B0000}"/>
    <cellStyle name="SAPBEXHLevel0 3 3 2 3 2" xfId="32677" xr:uid="{6982FBCE-856E-406F-852D-2B487D78F7B9}"/>
    <cellStyle name="SAPBEXHLevel0 3 3 2 4" xfId="26441" xr:uid="{00000000-0005-0000-0000-00004D6B0000}"/>
    <cellStyle name="SAPBEXHLevel0 3 3 2 4 2" xfId="31229" xr:uid="{C5400D96-6C98-4650-A767-341CC507F3D8}"/>
    <cellStyle name="SAPBEXHLevel0 3 3 2 5" xfId="29671" xr:uid="{00000000-0005-0000-0000-00004E6B0000}"/>
    <cellStyle name="SAPBEXHLevel0 3 3 3" xfId="27109" xr:uid="{00000000-0005-0000-0000-00004F6B0000}"/>
    <cellStyle name="SAPBEXHLevel0 3 3 3 2" xfId="31827" xr:uid="{2FDB118B-CEA1-4E77-B029-341C3434B2B8}"/>
    <cellStyle name="SAPBEXHLevel0 3 3 4" xfId="28118" xr:uid="{00000000-0005-0000-0000-0000506B0000}"/>
    <cellStyle name="SAPBEXHLevel0 3 3 4 2" xfId="32676" xr:uid="{46BB1172-EB83-4E38-9E49-B9E2C6898E3A}"/>
    <cellStyle name="SAPBEXHLevel0 3 3 5" xfId="26529" xr:uid="{00000000-0005-0000-0000-0000516B0000}"/>
    <cellStyle name="SAPBEXHLevel0 3 3 5 2" xfId="31316" xr:uid="{4AEEC1B6-418C-4152-9400-4D83848F4298}"/>
    <cellStyle name="SAPBEXHLevel0 3 3 6" xfId="29670" xr:uid="{00000000-0005-0000-0000-0000526B0000}"/>
    <cellStyle name="SAPBEXHLevel0 3 3 7" xfId="30278" xr:uid="{9EBCC5A9-58E7-4514-8B14-8993E912190B}"/>
    <cellStyle name="SAPBEXHLevel0 3 4" xfId="24667" xr:uid="{00000000-0005-0000-0000-0000536B0000}"/>
    <cellStyle name="SAPBEXHLevel0 3 4 2" xfId="25441" xr:uid="{00000000-0005-0000-0000-0000546B0000}"/>
    <cellStyle name="SAPBEXHLevel0 3 4 2 2" xfId="27595" xr:uid="{00000000-0005-0000-0000-0000556B0000}"/>
    <cellStyle name="SAPBEXHLevel0 3 4 2 2 2" xfId="32186" xr:uid="{D2D852CA-D376-43F0-9C8C-99CDEBBD4B7B}"/>
    <cellStyle name="SAPBEXHLevel0 3 4 2 3" xfId="28121" xr:uid="{00000000-0005-0000-0000-0000566B0000}"/>
    <cellStyle name="SAPBEXHLevel0 3 4 2 3 2" xfId="32679" xr:uid="{88C41C01-949B-4E5F-A7DA-8E0D8DC9C2E3}"/>
    <cellStyle name="SAPBEXHLevel0 3 4 2 4" xfId="26845" xr:uid="{00000000-0005-0000-0000-0000576B0000}"/>
    <cellStyle name="SAPBEXHLevel0 3 4 2 4 2" xfId="31606" xr:uid="{45E4FCD2-8EA1-40E8-81BA-70921E007469}"/>
    <cellStyle name="SAPBEXHLevel0 3 4 2 5" xfId="29673" xr:uid="{00000000-0005-0000-0000-0000586B0000}"/>
    <cellStyle name="SAPBEXHLevel0 3 4 2 6" xfId="30599" xr:uid="{A57BFBDA-B5E7-4CC9-8B25-DDDA0B1F160E}"/>
    <cellStyle name="SAPBEXHLevel0 3 4 3" xfId="25633" xr:uid="{00000000-0005-0000-0000-0000596B0000}"/>
    <cellStyle name="SAPBEXHLevel0 3 4 3 2" xfId="27786" xr:uid="{00000000-0005-0000-0000-00005A6B0000}"/>
    <cellStyle name="SAPBEXHLevel0 3 4 3 2 2" xfId="32373" xr:uid="{1194E220-EB7E-4FE0-A56B-7FE85471F55D}"/>
    <cellStyle name="SAPBEXHLevel0 3 4 3 3" xfId="28122" xr:uid="{00000000-0005-0000-0000-00005B6B0000}"/>
    <cellStyle name="SAPBEXHLevel0 3 4 3 3 2" xfId="32680" xr:uid="{F5D76EF6-FAB0-476A-8BAB-3B7CADC2EAA5}"/>
    <cellStyle name="SAPBEXHLevel0 3 4 3 4" xfId="26402" xr:uid="{00000000-0005-0000-0000-00005C6B0000}"/>
    <cellStyle name="SAPBEXHLevel0 3 4 3 4 2" xfId="31190" xr:uid="{9459480F-01BB-484D-9706-FF15ED897B84}"/>
    <cellStyle name="SAPBEXHLevel0 3 4 3 5" xfId="29674" xr:uid="{00000000-0005-0000-0000-00005D6B0000}"/>
    <cellStyle name="SAPBEXHLevel0 3 4 4" xfId="27260" xr:uid="{00000000-0005-0000-0000-00005E6B0000}"/>
    <cellStyle name="SAPBEXHLevel0 3 4 4 2" xfId="31895" xr:uid="{CCBDFCD5-5B3B-47AD-A653-96EF926216CD}"/>
    <cellStyle name="SAPBEXHLevel0 3 4 5" xfId="28120" xr:uid="{00000000-0005-0000-0000-00005F6B0000}"/>
    <cellStyle name="SAPBEXHLevel0 3 4 5 2" xfId="32678" xr:uid="{265D5D4F-FCCE-494B-955D-916F83D7C6DF}"/>
    <cellStyle name="SAPBEXHLevel0 3 4 6" xfId="26733" xr:uid="{00000000-0005-0000-0000-0000606B0000}"/>
    <cellStyle name="SAPBEXHLevel0 3 4 6 2" xfId="31494" xr:uid="{C83020AE-F591-458B-86AB-37F6C80DD24C}"/>
    <cellStyle name="SAPBEXHLevel0 3 4 7" xfId="29672" xr:uid="{00000000-0005-0000-0000-0000616B0000}"/>
    <cellStyle name="SAPBEXHLevel0 3 4 8" xfId="30335" xr:uid="{D98330DF-852D-4268-9A94-31E6F00B06B7}"/>
    <cellStyle name="SAPBEXHLevel0 3 5" xfId="25106" xr:uid="{00000000-0005-0000-0000-0000626B0000}"/>
    <cellStyle name="SAPBEXHLevel0 3 5 2" xfId="25429" xr:uid="{00000000-0005-0000-0000-0000636B0000}"/>
    <cellStyle name="SAPBEXHLevel0 3 5 2 2" xfId="27583" xr:uid="{00000000-0005-0000-0000-0000646B0000}"/>
    <cellStyle name="SAPBEXHLevel0 3 5 2 2 2" xfId="32174" xr:uid="{EF93E376-A2CC-4DCA-BC6A-11EBED1714A5}"/>
    <cellStyle name="SAPBEXHLevel0 3 5 2 3" xfId="28124" xr:uid="{00000000-0005-0000-0000-0000656B0000}"/>
    <cellStyle name="SAPBEXHLevel0 3 5 2 3 2" xfId="32682" xr:uid="{3222C05A-A1B8-4AFF-8A95-B106161B6E14}"/>
    <cellStyle name="SAPBEXHLevel0 3 5 2 4" xfId="27009" xr:uid="{00000000-0005-0000-0000-0000666B0000}"/>
    <cellStyle name="SAPBEXHLevel0 3 5 2 4 2" xfId="31769" xr:uid="{BDDA8092-FD84-4CFF-93CE-F220997CA9C6}"/>
    <cellStyle name="SAPBEXHLevel0 3 5 2 5" xfId="29676" xr:uid="{00000000-0005-0000-0000-0000676B0000}"/>
    <cellStyle name="SAPBEXHLevel0 3 5 2 6" xfId="30587" xr:uid="{2334C0A9-A7A4-4E9B-B7F7-50876500DE06}"/>
    <cellStyle name="SAPBEXHLevel0 3 5 3" xfId="25704" xr:uid="{00000000-0005-0000-0000-0000686B0000}"/>
    <cellStyle name="SAPBEXHLevel0 3 5 3 2" xfId="27857" xr:uid="{00000000-0005-0000-0000-0000696B0000}"/>
    <cellStyle name="SAPBEXHLevel0 3 5 3 2 2" xfId="32444" xr:uid="{856636C0-117B-4C42-AF4F-F65DDBF0EE3C}"/>
    <cellStyle name="SAPBEXHLevel0 3 5 3 3" xfId="28125" xr:uid="{00000000-0005-0000-0000-00006A6B0000}"/>
    <cellStyle name="SAPBEXHLevel0 3 5 3 3 2" xfId="32683" xr:uid="{6F77F1A0-2447-4B5F-91A5-B13F357F65AD}"/>
    <cellStyle name="SAPBEXHLevel0 3 5 3 4" xfId="27021" xr:uid="{00000000-0005-0000-0000-00006B6B0000}"/>
    <cellStyle name="SAPBEXHLevel0 3 5 3 4 2" xfId="31781" xr:uid="{FD7F4A19-E230-4C1E-A0C2-64AE13A2608E}"/>
    <cellStyle name="SAPBEXHLevel0 3 5 3 5" xfId="29677" xr:uid="{00000000-0005-0000-0000-00006C6B0000}"/>
    <cellStyle name="SAPBEXHLevel0 3 5 3 6" xfId="30698" xr:uid="{F68EA673-18D3-4F0E-B671-BB6381AF3105}"/>
    <cellStyle name="SAPBEXHLevel0 3 5 4" xfId="27391" xr:uid="{00000000-0005-0000-0000-00006D6B0000}"/>
    <cellStyle name="SAPBEXHLevel0 3 5 4 2" xfId="31989" xr:uid="{25EADB60-2EF8-4D05-9FEA-0C9CD5760597}"/>
    <cellStyle name="SAPBEXHLevel0 3 5 5" xfId="28123" xr:uid="{00000000-0005-0000-0000-00006E6B0000}"/>
    <cellStyle name="SAPBEXHLevel0 3 5 5 2" xfId="32681" xr:uid="{C8EEDC7A-7A91-4415-9A9F-323E4A4DBAAD}"/>
    <cellStyle name="SAPBEXHLevel0 3 5 6" xfId="27005" xr:uid="{00000000-0005-0000-0000-00006F6B0000}"/>
    <cellStyle name="SAPBEXHLevel0 3 5 6 2" xfId="31765" xr:uid="{AB0915AC-D788-4C6B-B0CB-BF3764595F19}"/>
    <cellStyle name="SAPBEXHLevel0 3 5 7" xfId="29675" xr:uid="{00000000-0005-0000-0000-0000706B0000}"/>
    <cellStyle name="SAPBEXHLevel0 3 5 8" xfId="30406" xr:uid="{772847D6-7B6E-4F73-BBFE-2B270A93EA85}"/>
    <cellStyle name="SAPBEXHLevel0 3 6" xfId="25836" xr:uid="{00000000-0005-0000-0000-0000716B0000}"/>
    <cellStyle name="SAPBEXHLevel0 3 6 2" xfId="30755" xr:uid="{A086A5D5-5EF2-4082-9F74-52EB8C936D5A}"/>
    <cellStyle name="SAPBEXHLevel0 3 7" xfId="28115" xr:uid="{00000000-0005-0000-0000-0000726B0000}"/>
    <cellStyle name="SAPBEXHLevel0 3 7 2" xfId="32673" xr:uid="{96007978-E9F8-45C0-9FE4-F737B277DB8F}"/>
    <cellStyle name="SAPBEXHLevel0 3 8" xfId="26204" xr:uid="{00000000-0005-0000-0000-0000736B0000}"/>
    <cellStyle name="SAPBEXHLevel0 3 8 2" xfId="30992" xr:uid="{0F20A8D3-79FC-493F-BD0D-577744703242}"/>
    <cellStyle name="SAPBEXHLevel0 3 9" xfId="29667" xr:uid="{00000000-0005-0000-0000-0000746B0000}"/>
    <cellStyle name="SAPBEXHLevel0 4" xfId="106" xr:uid="{00000000-0005-0000-0000-0000756B0000}"/>
    <cellStyle name="SAPBEXHLevel0 4 2" xfId="13640" xr:uid="{00000000-0005-0000-0000-0000766B0000}"/>
    <cellStyle name="SAPBEXHLevel0 4 2 2" xfId="25478" xr:uid="{00000000-0005-0000-0000-0000776B0000}"/>
    <cellStyle name="SAPBEXHLevel0 4 2 2 2" xfId="27631" xr:uid="{00000000-0005-0000-0000-0000786B0000}"/>
    <cellStyle name="SAPBEXHLevel0 4 2 2 2 2" xfId="32218" xr:uid="{A545E99F-BAE7-4ABB-B35F-8530752C2561}"/>
    <cellStyle name="SAPBEXHLevel0 4 2 2 3" xfId="28128" xr:uid="{00000000-0005-0000-0000-0000796B0000}"/>
    <cellStyle name="SAPBEXHLevel0 4 2 2 3 2" xfId="32686" xr:uid="{4A769846-A8CD-4BAE-813A-DB5887665576}"/>
    <cellStyle name="SAPBEXHLevel0 4 2 2 4" xfId="26705" xr:uid="{00000000-0005-0000-0000-00007A6B0000}"/>
    <cellStyle name="SAPBEXHLevel0 4 2 2 4 2" xfId="31467" xr:uid="{61777D9E-FC0A-4FC6-92B7-727970EA2B70}"/>
    <cellStyle name="SAPBEXHLevel0 4 2 2 5" xfId="29680" xr:uid="{00000000-0005-0000-0000-00007B6B0000}"/>
    <cellStyle name="SAPBEXHLevel0 4 2 3" xfId="26582" xr:uid="{00000000-0005-0000-0000-00007C6B0000}"/>
    <cellStyle name="SAPBEXHLevel0 4 2 3 2" xfId="31360" xr:uid="{A450BEFD-EB8E-4A61-BBDF-D7382BDBD4D8}"/>
    <cellStyle name="SAPBEXHLevel0 4 2 4" xfId="28127" xr:uid="{00000000-0005-0000-0000-00007D6B0000}"/>
    <cellStyle name="SAPBEXHLevel0 4 2 4 2" xfId="32685" xr:uid="{9A0E4CDC-188E-4715-A1C9-2ACA6A956712}"/>
    <cellStyle name="SAPBEXHLevel0 4 2 5" xfId="26547" xr:uid="{00000000-0005-0000-0000-00007E6B0000}"/>
    <cellStyle name="SAPBEXHLevel0 4 2 5 2" xfId="31334" xr:uid="{E6538437-5485-44A8-841A-AFD81BC02337}"/>
    <cellStyle name="SAPBEXHLevel0 4 2 6" xfId="29679" xr:uid="{00000000-0005-0000-0000-00007F6B0000}"/>
    <cellStyle name="SAPBEXHLevel0 4 2 7" xfId="30180" xr:uid="{7492158F-705B-45DB-A441-7D6C5923FDD5}"/>
    <cellStyle name="SAPBEXHLevel0 4 3" xfId="25837" xr:uid="{00000000-0005-0000-0000-0000806B0000}"/>
    <cellStyle name="SAPBEXHLevel0 4 3 2" xfId="30756" xr:uid="{B2BB81FC-2E70-4855-939E-4B15CD37ADA7}"/>
    <cellStyle name="SAPBEXHLevel0 4 4" xfId="28126" xr:uid="{00000000-0005-0000-0000-0000816B0000}"/>
    <cellStyle name="SAPBEXHLevel0 4 4 2" xfId="32684" xr:uid="{60499724-0045-4467-8949-16ACE7F333C7}"/>
    <cellStyle name="SAPBEXHLevel0 4 5" xfId="26061" xr:uid="{00000000-0005-0000-0000-0000826B0000}"/>
    <cellStyle name="SAPBEXHLevel0 4 5 2" xfId="30851" xr:uid="{B567DEB5-896D-4B84-8CB0-1681DB686ED9}"/>
    <cellStyle name="SAPBEXHLevel0 4 6" xfId="29678" xr:uid="{00000000-0005-0000-0000-0000836B0000}"/>
    <cellStyle name="SAPBEXHLevel0 5" xfId="250" xr:uid="{00000000-0005-0000-0000-0000846B0000}"/>
    <cellStyle name="SAPBEXHLevel0 5 2" xfId="13715" xr:uid="{00000000-0005-0000-0000-0000856B0000}"/>
    <cellStyle name="SAPBEXHLevel0 5 2 2" xfId="25528" xr:uid="{00000000-0005-0000-0000-0000866B0000}"/>
    <cellStyle name="SAPBEXHLevel0 5 2 2 2" xfId="27681" xr:uid="{00000000-0005-0000-0000-0000876B0000}"/>
    <cellStyle name="SAPBEXHLevel0 5 2 2 2 2" xfId="32268" xr:uid="{EBED0559-1D72-45F8-B37F-F8D973FDA1D6}"/>
    <cellStyle name="SAPBEXHLevel0 5 2 2 3" xfId="28131" xr:uid="{00000000-0005-0000-0000-0000886B0000}"/>
    <cellStyle name="SAPBEXHLevel0 5 2 2 3 2" xfId="32689" xr:uid="{609FA4D9-F21E-4C44-8021-F18DAE79CC12}"/>
    <cellStyle name="SAPBEXHLevel0 5 2 2 4" xfId="26789" xr:uid="{00000000-0005-0000-0000-0000896B0000}"/>
    <cellStyle name="SAPBEXHLevel0 5 2 2 4 2" xfId="31550" xr:uid="{B816E61E-A432-4588-AA89-C8B6C1C2E8BC}"/>
    <cellStyle name="SAPBEXHLevel0 5 2 2 5" xfId="29683" xr:uid="{00000000-0005-0000-0000-00008A6B0000}"/>
    <cellStyle name="SAPBEXHLevel0 5 2 3" xfId="26635" xr:uid="{00000000-0005-0000-0000-00008B6B0000}"/>
    <cellStyle name="SAPBEXHLevel0 5 2 3 2" xfId="31412" xr:uid="{85204BAD-A489-4861-8478-96CEBCBAF1D2}"/>
    <cellStyle name="SAPBEXHLevel0 5 2 4" xfId="28130" xr:uid="{00000000-0005-0000-0000-00008C6B0000}"/>
    <cellStyle name="SAPBEXHLevel0 5 2 4 2" xfId="32688" xr:uid="{D52DEB0F-BA74-473B-B1DD-DAC20310594C}"/>
    <cellStyle name="SAPBEXHLevel0 5 2 5" xfId="26398" xr:uid="{00000000-0005-0000-0000-00008D6B0000}"/>
    <cellStyle name="SAPBEXHLevel0 5 2 5 2" xfId="31186" xr:uid="{2A1FF7C5-5288-48D6-8ED8-8092E73AFB70}"/>
    <cellStyle name="SAPBEXHLevel0 5 2 6" xfId="29682" xr:uid="{00000000-0005-0000-0000-00008E6B0000}"/>
    <cellStyle name="SAPBEXHLevel0 5 2 7" xfId="30230" xr:uid="{5815302A-B198-4EA4-B23C-3FC5DFEA672F}"/>
    <cellStyle name="SAPBEXHLevel0 5 3" xfId="25918" xr:uid="{00000000-0005-0000-0000-00008F6B0000}"/>
    <cellStyle name="SAPBEXHLevel0 5 3 2" xfId="30807" xr:uid="{CC2E2076-8488-4518-8EB0-0231B20790CF}"/>
    <cellStyle name="SAPBEXHLevel0 5 4" xfId="28129" xr:uid="{00000000-0005-0000-0000-0000906B0000}"/>
    <cellStyle name="SAPBEXHLevel0 5 4 2" xfId="32687" xr:uid="{2DC1CD4C-E326-4ABA-80A9-222759321115}"/>
    <cellStyle name="SAPBEXHLevel0 5 5" xfId="29190" xr:uid="{00000000-0005-0000-0000-0000916B0000}"/>
    <cellStyle name="SAPBEXHLevel0 5 5 2" xfId="33173" xr:uid="{4B796B5E-EDEC-4BF6-9251-E3AD10B44FEC}"/>
    <cellStyle name="SAPBEXHLevel0 5 6" xfId="29681" xr:uid="{00000000-0005-0000-0000-0000926B0000}"/>
    <cellStyle name="SAPBEXHLevel0 6" xfId="13637" xr:uid="{00000000-0005-0000-0000-0000936B0000}"/>
    <cellStyle name="SAPBEXHLevel0 6 2" xfId="25475" xr:uid="{00000000-0005-0000-0000-0000946B0000}"/>
    <cellStyle name="SAPBEXHLevel0 6 2 2" xfId="27628" xr:uid="{00000000-0005-0000-0000-0000956B0000}"/>
    <cellStyle name="SAPBEXHLevel0 6 2 2 2" xfId="32215" xr:uid="{E0F1872A-7BA1-4340-BB40-3F7A2F624174}"/>
    <cellStyle name="SAPBEXHLevel0 6 2 3" xfId="28133" xr:uid="{00000000-0005-0000-0000-0000966B0000}"/>
    <cellStyle name="SAPBEXHLevel0 6 2 3 2" xfId="32691" xr:uid="{561684E6-C828-4D01-830F-93A91AF29324}"/>
    <cellStyle name="SAPBEXHLevel0 6 2 4" xfId="26919" xr:uid="{00000000-0005-0000-0000-0000976B0000}"/>
    <cellStyle name="SAPBEXHLevel0 6 2 4 2" xfId="31680" xr:uid="{533D3999-5DB7-40FA-AD21-A4F95D2D8CB9}"/>
    <cellStyle name="SAPBEXHLevel0 6 2 5" xfId="29685" xr:uid="{00000000-0005-0000-0000-0000986B0000}"/>
    <cellStyle name="SAPBEXHLevel0 6 3" xfId="26579" xr:uid="{00000000-0005-0000-0000-0000996B0000}"/>
    <cellStyle name="SAPBEXHLevel0 6 3 2" xfId="31357" xr:uid="{943C731A-CDC6-4D0D-B853-69CBAEAB4906}"/>
    <cellStyle name="SAPBEXHLevel0 6 4" xfId="28132" xr:uid="{00000000-0005-0000-0000-00009A6B0000}"/>
    <cellStyle name="SAPBEXHLevel0 6 4 2" xfId="32690" xr:uid="{7931D933-31FB-409C-A83B-9E16416BE512}"/>
    <cellStyle name="SAPBEXHLevel0 6 5" xfId="27144" xr:uid="{00000000-0005-0000-0000-00009B6B0000}"/>
    <cellStyle name="SAPBEXHLevel0 6 5 2" xfId="31849" xr:uid="{6E34D456-0E34-4202-B4BF-572D593B6F45}"/>
    <cellStyle name="SAPBEXHLevel0 6 6" xfId="29684" xr:uid="{00000000-0005-0000-0000-00009C6B0000}"/>
    <cellStyle name="SAPBEXHLevel0 6 7" xfId="30177" xr:uid="{CFD994A6-6501-4B2B-99BF-E93F4A48507B}"/>
    <cellStyle name="SAPBEXHLevel0 7" xfId="24669" xr:uid="{00000000-0005-0000-0000-00009D6B0000}"/>
    <cellStyle name="SAPBEXHLevel0 7 2" xfId="25391" xr:uid="{00000000-0005-0000-0000-00009E6B0000}"/>
    <cellStyle name="SAPBEXHLevel0 7 2 2" xfId="27545" xr:uid="{00000000-0005-0000-0000-00009F6B0000}"/>
    <cellStyle name="SAPBEXHLevel0 7 2 2 2" xfId="32136" xr:uid="{0AC5CF73-0734-43F5-8D87-874A37AC53E4}"/>
    <cellStyle name="SAPBEXHLevel0 7 2 3" xfId="28135" xr:uid="{00000000-0005-0000-0000-0000A06B0000}"/>
    <cellStyle name="SAPBEXHLevel0 7 2 3 2" xfId="32693" xr:uid="{6C823A48-A695-4970-92BD-D215D67F83F3}"/>
    <cellStyle name="SAPBEXHLevel0 7 2 4" xfId="26780" xr:uid="{00000000-0005-0000-0000-0000A16B0000}"/>
    <cellStyle name="SAPBEXHLevel0 7 2 4 2" xfId="31541" xr:uid="{7B16A7E5-DE7B-4A41-855D-055E4EC11F4A}"/>
    <cellStyle name="SAPBEXHLevel0 7 2 5" xfId="29687" xr:uid="{00000000-0005-0000-0000-0000A26B0000}"/>
    <cellStyle name="SAPBEXHLevel0 7 2 6" xfId="30549" xr:uid="{93490D80-9DE1-4612-963E-3BA6C2EF60AB}"/>
    <cellStyle name="SAPBEXHLevel0 7 3" xfId="25635" xr:uid="{00000000-0005-0000-0000-0000A36B0000}"/>
    <cellStyle name="SAPBEXHLevel0 7 3 2" xfId="27788" xr:uid="{00000000-0005-0000-0000-0000A46B0000}"/>
    <cellStyle name="SAPBEXHLevel0 7 3 2 2" xfId="32375" xr:uid="{D76F547C-7B44-4794-9A6F-33E8ADBB4869}"/>
    <cellStyle name="SAPBEXHLevel0 7 3 3" xfId="28136" xr:uid="{00000000-0005-0000-0000-0000A56B0000}"/>
    <cellStyle name="SAPBEXHLevel0 7 3 3 2" xfId="32694" xr:uid="{31A7CCD6-C82F-4012-9E30-5DEC3276F24A}"/>
    <cellStyle name="SAPBEXHLevel0 7 3 4" xfId="26365" xr:uid="{00000000-0005-0000-0000-0000A66B0000}"/>
    <cellStyle name="SAPBEXHLevel0 7 3 4 2" xfId="31153" xr:uid="{7CFBE9AE-F9CD-4490-BA12-03769F4F184F}"/>
    <cellStyle name="SAPBEXHLevel0 7 3 5" xfId="29688" xr:uid="{00000000-0005-0000-0000-0000A76B0000}"/>
    <cellStyle name="SAPBEXHLevel0 7 4" xfId="27262" xr:uid="{00000000-0005-0000-0000-0000A86B0000}"/>
    <cellStyle name="SAPBEXHLevel0 7 4 2" xfId="31897" xr:uid="{93FBB33E-8157-4135-AF62-E043BC80DCCF}"/>
    <cellStyle name="SAPBEXHLevel0 7 5" xfId="28134" xr:uid="{00000000-0005-0000-0000-0000A96B0000}"/>
    <cellStyle name="SAPBEXHLevel0 7 5 2" xfId="32692" xr:uid="{7947C9FA-AF76-4AE8-90EB-75013C0EAD0E}"/>
    <cellStyle name="SAPBEXHLevel0 7 6" xfId="27012" xr:uid="{00000000-0005-0000-0000-0000AA6B0000}"/>
    <cellStyle name="SAPBEXHLevel0 7 6 2" xfId="31772" xr:uid="{7AD69FB1-FCA6-4251-8CC4-C83CFF1742B2}"/>
    <cellStyle name="SAPBEXHLevel0 7 7" xfId="29686" xr:uid="{00000000-0005-0000-0000-0000AB6B0000}"/>
    <cellStyle name="SAPBEXHLevel0 7 8" xfId="30337" xr:uid="{6FDB5BFB-86BC-431B-8A77-0AD9D3EBE4B8}"/>
    <cellStyle name="SAPBEXHLevel0 8" xfId="25104" xr:uid="{00000000-0005-0000-0000-0000AC6B0000}"/>
    <cellStyle name="SAPBEXHLevel0 8 2" xfId="25415" xr:uid="{00000000-0005-0000-0000-0000AD6B0000}"/>
    <cellStyle name="SAPBEXHLevel0 8 2 2" xfId="27569" xr:uid="{00000000-0005-0000-0000-0000AE6B0000}"/>
    <cellStyle name="SAPBEXHLevel0 8 2 2 2" xfId="32160" xr:uid="{6D91DBC5-B70A-4212-A877-1B276B6F7A31}"/>
    <cellStyle name="SAPBEXHLevel0 8 2 3" xfId="28138" xr:uid="{00000000-0005-0000-0000-0000AF6B0000}"/>
    <cellStyle name="SAPBEXHLevel0 8 2 3 2" xfId="32696" xr:uid="{CD60B01C-19EA-421C-BE31-3E8EBB4667E0}"/>
    <cellStyle name="SAPBEXHLevel0 8 2 4" xfId="26080" xr:uid="{00000000-0005-0000-0000-0000B06B0000}"/>
    <cellStyle name="SAPBEXHLevel0 8 2 4 2" xfId="30870" xr:uid="{6C780192-0EBC-49A3-B05C-E3ED33007B98}"/>
    <cellStyle name="SAPBEXHLevel0 8 2 5" xfId="29690" xr:uid="{00000000-0005-0000-0000-0000B16B0000}"/>
    <cellStyle name="SAPBEXHLevel0 8 2 6" xfId="30573" xr:uid="{CA2C7615-228E-44DE-A5FD-FC59C982D946}"/>
    <cellStyle name="SAPBEXHLevel0 8 3" xfId="25702" xr:uid="{00000000-0005-0000-0000-0000B26B0000}"/>
    <cellStyle name="SAPBEXHLevel0 8 3 2" xfId="27855" xr:uid="{00000000-0005-0000-0000-0000B36B0000}"/>
    <cellStyle name="SAPBEXHLevel0 8 3 2 2" xfId="32442" xr:uid="{522C4B89-C24D-45A5-8E84-C01ACCF7784C}"/>
    <cellStyle name="SAPBEXHLevel0 8 3 3" xfId="28139" xr:uid="{00000000-0005-0000-0000-0000B46B0000}"/>
    <cellStyle name="SAPBEXHLevel0 8 3 3 2" xfId="32697" xr:uid="{F2E27041-6872-4760-8D30-33792D29F20E}"/>
    <cellStyle name="SAPBEXHLevel0 8 3 4" xfId="26549" xr:uid="{00000000-0005-0000-0000-0000B56B0000}"/>
    <cellStyle name="SAPBEXHLevel0 8 3 4 2" xfId="31336" xr:uid="{7D3C6BED-BC9B-4DB5-B407-9FFDFCB01254}"/>
    <cellStyle name="SAPBEXHLevel0 8 3 5" xfId="29691" xr:uid="{00000000-0005-0000-0000-0000B66B0000}"/>
    <cellStyle name="SAPBEXHLevel0 8 3 6" xfId="30696" xr:uid="{DE7F4D57-DC7F-4187-B6D1-A8F5ACC59D10}"/>
    <cellStyle name="SAPBEXHLevel0 8 4" xfId="27389" xr:uid="{00000000-0005-0000-0000-0000B76B0000}"/>
    <cellStyle name="SAPBEXHLevel0 8 4 2" xfId="31987" xr:uid="{AAB0A216-CF9B-4D55-91B6-D29F6C4A43E8}"/>
    <cellStyle name="SAPBEXHLevel0 8 5" xfId="28137" xr:uid="{00000000-0005-0000-0000-0000B86B0000}"/>
    <cellStyle name="SAPBEXHLevel0 8 5 2" xfId="32695" xr:uid="{85921FAE-43CE-4A05-BC9C-BB72B2B796A2}"/>
    <cellStyle name="SAPBEXHLevel0 8 6" xfId="26295" xr:uid="{00000000-0005-0000-0000-0000B96B0000}"/>
    <cellStyle name="SAPBEXHLevel0 8 6 2" xfId="31083" xr:uid="{0ADCB927-0E38-4E8E-B770-51036CCAC3BA}"/>
    <cellStyle name="SAPBEXHLevel0 8 7" xfId="29689" xr:uid="{00000000-0005-0000-0000-0000BA6B0000}"/>
    <cellStyle name="SAPBEXHLevel0 8 8" xfId="30404" xr:uid="{29C1A2DD-D34E-46AF-A915-68ED6736FA7B}"/>
    <cellStyle name="SAPBEXHLevel0 9" xfId="25834" xr:uid="{00000000-0005-0000-0000-0000BB6B0000}"/>
    <cellStyle name="SAPBEXHLevel0 9 2" xfId="30753" xr:uid="{3AE4CC00-9412-422B-88E8-74631838471C}"/>
    <cellStyle name="SAPBEXHLevel0X" xfId="107" xr:uid="{00000000-0005-0000-0000-0000BC6B0000}"/>
    <cellStyle name="SAPBEXHLevel0X 10" xfId="28140" xr:uid="{00000000-0005-0000-0000-0000BD6B0000}"/>
    <cellStyle name="SAPBEXHLevel0X 10 2" xfId="32698" xr:uid="{0D978B8B-19A9-4634-869E-A811FAB29EEA}"/>
    <cellStyle name="SAPBEXHLevel0X 11" xfId="26525" xr:uid="{00000000-0005-0000-0000-0000BE6B0000}"/>
    <cellStyle name="SAPBEXHLevel0X 11 2" xfId="31312" xr:uid="{E9952243-C2BA-4821-A4BF-9F3C37B37100}"/>
    <cellStyle name="SAPBEXHLevel0X 12" xfId="29692" xr:uid="{00000000-0005-0000-0000-0000BF6B0000}"/>
    <cellStyle name="SAPBEXHLevel0X 2" xfId="108" xr:uid="{00000000-0005-0000-0000-0000C06B0000}"/>
    <cellStyle name="SAPBEXHLevel0X 2 2" xfId="13642" xr:uid="{00000000-0005-0000-0000-0000C16B0000}"/>
    <cellStyle name="SAPBEXHLevel0X 2 2 2" xfId="25480" xr:uid="{00000000-0005-0000-0000-0000C26B0000}"/>
    <cellStyle name="SAPBEXHLevel0X 2 2 2 2" xfId="27633" xr:uid="{00000000-0005-0000-0000-0000C36B0000}"/>
    <cellStyle name="SAPBEXHLevel0X 2 2 2 2 2" xfId="32220" xr:uid="{5F5C0DF3-F974-4A3E-B3A7-20FF18FBDB47}"/>
    <cellStyle name="SAPBEXHLevel0X 2 2 2 3" xfId="28143" xr:uid="{00000000-0005-0000-0000-0000C46B0000}"/>
    <cellStyle name="SAPBEXHLevel0X 2 2 2 3 2" xfId="32701" xr:uid="{756FBB4A-B066-4D70-A2EA-12C02F444673}"/>
    <cellStyle name="SAPBEXHLevel0X 2 2 2 4" xfId="26543" xr:uid="{00000000-0005-0000-0000-0000C56B0000}"/>
    <cellStyle name="SAPBEXHLevel0X 2 2 2 4 2" xfId="31330" xr:uid="{FD6712CD-B5A1-4A5E-A6D0-E3DBC4EF1742}"/>
    <cellStyle name="SAPBEXHLevel0X 2 2 2 5" xfId="29695" xr:uid="{00000000-0005-0000-0000-0000C66B0000}"/>
    <cellStyle name="SAPBEXHLevel0X 2 2 3" xfId="26584" xr:uid="{00000000-0005-0000-0000-0000C76B0000}"/>
    <cellStyle name="SAPBEXHLevel0X 2 2 3 2" xfId="31362" xr:uid="{984BB485-8D16-4EFC-8BA4-6E1B9867C409}"/>
    <cellStyle name="SAPBEXHLevel0X 2 2 4" xfId="28142" xr:uid="{00000000-0005-0000-0000-0000C86B0000}"/>
    <cellStyle name="SAPBEXHLevel0X 2 2 4 2" xfId="32700" xr:uid="{9E2D7014-B059-4003-94BF-9B0BB300CB34}"/>
    <cellStyle name="SAPBEXHLevel0X 2 2 5" xfId="26121" xr:uid="{00000000-0005-0000-0000-0000C96B0000}"/>
    <cellStyle name="SAPBEXHLevel0X 2 2 5 2" xfId="30911" xr:uid="{84072392-7CCC-48E6-AD2D-ABAC407696E9}"/>
    <cellStyle name="SAPBEXHLevel0X 2 2 6" xfId="29694" xr:uid="{00000000-0005-0000-0000-0000CA6B0000}"/>
    <cellStyle name="SAPBEXHLevel0X 2 2 7" xfId="30182" xr:uid="{A4BF9B73-74C4-463A-8790-43EDC18A2F99}"/>
    <cellStyle name="SAPBEXHLevel0X 2 3" xfId="24255" xr:uid="{00000000-0005-0000-0000-0000CB6B0000}"/>
    <cellStyle name="SAPBEXHLevel0X 2 3 2" xfId="25577" xr:uid="{00000000-0005-0000-0000-0000CC6B0000}"/>
    <cellStyle name="SAPBEXHLevel0X 2 3 2 2" xfId="27730" xr:uid="{00000000-0005-0000-0000-0000CD6B0000}"/>
    <cellStyle name="SAPBEXHLevel0X 2 3 2 2 2" xfId="32317" xr:uid="{C2B1B252-C63C-4DDC-98C4-410B602E9D21}"/>
    <cellStyle name="SAPBEXHLevel0X 2 3 2 3" xfId="28145" xr:uid="{00000000-0005-0000-0000-0000CE6B0000}"/>
    <cellStyle name="SAPBEXHLevel0X 2 3 2 3 2" xfId="32703" xr:uid="{0C5BE7B7-0737-4E5A-99EA-B096F0E46E21}"/>
    <cellStyle name="SAPBEXHLevel0X 2 3 2 4" xfId="26777" xr:uid="{00000000-0005-0000-0000-0000CF6B0000}"/>
    <cellStyle name="SAPBEXHLevel0X 2 3 2 4 2" xfId="31538" xr:uid="{3ED46327-C21A-4472-BF8E-C52D0C6A22A7}"/>
    <cellStyle name="SAPBEXHLevel0X 2 3 2 5" xfId="29697" xr:uid="{00000000-0005-0000-0000-0000D06B0000}"/>
    <cellStyle name="SAPBEXHLevel0X 2 3 3" xfId="27110" xr:uid="{00000000-0005-0000-0000-0000D16B0000}"/>
    <cellStyle name="SAPBEXHLevel0X 2 3 3 2" xfId="31828" xr:uid="{D129ACDD-892C-4160-A8A9-BF8F3D15C055}"/>
    <cellStyle name="SAPBEXHLevel0X 2 3 4" xfId="28144" xr:uid="{00000000-0005-0000-0000-0000D26B0000}"/>
    <cellStyle name="SAPBEXHLevel0X 2 3 4 2" xfId="32702" xr:uid="{B8D32C45-A2D3-4FBB-A6D3-243D2B4EC443}"/>
    <cellStyle name="SAPBEXHLevel0X 2 3 5" xfId="26893" xr:uid="{00000000-0005-0000-0000-0000D36B0000}"/>
    <cellStyle name="SAPBEXHLevel0X 2 3 5 2" xfId="31654" xr:uid="{23858E7E-0ED1-4097-9906-DD0D0CC8018E}"/>
    <cellStyle name="SAPBEXHLevel0X 2 3 6" xfId="29696" xr:uid="{00000000-0005-0000-0000-0000D46B0000}"/>
    <cellStyle name="SAPBEXHLevel0X 2 3 7" xfId="30279" xr:uid="{7EA7486F-43F2-4A97-B166-ABCC52EA1A6D}"/>
    <cellStyle name="SAPBEXHLevel0X 2 4" xfId="24665" xr:uid="{00000000-0005-0000-0000-0000D56B0000}"/>
    <cellStyle name="SAPBEXHLevel0X 2 4 2" xfId="25424" xr:uid="{00000000-0005-0000-0000-0000D66B0000}"/>
    <cellStyle name="SAPBEXHLevel0X 2 4 2 2" xfId="27578" xr:uid="{00000000-0005-0000-0000-0000D76B0000}"/>
    <cellStyle name="SAPBEXHLevel0X 2 4 2 2 2" xfId="32169" xr:uid="{CE088BD3-8CC4-46F0-A23F-B052E70E43F6}"/>
    <cellStyle name="SAPBEXHLevel0X 2 4 2 3" xfId="28147" xr:uid="{00000000-0005-0000-0000-0000D86B0000}"/>
    <cellStyle name="SAPBEXHLevel0X 2 4 2 3 2" xfId="32705" xr:uid="{B3F47BA7-80F7-4257-A7E1-A1F9F424E2B8}"/>
    <cellStyle name="SAPBEXHLevel0X 2 4 2 4" xfId="27016" xr:uid="{00000000-0005-0000-0000-0000D96B0000}"/>
    <cellStyle name="SAPBEXHLevel0X 2 4 2 4 2" xfId="31776" xr:uid="{D5516FC3-19EE-479E-9B96-9DC7F5DEB603}"/>
    <cellStyle name="SAPBEXHLevel0X 2 4 2 5" xfId="29699" xr:uid="{00000000-0005-0000-0000-0000DA6B0000}"/>
    <cellStyle name="SAPBEXHLevel0X 2 4 2 6" xfId="30582" xr:uid="{DBC196D2-F7E4-4EA4-9CC9-07E769976A11}"/>
    <cellStyle name="SAPBEXHLevel0X 2 4 3" xfId="25631" xr:uid="{00000000-0005-0000-0000-0000DB6B0000}"/>
    <cellStyle name="SAPBEXHLevel0X 2 4 3 2" xfId="27784" xr:uid="{00000000-0005-0000-0000-0000DC6B0000}"/>
    <cellStyle name="SAPBEXHLevel0X 2 4 3 2 2" xfId="32371" xr:uid="{920839CF-05DF-40D7-A57E-B5110AC3B82A}"/>
    <cellStyle name="SAPBEXHLevel0X 2 4 3 3" xfId="28148" xr:uid="{00000000-0005-0000-0000-0000DD6B0000}"/>
    <cellStyle name="SAPBEXHLevel0X 2 4 3 3 2" xfId="32706" xr:uid="{5680F8A0-B679-427D-B53C-D1CEAB701BC5}"/>
    <cellStyle name="SAPBEXHLevel0X 2 4 3 4" xfId="26982" xr:uid="{00000000-0005-0000-0000-0000DE6B0000}"/>
    <cellStyle name="SAPBEXHLevel0X 2 4 3 4 2" xfId="31743" xr:uid="{23B48326-5349-40E2-A8DF-E7F0492BBDC9}"/>
    <cellStyle name="SAPBEXHLevel0X 2 4 3 5" xfId="29700" xr:uid="{00000000-0005-0000-0000-0000DF6B0000}"/>
    <cellStyle name="SAPBEXHLevel0X 2 4 4" xfId="27258" xr:uid="{00000000-0005-0000-0000-0000E06B0000}"/>
    <cellStyle name="SAPBEXHLevel0X 2 4 4 2" xfId="31893" xr:uid="{17EED4AE-94BD-483F-9471-FF8EA1C195A0}"/>
    <cellStyle name="SAPBEXHLevel0X 2 4 5" xfId="28146" xr:uid="{00000000-0005-0000-0000-0000E16B0000}"/>
    <cellStyle name="SAPBEXHLevel0X 2 4 5 2" xfId="32704" xr:uid="{1C13C6EE-5DD4-4558-9BF0-C6481084191C}"/>
    <cellStyle name="SAPBEXHLevel0X 2 4 6" xfId="26417" xr:uid="{00000000-0005-0000-0000-0000E26B0000}"/>
    <cellStyle name="SAPBEXHLevel0X 2 4 6 2" xfId="31205" xr:uid="{DF92ECEE-3A26-4480-8B81-232617DB04E3}"/>
    <cellStyle name="SAPBEXHLevel0X 2 4 7" xfId="29698" xr:uid="{00000000-0005-0000-0000-0000E36B0000}"/>
    <cellStyle name="SAPBEXHLevel0X 2 4 8" xfId="30333" xr:uid="{43CD606D-5379-4797-B372-1DC8AD0B56D9}"/>
    <cellStyle name="SAPBEXHLevel0X 2 5" xfId="25108" xr:uid="{00000000-0005-0000-0000-0000E46B0000}"/>
    <cellStyle name="SAPBEXHLevel0X 2 5 2" xfId="25446" xr:uid="{00000000-0005-0000-0000-0000E56B0000}"/>
    <cellStyle name="SAPBEXHLevel0X 2 5 2 2" xfId="27600" xr:uid="{00000000-0005-0000-0000-0000E66B0000}"/>
    <cellStyle name="SAPBEXHLevel0X 2 5 2 2 2" xfId="32191" xr:uid="{B7418EE2-46E1-488C-A691-FA91050E99A2}"/>
    <cellStyle name="SAPBEXHLevel0X 2 5 2 3" xfId="28150" xr:uid="{00000000-0005-0000-0000-0000E76B0000}"/>
    <cellStyle name="SAPBEXHLevel0X 2 5 2 3 2" xfId="32708" xr:uid="{15A3457D-4CD9-46B4-93EE-D1CEDA11BC6B}"/>
    <cellStyle name="SAPBEXHLevel0X 2 5 2 4" xfId="26332" xr:uid="{00000000-0005-0000-0000-0000E86B0000}"/>
    <cellStyle name="SAPBEXHLevel0X 2 5 2 4 2" xfId="31120" xr:uid="{2255FA7A-FFE5-4B2E-9D60-33485FBFC4DE}"/>
    <cellStyle name="SAPBEXHLevel0X 2 5 2 5" xfId="29702" xr:uid="{00000000-0005-0000-0000-0000E96B0000}"/>
    <cellStyle name="SAPBEXHLevel0X 2 5 2 6" xfId="30604" xr:uid="{8DA777A9-A253-4FBD-8E23-D181935E71A9}"/>
    <cellStyle name="SAPBEXHLevel0X 2 5 3" xfId="25706" xr:uid="{00000000-0005-0000-0000-0000EA6B0000}"/>
    <cellStyle name="SAPBEXHLevel0X 2 5 3 2" xfId="27859" xr:uid="{00000000-0005-0000-0000-0000EB6B0000}"/>
    <cellStyle name="SAPBEXHLevel0X 2 5 3 2 2" xfId="32446" xr:uid="{426CC112-5E46-4AE7-B201-AC0F783267DE}"/>
    <cellStyle name="SAPBEXHLevel0X 2 5 3 3" xfId="28151" xr:uid="{00000000-0005-0000-0000-0000EC6B0000}"/>
    <cellStyle name="SAPBEXHLevel0X 2 5 3 3 2" xfId="32709" xr:uid="{F93BDA29-887E-4839-8EE4-FE8E24E9F114}"/>
    <cellStyle name="SAPBEXHLevel0X 2 5 3 4" xfId="26241" xr:uid="{00000000-0005-0000-0000-0000ED6B0000}"/>
    <cellStyle name="SAPBEXHLevel0X 2 5 3 4 2" xfId="31029" xr:uid="{262A61B2-7F35-4594-96E5-ED7398443199}"/>
    <cellStyle name="SAPBEXHLevel0X 2 5 3 5" xfId="29703" xr:uid="{00000000-0005-0000-0000-0000EE6B0000}"/>
    <cellStyle name="SAPBEXHLevel0X 2 5 3 6" xfId="30700" xr:uid="{1840FD7B-4152-438F-A010-AE8A945C9073}"/>
    <cellStyle name="SAPBEXHLevel0X 2 5 4" xfId="27393" xr:uid="{00000000-0005-0000-0000-0000EF6B0000}"/>
    <cellStyle name="SAPBEXHLevel0X 2 5 4 2" xfId="31991" xr:uid="{705EF500-2EB0-4933-9459-C7EEA688DDC6}"/>
    <cellStyle name="SAPBEXHLevel0X 2 5 5" xfId="28149" xr:uid="{00000000-0005-0000-0000-0000F06B0000}"/>
    <cellStyle name="SAPBEXHLevel0X 2 5 5 2" xfId="32707" xr:uid="{5823A751-A891-488B-8E80-0F1F414C92D6}"/>
    <cellStyle name="SAPBEXHLevel0X 2 5 6" xfId="26771" xr:uid="{00000000-0005-0000-0000-0000F16B0000}"/>
    <cellStyle name="SAPBEXHLevel0X 2 5 6 2" xfId="31532" xr:uid="{6AB1E7C9-8267-45D1-9B76-A1558F229879}"/>
    <cellStyle name="SAPBEXHLevel0X 2 5 7" xfId="29701" xr:uid="{00000000-0005-0000-0000-0000F26B0000}"/>
    <cellStyle name="SAPBEXHLevel0X 2 5 8" xfId="30408" xr:uid="{49ED1F34-3A71-4C6F-A518-5F7863EFC80D}"/>
    <cellStyle name="SAPBEXHLevel0X 2 6" xfId="25839" xr:uid="{00000000-0005-0000-0000-0000F36B0000}"/>
    <cellStyle name="SAPBEXHLevel0X 2 6 2" xfId="30758" xr:uid="{880DFA89-BB7D-4E22-824F-C1BFF4CFAF0A}"/>
    <cellStyle name="SAPBEXHLevel0X 2 7" xfId="28141" xr:uid="{00000000-0005-0000-0000-0000F46B0000}"/>
    <cellStyle name="SAPBEXHLevel0X 2 7 2" xfId="32699" xr:uid="{985F9370-6267-4D36-A265-447FDCC59FF2}"/>
    <cellStyle name="SAPBEXHLevel0X 2 8" xfId="26196" xr:uid="{00000000-0005-0000-0000-0000F56B0000}"/>
    <cellStyle name="SAPBEXHLevel0X 2 8 2" xfId="30984" xr:uid="{23071D6C-A992-4D9E-8033-43B4691BE96D}"/>
    <cellStyle name="SAPBEXHLevel0X 2 9" xfId="29693" xr:uid="{00000000-0005-0000-0000-0000F66B0000}"/>
    <cellStyle name="SAPBEXHLevel0X 3" xfId="109" xr:uid="{00000000-0005-0000-0000-0000F76B0000}"/>
    <cellStyle name="SAPBEXHLevel0X 3 2" xfId="13643" xr:uid="{00000000-0005-0000-0000-0000F86B0000}"/>
    <cellStyle name="SAPBEXHLevel0X 3 2 2" xfId="25481" xr:uid="{00000000-0005-0000-0000-0000F96B0000}"/>
    <cellStyle name="SAPBEXHLevel0X 3 2 2 2" xfId="27634" xr:uid="{00000000-0005-0000-0000-0000FA6B0000}"/>
    <cellStyle name="SAPBEXHLevel0X 3 2 2 2 2" xfId="32221" xr:uid="{222335D9-8B3D-4D52-AF20-FBD55851D16D}"/>
    <cellStyle name="SAPBEXHLevel0X 3 2 2 3" xfId="28154" xr:uid="{00000000-0005-0000-0000-0000FB6B0000}"/>
    <cellStyle name="SAPBEXHLevel0X 3 2 2 3 2" xfId="32712" xr:uid="{8460D106-61C0-4B0B-913D-EA4C7EF73623}"/>
    <cellStyle name="SAPBEXHLevel0X 3 2 2 4" xfId="26728" xr:uid="{00000000-0005-0000-0000-0000FC6B0000}"/>
    <cellStyle name="SAPBEXHLevel0X 3 2 2 4 2" xfId="31489" xr:uid="{A72E0832-217B-4076-B07F-A5B040FB6100}"/>
    <cellStyle name="SAPBEXHLevel0X 3 2 2 5" xfId="29706" xr:uid="{00000000-0005-0000-0000-0000FD6B0000}"/>
    <cellStyle name="SAPBEXHLevel0X 3 2 3" xfId="26585" xr:uid="{00000000-0005-0000-0000-0000FE6B0000}"/>
    <cellStyle name="SAPBEXHLevel0X 3 2 3 2" xfId="31363" xr:uid="{69A51FC2-7DDE-47D9-8E67-FC05642B5458}"/>
    <cellStyle name="SAPBEXHLevel0X 3 2 4" xfId="28153" xr:uid="{00000000-0005-0000-0000-0000FF6B0000}"/>
    <cellStyle name="SAPBEXHLevel0X 3 2 4 2" xfId="32711" xr:uid="{83559231-8A1C-4175-A3A6-72B70DCA2DC4}"/>
    <cellStyle name="SAPBEXHLevel0X 3 2 5" xfId="26912" xr:uid="{00000000-0005-0000-0000-0000006C0000}"/>
    <cellStyle name="SAPBEXHLevel0X 3 2 5 2" xfId="31673" xr:uid="{45C70A8A-9EDA-4049-82A0-D626C137CCE4}"/>
    <cellStyle name="SAPBEXHLevel0X 3 2 6" xfId="29705" xr:uid="{00000000-0005-0000-0000-0000016C0000}"/>
    <cellStyle name="SAPBEXHLevel0X 3 2 7" xfId="30183" xr:uid="{38385C5A-E38D-4916-BC70-FF1CD6562025}"/>
    <cellStyle name="SAPBEXHLevel0X 3 3" xfId="24256" xr:uid="{00000000-0005-0000-0000-0000026C0000}"/>
    <cellStyle name="SAPBEXHLevel0X 3 3 2" xfId="25578" xr:uid="{00000000-0005-0000-0000-0000036C0000}"/>
    <cellStyle name="SAPBEXHLevel0X 3 3 2 2" xfId="27731" xr:uid="{00000000-0005-0000-0000-0000046C0000}"/>
    <cellStyle name="SAPBEXHLevel0X 3 3 2 2 2" xfId="32318" xr:uid="{F746DC66-8725-42D5-84E3-2DC17F68E872}"/>
    <cellStyle name="SAPBEXHLevel0X 3 3 2 3" xfId="28156" xr:uid="{00000000-0005-0000-0000-0000056C0000}"/>
    <cellStyle name="SAPBEXHLevel0X 3 3 2 3 2" xfId="32714" xr:uid="{63709041-ED77-4BF1-A984-5F78DED57327}"/>
    <cellStyle name="SAPBEXHLevel0X 3 3 2 4" xfId="26820" xr:uid="{00000000-0005-0000-0000-0000066C0000}"/>
    <cellStyle name="SAPBEXHLevel0X 3 3 2 4 2" xfId="31581" xr:uid="{6442A844-A2FB-4683-B847-754779FB2C7B}"/>
    <cellStyle name="SAPBEXHLevel0X 3 3 2 5" xfId="29708" xr:uid="{00000000-0005-0000-0000-0000076C0000}"/>
    <cellStyle name="SAPBEXHLevel0X 3 3 3" xfId="27111" xr:uid="{00000000-0005-0000-0000-0000086C0000}"/>
    <cellStyle name="SAPBEXHLevel0X 3 3 3 2" xfId="31829" xr:uid="{889F0F1F-F7C8-413F-830C-663425D54062}"/>
    <cellStyle name="SAPBEXHLevel0X 3 3 4" xfId="28155" xr:uid="{00000000-0005-0000-0000-0000096C0000}"/>
    <cellStyle name="SAPBEXHLevel0X 3 3 4 2" xfId="32713" xr:uid="{360F5929-9AB1-499D-B91B-2C26F2211C1B}"/>
    <cellStyle name="SAPBEXHLevel0X 3 3 5" xfId="26284" xr:uid="{00000000-0005-0000-0000-00000A6C0000}"/>
    <cellStyle name="SAPBEXHLevel0X 3 3 5 2" xfId="31072" xr:uid="{69B4CAF3-76C0-419C-998A-902D1DEBAE88}"/>
    <cellStyle name="SAPBEXHLevel0X 3 3 6" xfId="29707" xr:uid="{00000000-0005-0000-0000-00000B6C0000}"/>
    <cellStyle name="SAPBEXHLevel0X 3 3 7" xfId="30280" xr:uid="{8314221C-2B84-4D68-A462-B4CA456FF1D3}"/>
    <cellStyle name="SAPBEXHLevel0X 3 4" xfId="24664" xr:uid="{00000000-0005-0000-0000-00000C6C0000}"/>
    <cellStyle name="SAPBEXHLevel0X 3 4 2" xfId="25323" xr:uid="{00000000-0005-0000-0000-00000D6C0000}"/>
    <cellStyle name="SAPBEXHLevel0X 3 4 2 2" xfId="27477" xr:uid="{00000000-0005-0000-0000-00000E6C0000}"/>
    <cellStyle name="SAPBEXHLevel0X 3 4 2 2 2" xfId="32068" xr:uid="{6F58EA4A-FEDB-4D64-A82C-1A6DC3EAF16A}"/>
    <cellStyle name="SAPBEXHLevel0X 3 4 2 3" xfId="28158" xr:uid="{00000000-0005-0000-0000-00000F6C0000}"/>
    <cellStyle name="SAPBEXHLevel0X 3 4 2 3 2" xfId="32716" xr:uid="{7F94030D-2073-40F5-87CF-1619FF09674F}"/>
    <cellStyle name="SAPBEXHLevel0X 3 4 2 4" xfId="26108" xr:uid="{00000000-0005-0000-0000-0000106C0000}"/>
    <cellStyle name="SAPBEXHLevel0X 3 4 2 4 2" xfId="30898" xr:uid="{215C7776-6A13-4A81-9DB4-3D53C090D2A3}"/>
    <cellStyle name="SAPBEXHLevel0X 3 4 2 5" xfId="29710" xr:uid="{00000000-0005-0000-0000-0000116C0000}"/>
    <cellStyle name="SAPBEXHLevel0X 3 4 2 6" xfId="30481" xr:uid="{4D5ED1E8-16FC-477A-9F3D-E460DD2C615E}"/>
    <cellStyle name="SAPBEXHLevel0X 3 4 3" xfId="25630" xr:uid="{00000000-0005-0000-0000-0000126C0000}"/>
    <cellStyle name="SAPBEXHLevel0X 3 4 3 2" xfId="27783" xr:uid="{00000000-0005-0000-0000-0000136C0000}"/>
    <cellStyle name="SAPBEXHLevel0X 3 4 3 2 2" xfId="32370" xr:uid="{5422064A-A531-4E1B-B505-6AF204CEF09E}"/>
    <cellStyle name="SAPBEXHLevel0X 3 4 3 3" xfId="28159" xr:uid="{00000000-0005-0000-0000-0000146C0000}"/>
    <cellStyle name="SAPBEXHLevel0X 3 4 3 3 2" xfId="32717" xr:uid="{07D300C8-C5DE-4FA6-9E51-21E80D6487ED}"/>
    <cellStyle name="SAPBEXHLevel0X 3 4 3 4" xfId="26233" xr:uid="{00000000-0005-0000-0000-0000156C0000}"/>
    <cellStyle name="SAPBEXHLevel0X 3 4 3 4 2" xfId="31021" xr:uid="{A2B54D75-A0F9-46EE-9AEE-66163B2BAFA9}"/>
    <cellStyle name="SAPBEXHLevel0X 3 4 3 5" xfId="29711" xr:uid="{00000000-0005-0000-0000-0000166C0000}"/>
    <cellStyle name="SAPBEXHLevel0X 3 4 4" xfId="27257" xr:uid="{00000000-0005-0000-0000-0000176C0000}"/>
    <cellStyle name="SAPBEXHLevel0X 3 4 4 2" xfId="31892" xr:uid="{5BF2E9FC-90D6-4B16-B80B-7FA6F6FD9429}"/>
    <cellStyle name="SAPBEXHLevel0X 3 4 5" xfId="28157" xr:uid="{00000000-0005-0000-0000-0000186C0000}"/>
    <cellStyle name="SAPBEXHLevel0X 3 4 5 2" xfId="32715" xr:uid="{2B993D69-6F96-4242-BF18-71F1D06575A1}"/>
    <cellStyle name="SAPBEXHLevel0X 3 4 6" xfId="26861" xr:uid="{00000000-0005-0000-0000-0000196C0000}"/>
    <cellStyle name="SAPBEXHLevel0X 3 4 6 2" xfId="31622" xr:uid="{F1DF144D-9D6B-4B36-800F-F7D5BBE23B7B}"/>
    <cellStyle name="SAPBEXHLevel0X 3 4 7" xfId="29709" xr:uid="{00000000-0005-0000-0000-00001A6C0000}"/>
    <cellStyle name="SAPBEXHLevel0X 3 4 8" xfId="30332" xr:uid="{A644D2FD-E8D5-4158-A964-3F22DA335423}"/>
    <cellStyle name="SAPBEXHLevel0X 3 5" xfId="25109" xr:uid="{00000000-0005-0000-0000-00001B6C0000}"/>
    <cellStyle name="SAPBEXHLevel0X 3 5 2" xfId="25360" xr:uid="{00000000-0005-0000-0000-00001C6C0000}"/>
    <cellStyle name="SAPBEXHLevel0X 3 5 2 2" xfId="27514" xr:uid="{00000000-0005-0000-0000-00001D6C0000}"/>
    <cellStyle name="SAPBEXHLevel0X 3 5 2 2 2" xfId="32105" xr:uid="{F5D98D43-A400-4385-AAD0-ADB2B396C91F}"/>
    <cellStyle name="SAPBEXHLevel0X 3 5 2 3" xfId="28161" xr:uid="{00000000-0005-0000-0000-00001E6C0000}"/>
    <cellStyle name="SAPBEXHLevel0X 3 5 2 3 2" xfId="32719" xr:uid="{F59F4520-3B58-43F6-9275-FDD814EAD842}"/>
    <cellStyle name="SAPBEXHLevel0X 3 5 2 4" xfId="26933" xr:uid="{00000000-0005-0000-0000-00001F6C0000}"/>
    <cellStyle name="SAPBEXHLevel0X 3 5 2 4 2" xfId="31694" xr:uid="{423238F5-5F9C-43DB-BE31-7AD3DD67AA23}"/>
    <cellStyle name="SAPBEXHLevel0X 3 5 2 5" xfId="29713" xr:uid="{00000000-0005-0000-0000-0000206C0000}"/>
    <cellStyle name="SAPBEXHLevel0X 3 5 2 6" xfId="30518" xr:uid="{141B03A0-2312-4EB4-8756-B4CC0C4FED11}"/>
    <cellStyle name="SAPBEXHLevel0X 3 5 3" xfId="25707" xr:uid="{00000000-0005-0000-0000-0000216C0000}"/>
    <cellStyle name="SAPBEXHLevel0X 3 5 3 2" xfId="27860" xr:uid="{00000000-0005-0000-0000-0000226C0000}"/>
    <cellStyle name="SAPBEXHLevel0X 3 5 3 2 2" xfId="32447" xr:uid="{83F92B81-CE82-43EB-9718-B62886F50221}"/>
    <cellStyle name="SAPBEXHLevel0X 3 5 3 3" xfId="28162" xr:uid="{00000000-0005-0000-0000-0000236C0000}"/>
    <cellStyle name="SAPBEXHLevel0X 3 5 3 3 2" xfId="32720" xr:uid="{8F050246-94F5-4599-9F33-8E128335668F}"/>
    <cellStyle name="SAPBEXHLevel0X 3 5 3 4" xfId="26090" xr:uid="{00000000-0005-0000-0000-0000246C0000}"/>
    <cellStyle name="SAPBEXHLevel0X 3 5 3 4 2" xfId="30880" xr:uid="{8763D03B-2C9D-4490-BB60-69FD9C19062A}"/>
    <cellStyle name="SAPBEXHLevel0X 3 5 3 5" xfId="29714" xr:uid="{00000000-0005-0000-0000-0000256C0000}"/>
    <cellStyle name="SAPBEXHLevel0X 3 5 3 6" xfId="30701" xr:uid="{8F4530B2-89EF-44EF-965E-76266C4D5893}"/>
    <cellStyle name="SAPBEXHLevel0X 3 5 4" xfId="27394" xr:uid="{00000000-0005-0000-0000-0000266C0000}"/>
    <cellStyle name="SAPBEXHLevel0X 3 5 4 2" xfId="31992" xr:uid="{11577B88-9FD9-4235-8DBC-4C2DE32BF00A}"/>
    <cellStyle name="SAPBEXHLevel0X 3 5 5" xfId="28160" xr:uid="{00000000-0005-0000-0000-0000276C0000}"/>
    <cellStyle name="SAPBEXHLevel0X 3 5 5 2" xfId="32718" xr:uid="{F8DDC203-5AC0-4BF6-9F85-9A059A2BFF0F}"/>
    <cellStyle name="SAPBEXHLevel0X 3 5 6" xfId="26174" xr:uid="{00000000-0005-0000-0000-0000286C0000}"/>
    <cellStyle name="SAPBEXHLevel0X 3 5 6 2" xfId="30963" xr:uid="{042775CD-D55C-4927-8ED7-4A2A520E6AD0}"/>
    <cellStyle name="SAPBEXHLevel0X 3 5 7" xfId="29712" xr:uid="{00000000-0005-0000-0000-0000296C0000}"/>
    <cellStyle name="SAPBEXHLevel0X 3 5 8" xfId="30409" xr:uid="{5C1A3400-EE1F-4C2B-B5C8-FECBDEFE12C2}"/>
    <cellStyle name="SAPBEXHLevel0X 3 6" xfId="25840" xr:uid="{00000000-0005-0000-0000-00002A6C0000}"/>
    <cellStyle name="SAPBEXHLevel0X 3 6 2" xfId="30759" xr:uid="{D4E26520-195B-48BB-8363-A5D5FDF34349}"/>
    <cellStyle name="SAPBEXHLevel0X 3 7" xfId="28152" xr:uid="{00000000-0005-0000-0000-00002B6C0000}"/>
    <cellStyle name="SAPBEXHLevel0X 3 7 2" xfId="32710" xr:uid="{DCA11ED5-9CC7-4116-A5A3-6DC4515AFA9B}"/>
    <cellStyle name="SAPBEXHLevel0X 3 8" xfId="26691" xr:uid="{00000000-0005-0000-0000-00002C6C0000}"/>
    <cellStyle name="SAPBEXHLevel0X 3 8 2" xfId="31453" xr:uid="{68C74980-1C47-4975-96D5-5047E9D9DC76}"/>
    <cellStyle name="SAPBEXHLevel0X 3 9" xfId="29704" xr:uid="{00000000-0005-0000-0000-00002D6C0000}"/>
    <cellStyle name="SAPBEXHLevel0X 4" xfId="110" xr:uid="{00000000-0005-0000-0000-00002E6C0000}"/>
    <cellStyle name="SAPBEXHLevel0X 4 2" xfId="13644" xr:uid="{00000000-0005-0000-0000-00002F6C0000}"/>
    <cellStyle name="SAPBEXHLevel0X 4 2 2" xfId="25482" xr:uid="{00000000-0005-0000-0000-0000306C0000}"/>
    <cellStyle name="SAPBEXHLevel0X 4 2 2 2" xfId="27635" xr:uid="{00000000-0005-0000-0000-0000316C0000}"/>
    <cellStyle name="SAPBEXHLevel0X 4 2 2 2 2" xfId="32222" xr:uid="{FA8AA0AF-2861-48AA-A1A8-3BACC06826CA}"/>
    <cellStyle name="SAPBEXHLevel0X 4 2 2 3" xfId="28165" xr:uid="{00000000-0005-0000-0000-0000326C0000}"/>
    <cellStyle name="SAPBEXHLevel0X 4 2 2 3 2" xfId="32723" xr:uid="{233EAD91-3FE9-49CE-99CA-E99F4B4174D1}"/>
    <cellStyle name="SAPBEXHLevel0X 4 2 2 4" xfId="26404" xr:uid="{00000000-0005-0000-0000-0000336C0000}"/>
    <cellStyle name="SAPBEXHLevel0X 4 2 2 4 2" xfId="31192" xr:uid="{1958C63F-6DF8-4D5D-80CE-8FB25682B14F}"/>
    <cellStyle name="SAPBEXHLevel0X 4 2 2 5" xfId="29717" xr:uid="{00000000-0005-0000-0000-0000346C0000}"/>
    <cellStyle name="SAPBEXHLevel0X 4 2 3" xfId="26586" xr:uid="{00000000-0005-0000-0000-0000356C0000}"/>
    <cellStyle name="SAPBEXHLevel0X 4 2 3 2" xfId="31364" xr:uid="{A918EF35-676E-49BC-98E5-85348B6CEF24}"/>
    <cellStyle name="SAPBEXHLevel0X 4 2 4" xfId="28164" xr:uid="{00000000-0005-0000-0000-0000366C0000}"/>
    <cellStyle name="SAPBEXHLevel0X 4 2 4 2" xfId="32722" xr:uid="{CA44422A-0218-4E58-9EE1-DF46C9C0570F}"/>
    <cellStyle name="SAPBEXHLevel0X 4 2 5" xfId="26515" xr:uid="{00000000-0005-0000-0000-0000376C0000}"/>
    <cellStyle name="SAPBEXHLevel0X 4 2 5 2" xfId="31303" xr:uid="{5711678B-9BBA-44E1-A017-DFF8A13E5C35}"/>
    <cellStyle name="SAPBEXHLevel0X 4 2 6" xfId="29716" xr:uid="{00000000-0005-0000-0000-0000386C0000}"/>
    <cellStyle name="SAPBEXHLevel0X 4 2 7" xfId="30184" xr:uid="{44EEE5C5-27E8-4658-8C2A-3CF8EAAB2B9C}"/>
    <cellStyle name="SAPBEXHLevel0X 4 3" xfId="25841" xr:uid="{00000000-0005-0000-0000-0000396C0000}"/>
    <cellStyle name="SAPBEXHLevel0X 4 3 2" xfId="30760" xr:uid="{B0685478-9D5B-4E5C-AC3B-BD0E61444379}"/>
    <cellStyle name="SAPBEXHLevel0X 4 4" xfId="28163" xr:uid="{00000000-0005-0000-0000-00003A6C0000}"/>
    <cellStyle name="SAPBEXHLevel0X 4 4 2" xfId="32721" xr:uid="{A6D7DCB6-8E7C-4857-9534-62C0A1FCAE9D}"/>
    <cellStyle name="SAPBEXHLevel0X 4 5" xfId="26761" xr:uid="{00000000-0005-0000-0000-00003B6C0000}"/>
    <cellStyle name="SAPBEXHLevel0X 4 5 2" xfId="31522" xr:uid="{70895AE1-0702-44EE-A4C9-8072C84053AA}"/>
    <cellStyle name="SAPBEXHLevel0X 4 6" xfId="29715" xr:uid="{00000000-0005-0000-0000-00003C6C0000}"/>
    <cellStyle name="SAPBEXHLevel0X 5" xfId="251" xr:uid="{00000000-0005-0000-0000-00003D6C0000}"/>
    <cellStyle name="SAPBEXHLevel0X 5 2" xfId="13716" xr:uid="{00000000-0005-0000-0000-00003E6C0000}"/>
    <cellStyle name="SAPBEXHLevel0X 5 2 2" xfId="25529" xr:uid="{00000000-0005-0000-0000-00003F6C0000}"/>
    <cellStyle name="SAPBEXHLevel0X 5 2 2 2" xfId="27682" xr:uid="{00000000-0005-0000-0000-0000406C0000}"/>
    <cellStyle name="SAPBEXHLevel0X 5 2 2 2 2" xfId="32269" xr:uid="{2D344B63-AE75-4FDC-A7F6-AFB067120F27}"/>
    <cellStyle name="SAPBEXHLevel0X 5 2 2 3" xfId="28168" xr:uid="{00000000-0005-0000-0000-0000416C0000}"/>
    <cellStyle name="SAPBEXHLevel0X 5 2 2 3 2" xfId="32726" xr:uid="{A4FD64D4-2F03-4A4F-9B4C-94336AEA5EBA}"/>
    <cellStyle name="SAPBEXHLevel0X 5 2 2 4" xfId="26279" xr:uid="{00000000-0005-0000-0000-0000426C0000}"/>
    <cellStyle name="SAPBEXHLevel0X 5 2 2 4 2" xfId="31067" xr:uid="{6BB8E393-45DA-454D-8E00-54DDDD4A1036}"/>
    <cellStyle name="SAPBEXHLevel0X 5 2 2 5" xfId="29720" xr:uid="{00000000-0005-0000-0000-0000436C0000}"/>
    <cellStyle name="SAPBEXHLevel0X 5 2 3" xfId="26636" xr:uid="{00000000-0005-0000-0000-0000446C0000}"/>
    <cellStyle name="SAPBEXHLevel0X 5 2 3 2" xfId="31413" xr:uid="{18F126E4-1137-41FB-8D39-AA59B7F836F9}"/>
    <cellStyle name="SAPBEXHLevel0X 5 2 4" xfId="28167" xr:uid="{00000000-0005-0000-0000-0000456C0000}"/>
    <cellStyle name="SAPBEXHLevel0X 5 2 4 2" xfId="32725" xr:uid="{5C99CABF-1F45-4199-B047-D57448C19D9F}"/>
    <cellStyle name="SAPBEXHLevel0X 5 2 5" xfId="26474" xr:uid="{00000000-0005-0000-0000-0000466C0000}"/>
    <cellStyle name="SAPBEXHLevel0X 5 2 5 2" xfId="31262" xr:uid="{240135D7-49E6-4FE4-86B9-6682B8FDD8C7}"/>
    <cellStyle name="SAPBEXHLevel0X 5 2 6" xfId="29719" xr:uid="{00000000-0005-0000-0000-0000476C0000}"/>
    <cellStyle name="SAPBEXHLevel0X 5 2 7" xfId="30231" xr:uid="{85623948-A7F6-413D-8949-41DBFF98B275}"/>
    <cellStyle name="SAPBEXHLevel0X 5 3" xfId="25919" xr:uid="{00000000-0005-0000-0000-0000486C0000}"/>
    <cellStyle name="SAPBEXHLevel0X 5 3 2" xfId="30808" xr:uid="{3BE948F4-1187-4CD2-B7FF-BEE04AE52BD7}"/>
    <cellStyle name="SAPBEXHLevel0X 5 4" xfId="28166" xr:uid="{00000000-0005-0000-0000-0000496C0000}"/>
    <cellStyle name="SAPBEXHLevel0X 5 4 2" xfId="32724" xr:uid="{CC380193-7035-4594-8A42-931D00053EEB}"/>
    <cellStyle name="SAPBEXHLevel0X 5 5" xfId="27100" xr:uid="{00000000-0005-0000-0000-00004A6C0000}"/>
    <cellStyle name="SAPBEXHLevel0X 5 5 2" xfId="31824" xr:uid="{17473B1E-099A-4660-809C-D0F7B631E7F3}"/>
    <cellStyle name="SAPBEXHLevel0X 5 6" xfId="29718" xr:uid="{00000000-0005-0000-0000-00004B6C0000}"/>
    <cellStyle name="SAPBEXHLevel0X 6" xfId="13641" xr:uid="{00000000-0005-0000-0000-00004C6C0000}"/>
    <cellStyle name="SAPBEXHLevel0X 6 2" xfId="25479" xr:uid="{00000000-0005-0000-0000-00004D6C0000}"/>
    <cellStyle name="SAPBEXHLevel0X 6 2 2" xfId="27632" xr:uid="{00000000-0005-0000-0000-00004E6C0000}"/>
    <cellStyle name="SAPBEXHLevel0X 6 2 2 2" xfId="32219" xr:uid="{2DEF0C49-B7E0-49B2-933D-0A9AA4BEE1DE}"/>
    <cellStyle name="SAPBEXHLevel0X 6 2 3" xfId="28170" xr:uid="{00000000-0005-0000-0000-00004F6C0000}"/>
    <cellStyle name="SAPBEXHLevel0X 6 2 3 2" xfId="32728" xr:uid="{ED7653B8-A3D7-4DFF-90EC-6622F9DBE3F4}"/>
    <cellStyle name="SAPBEXHLevel0X 6 2 4" xfId="26081" xr:uid="{00000000-0005-0000-0000-0000506C0000}"/>
    <cellStyle name="SAPBEXHLevel0X 6 2 4 2" xfId="30871" xr:uid="{FFDB6787-5F75-4DC4-A166-0E2E2C54233F}"/>
    <cellStyle name="SAPBEXHLevel0X 6 2 5" xfId="29722" xr:uid="{00000000-0005-0000-0000-0000516C0000}"/>
    <cellStyle name="SAPBEXHLevel0X 6 3" xfId="26583" xr:uid="{00000000-0005-0000-0000-0000526C0000}"/>
    <cellStyle name="SAPBEXHLevel0X 6 3 2" xfId="31361" xr:uid="{097A0261-233A-4F56-A4C0-20CC465F8583}"/>
    <cellStyle name="SAPBEXHLevel0X 6 4" xfId="28169" xr:uid="{00000000-0005-0000-0000-0000536C0000}"/>
    <cellStyle name="SAPBEXHLevel0X 6 4 2" xfId="32727" xr:uid="{291CF64F-53E6-4AF3-8E92-7CF0712DEBFE}"/>
    <cellStyle name="SAPBEXHLevel0X 6 5" xfId="26069" xr:uid="{00000000-0005-0000-0000-0000546C0000}"/>
    <cellStyle name="SAPBEXHLevel0X 6 5 2" xfId="30859" xr:uid="{4E2A7C1C-3BF3-43EE-B034-6E0BB8F91FC6}"/>
    <cellStyle name="SAPBEXHLevel0X 6 6" xfId="29721" xr:uid="{00000000-0005-0000-0000-0000556C0000}"/>
    <cellStyle name="SAPBEXHLevel0X 6 7" xfId="30181" xr:uid="{9B359903-B282-4615-9A95-FC096C07A9F3}"/>
    <cellStyle name="SAPBEXHLevel0X 7" xfId="24666" xr:uid="{00000000-0005-0000-0000-0000566C0000}"/>
    <cellStyle name="SAPBEXHLevel0X 7 2" xfId="25340" xr:uid="{00000000-0005-0000-0000-0000576C0000}"/>
    <cellStyle name="SAPBEXHLevel0X 7 2 2" xfId="27494" xr:uid="{00000000-0005-0000-0000-0000586C0000}"/>
    <cellStyle name="SAPBEXHLevel0X 7 2 2 2" xfId="32085" xr:uid="{2510A1D4-5003-43A5-BE00-FD8DF602B1D9}"/>
    <cellStyle name="SAPBEXHLevel0X 7 2 3" xfId="28172" xr:uid="{00000000-0005-0000-0000-0000596C0000}"/>
    <cellStyle name="SAPBEXHLevel0X 7 2 3 2" xfId="32730" xr:uid="{A5AF1248-62B9-4320-A71D-BD57E541C42E}"/>
    <cellStyle name="SAPBEXHLevel0X 7 2 4" xfId="26884" xr:uid="{00000000-0005-0000-0000-00005A6C0000}"/>
    <cellStyle name="SAPBEXHLevel0X 7 2 4 2" xfId="31645" xr:uid="{BB297D5C-BCF3-4BBC-9146-176485DAA169}"/>
    <cellStyle name="SAPBEXHLevel0X 7 2 5" xfId="29724" xr:uid="{00000000-0005-0000-0000-00005B6C0000}"/>
    <cellStyle name="SAPBEXHLevel0X 7 2 6" xfId="30498" xr:uid="{A098A655-E8E9-485B-81C2-A67A5881CEF6}"/>
    <cellStyle name="SAPBEXHLevel0X 7 3" xfId="25632" xr:uid="{00000000-0005-0000-0000-00005C6C0000}"/>
    <cellStyle name="SAPBEXHLevel0X 7 3 2" xfId="27785" xr:uid="{00000000-0005-0000-0000-00005D6C0000}"/>
    <cellStyle name="SAPBEXHLevel0X 7 3 2 2" xfId="32372" xr:uid="{51239595-D2D8-4976-83FE-1B3E72D6DEC5}"/>
    <cellStyle name="SAPBEXHLevel0X 7 3 3" xfId="28173" xr:uid="{00000000-0005-0000-0000-00005E6C0000}"/>
    <cellStyle name="SAPBEXHLevel0X 7 3 3 2" xfId="32731" xr:uid="{7D7D8214-B2BF-48F0-B301-C0BFEF77583F}"/>
    <cellStyle name="SAPBEXHLevel0X 7 3 4" xfId="26925" xr:uid="{00000000-0005-0000-0000-00005F6C0000}"/>
    <cellStyle name="SAPBEXHLevel0X 7 3 4 2" xfId="31686" xr:uid="{B07262F5-43B8-4852-AC62-4D6AF865889B}"/>
    <cellStyle name="SAPBEXHLevel0X 7 3 5" xfId="29725" xr:uid="{00000000-0005-0000-0000-0000606C0000}"/>
    <cellStyle name="SAPBEXHLevel0X 7 4" xfId="27259" xr:uid="{00000000-0005-0000-0000-0000616C0000}"/>
    <cellStyle name="SAPBEXHLevel0X 7 4 2" xfId="31894" xr:uid="{E6942AE5-CD7F-43F0-B26A-211B2F7CAF7F}"/>
    <cellStyle name="SAPBEXHLevel0X 7 5" xfId="28171" xr:uid="{00000000-0005-0000-0000-0000626C0000}"/>
    <cellStyle name="SAPBEXHLevel0X 7 5 2" xfId="32729" xr:uid="{DDE1713C-8C3B-41A8-93F3-E96793E6BB66}"/>
    <cellStyle name="SAPBEXHLevel0X 7 6" xfId="26827" xr:uid="{00000000-0005-0000-0000-0000636C0000}"/>
    <cellStyle name="SAPBEXHLevel0X 7 6 2" xfId="31588" xr:uid="{389506C8-B75E-4DE3-BAAB-1EBF472F955D}"/>
    <cellStyle name="SAPBEXHLevel0X 7 7" xfId="29723" xr:uid="{00000000-0005-0000-0000-0000646C0000}"/>
    <cellStyle name="SAPBEXHLevel0X 7 8" xfId="30334" xr:uid="{6B435508-BDB5-4AEA-B2B5-4CB138BEB518}"/>
    <cellStyle name="SAPBEXHLevel0X 8" xfId="25107" xr:uid="{00000000-0005-0000-0000-0000656C0000}"/>
    <cellStyle name="SAPBEXHLevel0X 8 2" xfId="25345" xr:uid="{00000000-0005-0000-0000-0000666C0000}"/>
    <cellStyle name="SAPBEXHLevel0X 8 2 2" xfId="27499" xr:uid="{00000000-0005-0000-0000-0000676C0000}"/>
    <cellStyle name="SAPBEXHLevel0X 8 2 2 2" xfId="32090" xr:uid="{834DE9E7-8742-4D2A-9AEE-9B2FC07E14C5}"/>
    <cellStyle name="SAPBEXHLevel0X 8 2 3" xfId="28175" xr:uid="{00000000-0005-0000-0000-0000686C0000}"/>
    <cellStyle name="SAPBEXHLevel0X 8 2 3 2" xfId="32733" xr:uid="{D976D29E-8B73-47EC-B15E-9C9C96CF6B1C}"/>
    <cellStyle name="SAPBEXHLevel0X 8 2 4" xfId="26880" xr:uid="{00000000-0005-0000-0000-0000696C0000}"/>
    <cellStyle name="SAPBEXHLevel0X 8 2 4 2" xfId="31641" xr:uid="{C6DA789A-0188-4E0D-83E8-7D30E4E32F11}"/>
    <cellStyle name="SAPBEXHLevel0X 8 2 5" xfId="29727" xr:uid="{00000000-0005-0000-0000-00006A6C0000}"/>
    <cellStyle name="SAPBEXHLevel0X 8 2 6" xfId="30503" xr:uid="{678118E3-6C7F-46A8-BBB6-0661A4177810}"/>
    <cellStyle name="SAPBEXHLevel0X 8 3" xfId="25705" xr:uid="{00000000-0005-0000-0000-00006B6C0000}"/>
    <cellStyle name="SAPBEXHLevel0X 8 3 2" xfId="27858" xr:uid="{00000000-0005-0000-0000-00006C6C0000}"/>
    <cellStyle name="SAPBEXHLevel0X 8 3 2 2" xfId="32445" xr:uid="{25D50D69-590C-4542-ABE3-554C0E4E8B1C}"/>
    <cellStyle name="SAPBEXHLevel0X 8 3 3" xfId="28176" xr:uid="{00000000-0005-0000-0000-00006D6C0000}"/>
    <cellStyle name="SAPBEXHLevel0X 8 3 3 2" xfId="32734" xr:uid="{3D745FB5-282F-4BD1-8A63-82FB137F6EB4}"/>
    <cellStyle name="SAPBEXHLevel0X 8 3 4" xfId="26264" xr:uid="{00000000-0005-0000-0000-00006E6C0000}"/>
    <cellStyle name="SAPBEXHLevel0X 8 3 4 2" xfId="31052" xr:uid="{04AA47A5-EBE8-4871-BC24-D9A34B27E01C}"/>
    <cellStyle name="SAPBEXHLevel0X 8 3 5" xfId="29728" xr:uid="{00000000-0005-0000-0000-00006F6C0000}"/>
    <cellStyle name="SAPBEXHLevel0X 8 3 6" xfId="30699" xr:uid="{FC6D1F86-5390-4172-9FF6-41901158B0A1}"/>
    <cellStyle name="SAPBEXHLevel0X 8 4" xfId="27392" xr:uid="{00000000-0005-0000-0000-0000706C0000}"/>
    <cellStyle name="SAPBEXHLevel0X 8 4 2" xfId="31990" xr:uid="{9A0D3281-A4A8-409E-8BD4-4378661193A2}"/>
    <cellStyle name="SAPBEXHLevel0X 8 5" xfId="28174" xr:uid="{00000000-0005-0000-0000-0000716C0000}"/>
    <cellStyle name="SAPBEXHLevel0X 8 5 2" xfId="32732" xr:uid="{B5402E2C-5FDC-4A10-AA3E-62AA613FF1C8}"/>
    <cellStyle name="SAPBEXHLevel0X 8 6" xfId="26111" xr:uid="{00000000-0005-0000-0000-0000726C0000}"/>
    <cellStyle name="SAPBEXHLevel0X 8 6 2" xfId="30901" xr:uid="{2F09EA3F-8055-445B-8CD0-1CC67F59C062}"/>
    <cellStyle name="SAPBEXHLevel0X 8 7" xfId="29726" xr:uid="{00000000-0005-0000-0000-0000736C0000}"/>
    <cellStyle name="SAPBEXHLevel0X 8 8" xfId="30407" xr:uid="{523FF7FA-57A0-4188-B745-6F27D7490531}"/>
    <cellStyle name="SAPBEXHLevel0X 9" xfId="25838" xr:uid="{00000000-0005-0000-0000-0000746C0000}"/>
    <cellStyle name="SAPBEXHLevel0X 9 2" xfId="30757" xr:uid="{C49C4BA4-AC42-40A0-B920-349A4428373A}"/>
    <cellStyle name="SAPBEXHLevel1" xfId="111" xr:uid="{00000000-0005-0000-0000-0000756C0000}"/>
    <cellStyle name="SAPBEXHLevel1 10" xfId="28177" xr:uid="{00000000-0005-0000-0000-0000766C0000}"/>
    <cellStyle name="SAPBEXHLevel1 10 2" xfId="32735" xr:uid="{37F3A5AF-0A15-4A23-8425-2C49646877DC}"/>
    <cellStyle name="SAPBEXHLevel1 11" xfId="26237" xr:uid="{00000000-0005-0000-0000-0000776C0000}"/>
    <cellStyle name="SAPBEXHLevel1 11 2" xfId="31025" xr:uid="{2E2E0EB5-33E7-4DAD-88F8-AC3EB45D31E8}"/>
    <cellStyle name="SAPBEXHLevel1 12" xfId="29729" xr:uid="{00000000-0005-0000-0000-0000786C0000}"/>
    <cellStyle name="SAPBEXHLevel1 2" xfId="112" xr:uid="{00000000-0005-0000-0000-0000796C0000}"/>
    <cellStyle name="SAPBEXHLevel1 2 2" xfId="13646" xr:uid="{00000000-0005-0000-0000-00007A6C0000}"/>
    <cellStyle name="SAPBEXHLevel1 2 2 2" xfId="25484" xr:uid="{00000000-0005-0000-0000-00007B6C0000}"/>
    <cellStyle name="SAPBEXHLevel1 2 2 2 2" xfId="27637" xr:uid="{00000000-0005-0000-0000-00007C6C0000}"/>
    <cellStyle name="SAPBEXHLevel1 2 2 2 2 2" xfId="32224" xr:uid="{DFC5A54A-443D-4DF0-94D6-6B1E2F82958B}"/>
    <cellStyle name="SAPBEXHLevel1 2 2 2 3" xfId="28180" xr:uid="{00000000-0005-0000-0000-00007D6C0000}"/>
    <cellStyle name="SAPBEXHLevel1 2 2 2 3 2" xfId="32738" xr:uid="{6CB7EB5E-9A35-49F6-8681-B48EA59DBFE2}"/>
    <cellStyle name="SAPBEXHLevel1 2 2 2 4" xfId="26132" xr:uid="{00000000-0005-0000-0000-00007E6C0000}"/>
    <cellStyle name="SAPBEXHLevel1 2 2 2 4 2" xfId="30922" xr:uid="{0AC7EB48-D657-4E5F-B1D2-9B73FF0EF68A}"/>
    <cellStyle name="SAPBEXHLevel1 2 2 2 5" xfId="29732" xr:uid="{00000000-0005-0000-0000-00007F6C0000}"/>
    <cellStyle name="SAPBEXHLevel1 2 2 3" xfId="26588" xr:uid="{00000000-0005-0000-0000-0000806C0000}"/>
    <cellStyle name="SAPBEXHLevel1 2 2 3 2" xfId="31366" xr:uid="{13864618-243F-4E99-AAF5-FA569E630D83}"/>
    <cellStyle name="SAPBEXHLevel1 2 2 4" xfId="28179" xr:uid="{00000000-0005-0000-0000-0000816C0000}"/>
    <cellStyle name="SAPBEXHLevel1 2 2 4 2" xfId="32737" xr:uid="{A6ABC6E5-E31A-4C8D-9188-94C8C2D5146A}"/>
    <cellStyle name="SAPBEXHLevel1 2 2 5" xfId="26550" xr:uid="{00000000-0005-0000-0000-0000826C0000}"/>
    <cellStyle name="SAPBEXHLevel1 2 2 5 2" xfId="31337" xr:uid="{B7375025-1182-4248-89B6-7C6FD542E755}"/>
    <cellStyle name="SAPBEXHLevel1 2 2 6" xfId="29731" xr:uid="{00000000-0005-0000-0000-0000836C0000}"/>
    <cellStyle name="SAPBEXHLevel1 2 2 7" xfId="30186" xr:uid="{6DA7BEC0-59EF-4ACD-8A71-8BB4085291C0}"/>
    <cellStyle name="SAPBEXHLevel1 2 3" xfId="24257" xr:uid="{00000000-0005-0000-0000-0000846C0000}"/>
    <cellStyle name="SAPBEXHLevel1 2 3 2" xfId="25579" xr:uid="{00000000-0005-0000-0000-0000856C0000}"/>
    <cellStyle name="SAPBEXHLevel1 2 3 2 2" xfId="27732" xr:uid="{00000000-0005-0000-0000-0000866C0000}"/>
    <cellStyle name="SAPBEXHLevel1 2 3 2 2 2" xfId="32319" xr:uid="{3593C65A-BD20-4AFC-A12B-8A5CE504E339}"/>
    <cellStyle name="SAPBEXHLevel1 2 3 2 3" xfId="28182" xr:uid="{00000000-0005-0000-0000-0000876C0000}"/>
    <cellStyle name="SAPBEXHLevel1 2 3 2 3 2" xfId="32740" xr:uid="{AC585BD9-7EE7-4B2F-9778-5597CBC9AE6C}"/>
    <cellStyle name="SAPBEXHLevel1 2 3 2 4" xfId="26511" xr:uid="{00000000-0005-0000-0000-0000886C0000}"/>
    <cellStyle name="SAPBEXHLevel1 2 3 2 4 2" xfId="31299" xr:uid="{4E557B10-347B-4683-BBF5-D2D143A244B6}"/>
    <cellStyle name="SAPBEXHLevel1 2 3 2 5" xfId="29734" xr:uid="{00000000-0005-0000-0000-0000896C0000}"/>
    <cellStyle name="SAPBEXHLevel1 2 3 3" xfId="27112" xr:uid="{00000000-0005-0000-0000-00008A6C0000}"/>
    <cellStyle name="SAPBEXHLevel1 2 3 3 2" xfId="31830" xr:uid="{E4F4A20C-67D9-4126-9C77-A3B1C410DD78}"/>
    <cellStyle name="SAPBEXHLevel1 2 3 4" xfId="28181" xr:uid="{00000000-0005-0000-0000-00008B6C0000}"/>
    <cellStyle name="SAPBEXHLevel1 2 3 4 2" xfId="32739" xr:uid="{FCDDB992-686E-4B5B-924A-FE64F39CD009}"/>
    <cellStyle name="SAPBEXHLevel1 2 3 5" xfId="26037" xr:uid="{00000000-0005-0000-0000-00008C6C0000}"/>
    <cellStyle name="SAPBEXHLevel1 2 3 5 2" xfId="30838" xr:uid="{C36C8373-0240-41E3-B0E1-1C78CD678D2A}"/>
    <cellStyle name="SAPBEXHLevel1 2 3 6" xfId="29733" xr:uid="{00000000-0005-0000-0000-00008D6C0000}"/>
    <cellStyle name="SAPBEXHLevel1 2 3 7" xfId="30281" xr:uid="{DF3EC625-0F63-423D-960E-BE79309EF40A}"/>
    <cellStyle name="SAPBEXHLevel1 2 4" xfId="24662" xr:uid="{00000000-0005-0000-0000-00008E6C0000}"/>
    <cellStyle name="SAPBEXHLevel1 2 4 2" xfId="25308" xr:uid="{00000000-0005-0000-0000-00008F6C0000}"/>
    <cellStyle name="SAPBEXHLevel1 2 4 2 2" xfId="27462" xr:uid="{00000000-0005-0000-0000-0000906C0000}"/>
    <cellStyle name="SAPBEXHLevel1 2 4 2 2 2" xfId="32054" xr:uid="{8A7FBA83-8AC8-48C4-8AE6-6D796304B853}"/>
    <cellStyle name="SAPBEXHLevel1 2 4 2 3" xfId="28184" xr:uid="{00000000-0005-0000-0000-0000916C0000}"/>
    <cellStyle name="SAPBEXHLevel1 2 4 2 3 2" xfId="32742" xr:uid="{241F142A-8C59-4962-81A7-229D9548B3FB}"/>
    <cellStyle name="SAPBEXHLevel1 2 4 2 4" xfId="26999" xr:uid="{00000000-0005-0000-0000-0000926C0000}"/>
    <cellStyle name="SAPBEXHLevel1 2 4 2 4 2" xfId="31760" xr:uid="{5DF48B92-0B12-4BF5-A80F-355711F1DAB2}"/>
    <cellStyle name="SAPBEXHLevel1 2 4 2 5" xfId="29736" xr:uid="{00000000-0005-0000-0000-0000936C0000}"/>
    <cellStyle name="SAPBEXHLevel1 2 4 2 6" xfId="30467" xr:uid="{83E894F2-3052-4D51-9900-CB4728E161C8}"/>
    <cellStyle name="SAPBEXHLevel1 2 4 3" xfId="25628" xr:uid="{00000000-0005-0000-0000-0000946C0000}"/>
    <cellStyle name="SAPBEXHLevel1 2 4 3 2" xfId="27781" xr:uid="{00000000-0005-0000-0000-0000956C0000}"/>
    <cellStyle name="SAPBEXHLevel1 2 4 3 2 2" xfId="32368" xr:uid="{5A62E6A9-3593-4059-B29A-4EC70F90CEC0}"/>
    <cellStyle name="SAPBEXHLevel1 2 4 3 3" xfId="28185" xr:uid="{00000000-0005-0000-0000-0000966C0000}"/>
    <cellStyle name="SAPBEXHLevel1 2 4 3 3 2" xfId="32743" xr:uid="{90158B03-5E5E-4EC9-997D-17895142E36A}"/>
    <cellStyle name="SAPBEXHLevel1 2 4 3 4" xfId="26885" xr:uid="{00000000-0005-0000-0000-0000976C0000}"/>
    <cellStyle name="SAPBEXHLevel1 2 4 3 4 2" xfId="31646" xr:uid="{AC025541-845B-4094-8348-D3E988EF9CE0}"/>
    <cellStyle name="SAPBEXHLevel1 2 4 3 5" xfId="29737" xr:uid="{00000000-0005-0000-0000-0000986C0000}"/>
    <cellStyle name="SAPBEXHLevel1 2 4 4" xfId="27255" xr:uid="{00000000-0005-0000-0000-0000996C0000}"/>
    <cellStyle name="SAPBEXHLevel1 2 4 4 2" xfId="31890" xr:uid="{5910CF6A-1FFB-45B6-A101-6D96F5830DFF}"/>
    <cellStyle name="SAPBEXHLevel1 2 4 5" xfId="28183" xr:uid="{00000000-0005-0000-0000-00009A6C0000}"/>
    <cellStyle name="SAPBEXHLevel1 2 4 5 2" xfId="32741" xr:uid="{8F4F928E-C2A5-4D8C-8472-F4F18D43E841}"/>
    <cellStyle name="SAPBEXHLevel1 2 4 6" xfId="26924" xr:uid="{00000000-0005-0000-0000-00009B6C0000}"/>
    <cellStyle name="SAPBEXHLevel1 2 4 6 2" xfId="31685" xr:uid="{5640BF9D-E594-4E3B-A0E7-C7B774BDED35}"/>
    <cellStyle name="SAPBEXHLevel1 2 4 7" xfId="29735" xr:uid="{00000000-0005-0000-0000-00009C6C0000}"/>
    <cellStyle name="SAPBEXHLevel1 2 4 8" xfId="30330" xr:uid="{8B84CE7C-F10F-4B96-A279-686E6CCA28F1}"/>
    <cellStyle name="SAPBEXHLevel1 2 5" xfId="25111" xr:uid="{00000000-0005-0000-0000-00009D6C0000}"/>
    <cellStyle name="SAPBEXHLevel1 2 5 2" xfId="25283" xr:uid="{00000000-0005-0000-0000-00009E6C0000}"/>
    <cellStyle name="SAPBEXHLevel1 2 5 2 2" xfId="27438" xr:uid="{00000000-0005-0000-0000-00009F6C0000}"/>
    <cellStyle name="SAPBEXHLevel1 2 5 2 2 2" xfId="32033" xr:uid="{6CCD872E-78C7-4454-8AD9-C742E2304ED5}"/>
    <cellStyle name="SAPBEXHLevel1 2 5 2 3" xfId="28187" xr:uid="{00000000-0005-0000-0000-0000A06C0000}"/>
    <cellStyle name="SAPBEXHLevel1 2 5 2 3 2" xfId="32745" xr:uid="{5CB14505-6043-4910-87BD-6DA93BBAF85E}"/>
    <cellStyle name="SAPBEXHLevel1 2 5 2 4" xfId="27360" xr:uid="{00000000-0005-0000-0000-0000A16C0000}"/>
    <cellStyle name="SAPBEXHLevel1 2 5 2 4 2" xfId="31958" xr:uid="{FFBBF117-F79E-4D41-9E7F-CD7AD538100E}"/>
    <cellStyle name="SAPBEXHLevel1 2 5 2 5" xfId="29739" xr:uid="{00000000-0005-0000-0000-0000A26C0000}"/>
    <cellStyle name="SAPBEXHLevel1 2 5 2 6" xfId="30446" xr:uid="{469E4B61-E977-4A25-AC2D-D45AA929C45F}"/>
    <cellStyle name="SAPBEXHLevel1 2 5 3" xfId="25709" xr:uid="{00000000-0005-0000-0000-0000A36C0000}"/>
    <cellStyle name="SAPBEXHLevel1 2 5 3 2" xfId="27862" xr:uid="{00000000-0005-0000-0000-0000A46C0000}"/>
    <cellStyle name="SAPBEXHLevel1 2 5 3 2 2" xfId="32449" xr:uid="{E5418F4C-D047-471F-8731-91273E01DB83}"/>
    <cellStyle name="SAPBEXHLevel1 2 5 3 3" xfId="28188" xr:uid="{00000000-0005-0000-0000-0000A56C0000}"/>
    <cellStyle name="SAPBEXHLevel1 2 5 3 3 2" xfId="32746" xr:uid="{2A3B5FE6-B163-4901-B678-F0E279F30BCC}"/>
    <cellStyle name="SAPBEXHLevel1 2 5 3 4" xfId="26152" xr:uid="{00000000-0005-0000-0000-0000A66C0000}"/>
    <cellStyle name="SAPBEXHLevel1 2 5 3 4 2" xfId="30941" xr:uid="{9C79D5F3-9B17-4006-A1D0-80A3264B0D85}"/>
    <cellStyle name="SAPBEXHLevel1 2 5 3 5" xfId="29740" xr:uid="{00000000-0005-0000-0000-0000A76C0000}"/>
    <cellStyle name="SAPBEXHLevel1 2 5 3 6" xfId="30703" xr:uid="{9E2D8A9C-F394-489E-919A-51F9D1B02AF5}"/>
    <cellStyle name="SAPBEXHLevel1 2 5 4" xfId="27396" xr:uid="{00000000-0005-0000-0000-0000A86C0000}"/>
    <cellStyle name="SAPBEXHLevel1 2 5 4 2" xfId="31994" xr:uid="{C7D08C3D-0966-4FAF-A830-28A5142A0708}"/>
    <cellStyle name="SAPBEXHLevel1 2 5 5" xfId="28186" xr:uid="{00000000-0005-0000-0000-0000A96C0000}"/>
    <cellStyle name="SAPBEXHLevel1 2 5 5 2" xfId="32744" xr:uid="{E45FD71A-4249-4247-A597-99F5075B9480}"/>
    <cellStyle name="SAPBEXHLevel1 2 5 6" xfId="27362" xr:uid="{00000000-0005-0000-0000-0000AA6C0000}"/>
    <cellStyle name="SAPBEXHLevel1 2 5 6 2" xfId="31960" xr:uid="{A07C6991-C7A7-4E53-A1AC-93E6AD85A7FE}"/>
    <cellStyle name="SAPBEXHLevel1 2 5 7" xfId="29738" xr:uid="{00000000-0005-0000-0000-0000AB6C0000}"/>
    <cellStyle name="SAPBEXHLevel1 2 5 8" xfId="30411" xr:uid="{D4481D37-F6CA-40AA-8E6D-98C58A7345EF}"/>
    <cellStyle name="SAPBEXHLevel1 2 6" xfId="25843" xr:uid="{00000000-0005-0000-0000-0000AC6C0000}"/>
    <cellStyle name="SAPBEXHLevel1 2 6 2" xfId="30762" xr:uid="{97164975-DA55-4048-99CA-77C10088B929}"/>
    <cellStyle name="SAPBEXHLevel1 2 7" xfId="28178" xr:uid="{00000000-0005-0000-0000-0000AD6C0000}"/>
    <cellStyle name="SAPBEXHLevel1 2 7 2" xfId="32736" xr:uid="{65CE9CA4-9034-432B-8968-EC2EDE919C8E}"/>
    <cellStyle name="SAPBEXHLevel1 2 8" xfId="26838" xr:uid="{00000000-0005-0000-0000-0000AE6C0000}"/>
    <cellStyle name="SAPBEXHLevel1 2 8 2" xfId="31599" xr:uid="{12116D8D-42F2-4DB2-BF75-CD15FAA52E64}"/>
    <cellStyle name="SAPBEXHLevel1 2 9" xfId="29730" xr:uid="{00000000-0005-0000-0000-0000AF6C0000}"/>
    <cellStyle name="SAPBEXHLevel1 3" xfId="113" xr:uid="{00000000-0005-0000-0000-0000B06C0000}"/>
    <cellStyle name="SAPBEXHLevel1 3 2" xfId="13647" xr:uid="{00000000-0005-0000-0000-0000B16C0000}"/>
    <cellStyle name="SAPBEXHLevel1 3 2 2" xfId="25485" xr:uid="{00000000-0005-0000-0000-0000B26C0000}"/>
    <cellStyle name="SAPBEXHLevel1 3 2 2 2" xfId="27638" xr:uid="{00000000-0005-0000-0000-0000B36C0000}"/>
    <cellStyle name="SAPBEXHLevel1 3 2 2 2 2" xfId="32225" xr:uid="{F32B8593-1ECA-4FBC-A6D0-E14EDBD7A277}"/>
    <cellStyle name="SAPBEXHLevel1 3 2 2 3" xfId="28191" xr:uid="{00000000-0005-0000-0000-0000B46C0000}"/>
    <cellStyle name="SAPBEXHLevel1 3 2 2 3 2" xfId="32749" xr:uid="{C126A245-AE2B-414E-840D-3CF863DC3F50}"/>
    <cellStyle name="SAPBEXHLevel1 3 2 2 4" xfId="26881" xr:uid="{00000000-0005-0000-0000-0000B56C0000}"/>
    <cellStyle name="SAPBEXHLevel1 3 2 2 4 2" xfId="31642" xr:uid="{D324096D-0186-464E-A37D-C31CEBF6743C}"/>
    <cellStyle name="SAPBEXHLevel1 3 2 2 5" xfId="29743" xr:uid="{00000000-0005-0000-0000-0000B66C0000}"/>
    <cellStyle name="SAPBEXHLevel1 3 2 3" xfId="26589" xr:uid="{00000000-0005-0000-0000-0000B76C0000}"/>
    <cellStyle name="SAPBEXHLevel1 3 2 3 2" xfId="31367" xr:uid="{54D44143-0702-4CD9-937F-01002BE577A0}"/>
    <cellStyle name="SAPBEXHLevel1 3 2 4" xfId="28190" xr:uid="{00000000-0005-0000-0000-0000B86C0000}"/>
    <cellStyle name="SAPBEXHLevel1 3 2 4 2" xfId="32748" xr:uid="{8C123B53-DB84-4446-BE32-D9CDDC9045E6}"/>
    <cellStyle name="SAPBEXHLevel1 3 2 5" xfId="26079" xr:uid="{00000000-0005-0000-0000-0000B96C0000}"/>
    <cellStyle name="SAPBEXHLevel1 3 2 5 2" xfId="30869" xr:uid="{255D7D5F-B9F0-4480-AB50-1DC0F16E216B}"/>
    <cellStyle name="SAPBEXHLevel1 3 2 6" xfId="29742" xr:uid="{00000000-0005-0000-0000-0000BA6C0000}"/>
    <cellStyle name="SAPBEXHLevel1 3 2 7" xfId="30187" xr:uid="{4400951F-078D-4D6A-BCCB-9A5672B115FD}"/>
    <cellStyle name="SAPBEXHLevel1 3 3" xfId="24258" xr:uid="{00000000-0005-0000-0000-0000BB6C0000}"/>
    <cellStyle name="SAPBEXHLevel1 3 3 2" xfId="25580" xr:uid="{00000000-0005-0000-0000-0000BC6C0000}"/>
    <cellStyle name="SAPBEXHLevel1 3 3 2 2" xfId="27733" xr:uid="{00000000-0005-0000-0000-0000BD6C0000}"/>
    <cellStyle name="SAPBEXHLevel1 3 3 2 2 2" xfId="32320" xr:uid="{D3635781-EA2E-44C0-8F0F-0C88EB4A3517}"/>
    <cellStyle name="SAPBEXHLevel1 3 3 2 3" xfId="28193" xr:uid="{00000000-0005-0000-0000-0000BE6C0000}"/>
    <cellStyle name="SAPBEXHLevel1 3 3 2 3 2" xfId="32751" xr:uid="{AEDCEC19-E766-4398-9140-92DE4B67D2A2}"/>
    <cellStyle name="SAPBEXHLevel1 3 3 2 4" xfId="26495" xr:uid="{00000000-0005-0000-0000-0000BF6C0000}"/>
    <cellStyle name="SAPBEXHLevel1 3 3 2 4 2" xfId="31283" xr:uid="{17E683A1-76D3-446F-879B-BB628C2B98A5}"/>
    <cellStyle name="SAPBEXHLevel1 3 3 2 5" xfId="29745" xr:uid="{00000000-0005-0000-0000-0000C06C0000}"/>
    <cellStyle name="SAPBEXHLevel1 3 3 3" xfId="27113" xr:uid="{00000000-0005-0000-0000-0000C16C0000}"/>
    <cellStyle name="SAPBEXHLevel1 3 3 3 2" xfId="31831" xr:uid="{BF3E599A-8621-4D82-BC0A-546FB6222B46}"/>
    <cellStyle name="SAPBEXHLevel1 3 3 4" xfId="28192" xr:uid="{00000000-0005-0000-0000-0000C26C0000}"/>
    <cellStyle name="SAPBEXHLevel1 3 3 4 2" xfId="32750" xr:uid="{E1CB69D6-95A0-42F6-B79E-087BB2E01584}"/>
    <cellStyle name="SAPBEXHLevel1 3 3 5" xfId="26216" xr:uid="{00000000-0005-0000-0000-0000C36C0000}"/>
    <cellStyle name="SAPBEXHLevel1 3 3 5 2" xfId="31004" xr:uid="{4E0B119C-38CB-4D5A-AFD8-57766B32BFD9}"/>
    <cellStyle name="SAPBEXHLevel1 3 3 6" xfId="29744" xr:uid="{00000000-0005-0000-0000-0000C46C0000}"/>
    <cellStyle name="SAPBEXHLevel1 3 3 7" xfId="30282" xr:uid="{0D46F34F-60CF-4D9A-84FB-9C355E1AF82A}"/>
    <cellStyle name="SAPBEXHLevel1 3 4" xfId="24661" xr:uid="{00000000-0005-0000-0000-0000C56C0000}"/>
    <cellStyle name="SAPBEXHLevel1 3 4 2" xfId="25400" xr:uid="{00000000-0005-0000-0000-0000C66C0000}"/>
    <cellStyle name="SAPBEXHLevel1 3 4 2 2" xfId="27554" xr:uid="{00000000-0005-0000-0000-0000C76C0000}"/>
    <cellStyle name="SAPBEXHLevel1 3 4 2 2 2" xfId="32145" xr:uid="{F0179A9C-151A-43F0-ABC9-E4F91A758A3B}"/>
    <cellStyle name="SAPBEXHLevel1 3 4 2 3" xfId="28195" xr:uid="{00000000-0005-0000-0000-0000C86C0000}"/>
    <cellStyle name="SAPBEXHLevel1 3 4 2 3 2" xfId="32753" xr:uid="{81B4343B-4C15-401D-97C3-8A42D434ABA9}"/>
    <cellStyle name="SAPBEXHLevel1 3 4 2 4" xfId="26135" xr:uid="{00000000-0005-0000-0000-0000C96C0000}"/>
    <cellStyle name="SAPBEXHLevel1 3 4 2 4 2" xfId="30925" xr:uid="{62DD3D26-8C47-4498-A7C1-3BFA20C861BD}"/>
    <cellStyle name="SAPBEXHLevel1 3 4 2 5" xfId="29747" xr:uid="{00000000-0005-0000-0000-0000CA6C0000}"/>
    <cellStyle name="SAPBEXHLevel1 3 4 2 6" xfId="30558" xr:uid="{E12223DB-A5F7-4527-B282-9B6D7E178CC8}"/>
    <cellStyle name="SAPBEXHLevel1 3 4 3" xfId="25627" xr:uid="{00000000-0005-0000-0000-0000CB6C0000}"/>
    <cellStyle name="SAPBEXHLevel1 3 4 3 2" xfId="27780" xr:uid="{00000000-0005-0000-0000-0000CC6C0000}"/>
    <cellStyle name="SAPBEXHLevel1 3 4 3 2 2" xfId="32367" xr:uid="{2C64B025-3F49-4629-A5D8-1D8C38655934}"/>
    <cellStyle name="SAPBEXHLevel1 3 4 3 3" xfId="28196" xr:uid="{00000000-0005-0000-0000-0000CD6C0000}"/>
    <cellStyle name="SAPBEXHLevel1 3 4 3 3 2" xfId="32754" xr:uid="{F9BA6243-0436-41F4-8F3B-55E7AFF1FE59}"/>
    <cellStyle name="SAPBEXHLevel1 3 4 3 4" xfId="27083" xr:uid="{00000000-0005-0000-0000-0000CE6C0000}"/>
    <cellStyle name="SAPBEXHLevel1 3 4 3 4 2" xfId="31807" xr:uid="{AF178533-D10D-4C4F-8641-0E55B940ED66}"/>
    <cellStyle name="SAPBEXHLevel1 3 4 3 5" xfId="29748" xr:uid="{00000000-0005-0000-0000-0000CF6C0000}"/>
    <cellStyle name="SAPBEXHLevel1 3 4 4" xfId="27254" xr:uid="{00000000-0005-0000-0000-0000D06C0000}"/>
    <cellStyle name="SAPBEXHLevel1 3 4 4 2" xfId="31889" xr:uid="{3543FF28-6B41-48E0-BABD-47382BB28A88}"/>
    <cellStyle name="SAPBEXHLevel1 3 4 5" xfId="28194" xr:uid="{00000000-0005-0000-0000-0000D16C0000}"/>
    <cellStyle name="SAPBEXHLevel1 3 4 5 2" xfId="32752" xr:uid="{86283293-0F25-491A-ACC3-732142F075E0}"/>
    <cellStyle name="SAPBEXHLevel1 3 4 6" xfId="26903" xr:uid="{00000000-0005-0000-0000-0000D26C0000}"/>
    <cellStyle name="SAPBEXHLevel1 3 4 6 2" xfId="31664" xr:uid="{6615C61E-3139-46C1-A41A-388F156BA64D}"/>
    <cellStyle name="SAPBEXHLevel1 3 4 7" xfId="29746" xr:uid="{00000000-0005-0000-0000-0000D36C0000}"/>
    <cellStyle name="SAPBEXHLevel1 3 4 8" xfId="30329" xr:uid="{6FE8461A-1E9E-40E8-85CB-3B75CDA2EC87}"/>
    <cellStyle name="SAPBEXHLevel1 3 5" xfId="25112" xr:uid="{00000000-0005-0000-0000-0000D46C0000}"/>
    <cellStyle name="SAPBEXHLevel1 3 5 2" xfId="25366" xr:uid="{00000000-0005-0000-0000-0000D56C0000}"/>
    <cellStyle name="SAPBEXHLevel1 3 5 2 2" xfId="27520" xr:uid="{00000000-0005-0000-0000-0000D66C0000}"/>
    <cellStyle name="SAPBEXHLevel1 3 5 2 2 2" xfId="32111" xr:uid="{D5D2E758-DF6F-43BE-874D-A839FE212441}"/>
    <cellStyle name="SAPBEXHLevel1 3 5 2 3" xfId="28198" xr:uid="{00000000-0005-0000-0000-0000D76C0000}"/>
    <cellStyle name="SAPBEXHLevel1 3 5 2 3 2" xfId="32756" xr:uid="{BD66785C-D3EB-43F1-B87E-6427F2006D3B}"/>
    <cellStyle name="SAPBEXHLevel1 3 5 2 4" xfId="26353" xr:uid="{00000000-0005-0000-0000-0000D86C0000}"/>
    <cellStyle name="SAPBEXHLevel1 3 5 2 4 2" xfId="31141" xr:uid="{269E844A-04D5-43C2-B406-9AD6EB9D331A}"/>
    <cellStyle name="SAPBEXHLevel1 3 5 2 5" xfId="29750" xr:uid="{00000000-0005-0000-0000-0000D96C0000}"/>
    <cellStyle name="SAPBEXHLevel1 3 5 2 6" xfId="30524" xr:uid="{CA7C7067-8A14-4C49-8D5F-C369307841B5}"/>
    <cellStyle name="SAPBEXHLevel1 3 5 3" xfId="25710" xr:uid="{00000000-0005-0000-0000-0000DA6C0000}"/>
    <cellStyle name="SAPBEXHLevel1 3 5 3 2" xfId="27863" xr:uid="{00000000-0005-0000-0000-0000DB6C0000}"/>
    <cellStyle name="SAPBEXHLevel1 3 5 3 2 2" xfId="32450" xr:uid="{BF33C965-2601-4DB7-9661-68E6AE24921B}"/>
    <cellStyle name="SAPBEXHLevel1 3 5 3 3" xfId="28199" xr:uid="{00000000-0005-0000-0000-0000DC6C0000}"/>
    <cellStyle name="SAPBEXHLevel1 3 5 3 3 2" xfId="32757" xr:uid="{AF05C8A7-CA83-4808-A2C7-0FE8BE96EA76}"/>
    <cellStyle name="SAPBEXHLevel1 3 5 3 4" xfId="26427" xr:uid="{00000000-0005-0000-0000-0000DD6C0000}"/>
    <cellStyle name="SAPBEXHLevel1 3 5 3 4 2" xfId="31215" xr:uid="{4E647CD9-E7E8-4BDF-9224-3E00BFB572D2}"/>
    <cellStyle name="SAPBEXHLevel1 3 5 3 5" xfId="29751" xr:uid="{00000000-0005-0000-0000-0000DE6C0000}"/>
    <cellStyle name="SAPBEXHLevel1 3 5 3 6" xfId="30704" xr:uid="{2B9C5F66-DA8A-4F1A-B52A-F8C7EB98E580}"/>
    <cellStyle name="SAPBEXHLevel1 3 5 4" xfId="27397" xr:uid="{00000000-0005-0000-0000-0000DF6C0000}"/>
    <cellStyle name="SAPBEXHLevel1 3 5 4 2" xfId="31995" xr:uid="{D76A2A1B-ACF9-4EBA-8A19-FBFC6BD739F1}"/>
    <cellStyle name="SAPBEXHLevel1 3 5 5" xfId="28197" xr:uid="{00000000-0005-0000-0000-0000E06C0000}"/>
    <cellStyle name="SAPBEXHLevel1 3 5 5 2" xfId="32755" xr:uid="{C5C579BA-0DE5-4B26-811D-377FB58F4C20}"/>
    <cellStyle name="SAPBEXHLevel1 3 5 6" xfId="26743" xr:uid="{00000000-0005-0000-0000-0000E16C0000}"/>
    <cellStyle name="SAPBEXHLevel1 3 5 6 2" xfId="31504" xr:uid="{E3C1C7D2-44A2-46F1-AE29-8367D4E7A14B}"/>
    <cellStyle name="SAPBEXHLevel1 3 5 7" xfId="29749" xr:uid="{00000000-0005-0000-0000-0000E26C0000}"/>
    <cellStyle name="SAPBEXHLevel1 3 5 8" xfId="30412" xr:uid="{4D9BF123-CD66-4C6F-8977-0ADD7964D1DB}"/>
    <cellStyle name="SAPBEXHLevel1 3 6" xfId="25844" xr:uid="{00000000-0005-0000-0000-0000E36C0000}"/>
    <cellStyle name="SAPBEXHLevel1 3 6 2" xfId="30763" xr:uid="{E78567D8-6A70-43CC-935D-D7E606AE6218}"/>
    <cellStyle name="SAPBEXHLevel1 3 7" xfId="28189" xr:uid="{00000000-0005-0000-0000-0000E46C0000}"/>
    <cellStyle name="SAPBEXHLevel1 3 7 2" xfId="32747" xr:uid="{79B59102-3C0E-41D4-A27E-06CC3B072BC6}"/>
    <cellStyle name="SAPBEXHLevel1 3 8" xfId="26311" xr:uid="{00000000-0005-0000-0000-0000E56C0000}"/>
    <cellStyle name="SAPBEXHLevel1 3 8 2" xfId="31099" xr:uid="{DFF4EC3C-54AB-455F-971D-27AC7F7948D4}"/>
    <cellStyle name="SAPBEXHLevel1 3 9" xfId="29741" xr:uid="{00000000-0005-0000-0000-0000E66C0000}"/>
    <cellStyle name="SAPBEXHLevel1 4" xfId="114" xr:uid="{00000000-0005-0000-0000-0000E76C0000}"/>
    <cellStyle name="SAPBEXHLevel1 4 2" xfId="13648" xr:uid="{00000000-0005-0000-0000-0000E86C0000}"/>
    <cellStyle name="SAPBEXHLevel1 4 2 2" xfId="25486" xr:uid="{00000000-0005-0000-0000-0000E96C0000}"/>
    <cellStyle name="SAPBEXHLevel1 4 2 2 2" xfId="27639" xr:uid="{00000000-0005-0000-0000-0000EA6C0000}"/>
    <cellStyle name="SAPBEXHLevel1 4 2 2 2 2" xfId="32226" xr:uid="{4608461E-C690-4022-8366-8610242488AE}"/>
    <cellStyle name="SAPBEXHLevel1 4 2 2 3" xfId="28202" xr:uid="{00000000-0005-0000-0000-0000EB6C0000}"/>
    <cellStyle name="SAPBEXHLevel1 4 2 2 3 2" xfId="32760" xr:uid="{D6EF4494-2980-4890-89EE-5781FC77D246}"/>
    <cellStyle name="SAPBEXHLevel1 4 2 2 4" xfId="26300" xr:uid="{00000000-0005-0000-0000-0000EC6C0000}"/>
    <cellStyle name="SAPBEXHLevel1 4 2 2 4 2" xfId="31088" xr:uid="{E6CF761B-BA3F-460B-A722-B8004BB34B2E}"/>
    <cellStyle name="SAPBEXHLevel1 4 2 2 5" xfId="29754" xr:uid="{00000000-0005-0000-0000-0000ED6C0000}"/>
    <cellStyle name="SAPBEXHLevel1 4 2 3" xfId="26590" xr:uid="{00000000-0005-0000-0000-0000EE6C0000}"/>
    <cellStyle name="SAPBEXHLevel1 4 2 3 2" xfId="31368" xr:uid="{E2B00220-A94E-46FD-8749-793A586F51E1}"/>
    <cellStyle name="SAPBEXHLevel1 4 2 4" xfId="28201" xr:uid="{00000000-0005-0000-0000-0000EF6C0000}"/>
    <cellStyle name="SAPBEXHLevel1 4 2 4 2" xfId="32759" xr:uid="{D6E8ED1A-A6CE-44D8-9FC4-72C950AE60F0}"/>
    <cellStyle name="SAPBEXHLevel1 4 2 5" xfId="26765" xr:uid="{00000000-0005-0000-0000-0000F06C0000}"/>
    <cellStyle name="SAPBEXHLevel1 4 2 5 2" xfId="31526" xr:uid="{6E5CE4CA-B46B-4EBF-8B8D-A399EA06D623}"/>
    <cellStyle name="SAPBEXHLevel1 4 2 6" xfId="29753" xr:uid="{00000000-0005-0000-0000-0000F16C0000}"/>
    <cellStyle name="SAPBEXHLevel1 4 2 7" xfId="30188" xr:uid="{14FADDF8-C325-457C-9868-4A96DC11E421}"/>
    <cellStyle name="SAPBEXHLevel1 4 3" xfId="25845" xr:uid="{00000000-0005-0000-0000-0000F26C0000}"/>
    <cellStyle name="SAPBEXHLevel1 4 3 2" xfId="30764" xr:uid="{E8284A36-D0F1-4D80-8294-985D2CC818D7}"/>
    <cellStyle name="SAPBEXHLevel1 4 4" xfId="28200" xr:uid="{00000000-0005-0000-0000-0000F36C0000}"/>
    <cellStyle name="SAPBEXHLevel1 4 4 2" xfId="32758" xr:uid="{888F82EA-6BF6-4434-AECD-6B720AC91A20}"/>
    <cellStyle name="SAPBEXHLevel1 4 5" xfId="26905" xr:uid="{00000000-0005-0000-0000-0000F46C0000}"/>
    <cellStyle name="SAPBEXHLevel1 4 5 2" xfId="31666" xr:uid="{4893EFDD-4951-4F63-B026-5395EF8849EA}"/>
    <cellStyle name="SAPBEXHLevel1 4 6" xfId="29752" xr:uid="{00000000-0005-0000-0000-0000F56C0000}"/>
    <cellStyle name="SAPBEXHLevel1 5" xfId="252" xr:uid="{00000000-0005-0000-0000-0000F66C0000}"/>
    <cellStyle name="SAPBEXHLevel1 5 2" xfId="13717" xr:uid="{00000000-0005-0000-0000-0000F76C0000}"/>
    <cellStyle name="SAPBEXHLevel1 5 2 2" xfId="25530" xr:uid="{00000000-0005-0000-0000-0000F86C0000}"/>
    <cellStyle name="SAPBEXHLevel1 5 2 2 2" xfId="27683" xr:uid="{00000000-0005-0000-0000-0000F96C0000}"/>
    <cellStyle name="SAPBEXHLevel1 5 2 2 2 2" xfId="32270" xr:uid="{8766F56C-0BB7-4B15-BB7F-7542B9EA79EE}"/>
    <cellStyle name="SAPBEXHLevel1 5 2 2 3" xfId="28205" xr:uid="{00000000-0005-0000-0000-0000FA6C0000}"/>
    <cellStyle name="SAPBEXHLevel1 5 2 2 3 2" xfId="32763" xr:uid="{3AB97583-28E6-44DF-A3D1-56C3EE264E81}"/>
    <cellStyle name="SAPBEXHLevel1 5 2 2 4" xfId="26479" xr:uid="{00000000-0005-0000-0000-0000FB6C0000}"/>
    <cellStyle name="SAPBEXHLevel1 5 2 2 4 2" xfId="31267" xr:uid="{D5D8835B-53EC-4CF7-B78A-33007BAAA280}"/>
    <cellStyle name="SAPBEXHLevel1 5 2 2 5" xfId="29757" xr:uid="{00000000-0005-0000-0000-0000FC6C0000}"/>
    <cellStyle name="SAPBEXHLevel1 5 2 3" xfId="26637" xr:uid="{00000000-0005-0000-0000-0000FD6C0000}"/>
    <cellStyle name="SAPBEXHLevel1 5 2 3 2" xfId="31414" xr:uid="{2BD4C4B7-39DC-4442-9F9A-203CF0B1CEF2}"/>
    <cellStyle name="SAPBEXHLevel1 5 2 4" xfId="28204" xr:uid="{00000000-0005-0000-0000-0000FE6C0000}"/>
    <cellStyle name="SAPBEXHLevel1 5 2 4 2" xfId="32762" xr:uid="{E566C56A-2A05-499D-A275-25D0B1C7B6C0}"/>
    <cellStyle name="SAPBEXHLevel1 5 2 5" xfId="26890" xr:uid="{00000000-0005-0000-0000-0000FF6C0000}"/>
    <cellStyle name="SAPBEXHLevel1 5 2 5 2" xfId="31651" xr:uid="{CCCD9D3E-C44C-40AF-8405-F1A7E0CF18D1}"/>
    <cellStyle name="SAPBEXHLevel1 5 2 6" xfId="29756" xr:uid="{00000000-0005-0000-0000-0000006D0000}"/>
    <cellStyle name="SAPBEXHLevel1 5 2 7" xfId="30232" xr:uid="{AF077EC7-E2FD-4B78-814D-29E96EB68C21}"/>
    <cellStyle name="SAPBEXHLevel1 5 3" xfId="25920" xr:uid="{00000000-0005-0000-0000-0000016D0000}"/>
    <cellStyle name="SAPBEXHLevel1 5 3 2" xfId="30809" xr:uid="{DD7D0190-0B52-496F-9A1D-BE6120C10A8C}"/>
    <cellStyle name="SAPBEXHLevel1 5 4" xfId="28203" xr:uid="{00000000-0005-0000-0000-0000026D0000}"/>
    <cellStyle name="SAPBEXHLevel1 5 4 2" xfId="32761" xr:uid="{D0D971DD-1D16-42DC-9A02-8F4488AC52B3}"/>
    <cellStyle name="SAPBEXHLevel1 5 5" xfId="29218" xr:uid="{00000000-0005-0000-0000-0000036D0000}"/>
    <cellStyle name="SAPBEXHLevel1 5 5 2" xfId="33201" xr:uid="{8E28EB01-CBBD-4541-A801-EC24163D25D5}"/>
    <cellStyle name="SAPBEXHLevel1 5 6" xfId="29755" xr:uid="{00000000-0005-0000-0000-0000046D0000}"/>
    <cellStyle name="SAPBEXHLevel1 6" xfId="13645" xr:uid="{00000000-0005-0000-0000-0000056D0000}"/>
    <cellStyle name="SAPBEXHLevel1 6 2" xfId="25483" xr:uid="{00000000-0005-0000-0000-0000066D0000}"/>
    <cellStyle name="SAPBEXHLevel1 6 2 2" xfId="27636" xr:uid="{00000000-0005-0000-0000-0000076D0000}"/>
    <cellStyle name="SAPBEXHLevel1 6 2 2 2" xfId="32223" xr:uid="{EAC44D98-5E89-4ED3-B23E-1346197F39CF}"/>
    <cellStyle name="SAPBEXHLevel1 6 2 3" xfId="28207" xr:uid="{00000000-0005-0000-0000-0000086D0000}"/>
    <cellStyle name="SAPBEXHLevel1 6 2 3 2" xfId="32765" xr:uid="{E896D2A4-59BE-4EBE-AA25-FDD6F20AB7D0}"/>
    <cellStyle name="SAPBEXHLevel1 6 2 4" xfId="26910" xr:uid="{00000000-0005-0000-0000-0000096D0000}"/>
    <cellStyle name="SAPBEXHLevel1 6 2 4 2" xfId="31671" xr:uid="{309A7D07-7F54-4A53-A3C1-48F06AD3B464}"/>
    <cellStyle name="SAPBEXHLevel1 6 2 5" xfId="29759" xr:uid="{00000000-0005-0000-0000-00000A6D0000}"/>
    <cellStyle name="SAPBEXHLevel1 6 3" xfId="26587" xr:uid="{00000000-0005-0000-0000-00000B6D0000}"/>
    <cellStyle name="SAPBEXHLevel1 6 3 2" xfId="31365" xr:uid="{18475630-9A47-4430-AE21-0B01A1B7E0AD}"/>
    <cellStyle name="SAPBEXHLevel1 6 4" xfId="28206" xr:uid="{00000000-0005-0000-0000-00000C6D0000}"/>
    <cellStyle name="SAPBEXHLevel1 6 4 2" xfId="32764" xr:uid="{1E6AC1F8-6AB4-4B54-9EAD-E95ABA754FA1}"/>
    <cellStyle name="SAPBEXHLevel1 6 5" xfId="26883" xr:uid="{00000000-0005-0000-0000-00000D6D0000}"/>
    <cellStyle name="SAPBEXHLevel1 6 5 2" xfId="31644" xr:uid="{603393B8-632E-4842-8F40-D5167605E4FF}"/>
    <cellStyle name="SAPBEXHLevel1 6 6" xfId="29758" xr:uid="{00000000-0005-0000-0000-00000E6D0000}"/>
    <cellStyle name="SAPBEXHLevel1 6 7" xfId="30185" xr:uid="{2BA1D673-B96A-472C-B632-E7C7E384126D}"/>
    <cellStyle name="SAPBEXHLevel1 7" xfId="24663" xr:uid="{00000000-0005-0000-0000-00000F6D0000}"/>
    <cellStyle name="SAPBEXHLevel1 7 2" xfId="25410" xr:uid="{00000000-0005-0000-0000-0000106D0000}"/>
    <cellStyle name="SAPBEXHLevel1 7 2 2" xfId="27564" xr:uid="{00000000-0005-0000-0000-0000116D0000}"/>
    <cellStyle name="SAPBEXHLevel1 7 2 2 2" xfId="32155" xr:uid="{F45A0540-4E4B-4C04-A136-4FE4521BD6E6}"/>
    <cellStyle name="SAPBEXHLevel1 7 2 3" xfId="28209" xr:uid="{00000000-0005-0000-0000-0000126D0000}"/>
    <cellStyle name="SAPBEXHLevel1 7 2 3 2" xfId="32767" xr:uid="{54861C80-131B-4EE4-A270-1BDD573FF131}"/>
    <cellStyle name="SAPBEXHLevel1 7 2 4" xfId="26775" xr:uid="{00000000-0005-0000-0000-0000136D0000}"/>
    <cellStyle name="SAPBEXHLevel1 7 2 4 2" xfId="31536" xr:uid="{6D89D195-1D6E-48AD-B0FE-AC5D617A6B57}"/>
    <cellStyle name="SAPBEXHLevel1 7 2 5" xfId="29761" xr:uid="{00000000-0005-0000-0000-0000146D0000}"/>
    <cellStyle name="SAPBEXHLevel1 7 2 6" xfId="30568" xr:uid="{F938F919-4448-4C52-A1D9-E219B866EDC7}"/>
    <cellStyle name="SAPBEXHLevel1 7 3" xfId="25629" xr:uid="{00000000-0005-0000-0000-0000156D0000}"/>
    <cellStyle name="SAPBEXHLevel1 7 3 2" xfId="27782" xr:uid="{00000000-0005-0000-0000-0000166D0000}"/>
    <cellStyle name="SAPBEXHLevel1 7 3 2 2" xfId="32369" xr:uid="{E35C3A78-34D8-4E35-B911-EA487034EF82}"/>
    <cellStyle name="SAPBEXHLevel1 7 3 3" xfId="28210" xr:uid="{00000000-0005-0000-0000-0000176D0000}"/>
    <cellStyle name="SAPBEXHLevel1 7 3 3 2" xfId="32768" xr:uid="{A6A48850-1858-4E57-94E0-B89C6D5A61CB}"/>
    <cellStyle name="SAPBEXHLevel1 7 3 4" xfId="26804" xr:uid="{00000000-0005-0000-0000-0000186D0000}"/>
    <cellStyle name="SAPBEXHLevel1 7 3 4 2" xfId="31565" xr:uid="{6CCDBFA5-2F5C-47AC-9A95-E03C57CD7DF3}"/>
    <cellStyle name="SAPBEXHLevel1 7 3 5" xfId="29762" xr:uid="{00000000-0005-0000-0000-0000196D0000}"/>
    <cellStyle name="SAPBEXHLevel1 7 4" xfId="27256" xr:uid="{00000000-0005-0000-0000-00001A6D0000}"/>
    <cellStyle name="SAPBEXHLevel1 7 4 2" xfId="31891" xr:uid="{CC7F1964-08AB-4118-B9C8-FE34027EB624}"/>
    <cellStyle name="SAPBEXHLevel1 7 5" xfId="28208" xr:uid="{00000000-0005-0000-0000-00001B6D0000}"/>
    <cellStyle name="SAPBEXHLevel1 7 5 2" xfId="32766" xr:uid="{8ED4E45B-CE91-4240-B360-C9D6637DF3B8}"/>
    <cellStyle name="SAPBEXHLevel1 7 6" xfId="26257" xr:uid="{00000000-0005-0000-0000-00001C6D0000}"/>
    <cellStyle name="SAPBEXHLevel1 7 6 2" xfId="31045" xr:uid="{B9A5DC6D-01E9-4570-B004-6CDFADEE71D7}"/>
    <cellStyle name="SAPBEXHLevel1 7 7" xfId="29760" xr:uid="{00000000-0005-0000-0000-00001D6D0000}"/>
    <cellStyle name="SAPBEXHLevel1 7 8" xfId="30331" xr:uid="{64882B99-1ACC-4C4E-B205-CAC470EA2593}"/>
    <cellStyle name="SAPBEXHLevel1 8" xfId="25110" xr:uid="{00000000-0005-0000-0000-00001E6D0000}"/>
    <cellStyle name="SAPBEXHLevel1 8 2" xfId="25297" xr:uid="{00000000-0005-0000-0000-00001F6D0000}"/>
    <cellStyle name="SAPBEXHLevel1 8 2 2" xfId="27451" xr:uid="{00000000-0005-0000-0000-0000206D0000}"/>
    <cellStyle name="SAPBEXHLevel1 8 2 2 2" xfId="32043" xr:uid="{E7839641-7F68-4164-AE4A-52F31B3951DF}"/>
    <cellStyle name="SAPBEXHLevel1 8 2 3" xfId="28212" xr:uid="{00000000-0005-0000-0000-0000216D0000}"/>
    <cellStyle name="SAPBEXHLevel1 8 2 3 2" xfId="32770" xr:uid="{D1774BB1-D6C6-4FC6-82DB-842A7D0A3E7C}"/>
    <cellStyle name="SAPBEXHLevel1 8 2 4" xfId="26269" xr:uid="{00000000-0005-0000-0000-0000226D0000}"/>
    <cellStyle name="SAPBEXHLevel1 8 2 4 2" xfId="31057" xr:uid="{AB52B957-ED78-4B61-AC72-6D3434AEB2A7}"/>
    <cellStyle name="SAPBEXHLevel1 8 2 5" xfId="29764" xr:uid="{00000000-0005-0000-0000-0000236D0000}"/>
    <cellStyle name="SAPBEXHLevel1 8 2 6" xfId="30456" xr:uid="{5E994DED-9EEC-4995-B24B-8EBEA31CB354}"/>
    <cellStyle name="SAPBEXHLevel1 8 3" xfId="25708" xr:uid="{00000000-0005-0000-0000-0000246D0000}"/>
    <cellStyle name="SAPBEXHLevel1 8 3 2" xfId="27861" xr:uid="{00000000-0005-0000-0000-0000256D0000}"/>
    <cellStyle name="SAPBEXHLevel1 8 3 2 2" xfId="32448" xr:uid="{C3ADF7B3-26EB-40BC-9D30-4A0886D04267}"/>
    <cellStyle name="SAPBEXHLevel1 8 3 3" xfId="28213" xr:uid="{00000000-0005-0000-0000-0000266D0000}"/>
    <cellStyle name="SAPBEXHLevel1 8 3 3 2" xfId="32771" xr:uid="{BEEE8DFF-7CC5-4D6E-9449-34263571CCB1}"/>
    <cellStyle name="SAPBEXHLevel1 8 3 4" xfId="26460" xr:uid="{00000000-0005-0000-0000-0000276D0000}"/>
    <cellStyle name="SAPBEXHLevel1 8 3 4 2" xfId="31248" xr:uid="{3FC5B51D-0EFC-4F82-91D8-EA678657E706}"/>
    <cellStyle name="SAPBEXHLevel1 8 3 5" xfId="29765" xr:uid="{00000000-0005-0000-0000-0000286D0000}"/>
    <cellStyle name="SAPBEXHLevel1 8 3 6" xfId="30702" xr:uid="{207CDC33-1F1A-4F8A-A002-ACD2B72CD500}"/>
    <cellStyle name="SAPBEXHLevel1 8 4" xfId="27395" xr:uid="{00000000-0005-0000-0000-0000296D0000}"/>
    <cellStyle name="SAPBEXHLevel1 8 4 2" xfId="31993" xr:uid="{F664371A-6249-404C-8311-94F1C27F77DB}"/>
    <cellStyle name="SAPBEXHLevel1 8 5" xfId="28211" xr:uid="{00000000-0005-0000-0000-00002A6D0000}"/>
    <cellStyle name="SAPBEXHLevel1 8 5 2" xfId="32769" xr:uid="{3817C8C8-E913-4F5C-BE2B-7876E48C72E1}"/>
    <cellStyle name="SAPBEXHLevel1 8 6" xfId="26464" xr:uid="{00000000-0005-0000-0000-00002B6D0000}"/>
    <cellStyle name="SAPBEXHLevel1 8 6 2" xfId="31252" xr:uid="{E9B0C959-214F-4F77-B077-7D70665D8DB7}"/>
    <cellStyle name="SAPBEXHLevel1 8 7" xfId="29763" xr:uid="{00000000-0005-0000-0000-00002C6D0000}"/>
    <cellStyle name="SAPBEXHLevel1 8 8" xfId="30410" xr:uid="{C87DB49F-8B07-4588-9366-CF133567B34C}"/>
    <cellStyle name="SAPBEXHLevel1 9" xfId="25842" xr:uid="{00000000-0005-0000-0000-00002D6D0000}"/>
    <cellStyle name="SAPBEXHLevel1 9 2" xfId="30761" xr:uid="{647A2604-0CCC-4DAD-99E8-0DF2B6B33B04}"/>
    <cellStyle name="SAPBEXHLevel1X" xfId="115" xr:uid="{00000000-0005-0000-0000-00002E6D0000}"/>
    <cellStyle name="SAPBEXHLevel1X 10" xfId="28214" xr:uid="{00000000-0005-0000-0000-00002F6D0000}"/>
    <cellStyle name="SAPBEXHLevel1X 10 2" xfId="32772" xr:uid="{1D1BF7D4-E181-484E-B919-7D0A67983C96}"/>
    <cellStyle name="SAPBEXHLevel1X 11" xfId="26381" xr:uid="{00000000-0005-0000-0000-0000306D0000}"/>
    <cellStyle name="SAPBEXHLevel1X 11 2" xfId="31169" xr:uid="{23E06D12-96F2-425C-9808-BAE86DF7E3B5}"/>
    <cellStyle name="SAPBEXHLevel1X 12" xfId="29766" xr:uid="{00000000-0005-0000-0000-0000316D0000}"/>
    <cellStyle name="SAPBEXHLevel1X 2" xfId="116" xr:uid="{00000000-0005-0000-0000-0000326D0000}"/>
    <cellStyle name="SAPBEXHLevel1X 2 2" xfId="13650" xr:uid="{00000000-0005-0000-0000-0000336D0000}"/>
    <cellStyle name="SAPBEXHLevel1X 2 2 2" xfId="25488" xr:uid="{00000000-0005-0000-0000-0000346D0000}"/>
    <cellStyle name="SAPBEXHLevel1X 2 2 2 2" xfId="27641" xr:uid="{00000000-0005-0000-0000-0000356D0000}"/>
    <cellStyle name="SAPBEXHLevel1X 2 2 2 2 2" xfId="32228" xr:uid="{A2EC119E-58C5-4A2B-A308-9A575E5E3F4B}"/>
    <cellStyle name="SAPBEXHLevel1X 2 2 2 3" xfId="28217" xr:uid="{00000000-0005-0000-0000-0000366D0000}"/>
    <cellStyle name="SAPBEXHLevel1X 2 2 2 3 2" xfId="32775" xr:uid="{07CB2A6E-6644-426A-937F-B7C44799EB88}"/>
    <cellStyle name="SAPBEXHLevel1X 2 2 2 4" xfId="26401" xr:uid="{00000000-0005-0000-0000-0000376D0000}"/>
    <cellStyle name="SAPBEXHLevel1X 2 2 2 4 2" xfId="31189" xr:uid="{F7379B7B-C189-4EA4-9D2F-4BAD1FCBE37B}"/>
    <cellStyle name="SAPBEXHLevel1X 2 2 2 5" xfId="29769" xr:uid="{00000000-0005-0000-0000-0000386D0000}"/>
    <cellStyle name="SAPBEXHLevel1X 2 2 3" xfId="26592" xr:uid="{00000000-0005-0000-0000-0000396D0000}"/>
    <cellStyle name="SAPBEXHLevel1X 2 2 3 2" xfId="31370" xr:uid="{743B6931-8CB0-47FA-8076-F8BFDE49E039}"/>
    <cellStyle name="SAPBEXHLevel1X 2 2 4" xfId="28216" xr:uid="{00000000-0005-0000-0000-00003A6D0000}"/>
    <cellStyle name="SAPBEXHLevel1X 2 2 4 2" xfId="32774" xr:uid="{1F152AD0-43EC-445F-851C-A448B7A61038}"/>
    <cellStyle name="SAPBEXHLevel1X 2 2 5" xfId="26184" xr:uid="{00000000-0005-0000-0000-00003B6D0000}"/>
    <cellStyle name="SAPBEXHLevel1X 2 2 5 2" xfId="30972" xr:uid="{BAA541BE-DDC1-45A7-8AA3-AF72EBA68F5C}"/>
    <cellStyle name="SAPBEXHLevel1X 2 2 6" xfId="29768" xr:uid="{00000000-0005-0000-0000-00003C6D0000}"/>
    <cellStyle name="SAPBEXHLevel1X 2 2 7" xfId="30190" xr:uid="{033F68AC-B7E5-468D-80A5-9BF792B9725F}"/>
    <cellStyle name="SAPBEXHLevel1X 2 3" xfId="24259" xr:uid="{00000000-0005-0000-0000-00003D6D0000}"/>
    <cellStyle name="SAPBEXHLevel1X 2 3 2" xfId="25581" xr:uid="{00000000-0005-0000-0000-00003E6D0000}"/>
    <cellStyle name="SAPBEXHLevel1X 2 3 2 2" xfId="27734" xr:uid="{00000000-0005-0000-0000-00003F6D0000}"/>
    <cellStyle name="SAPBEXHLevel1X 2 3 2 2 2" xfId="32321" xr:uid="{E93C4436-83E3-4A06-B9AA-13A937B06F87}"/>
    <cellStyle name="SAPBEXHLevel1X 2 3 2 3" xfId="28219" xr:uid="{00000000-0005-0000-0000-0000406D0000}"/>
    <cellStyle name="SAPBEXHLevel1X 2 3 2 3 2" xfId="32777" xr:uid="{FBA9389B-2E0A-45FD-803D-7099ABC30EAD}"/>
    <cellStyle name="SAPBEXHLevel1X 2 3 2 4" xfId="26096" xr:uid="{00000000-0005-0000-0000-0000416D0000}"/>
    <cellStyle name="SAPBEXHLevel1X 2 3 2 4 2" xfId="30886" xr:uid="{12CC5E50-4403-49C8-A24E-01203D759461}"/>
    <cellStyle name="SAPBEXHLevel1X 2 3 2 5" xfId="29771" xr:uid="{00000000-0005-0000-0000-0000426D0000}"/>
    <cellStyle name="SAPBEXHLevel1X 2 3 3" xfId="27114" xr:uid="{00000000-0005-0000-0000-0000436D0000}"/>
    <cellStyle name="SAPBEXHLevel1X 2 3 3 2" xfId="31832" xr:uid="{6CE510F7-9B1A-4C7C-940A-2D5709CFAF37}"/>
    <cellStyle name="SAPBEXHLevel1X 2 3 4" xfId="28218" xr:uid="{00000000-0005-0000-0000-0000446D0000}"/>
    <cellStyle name="SAPBEXHLevel1X 2 3 4 2" xfId="32776" xr:uid="{675FB070-9E4F-4A46-8A8C-C279F6C8E6B2}"/>
    <cellStyle name="SAPBEXHLevel1X 2 3 5" xfId="27028" xr:uid="{00000000-0005-0000-0000-0000456D0000}"/>
    <cellStyle name="SAPBEXHLevel1X 2 3 5 2" xfId="31788" xr:uid="{C5354754-E660-4596-8E3B-2C541FDF8E27}"/>
    <cellStyle name="SAPBEXHLevel1X 2 3 6" xfId="29770" xr:uid="{00000000-0005-0000-0000-0000466D0000}"/>
    <cellStyle name="SAPBEXHLevel1X 2 3 7" xfId="30283" xr:uid="{FEB7EFA6-C7F0-4C5D-BDBC-1DE7D958E1DE}"/>
    <cellStyle name="SAPBEXHLevel1X 2 4" xfId="24659" xr:uid="{00000000-0005-0000-0000-0000476D0000}"/>
    <cellStyle name="SAPBEXHLevel1X 2 4 2" xfId="25371" xr:uid="{00000000-0005-0000-0000-0000486D0000}"/>
    <cellStyle name="SAPBEXHLevel1X 2 4 2 2" xfId="27525" xr:uid="{00000000-0005-0000-0000-0000496D0000}"/>
    <cellStyle name="SAPBEXHLevel1X 2 4 2 2 2" xfId="32116" xr:uid="{296BEE4C-2A24-4E5A-987A-F8983FD4AE8C}"/>
    <cellStyle name="SAPBEXHLevel1X 2 4 2 3" xfId="28221" xr:uid="{00000000-0005-0000-0000-00004A6D0000}"/>
    <cellStyle name="SAPBEXHLevel1X 2 4 2 3 2" xfId="32779" xr:uid="{95A9F57A-65AA-4763-B93C-B131FFE7759A}"/>
    <cellStyle name="SAPBEXHLevel1X 2 4 2 4" xfId="26063" xr:uid="{00000000-0005-0000-0000-00004B6D0000}"/>
    <cellStyle name="SAPBEXHLevel1X 2 4 2 4 2" xfId="30853" xr:uid="{E6865548-A8E2-45D2-A109-6A32724CF8F1}"/>
    <cellStyle name="SAPBEXHLevel1X 2 4 2 5" xfId="29773" xr:uid="{00000000-0005-0000-0000-00004C6D0000}"/>
    <cellStyle name="SAPBEXHLevel1X 2 4 2 6" xfId="30529" xr:uid="{1694F7CD-FC66-4021-960D-F743C279E5DF}"/>
    <cellStyle name="SAPBEXHLevel1X 2 4 3" xfId="25625" xr:uid="{00000000-0005-0000-0000-00004D6D0000}"/>
    <cellStyle name="SAPBEXHLevel1X 2 4 3 2" xfId="27778" xr:uid="{00000000-0005-0000-0000-00004E6D0000}"/>
    <cellStyle name="SAPBEXHLevel1X 2 4 3 2 2" xfId="32365" xr:uid="{A1167B73-627E-4782-A7AB-ECB77DBF1146}"/>
    <cellStyle name="SAPBEXHLevel1X 2 4 3 3" xfId="28222" xr:uid="{00000000-0005-0000-0000-00004F6D0000}"/>
    <cellStyle name="SAPBEXHLevel1X 2 4 3 3 2" xfId="32780" xr:uid="{A7FE94E2-317A-4D50-A51B-0A4DD7013358}"/>
    <cellStyle name="SAPBEXHLevel1X 2 4 3 4" xfId="26156" xr:uid="{00000000-0005-0000-0000-0000506D0000}"/>
    <cellStyle name="SAPBEXHLevel1X 2 4 3 4 2" xfId="30945" xr:uid="{FC8698DA-1A1B-415F-8E18-9838FEE9DFAD}"/>
    <cellStyle name="SAPBEXHLevel1X 2 4 3 5" xfId="29774" xr:uid="{00000000-0005-0000-0000-0000516D0000}"/>
    <cellStyle name="SAPBEXHLevel1X 2 4 4" xfId="27252" xr:uid="{00000000-0005-0000-0000-0000526D0000}"/>
    <cellStyle name="SAPBEXHLevel1X 2 4 4 2" xfId="31887" xr:uid="{63AF0984-3E6B-4F43-9EDC-F2A5B8C35EDD}"/>
    <cellStyle name="SAPBEXHLevel1X 2 4 5" xfId="28220" xr:uid="{00000000-0005-0000-0000-0000536D0000}"/>
    <cellStyle name="SAPBEXHLevel1X 2 4 5 2" xfId="32778" xr:uid="{8BA00CCA-6B1A-4F43-8AB7-6A9ADAAEBFEA}"/>
    <cellStyle name="SAPBEXHLevel1X 2 4 6" xfId="26291" xr:uid="{00000000-0005-0000-0000-0000546D0000}"/>
    <cellStyle name="SAPBEXHLevel1X 2 4 6 2" xfId="31079" xr:uid="{F7582C0B-030B-4918-AD38-AAD701B10EB1}"/>
    <cellStyle name="SAPBEXHLevel1X 2 4 7" xfId="29772" xr:uid="{00000000-0005-0000-0000-0000556D0000}"/>
    <cellStyle name="SAPBEXHLevel1X 2 4 8" xfId="30327" xr:uid="{749C977A-905E-4978-83C8-60D23E0E4287}"/>
    <cellStyle name="SAPBEXHLevel1X 2 5" xfId="25114" xr:uid="{00000000-0005-0000-0000-0000566D0000}"/>
    <cellStyle name="SAPBEXHLevel1X 2 5 2" xfId="25394" xr:uid="{00000000-0005-0000-0000-0000576D0000}"/>
    <cellStyle name="SAPBEXHLevel1X 2 5 2 2" xfId="27548" xr:uid="{00000000-0005-0000-0000-0000586D0000}"/>
    <cellStyle name="SAPBEXHLevel1X 2 5 2 2 2" xfId="32139" xr:uid="{0302BD5D-67E8-4FE3-B0C1-9C25DC03CC4D}"/>
    <cellStyle name="SAPBEXHLevel1X 2 5 2 3" xfId="28224" xr:uid="{00000000-0005-0000-0000-0000596D0000}"/>
    <cellStyle name="SAPBEXHLevel1X 2 5 2 3 2" xfId="32782" xr:uid="{9029AD38-AF66-47D0-A0C7-01F9CDA4941F}"/>
    <cellStyle name="SAPBEXHLevel1X 2 5 2 4" xfId="26222" xr:uid="{00000000-0005-0000-0000-00005A6D0000}"/>
    <cellStyle name="SAPBEXHLevel1X 2 5 2 4 2" xfId="31010" xr:uid="{36692383-A3F7-40E5-ACAB-2F689B24EE02}"/>
    <cellStyle name="SAPBEXHLevel1X 2 5 2 5" xfId="29776" xr:uid="{00000000-0005-0000-0000-00005B6D0000}"/>
    <cellStyle name="SAPBEXHLevel1X 2 5 2 6" xfId="30552" xr:uid="{587935BD-CF96-4D08-BF20-8184FBC5ABF1}"/>
    <cellStyle name="SAPBEXHLevel1X 2 5 3" xfId="25712" xr:uid="{00000000-0005-0000-0000-00005C6D0000}"/>
    <cellStyle name="SAPBEXHLevel1X 2 5 3 2" xfId="27865" xr:uid="{00000000-0005-0000-0000-00005D6D0000}"/>
    <cellStyle name="SAPBEXHLevel1X 2 5 3 2 2" xfId="32452" xr:uid="{A7DF74C7-D19C-4FD1-99E2-233C4CBC832F}"/>
    <cellStyle name="SAPBEXHLevel1X 2 5 3 3" xfId="28225" xr:uid="{00000000-0005-0000-0000-00005E6D0000}"/>
    <cellStyle name="SAPBEXHLevel1X 2 5 3 3 2" xfId="32783" xr:uid="{8BEA2AFC-56D4-453F-A5B9-1FCD31D1457B}"/>
    <cellStyle name="SAPBEXHLevel1X 2 5 3 4" xfId="27017" xr:uid="{00000000-0005-0000-0000-00005F6D0000}"/>
    <cellStyle name="SAPBEXHLevel1X 2 5 3 4 2" xfId="31777" xr:uid="{35906D14-940A-46C5-81B3-E4E6DC6C7105}"/>
    <cellStyle name="SAPBEXHLevel1X 2 5 3 5" xfId="29777" xr:uid="{00000000-0005-0000-0000-0000606D0000}"/>
    <cellStyle name="SAPBEXHLevel1X 2 5 3 6" xfId="30706" xr:uid="{EB95B417-DC95-45A1-9AB7-EAE90CE10189}"/>
    <cellStyle name="SAPBEXHLevel1X 2 5 4" xfId="27399" xr:uid="{00000000-0005-0000-0000-0000616D0000}"/>
    <cellStyle name="SAPBEXHLevel1X 2 5 4 2" xfId="31997" xr:uid="{FE28787D-F9AD-459E-A7BB-C85F83207FE4}"/>
    <cellStyle name="SAPBEXHLevel1X 2 5 5" xfId="28223" xr:uid="{00000000-0005-0000-0000-0000626D0000}"/>
    <cellStyle name="SAPBEXHLevel1X 2 5 5 2" xfId="32781" xr:uid="{B4052269-6AA5-4358-A743-36342D330D5B}"/>
    <cellStyle name="SAPBEXHLevel1X 2 5 6" xfId="26308" xr:uid="{00000000-0005-0000-0000-0000636D0000}"/>
    <cellStyle name="SAPBEXHLevel1X 2 5 6 2" xfId="31096" xr:uid="{51CD9CC3-9664-42BB-BF8D-0714A9E8FC5A}"/>
    <cellStyle name="SAPBEXHLevel1X 2 5 7" xfId="29775" xr:uid="{00000000-0005-0000-0000-0000646D0000}"/>
    <cellStyle name="SAPBEXHLevel1X 2 5 8" xfId="30414" xr:uid="{8143D987-C63B-4588-8F48-C14DC4ECE823}"/>
    <cellStyle name="SAPBEXHLevel1X 2 6" xfId="25847" xr:uid="{00000000-0005-0000-0000-0000656D0000}"/>
    <cellStyle name="SAPBEXHLevel1X 2 6 2" xfId="30766" xr:uid="{4B4C246A-2F79-4DE8-ACCA-E981D0AC9640}"/>
    <cellStyle name="SAPBEXHLevel1X 2 7" xfId="28215" xr:uid="{00000000-0005-0000-0000-0000666D0000}"/>
    <cellStyle name="SAPBEXHLevel1X 2 7 2" xfId="32773" xr:uid="{9F74968A-1ECF-4840-B4E8-6B4974A91B52}"/>
    <cellStyle name="SAPBEXHLevel1X 2 8" xfId="26968" xr:uid="{00000000-0005-0000-0000-0000676D0000}"/>
    <cellStyle name="SAPBEXHLevel1X 2 8 2" xfId="31729" xr:uid="{E9993BCC-E2B8-45F5-8A35-5FE63CE9EF04}"/>
    <cellStyle name="SAPBEXHLevel1X 2 9" xfId="29767" xr:uid="{00000000-0005-0000-0000-0000686D0000}"/>
    <cellStyle name="SAPBEXHLevel1X 3" xfId="117" xr:uid="{00000000-0005-0000-0000-0000696D0000}"/>
    <cellStyle name="SAPBEXHLevel1X 3 2" xfId="13651" xr:uid="{00000000-0005-0000-0000-00006A6D0000}"/>
    <cellStyle name="SAPBEXHLevel1X 3 2 2" xfId="25489" xr:uid="{00000000-0005-0000-0000-00006B6D0000}"/>
    <cellStyle name="SAPBEXHLevel1X 3 2 2 2" xfId="27642" xr:uid="{00000000-0005-0000-0000-00006C6D0000}"/>
    <cellStyle name="SAPBEXHLevel1X 3 2 2 2 2" xfId="32229" xr:uid="{2A1AC2D3-2EF0-46AB-835B-9AC78B8D91E8}"/>
    <cellStyle name="SAPBEXHLevel1X 3 2 2 3" xfId="28228" xr:uid="{00000000-0005-0000-0000-00006D6D0000}"/>
    <cellStyle name="SAPBEXHLevel1X 3 2 2 3 2" xfId="32786" xr:uid="{FE21A18F-2C49-4101-9A10-2CF9561FF9A2}"/>
    <cellStyle name="SAPBEXHLevel1X 3 2 2 4" xfId="26364" xr:uid="{00000000-0005-0000-0000-00006E6D0000}"/>
    <cellStyle name="SAPBEXHLevel1X 3 2 2 4 2" xfId="31152" xr:uid="{ED4B4AA8-08B5-4AA1-9FEF-9D986313F4F1}"/>
    <cellStyle name="SAPBEXHLevel1X 3 2 2 5" xfId="29780" xr:uid="{00000000-0005-0000-0000-00006F6D0000}"/>
    <cellStyle name="SAPBEXHLevel1X 3 2 3" xfId="26593" xr:uid="{00000000-0005-0000-0000-0000706D0000}"/>
    <cellStyle name="SAPBEXHLevel1X 3 2 3 2" xfId="31371" xr:uid="{E25CEBC2-99B0-4F95-BA3D-98D7E40F6AEB}"/>
    <cellStyle name="SAPBEXHLevel1X 3 2 4" xfId="28227" xr:uid="{00000000-0005-0000-0000-0000716D0000}"/>
    <cellStyle name="SAPBEXHLevel1X 3 2 4 2" xfId="32785" xr:uid="{93E46DAD-5AA9-4CED-8B69-725580AFFB91}"/>
    <cellStyle name="SAPBEXHLevel1X 3 2 5" xfId="26378" xr:uid="{00000000-0005-0000-0000-0000726D0000}"/>
    <cellStyle name="SAPBEXHLevel1X 3 2 5 2" xfId="31166" xr:uid="{B03EFEAB-852B-43A9-A090-8FD8E5209064}"/>
    <cellStyle name="SAPBEXHLevel1X 3 2 6" xfId="29779" xr:uid="{00000000-0005-0000-0000-0000736D0000}"/>
    <cellStyle name="SAPBEXHLevel1X 3 2 7" xfId="30191" xr:uid="{07328008-6BC9-4838-B126-06D3DA013BCF}"/>
    <cellStyle name="SAPBEXHLevel1X 3 3" xfId="24260" xr:uid="{00000000-0005-0000-0000-0000746D0000}"/>
    <cellStyle name="SAPBEXHLevel1X 3 3 2" xfId="25582" xr:uid="{00000000-0005-0000-0000-0000756D0000}"/>
    <cellStyle name="SAPBEXHLevel1X 3 3 2 2" xfId="27735" xr:uid="{00000000-0005-0000-0000-0000766D0000}"/>
    <cellStyle name="SAPBEXHLevel1X 3 3 2 2 2" xfId="32322" xr:uid="{329ED777-D69B-41CB-A466-4CBB5AD04FF0}"/>
    <cellStyle name="SAPBEXHLevel1X 3 3 2 3" xfId="28230" xr:uid="{00000000-0005-0000-0000-0000776D0000}"/>
    <cellStyle name="SAPBEXHLevel1X 3 3 2 3 2" xfId="32788" xr:uid="{A0FA3413-E285-401F-A0D9-8F336AA0307A}"/>
    <cellStyle name="SAPBEXHLevel1X 3 3 2 4" xfId="26244" xr:uid="{00000000-0005-0000-0000-0000786D0000}"/>
    <cellStyle name="SAPBEXHLevel1X 3 3 2 4 2" xfId="31032" xr:uid="{FEC29357-5D12-4E5D-A6F8-61C7926070C8}"/>
    <cellStyle name="SAPBEXHLevel1X 3 3 2 5" xfId="29782" xr:uid="{00000000-0005-0000-0000-0000796D0000}"/>
    <cellStyle name="SAPBEXHLevel1X 3 3 3" xfId="27115" xr:uid="{00000000-0005-0000-0000-00007A6D0000}"/>
    <cellStyle name="SAPBEXHLevel1X 3 3 3 2" xfId="31833" xr:uid="{E98E2570-1D28-451A-8AAD-F9617DF5D53B}"/>
    <cellStyle name="SAPBEXHLevel1X 3 3 4" xfId="28229" xr:uid="{00000000-0005-0000-0000-00007B6D0000}"/>
    <cellStyle name="SAPBEXHLevel1X 3 3 4 2" xfId="32787" xr:uid="{AECEAC6E-8489-4B5C-8E13-06A0F308DA9D}"/>
    <cellStyle name="SAPBEXHLevel1X 3 3 5" xfId="26324" xr:uid="{00000000-0005-0000-0000-00007C6D0000}"/>
    <cellStyle name="SAPBEXHLevel1X 3 3 5 2" xfId="31112" xr:uid="{8D0E32B6-8F12-44B5-BD3D-88C3600F7C91}"/>
    <cellStyle name="SAPBEXHLevel1X 3 3 6" xfId="29781" xr:uid="{00000000-0005-0000-0000-00007D6D0000}"/>
    <cellStyle name="SAPBEXHLevel1X 3 3 7" xfId="30284" xr:uid="{3E88880E-E747-4EDA-9BAB-CD434869B99E}"/>
    <cellStyle name="SAPBEXHLevel1X 3 4" xfId="24658" xr:uid="{00000000-0005-0000-0000-00007E6D0000}"/>
    <cellStyle name="SAPBEXHLevel1X 3 4 2" xfId="25289" xr:uid="{00000000-0005-0000-0000-00007F6D0000}"/>
    <cellStyle name="SAPBEXHLevel1X 3 4 2 2" xfId="27444" xr:uid="{00000000-0005-0000-0000-0000806D0000}"/>
    <cellStyle name="SAPBEXHLevel1X 3 4 2 2 2" xfId="32039" xr:uid="{646EBB07-8BF6-4771-85CA-F5827B0292FA}"/>
    <cellStyle name="SAPBEXHLevel1X 3 4 2 3" xfId="28232" xr:uid="{00000000-0005-0000-0000-0000816D0000}"/>
    <cellStyle name="SAPBEXHLevel1X 3 4 2 3 2" xfId="32790" xr:uid="{E3C5FC84-923E-43AB-83D7-713C0119595D}"/>
    <cellStyle name="SAPBEXHLevel1X 3 4 2 4" xfId="26360" xr:uid="{00000000-0005-0000-0000-0000826D0000}"/>
    <cellStyle name="SAPBEXHLevel1X 3 4 2 4 2" xfId="31148" xr:uid="{A59897E2-6481-4991-89DC-FA0903FD48A3}"/>
    <cellStyle name="SAPBEXHLevel1X 3 4 2 5" xfId="29784" xr:uid="{00000000-0005-0000-0000-0000836D0000}"/>
    <cellStyle name="SAPBEXHLevel1X 3 4 2 6" xfId="30452" xr:uid="{CE796F3A-936D-4BCF-9718-CAD67F1D7544}"/>
    <cellStyle name="SAPBEXHLevel1X 3 4 3" xfId="25624" xr:uid="{00000000-0005-0000-0000-0000846D0000}"/>
    <cellStyle name="SAPBEXHLevel1X 3 4 3 2" xfId="27777" xr:uid="{00000000-0005-0000-0000-0000856D0000}"/>
    <cellStyle name="SAPBEXHLevel1X 3 4 3 2 2" xfId="32364" xr:uid="{2B3E7B29-1140-44F8-BEB8-8D13807414B6}"/>
    <cellStyle name="SAPBEXHLevel1X 3 4 3 3" xfId="28233" xr:uid="{00000000-0005-0000-0000-0000866D0000}"/>
    <cellStyle name="SAPBEXHLevel1X 3 4 3 3 2" xfId="32791" xr:uid="{65BC597E-E1E5-48DE-9902-82E9530DCCB3}"/>
    <cellStyle name="SAPBEXHLevel1X 3 4 3 4" xfId="26318" xr:uid="{00000000-0005-0000-0000-0000876D0000}"/>
    <cellStyle name="SAPBEXHLevel1X 3 4 3 4 2" xfId="31106" xr:uid="{576D0DCE-441E-4235-BDC2-45CBF8BD80F6}"/>
    <cellStyle name="SAPBEXHLevel1X 3 4 3 5" xfId="29785" xr:uid="{00000000-0005-0000-0000-0000886D0000}"/>
    <cellStyle name="SAPBEXHLevel1X 3 4 4" xfId="27251" xr:uid="{00000000-0005-0000-0000-0000896D0000}"/>
    <cellStyle name="SAPBEXHLevel1X 3 4 4 2" xfId="31886" xr:uid="{63F672A9-7163-4846-A4F7-F37A32EF9F4A}"/>
    <cellStyle name="SAPBEXHLevel1X 3 4 5" xfId="28231" xr:uid="{00000000-0005-0000-0000-00008A6D0000}"/>
    <cellStyle name="SAPBEXHLevel1X 3 4 5 2" xfId="32789" xr:uid="{86D57EB9-09D6-4B2A-B2B8-5F4F3D19E223}"/>
    <cellStyle name="SAPBEXHLevel1X 3 4 6" xfId="27086" xr:uid="{00000000-0005-0000-0000-00008B6D0000}"/>
    <cellStyle name="SAPBEXHLevel1X 3 4 6 2" xfId="31810" xr:uid="{231EB4B4-41F3-473F-B932-712202AC4A18}"/>
    <cellStyle name="SAPBEXHLevel1X 3 4 7" xfId="29783" xr:uid="{00000000-0005-0000-0000-00008C6D0000}"/>
    <cellStyle name="SAPBEXHLevel1X 3 4 8" xfId="30326" xr:uid="{EAB2EE3A-81E1-485D-8B35-11B3CBC29851}"/>
    <cellStyle name="SAPBEXHLevel1X 3 5" xfId="25115" xr:uid="{00000000-0005-0000-0000-00008D6D0000}"/>
    <cellStyle name="SAPBEXHLevel1X 3 5 2" xfId="25303" xr:uid="{00000000-0005-0000-0000-00008E6D0000}"/>
    <cellStyle name="SAPBEXHLevel1X 3 5 2 2" xfId="27457" xr:uid="{00000000-0005-0000-0000-00008F6D0000}"/>
    <cellStyle name="SAPBEXHLevel1X 3 5 2 2 2" xfId="32049" xr:uid="{201859FE-5A1E-4D6B-8FE0-69AE32E4043D}"/>
    <cellStyle name="SAPBEXHLevel1X 3 5 2 3" xfId="28235" xr:uid="{00000000-0005-0000-0000-0000906D0000}"/>
    <cellStyle name="SAPBEXHLevel1X 3 5 2 3 2" xfId="32793" xr:uid="{3D0B7D8D-E6A6-4E24-93BA-BFE4DAE78194}"/>
    <cellStyle name="SAPBEXHLevel1X 3 5 2 4" xfId="26810" xr:uid="{00000000-0005-0000-0000-0000916D0000}"/>
    <cellStyle name="SAPBEXHLevel1X 3 5 2 4 2" xfId="31571" xr:uid="{73618CF3-4B66-445D-A494-E4EF80301B5A}"/>
    <cellStyle name="SAPBEXHLevel1X 3 5 2 5" xfId="29787" xr:uid="{00000000-0005-0000-0000-0000926D0000}"/>
    <cellStyle name="SAPBEXHLevel1X 3 5 2 6" xfId="30462" xr:uid="{734ACAF3-142F-4246-B518-8C74B473D009}"/>
    <cellStyle name="SAPBEXHLevel1X 3 5 3" xfId="25713" xr:uid="{00000000-0005-0000-0000-0000936D0000}"/>
    <cellStyle name="SAPBEXHLevel1X 3 5 3 2" xfId="27866" xr:uid="{00000000-0005-0000-0000-0000946D0000}"/>
    <cellStyle name="SAPBEXHLevel1X 3 5 3 2 2" xfId="32453" xr:uid="{F6598966-1709-47D3-B99B-8EDAE8B66AF2}"/>
    <cellStyle name="SAPBEXHLevel1X 3 5 3 3" xfId="28236" xr:uid="{00000000-0005-0000-0000-0000956D0000}"/>
    <cellStyle name="SAPBEXHLevel1X 3 5 3 3 2" xfId="32794" xr:uid="{56A2F417-65C0-4037-B375-75A66F5B0BE8}"/>
    <cellStyle name="SAPBEXHLevel1X 3 5 3 4" xfId="26939" xr:uid="{00000000-0005-0000-0000-0000966D0000}"/>
    <cellStyle name="SAPBEXHLevel1X 3 5 3 4 2" xfId="31700" xr:uid="{5436CB58-5B4B-4CF4-9905-D5142EC69649}"/>
    <cellStyle name="SAPBEXHLevel1X 3 5 3 5" xfId="29788" xr:uid="{00000000-0005-0000-0000-0000976D0000}"/>
    <cellStyle name="SAPBEXHLevel1X 3 5 3 6" xfId="30707" xr:uid="{6FCC1C26-975C-4935-A2A3-0F1CF74EE553}"/>
    <cellStyle name="SAPBEXHLevel1X 3 5 4" xfId="27400" xr:uid="{00000000-0005-0000-0000-0000986D0000}"/>
    <cellStyle name="SAPBEXHLevel1X 3 5 4 2" xfId="31998" xr:uid="{BC7B6F65-474C-4670-AF1B-A8C89EB75C86}"/>
    <cellStyle name="SAPBEXHLevel1X 3 5 5" xfId="28234" xr:uid="{00000000-0005-0000-0000-0000996D0000}"/>
    <cellStyle name="SAPBEXHLevel1X 3 5 5 2" xfId="32792" xr:uid="{B207DADD-25CB-4D80-A15E-5200573048A8}"/>
    <cellStyle name="SAPBEXHLevel1X 3 5 6" xfId="26923" xr:uid="{00000000-0005-0000-0000-00009A6D0000}"/>
    <cellStyle name="SAPBEXHLevel1X 3 5 6 2" xfId="31684" xr:uid="{33EA3664-990E-4D36-A4D9-551F3E47C593}"/>
    <cellStyle name="SAPBEXHLevel1X 3 5 7" xfId="29786" xr:uid="{00000000-0005-0000-0000-00009B6D0000}"/>
    <cellStyle name="SAPBEXHLevel1X 3 5 8" xfId="30415" xr:uid="{386E2019-ABDD-4DC8-AE5C-8F33CB4F5E08}"/>
    <cellStyle name="SAPBEXHLevel1X 3 6" xfId="25848" xr:uid="{00000000-0005-0000-0000-00009C6D0000}"/>
    <cellStyle name="SAPBEXHLevel1X 3 6 2" xfId="30767" xr:uid="{9469DB00-BBEE-4534-8903-095ABB286398}"/>
    <cellStyle name="SAPBEXHLevel1X 3 7" xfId="28226" xr:uid="{00000000-0005-0000-0000-00009D6D0000}"/>
    <cellStyle name="SAPBEXHLevel1X 3 7 2" xfId="32784" xr:uid="{8E9C2538-EEC5-416E-9CA3-1D190F5A633C}"/>
    <cellStyle name="SAPBEXHLevel1X 3 8" xfId="26450" xr:uid="{00000000-0005-0000-0000-00009E6D0000}"/>
    <cellStyle name="SAPBEXHLevel1X 3 8 2" xfId="31238" xr:uid="{585F0348-A713-46F6-BFCB-E48EDD5DA3B7}"/>
    <cellStyle name="SAPBEXHLevel1X 3 9" xfId="29778" xr:uid="{00000000-0005-0000-0000-00009F6D0000}"/>
    <cellStyle name="SAPBEXHLevel1X 4" xfId="118" xr:uid="{00000000-0005-0000-0000-0000A06D0000}"/>
    <cellStyle name="SAPBEXHLevel1X 4 2" xfId="13652" xr:uid="{00000000-0005-0000-0000-0000A16D0000}"/>
    <cellStyle name="SAPBEXHLevel1X 4 2 2" xfId="25490" xr:uid="{00000000-0005-0000-0000-0000A26D0000}"/>
    <cellStyle name="SAPBEXHLevel1X 4 2 2 2" xfId="27643" xr:uid="{00000000-0005-0000-0000-0000A36D0000}"/>
    <cellStyle name="SAPBEXHLevel1X 4 2 2 2 2" xfId="32230" xr:uid="{C1BCD860-E347-4588-8466-E536128E4A66}"/>
    <cellStyle name="SAPBEXHLevel1X 4 2 2 3" xfId="28239" xr:uid="{00000000-0005-0000-0000-0000A46D0000}"/>
    <cellStyle name="SAPBEXHLevel1X 4 2 2 3 2" xfId="32797" xr:uid="{A1D8DAF0-5A68-4CEF-A6D4-5404F9F9CD94}"/>
    <cellStyle name="SAPBEXHLevel1X 4 2 2 4" xfId="26350" xr:uid="{00000000-0005-0000-0000-0000A56D0000}"/>
    <cellStyle name="SAPBEXHLevel1X 4 2 2 4 2" xfId="31138" xr:uid="{61F5B4B9-F42B-402E-9924-647E3784B993}"/>
    <cellStyle name="SAPBEXHLevel1X 4 2 2 5" xfId="29791" xr:uid="{00000000-0005-0000-0000-0000A66D0000}"/>
    <cellStyle name="SAPBEXHLevel1X 4 2 3" xfId="26594" xr:uid="{00000000-0005-0000-0000-0000A76D0000}"/>
    <cellStyle name="SAPBEXHLevel1X 4 2 3 2" xfId="31372" xr:uid="{5B888614-862B-49CE-A7C8-FDB0746AC848}"/>
    <cellStyle name="SAPBEXHLevel1X 4 2 4" xfId="28238" xr:uid="{00000000-0005-0000-0000-0000A86D0000}"/>
    <cellStyle name="SAPBEXHLevel1X 4 2 4 2" xfId="32796" xr:uid="{DC84D1BE-25A3-40F4-8ABF-51CFDFEC6C41}"/>
    <cellStyle name="SAPBEXHLevel1X 4 2 5" xfId="26855" xr:uid="{00000000-0005-0000-0000-0000A96D0000}"/>
    <cellStyle name="SAPBEXHLevel1X 4 2 5 2" xfId="31616" xr:uid="{D1455F49-F217-468F-AF81-93894F86DFBB}"/>
    <cellStyle name="SAPBEXHLevel1X 4 2 6" xfId="29790" xr:uid="{00000000-0005-0000-0000-0000AA6D0000}"/>
    <cellStyle name="SAPBEXHLevel1X 4 2 7" xfId="30192" xr:uid="{1DBE59E6-9AB9-4FDF-8CA5-C4B9CC85EC3E}"/>
    <cellStyle name="SAPBEXHLevel1X 4 3" xfId="25849" xr:uid="{00000000-0005-0000-0000-0000AB6D0000}"/>
    <cellStyle name="SAPBEXHLevel1X 4 3 2" xfId="30768" xr:uid="{32EFDCCB-36FD-472C-98BA-C029E28A1120}"/>
    <cellStyle name="SAPBEXHLevel1X 4 4" xfId="28237" xr:uid="{00000000-0005-0000-0000-0000AC6D0000}"/>
    <cellStyle name="SAPBEXHLevel1X 4 4 2" xfId="32795" xr:uid="{A961799A-0AA5-41D4-A181-C3DC80638E6D}"/>
    <cellStyle name="SAPBEXHLevel1X 4 5" xfId="29257" xr:uid="{00000000-0005-0000-0000-0000AD6D0000}"/>
    <cellStyle name="SAPBEXHLevel1X 4 5 2" xfId="33239" xr:uid="{46C812CC-398E-4888-91C5-5FC0E3311A2D}"/>
    <cellStyle name="SAPBEXHLevel1X 4 6" xfId="29789" xr:uid="{00000000-0005-0000-0000-0000AE6D0000}"/>
    <cellStyle name="SAPBEXHLevel1X 5" xfId="253" xr:uid="{00000000-0005-0000-0000-0000AF6D0000}"/>
    <cellStyle name="SAPBEXHLevel1X 5 2" xfId="13718" xr:uid="{00000000-0005-0000-0000-0000B06D0000}"/>
    <cellStyle name="SAPBEXHLevel1X 5 2 2" xfId="25531" xr:uid="{00000000-0005-0000-0000-0000B16D0000}"/>
    <cellStyle name="SAPBEXHLevel1X 5 2 2 2" xfId="27684" xr:uid="{00000000-0005-0000-0000-0000B26D0000}"/>
    <cellStyle name="SAPBEXHLevel1X 5 2 2 2 2" xfId="32271" xr:uid="{515C02B7-7EFF-48C7-989E-3ED08A7EF590}"/>
    <cellStyle name="SAPBEXHLevel1X 5 2 2 3" xfId="28242" xr:uid="{00000000-0005-0000-0000-0000B36D0000}"/>
    <cellStyle name="SAPBEXHLevel1X 5 2 2 3 2" xfId="32800" xr:uid="{0D448793-98C4-454C-919C-CCC4EEE1BCFE}"/>
    <cellStyle name="SAPBEXHLevel1X 5 2 2 4" xfId="26976" xr:uid="{00000000-0005-0000-0000-0000B46D0000}"/>
    <cellStyle name="SAPBEXHLevel1X 5 2 2 4 2" xfId="31737" xr:uid="{D0FE9E2B-8166-4A10-BFBC-374652E2A0E4}"/>
    <cellStyle name="SAPBEXHLevel1X 5 2 2 5" xfId="29794" xr:uid="{00000000-0005-0000-0000-0000B56D0000}"/>
    <cellStyle name="SAPBEXHLevel1X 5 2 3" xfId="26638" xr:uid="{00000000-0005-0000-0000-0000B66D0000}"/>
    <cellStyle name="SAPBEXHLevel1X 5 2 3 2" xfId="31415" xr:uid="{C85D6FD8-9283-4CF8-A106-2A087FA669AB}"/>
    <cellStyle name="SAPBEXHLevel1X 5 2 4" xfId="28241" xr:uid="{00000000-0005-0000-0000-0000B76D0000}"/>
    <cellStyle name="SAPBEXHLevel1X 5 2 4 2" xfId="32799" xr:uid="{034376D8-3324-45BF-AC4B-E7A46008B6CC}"/>
    <cellStyle name="SAPBEXHLevel1X 5 2 5" xfId="26066" xr:uid="{00000000-0005-0000-0000-0000B86D0000}"/>
    <cellStyle name="SAPBEXHLevel1X 5 2 5 2" xfId="30856" xr:uid="{5C26016D-D73F-4C40-B619-40FAD460D39D}"/>
    <cellStyle name="SAPBEXHLevel1X 5 2 6" xfId="29793" xr:uid="{00000000-0005-0000-0000-0000B96D0000}"/>
    <cellStyle name="SAPBEXHLevel1X 5 2 7" xfId="30233" xr:uid="{05AC14C5-307C-4030-9D03-24484CE872BD}"/>
    <cellStyle name="SAPBEXHLevel1X 5 3" xfId="25921" xr:uid="{00000000-0005-0000-0000-0000BA6D0000}"/>
    <cellStyle name="SAPBEXHLevel1X 5 3 2" xfId="30810" xr:uid="{2A31D332-CB0B-4AAA-BCA3-78AF2949C5C2}"/>
    <cellStyle name="SAPBEXHLevel1X 5 4" xfId="28240" xr:uid="{00000000-0005-0000-0000-0000BB6D0000}"/>
    <cellStyle name="SAPBEXHLevel1X 5 4 2" xfId="32798" xr:uid="{E8DA3C27-A5AC-431B-BC43-D9396C693F95}"/>
    <cellStyle name="SAPBEXHLevel1X 5 5" xfId="26472" xr:uid="{00000000-0005-0000-0000-0000BC6D0000}"/>
    <cellStyle name="SAPBEXHLevel1X 5 5 2" xfId="31260" xr:uid="{8F23E2C8-D5A5-44A3-9E3B-A0590CD2A96A}"/>
    <cellStyle name="SAPBEXHLevel1X 5 6" xfId="29792" xr:uid="{00000000-0005-0000-0000-0000BD6D0000}"/>
    <cellStyle name="SAPBEXHLevel1X 6" xfId="13649" xr:uid="{00000000-0005-0000-0000-0000BE6D0000}"/>
    <cellStyle name="SAPBEXHLevel1X 6 2" xfId="25487" xr:uid="{00000000-0005-0000-0000-0000BF6D0000}"/>
    <cellStyle name="SAPBEXHLevel1X 6 2 2" xfId="27640" xr:uid="{00000000-0005-0000-0000-0000C06D0000}"/>
    <cellStyle name="SAPBEXHLevel1X 6 2 2 2" xfId="32227" xr:uid="{2F7BD0D8-CC3A-4E86-A90A-E8F03AEE5EEC}"/>
    <cellStyle name="SAPBEXHLevel1X 6 2 3" xfId="28244" xr:uid="{00000000-0005-0000-0000-0000C16D0000}"/>
    <cellStyle name="SAPBEXHLevel1X 6 2 3 2" xfId="32802" xr:uid="{77CC2611-AFB1-4BCF-99EB-E06FAAA54A24}"/>
    <cellStyle name="SAPBEXHLevel1X 6 2 4" xfId="26077" xr:uid="{00000000-0005-0000-0000-0000C26D0000}"/>
    <cellStyle name="SAPBEXHLevel1X 6 2 4 2" xfId="30867" xr:uid="{CBB4310B-ECA9-4F3F-A1F3-EC47936D54DB}"/>
    <cellStyle name="SAPBEXHLevel1X 6 2 5" xfId="29796" xr:uid="{00000000-0005-0000-0000-0000C36D0000}"/>
    <cellStyle name="SAPBEXHLevel1X 6 3" xfId="26591" xr:uid="{00000000-0005-0000-0000-0000C46D0000}"/>
    <cellStyle name="SAPBEXHLevel1X 6 3 2" xfId="31369" xr:uid="{DADFDD32-9742-4B35-B016-3F10EFCA5CDE}"/>
    <cellStyle name="SAPBEXHLevel1X 6 4" xfId="28243" xr:uid="{00000000-0005-0000-0000-0000C56D0000}"/>
    <cellStyle name="SAPBEXHLevel1X 6 4 2" xfId="32801" xr:uid="{384CB625-7F6C-4DB4-A730-C463729B59DB}"/>
    <cellStyle name="SAPBEXHLevel1X 6 5" xfId="26188" xr:uid="{00000000-0005-0000-0000-0000C66D0000}"/>
    <cellStyle name="SAPBEXHLevel1X 6 5 2" xfId="30976" xr:uid="{8A2D5773-9E4B-468D-BF61-DADC03663E1A}"/>
    <cellStyle name="SAPBEXHLevel1X 6 6" xfId="29795" xr:uid="{00000000-0005-0000-0000-0000C76D0000}"/>
    <cellStyle name="SAPBEXHLevel1X 6 7" xfId="30189" xr:uid="{89424B0F-63F1-4DAD-9AD0-480D3DF47F15}"/>
    <cellStyle name="SAPBEXHLevel1X 7" xfId="24660" xr:uid="{00000000-0005-0000-0000-0000C86D0000}"/>
    <cellStyle name="SAPBEXHLevel1X 7 2" xfId="25384" xr:uid="{00000000-0005-0000-0000-0000C96D0000}"/>
    <cellStyle name="SAPBEXHLevel1X 7 2 2" xfId="27538" xr:uid="{00000000-0005-0000-0000-0000CA6D0000}"/>
    <cellStyle name="SAPBEXHLevel1X 7 2 2 2" xfId="32129" xr:uid="{E3F8D768-4E45-45AD-A328-5DD1CDD3A005}"/>
    <cellStyle name="SAPBEXHLevel1X 7 2 3" xfId="28246" xr:uid="{00000000-0005-0000-0000-0000CB6D0000}"/>
    <cellStyle name="SAPBEXHLevel1X 7 2 3 2" xfId="32804" xr:uid="{868805F1-A02D-4C73-BDA5-CFDBD81FD33E}"/>
    <cellStyle name="SAPBEXHLevel1X 7 2 4" xfId="26478" xr:uid="{00000000-0005-0000-0000-0000CC6D0000}"/>
    <cellStyle name="SAPBEXHLevel1X 7 2 4 2" xfId="31266" xr:uid="{57FEDCD9-D707-4D7B-BD5C-7979B07A6BD1}"/>
    <cellStyle name="SAPBEXHLevel1X 7 2 5" xfId="29798" xr:uid="{00000000-0005-0000-0000-0000CD6D0000}"/>
    <cellStyle name="SAPBEXHLevel1X 7 2 6" xfId="30542" xr:uid="{FE71CFAC-3E37-4B41-BF51-07972614AFE0}"/>
    <cellStyle name="SAPBEXHLevel1X 7 3" xfId="25626" xr:uid="{00000000-0005-0000-0000-0000CE6D0000}"/>
    <cellStyle name="SAPBEXHLevel1X 7 3 2" xfId="27779" xr:uid="{00000000-0005-0000-0000-0000CF6D0000}"/>
    <cellStyle name="SAPBEXHLevel1X 7 3 2 2" xfId="32366" xr:uid="{AA6ED78A-D6DD-44AA-A418-5F23D2BBC751}"/>
    <cellStyle name="SAPBEXHLevel1X 7 3 3" xfId="28247" xr:uid="{00000000-0005-0000-0000-0000D06D0000}"/>
    <cellStyle name="SAPBEXHLevel1X 7 3 3 2" xfId="32805" xr:uid="{69F631F9-210E-4759-8593-6B87CF1EE796}"/>
    <cellStyle name="SAPBEXHLevel1X 7 3 4" xfId="26287" xr:uid="{00000000-0005-0000-0000-0000D16D0000}"/>
    <cellStyle name="SAPBEXHLevel1X 7 3 4 2" xfId="31075" xr:uid="{0ABF05B7-6ABE-4542-867C-2BA95B8FAAE6}"/>
    <cellStyle name="SAPBEXHLevel1X 7 3 5" xfId="29799" xr:uid="{00000000-0005-0000-0000-0000D26D0000}"/>
    <cellStyle name="SAPBEXHLevel1X 7 4" xfId="27253" xr:uid="{00000000-0005-0000-0000-0000D36D0000}"/>
    <cellStyle name="SAPBEXHLevel1X 7 4 2" xfId="31888" xr:uid="{1C00ECD6-4BE2-4528-BCEA-EB20228F42EB}"/>
    <cellStyle name="SAPBEXHLevel1X 7 5" xfId="28245" xr:uid="{00000000-0005-0000-0000-0000D46D0000}"/>
    <cellStyle name="SAPBEXHLevel1X 7 5 2" xfId="32803" xr:uid="{969721FB-D643-4D75-9485-CD0869262CBC}"/>
    <cellStyle name="SAPBEXHLevel1X 7 6" xfId="26972" xr:uid="{00000000-0005-0000-0000-0000D56D0000}"/>
    <cellStyle name="SAPBEXHLevel1X 7 6 2" xfId="31733" xr:uid="{AAA01AFD-4F5B-4857-8E55-B1CFFF9F552C}"/>
    <cellStyle name="SAPBEXHLevel1X 7 7" xfId="29797" xr:uid="{00000000-0005-0000-0000-0000D66D0000}"/>
    <cellStyle name="SAPBEXHLevel1X 7 8" xfId="30328" xr:uid="{73345D3E-011D-4B5D-9BB5-FEBDDA2918C4}"/>
    <cellStyle name="SAPBEXHLevel1X 8" xfId="25113" xr:uid="{00000000-0005-0000-0000-0000D76D0000}"/>
    <cellStyle name="SAPBEXHLevel1X 8 2" xfId="25380" xr:uid="{00000000-0005-0000-0000-0000D86D0000}"/>
    <cellStyle name="SAPBEXHLevel1X 8 2 2" xfId="27534" xr:uid="{00000000-0005-0000-0000-0000D96D0000}"/>
    <cellStyle name="SAPBEXHLevel1X 8 2 2 2" xfId="32125" xr:uid="{EB54A12F-C3C9-408C-9C03-5BFB95FC73E8}"/>
    <cellStyle name="SAPBEXHLevel1X 8 2 3" xfId="28249" xr:uid="{00000000-0005-0000-0000-0000DA6D0000}"/>
    <cellStyle name="SAPBEXHLevel1X 8 2 3 2" xfId="32807" xr:uid="{8A43542F-11A9-4DA6-85F2-ACE09E3F23CB}"/>
    <cellStyle name="SAPBEXHLevel1X 8 2 4" xfId="26978" xr:uid="{00000000-0005-0000-0000-0000DB6D0000}"/>
    <cellStyle name="SAPBEXHLevel1X 8 2 4 2" xfId="31739" xr:uid="{709FD634-255B-4941-9184-DE017BF3646A}"/>
    <cellStyle name="SAPBEXHLevel1X 8 2 5" xfId="29801" xr:uid="{00000000-0005-0000-0000-0000DC6D0000}"/>
    <cellStyle name="SAPBEXHLevel1X 8 2 6" xfId="30538" xr:uid="{EB440985-0378-4039-9919-959C84D7D378}"/>
    <cellStyle name="SAPBEXHLevel1X 8 3" xfId="25711" xr:uid="{00000000-0005-0000-0000-0000DD6D0000}"/>
    <cellStyle name="SAPBEXHLevel1X 8 3 2" xfId="27864" xr:uid="{00000000-0005-0000-0000-0000DE6D0000}"/>
    <cellStyle name="SAPBEXHLevel1X 8 3 2 2" xfId="32451" xr:uid="{6D7F942A-914F-48BE-AE7A-943D2B2AB4F9}"/>
    <cellStyle name="SAPBEXHLevel1X 8 3 3" xfId="28250" xr:uid="{00000000-0005-0000-0000-0000DF6D0000}"/>
    <cellStyle name="SAPBEXHLevel1X 8 3 3 2" xfId="32808" xr:uid="{6EF56C93-48D0-4A8F-8D07-D9F573EFF668}"/>
    <cellStyle name="SAPBEXHLevel1X 8 3 4" xfId="26895" xr:uid="{00000000-0005-0000-0000-0000E06D0000}"/>
    <cellStyle name="SAPBEXHLevel1X 8 3 4 2" xfId="31656" xr:uid="{6BDA569C-B837-4519-A6A4-784621007E39}"/>
    <cellStyle name="SAPBEXHLevel1X 8 3 5" xfId="29802" xr:uid="{00000000-0005-0000-0000-0000E16D0000}"/>
    <cellStyle name="SAPBEXHLevel1X 8 3 6" xfId="30705" xr:uid="{01D8D8D4-C429-4C6C-B9A3-7644B152D0B5}"/>
    <cellStyle name="SAPBEXHLevel1X 8 4" xfId="27398" xr:uid="{00000000-0005-0000-0000-0000E26D0000}"/>
    <cellStyle name="SAPBEXHLevel1X 8 4 2" xfId="31996" xr:uid="{289ED923-19B9-4AB7-A872-DFBB9811D290}"/>
    <cellStyle name="SAPBEXHLevel1X 8 5" xfId="28248" xr:uid="{00000000-0005-0000-0000-0000E36D0000}"/>
    <cellStyle name="SAPBEXHLevel1X 8 5 2" xfId="32806" xr:uid="{A3B2CDEF-8CEE-40EF-9E4E-46D7695B4E7D}"/>
    <cellStyle name="SAPBEXHLevel1X 8 6" xfId="26971" xr:uid="{00000000-0005-0000-0000-0000E46D0000}"/>
    <cellStyle name="SAPBEXHLevel1X 8 6 2" xfId="31732" xr:uid="{F285A251-5170-4697-8D64-0425ABDECD41}"/>
    <cellStyle name="SAPBEXHLevel1X 8 7" xfId="29800" xr:uid="{00000000-0005-0000-0000-0000E56D0000}"/>
    <cellStyle name="SAPBEXHLevel1X 8 8" xfId="30413" xr:uid="{C51D6A8E-3252-41BA-9778-537C3A8A4CFE}"/>
    <cellStyle name="SAPBEXHLevel1X 9" xfId="25846" xr:uid="{00000000-0005-0000-0000-0000E66D0000}"/>
    <cellStyle name="SAPBEXHLevel1X 9 2" xfId="30765" xr:uid="{5BC7F63C-EAC2-4424-939C-381607A5129E}"/>
    <cellStyle name="SAPBEXHLevel2" xfId="119" xr:uid="{00000000-0005-0000-0000-0000E76D0000}"/>
    <cellStyle name="SAPBEXHLevel2 10" xfId="28251" xr:uid="{00000000-0005-0000-0000-0000E86D0000}"/>
    <cellStyle name="SAPBEXHLevel2 10 2" xfId="32809" xr:uid="{A3D3E06A-5513-4E5F-91F6-4FAC14199F8D}"/>
    <cellStyle name="SAPBEXHLevel2 11" xfId="29206" xr:uid="{00000000-0005-0000-0000-0000E96D0000}"/>
    <cellStyle name="SAPBEXHLevel2 11 2" xfId="33189" xr:uid="{86A1CC10-CCA7-4242-B5C9-DC9809DC3CE6}"/>
    <cellStyle name="SAPBEXHLevel2 12" xfId="29803" xr:uid="{00000000-0005-0000-0000-0000EA6D0000}"/>
    <cellStyle name="SAPBEXHLevel2 2" xfId="120" xr:uid="{00000000-0005-0000-0000-0000EB6D0000}"/>
    <cellStyle name="SAPBEXHLevel2 2 2" xfId="13654" xr:uid="{00000000-0005-0000-0000-0000EC6D0000}"/>
    <cellStyle name="SAPBEXHLevel2 2 2 2" xfId="25492" xr:uid="{00000000-0005-0000-0000-0000ED6D0000}"/>
    <cellStyle name="SAPBEXHLevel2 2 2 2 2" xfId="27645" xr:uid="{00000000-0005-0000-0000-0000EE6D0000}"/>
    <cellStyle name="SAPBEXHLevel2 2 2 2 2 2" xfId="32232" xr:uid="{06FD7798-04C7-49F7-ADEC-68DD7664A2C3}"/>
    <cellStyle name="SAPBEXHLevel2 2 2 2 3" xfId="28254" xr:uid="{00000000-0005-0000-0000-0000EF6D0000}"/>
    <cellStyle name="SAPBEXHLevel2 2 2 2 3 2" xfId="32812" xr:uid="{2FAE2923-34C3-4840-9655-0B08A418A4D6}"/>
    <cellStyle name="SAPBEXHLevel2 2 2 2 4" xfId="26071" xr:uid="{00000000-0005-0000-0000-0000F06D0000}"/>
    <cellStyle name="SAPBEXHLevel2 2 2 2 4 2" xfId="30861" xr:uid="{24DFBB97-8714-4DB9-95F9-3E9D95635A35}"/>
    <cellStyle name="SAPBEXHLevel2 2 2 2 5" xfId="29806" xr:uid="{00000000-0005-0000-0000-0000F16D0000}"/>
    <cellStyle name="SAPBEXHLevel2 2 2 3" xfId="26596" xr:uid="{00000000-0005-0000-0000-0000F26D0000}"/>
    <cellStyle name="SAPBEXHLevel2 2 2 3 2" xfId="31374" xr:uid="{2AACC676-0188-4899-B256-2E2BFD55C95B}"/>
    <cellStyle name="SAPBEXHLevel2 2 2 4" xfId="28253" xr:uid="{00000000-0005-0000-0000-0000F36D0000}"/>
    <cellStyle name="SAPBEXHLevel2 2 2 4 2" xfId="32811" xr:uid="{A73B4739-4538-453A-9BF7-03C5CF943844}"/>
    <cellStyle name="SAPBEXHLevel2 2 2 5" xfId="26747" xr:uid="{00000000-0005-0000-0000-0000F46D0000}"/>
    <cellStyle name="SAPBEXHLevel2 2 2 5 2" xfId="31508" xr:uid="{6449C02D-757E-40B1-B13D-7E65A61E3FD0}"/>
    <cellStyle name="SAPBEXHLevel2 2 2 6" xfId="29805" xr:uid="{00000000-0005-0000-0000-0000F56D0000}"/>
    <cellStyle name="SAPBEXHLevel2 2 2 7" xfId="30194" xr:uid="{A03D528A-C959-445B-A1D6-8F82FE5BDEB9}"/>
    <cellStyle name="SAPBEXHLevel2 2 3" xfId="24262" xr:uid="{00000000-0005-0000-0000-0000F66D0000}"/>
    <cellStyle name="SAPBEXHLevel2 2 3 2" xfId="25583" xr:uid="{00000000-0005-0000-0000-0000F76D0000}"/>
    <cellStyle name="SAPBEXHLevel2 2 3 2 2" xfId="27736" xr:uid="{00000000-0005-0000-0000-0000F86D0000}"/>
    <cellStyle name="SAPBEXHLevel2 2 3 2 2 2" xfId="32323" xr:uid="{005227D4-A81F-400E-A27F-4638D6CA4369}"/>
    <cellStyle name="SAPBEXHLevel2 2 3 2 3" xfId="28256" xr:uid="{00000000-0005-0000-0000-0000F96D0000}"/>
    <cellStyle name="SAPBEXHLevel2 2 3 2 3 2" xfId="32814" xr:uid="{ED71EB9A-7FBF-4B6E-993B-95A7EB5BC4BA}"/>
    <cellStyle name="SAPBEXHLevel2 2 3 2 4" xfId="26158" xr:uid="{00000000-0005-0000-0000-0000FA6D0000}"/>
    <cellStyle name="SAPBEXHLevel2 2 3 2 4 2" xfId="30947" xr:uid="{9A1477DC-7001-45D1-A39E-51B90E043F8D}"/>
    <cellStyle name="SAPBEXHLevel2 2 3 2 5" xfId="29808" xr:uid="{00000000-0005-0000-0000-0000FB6D0000}"/>
    <cellStyle name="SAPBEXHLevel2 2 3 3" xfId="27116" xr:uid="{00000000-0005-0000-0000-0000FC6D0000}"/>
    <cellStyle name="SAPBEXHLevel2 2 3 3 2" xfId="31834" xr:uid="{512B381D-420B-41AF-868F-1994945E8FC7}"/>
    <cellStyle name="SAPBEXHLevel2 2 3 4" xfId="28255" xr:uid="{00000000-0005-0000-0000-0000FD6D0000}"/>
    <cellStyle name="SAPBEXHLevel2 2 3 4 2" xfId="32813" xr:uid="{241FB119-66B3-403C-B1EA-5F8C3F68F95F}"/>
    <cellStyle name="SAPBEXHLevel2 2 3 5" xfId="26337" xr:uid="{00000000-0005-0000-0000-0000FE6D0000}"/>
    <cellStyle name="SAPBEXHLevel2 2 3 5 2" xfId="31125" xr:uid="{8AA08D84-CE9F-4751-9D73-8752D71DFE07}"/>
    <cellStyle name="SAPBEXHLevel2 2 3 6" xfId="29807" xr:uid="{00000000-0005-0000-0000-0000FF6D0000}"/>
    <cellStyle name="SAPBEXHLevel2 2 3 7" xfId="30285" xr:uid="{C0C5A759-96D1-4F0C-8732-F4843E4509A5}"/>
    <cellStyle name="SAPBEXHLevel2 2 4" xfId="24656" xr:uid="{00000000-0005-0000-0000-0000006E0000}"/>
    <cellStyle name="SAPBEXHLevel2 2 4 2" xfId="25363" xr:uid="{00000000-0005-0000-0000-0000016E0000}"/>
    <cellStyle name="SAPBEXHLevel2 2 4 2 2" xfId="27517" xr:uid="{00000000-0005-0000-0000-0000026E0000}"/>
    <cellStyle name="SAPBEXHLevel2 2 4 2 2 2" xfId="32108" xr:uid="{CE074DA2-9B3F-467E-B1F3-450F2A614D22}"/>
    <cellStyle name="SAPBEXHLevel2 2 4 2 3" xfId="28258" xr:uid="{00000000-0005-0000-0000-0000036E0000}"/>
    <cellStyle name="SAPBEXHLevel2 2 4 2 3 2" xfId="32816" xr:uid="{CBE2EA76-0ECB-4595-AE13-BAC5AD53EC28}"/>
    <cellStyle name="SAPBEXHLevel2 2 4 2 4" xfId="26987" xr:uid="{00000000-0005-0000-0000-0000046E0000}"/>
    <cellStyle name="SAPBEXHLevel2 2 4 2 4 2" xfId="31748" xr:uid="{1B407ABD-BFDA-4D5A-9ACD-D5EFC2F04539}"/>
    <cellStyle name="SAPBEXHLevel2 2 4 2 5" xfId="29810" xr:uid="{00000000-0005-0000-0000-0000056E0000}"/>
    <cellStyle name="SAPBEXHLevel2 2 4 2 6" xfId="30521" xr:uid="{18BE5C8E-9603-4C28-A8AF-1CD689AA3382}"/>
    <cellStyle name="SAPBEXHLevel2 2 4 3" xfId="25622" xr:uid="{00000000-0005-0000-0000-0000066E0000}"/>
    <cellStyle name="SAPBEXHLevel2 2 4 3 2" xfId="27775" xr:uid="{00000000-0005-0000-0000-0000076E0000}"/>
    <cellStyle name="SAPBEXHLevel2 2 4 3 2 2" xfId="32362" xr:uid="{9F28561E-3A49-4746-B882-B32377E806ED}"/>
    <cellStyle name="SAPBEXHLevel2 2 4 3 3" xfId="28259" xr:uid="{00000000-0005-0000-0000-0000086E0000}"/>
    <cellStyle name="SAPBEXHLevel2 2 4 3 3 2" xfId="32817" xr:uid="{7AD81A38-345A-4F04-BDC0-8FA1CA9F63A8}"/>
    <cellStyle name="SAPBEXHLevel2 2 4 3 4" xfId="26067" xr:uid="{00000000-0005-0000-0000-0000096E0000}"/>
    <cellStyle name="SAPBEXHLevel2 2 4 3 4 2" xfId="30857" xr:uid="{3E2A08D0-A9D1-4484-8D69-B4C16986B9CB}"/>
    <cellStyle name="SAPBEXHLevel2 2 4 3 5" xfId="29811" xr:uid="{00000000-0005-0000-0000-00000A6E0000}"/>
    <cellStyle name="SAPBEXHLevel2 2 4 4" xfId="27249" xr:uid="{00000000-0005-0000-0000-00000B6E0000}"/>
    <cellStyle name="SAPBEXHLevel2 2 4 4 2" xfId="31884" xr:uid="{6D935B50-432E-49F6-9326-699CA108C07A}"/>
    <cellStyle name="SAPBEXHLevel2 2 4 5" xfId="28257" xr:uid="{00000000-0005-0000-0000-00000C6E0000}"/>
    <cellStyle name="SAPBEXHLevel2 2 4 5 2" xfId="32815" xr:uid="{8CBD8714-094C-4092-BCF7-A4E11E8A7DA0}"/>
    <cellStyle name="SAPBEXHLevel2 2 4 6" xfId="26175" xr:uid="{00000000-0005-0000-0000-00000D6E0000}"/>
    <cellStyle name="SAPBEXHLevel2 2 4 6 2" xfId="30964" xr:uid="{369EB1D7-63FF-4833-8A9C-E20DC9534BD7}"/>
    <cellStyle name="SAPBEXHLevel2 2 4 7" xfId="29809" xr:uid="{00000000-0005-0000-0000-00000E6E0000}"/>
    <cellStyle name="SAPBEXHLevel2 2 4 8" xfId="30324" xr:uid="{C5E97B17-0015-4304-82EB-141DAC05A722}"/>
    <cellStyle name="SAPBEXHLevel2 2 5" xfId="25117" xr:uid="{00000000-0005-0000-0000-00000F6E0000}"/>
    <cellStyle name="SAPBEXHLevel2 2 5 2" xfId="25319" xr:uid="{00000000-0005-0000-0000-0000106E0000}"/>
    <cellStyle name="SAPBEXHLevel2 2 5 2 2" xfId="27473" xr:uid="{00000000-0005-0000-0000-0000116E0000}"/>
    <cellStyle name="SAPBEXHLevel2 2 5 2 2 2" xfId="32064" xr:uid="{AAF296A2-72DA-46FD-8D2E-FAFA54C860E2}"/>
    <cellStyle name="SAPBEXHLevel2 2 5 2 3" xfId="28261" xr:uid="{00000000-0005-0000-0000-0000126E0000}"/>
    <cellStyle name="SAPBEXHLevel2 2 5 2 3 2" xfId="32819" xr:uid="{551BF80C-B8F8-4C41-9F61-52D714ADA62D}"/>
    <cellStyle name="SAPBEXHLevel2 2 5 2 4" xfId="26289" xr:uid="{00000000-0005-0000-0000-0000136E0000}"/>
    <cellStyle name="SAPBEXHLevel2 2 5 2 4 2" xfId="31077" xr:uid="{FB2A98D3-1333-41EC-948B-CA3C0C384C18}"/>
    <cellStyle name="SAPBEXHLevel2 2 5 2 5" xfId="29813" xr:uid="{00000000-0005-0000-0000-0000146E0000}"/>
    <cellStyle name="SAPBEXHLevel2 2 5 2 6" xfId="30477" xr:uid="{C53DB107-816D-4071-A48C-3B293C25CF16}"/>
    <cellStyle name="SAPBEXHLevel2 2 5 3" xfId="25715" xr:uid="{00000000-0005-0000-0000-0000156E0000}"/>
    <cellStyle name="SAPBEXHLevel2 2 5 3 2" xfId="27868" xr:uid="{00000000-0005-0000-0000-0000166E0000}"/>
    <cellStyle name="SAPBEXHLevel2 2 5 3 2 2" xfId="32455" xr:uid="{7098BD23-4B70-4888-A6E5-4388066219A1}"/>
    <cellStyle name="SAPBEXHLevel2 2 5 3 3" xfId="28262" xr:uid="{00000000-0005-0000-0000-0000176E0000}"/>
    <cellStyle name="SAPBEXHLevel2 2 5 3 3 2" xfId="32820" xr:uid="{A8EC214C-108F-4598-93EC-D580DC8A6AEF}"/>
    <cellStyle name="SAPBEXHLevel2 2 5 3 4" xfId="27148" xr:uid="{00000000-0005-0000-0000-0000186E0000}"/>
    <cellStyle name="SAPBEXHLevel2 2 5 3 4 2" xfId="31850" xr:uid="{BC49B553-EA42-4DF0-88BC-FED62E4B5CBB}"/>
    <cellStyle name="SAPBEXHLevel2 2 5 3 5" xfId="29814" xr:uid="{00000000-0005-0000-0000-0000196E0000}"/>
    <cellStyle name="SAPBEXHLevel2 2 5 3 6" xfId="30709" xr:uid="{45D3B5A5-42C2-4ACC-B92E-206F914567FF}"/>
    <cellStyle name="SAPBEXHLevel2 2 5 4" xfId="27402" xr:uid="{00000000-0005-0000-0000-00001A6E0000}"/>
    <cellStyle name="SAPBEXHLevel2 2 5 4 2" xfId="32000" xr:uid="{16CB77B7-DE57-437F-AF1F-5D98B867886D}"/>
    <cellStyle name="SAPBEXHLevel2 2 5 5" xfId="28260" xr:uid="{00000000-0005-0000-0000-00001B6E0000}"/>
    <cellStyle name="SAPBEXHLevel2 2 5 5 2" xfId="32818" xr:uid="{CC0E23F3-1AA0-4032-8F6B-72A83F20EA81}"/>
    <cellStyle name="SAPBEXHLevel2 2 5 6" xfId="26860" xr:uid="{00000000-0005-0000-0000-00001C6E0000}"/>
    <cellStyle name="SAPBEXHLevel2 2 5 6 2" xfId="31621" xr:uid="{24ABD72B-DCDA-4F59-8E15-EAACD49A855E}"/>
    <cellStyle name="SAPBEXHLevel2 2 5 7" xfId="29812" xr:uid="{00000000-0005-0000-0000-00001D6E0000}"/>
    <cellStyle name="SAPBEXHLevel2 2 5 8" xfId="30417" xr:uid="{0FBF80A7-02C3-4C5C-94A7-72A1A9FDF956}"/>
    <cellStyle name="SAPBEXHLevel2 2 6" xfId="25851" xr:uid="{00000000-0005-0000-0000-00001E6E0000}"/>
    <cellStyle name="SAPBEXHLevel2 2 6 2" xfId="30770" xr:uid="{9590E993-97D8-4406-8CE6-F1F86D500F54}"/>
    <cellStyle name="SAPBEXHLevel2 2 7" xfId="28252" xr:uid="{00000000-0005-0000-0000-00001F6E0000}"/>
    <cellStyle name="SAPBEXHLevel2 2 7 2" xfId="32810" xr:uid="{8D367D9E-5CCF-4F3A-AB03-CCCCF0CEA32B}"/>
    <cellStyle name="SAPBEXHLevel2 2 8" xfId="29183" xr:uid="{00000000-0005-0000-0000-0000206E0000}"/>
    <cellStyle name="SAPBEXHLevel2 2 8 2" xfId="33166" xr:uid="{444240FB-534D-4169-B20B-87A2532061BB}"/>
    <cellStyle name="SAPBEXHLevel2 2 9" xfId="29804" xr:uid="{00000000-0005-0000-0000-0000216E0000}"/>
    <cellStyle name="SAPBEXHLevel2 3" xfId="121" xr:uid="{00000000-0005-0000-0000-0000226E0000}"/>
    <cellStyle name="SAPBEXHLevel2 3 2" xfId="13655" xr:uid="{00000000-0005-0000-0000-0000236E0000}"/>
    <cellStyle name="SAPBEXHLevel2 3 2 2" xfId="25493" xr:uid="{00000000-0005-0000-0000-0000246E0000}"/>
    <cellStyle name="SAPBEXHLevel2 3 2 2 2" xfId="27646" xr:uid="{00000000-0005-0000-0000-0000256E0000}"/>
    <cellStyle name="SAPBEXHLevel2 3 2 2 2 2" xfId="32233" xr:uid="{504F2774-0FA1-4D79-A136-52ED3839BB01}"/>
    <cellStyle name="SAPBEXHLevel2 3 2 2 3" xfId="28265" xr:uid="{00000000-0005-0000-0000-0000266E0000}"/>
    <cellStyle name="SAPBEXHLevel2 3 2 2 3 2" xfId="32823" xr:uid="{3E9416FC-A5FD-4D32-8919-027C9C2B4887}"/>
    <cellStyle name="SAPBEXHLevel2 3 2 2 4" xfId="26162" xr:uid="{00000000-0005-0000-0000-0000276E0000}"/>
    <cellStyle name="SAPBEXHLevel2 3 2 2 4 2" xfId="30951" xr:uid="{08565796-4B28-4EDC-A211-AB56246ADDF3}"/>
    <cellStyle name="SAPBEXHLevel2 3 2 2 5" xfId="29817" xr:uid="{00000000-0005-0000-0000-0000286E0000}"/>
    <cellStyle name="SAPBEXHLevel2 3 2 3" xfId="26597" xr:uid="{00000000-0005-0000-0000-0000296E0000}"/>
    <cellStyle name="SAPBEXHLevel2 3 2 3 2" xfId="31375" xr:uid="{F84F91DA-D7DE-439B-A121-CCADB104EB27}"/>
    <cellStyle name="SAPBEXHLevel2 3 2 4" xfId="28264" xr:uid="{00000000-0005-0000-0000-00002A6E0000}"/>
    <cellStyle name="SAPBEXHLevel2 3 2 4 2" xfId="32822" xr:uid="{55A94946-4DB4-41D4-A569-7B1DFA6F289D}"/>
    <cellStyle name="SAPBEXHLevel2 3 2 5" xfId="27003" xr:uid="{00000000-0005-0000-0000-00002B6E0000}"/>
    <cellStyle name="SAPBEXHLevel2 3 2 5 2" xfId="31763" xr:uid="{D409D6EC-0C24-4973-AF04-EB019E4141AE}"/>
    <cellStyle name="SAPBEXHLevel2 3 2 6" xfId="29816" xr:uid="{00000000-0005-0000-0000-00002C6E0000}"/>
    <cellStyle name="SAPBEXHLevel2 3 2 7" xfId="30195" xr:uid="{0EFF9024-79DD-4629-B0CB-5B3C6FDC3C58}"/>
    <cellStyle name="SAPBEXHLevel2 3 3" xfId="24263" xr:uid="{00000000-0005-0000-0000-00002D6E0000}"/>
    <cellStyle name="SAPBEXHLevel2 3 3 2" xfId="25584" xr:uid="{00000000-0005-0000-0000-00002E6E0000}"/>
    <cellStyle name="SAPBEXHLevel2 3 3 2 2" xfId="27737" xr:uid="{00000000-0005-0000-0000-00002F6E0000}"/>
    <cellStyle name="SAPBEXHLevel2 3 3 2 2 2" xfId="32324" xr:uid="{7E6853ED-931D-429B-9A1D-4A1714812003}"/>
    <cellStyle name="SAPBEXHLevel2 3 3 2 3" xfId="28267" xr:uid="{00000000-0005-0000-0000-0000306E0000}"/>
    <cellStyle name="SAPBEXHLevel2 3 3 2 3 2" xfId="32825" xr:uid="{A55765A4-3468-4444-BF46-F4D26843F335}"/>
    <cellStyle name="SAPBEXHLevel2 3 3 2 4" xfId="26738" xr:uid="{00000000-0005-0000-0000-0000316E0000}"/>
    <cellStyle name="SAPBEXHLevel2 3 3 2 4 2" xfId="31499" xr:uid="{D9893349-3E87-48A2-A491-0E8308C9B790}"/>
    <cellStyle name="SAPBEXHLevel2 3 3 2 5" xfId="29819" xr:uid="{00000000-0005-0000-0000-0000326E0000}"/>
    <cellStyle name="SAPBEXHLevel2 3 3 3" xfId="27117" xr:uid="{00000000-0005-0000-0000-0000336E0000}"/>
    <cellStyle name="SAPBEXHLevel2 3 3 3 2" xfId="31835" xr:uid="{5ACB60C2-BA3E-4CC8-80D5-F5F9E7441FB6}"/>
    <cellStyle name="SAPBEXHLevel2 3 3 4" xfId="28266" xr:uid="{00000000-0005-0000-0000-0000346E0000}"/>
    <cellStyle name="SAPBEXHLevel2 3 3 4 2" xfId="32824" xr:uid="{44E6EE00-DD9E-495F-B47E-B1540E11E3B5}"/>
    <cellStyle name="SAPBEXHLevel2 3 3 5" xfId="26068" xr:uid="{00000000-0005-0000-0000-0000356E0000}"/>
    <cellStyle name="SAPBEXHLevel2 3 3 5 2" xfId="30858" xr:uid="{08AB70E2-0FF9-42C1-B29F-8595AA6709F0}"/>
    <cellStyle name="SAPBEXHLevel2 3 3 6" xfId="29818" xr:uid="{00000000-0005-0000-0000-0000366E0000}"/>
    <cellStyle name="SAPBEXHLevel2 3 3 7" xfId="30286" xr:uid="{0CBC89F8-D54D-4D7C-B036-DCFC04385D4D}"/>
    <cellStyle name="SAPBEXHLevel2 3 4" xfId="24655" xr:uid="{00000000-0005-0000-0000-0000376E0000}"/>
    <cellStyle name="SAPBEXHLevel2 3 4 2" xfId="25451" xr:uid="{00000000-0005-0000-0000-0000386E0000}"/>
    <cellStyle name="SAPBEXHLevel2 3 4 2 2" xfId="27605" xr:uid="{00000000-0005-0000-0000-0000396E0000}"/>
    <cellStyle name="SAPBEXHLevel2 3 4 2 2 2" xfId="32196" xr:uid="{CF5FF323-CA47-4AF6-9D59-F6C5D0CCA909}"/>
    <cellStyle name="SAPBEXHLevel2 3 4 2 3" xfId="28269" xr:uid="{00000000-0005-0000-0000-00003A6E0000}"/>
    <cellStyle name="SAPBEXHLevel2 3 4 2 3 2" xfId="32827" xr:uid="{29FA21F9-6DA0-4B3D-A31B-A6472DEB1B58}"/>
    <cellStyle name="SAPBEXHLevel2 3 4 2 4" xfId="26164" xr:uid="{00000000-0005-0000-0000-00003B6E0000}"/>
    <cellStyle name="SAPBEXHLevel2 3 4 2 4 2" xfId="30953" xr:uid="{9E9AC64F-4D6E-4ECE-ACEE-731A5C8038D6}"/>
    <cellStyle name="SAPBEXHLevel2 3 4 2 5" xfId="29821" xr:uid="{00000000-0005-0000-0000-00003C6E0000}"/>
    <cellStyle name="SAPBEXHLevel2 3 4 2 6" xfId="30609" xr:uid="{0A556369-E3AD-45BE-9350-A886D48B039B}"/>
    <cellStyle name="SAPBEXHLevel2 3 4 3" xfId="25621" xr:uid="{00000000-0005-0000-0000-00003D6E0000}"/>
    <cellStyle name="SAPBEXHLevel2 3 4 3 2" xfId="27774" xr:uid="{00000000-0005-0000-0000-00003E6E0000}"/>
    <cellStyle name="SAPBEXHLevel2 3 4 3 2 2" xfId="32361" xr:uid="{62DFD7C2-824A-4D6C-B1AC-EC115990C98C}"/>
    <cellStyle name="SAPBEXHLevel2 3 4 3 3" xfId="28270" xr:uid="{00000000-0005-0000-0000-00003F6E0000}"/>
    <cellStyle name="SAPBEXHLevel2 3 4 3 3 2" xfId="32828" xr:uid="{214BDE5C-7CAC-480F-B76E-60D185188D0B}"/>
    <cellStyle name="SAPBEXHLevel2 3 4 3 4" xfId="26087" xr:uid="{00000000-0005-0000-0000-0000406E0000}"/>
    <cellStyle name="SAPBEXHLevel2 3 4 3 4 2" xfId="30877" xr:uid="{AE270984-DE80-4B1B-AEF9-A3CC2DC6A7E4}"/>
    <cellStyle name="SAPBEXHLevel2 3 4 3 5" xfId="29822" xr:uid="{00000000-0005-0000-0000-0000416E0000}"/>
    <cellStyle name="SAPBEXHLevel2 3 4 4" xfId="27248" xr:uid="{00000000-0005-0000-0000-0000426E0000}"/>
    <cellStyle name="SAPBEXHLevel2 3 4 4 2" xfId="31883" xr:uid="{F4108CE0-5C28-4A91-BA04-9DF48CDDFED6}"/>
    <cellStyle name="SAPBEXHLevel2 3 4 5" xfId="28268" xr:uid="{00000000-0005-0000-0000-0000436E0000}"/>
    <cellStyle name="SAPBEXHLevel2 3 4 5 2" xfId="32826" xr:uid="{A7649BAB-C2F9-4D61-A245-8A3F2C52FF2E}"/>
    <cellStyle name="SAPBEXHLevel2 3 4 6" xfId="26772" xr:uid="{00000000-0005-0000-0000-0000446E0000}"/>
    <cellStyle name="SAPBEXHLevel2 3 4 6 2" xfId="31533" xr:uid="{477CC66B-1C14-4CD3-85B7-38EB537E515C}"/>
    <cellStyle name="SAPBEXHLevel2 3 4 7" xfId="29820" xr:uid="{00000000-0005-0000-0000-0000456E0000}"/>
    <cellStyle name="SAPBEXHLevel2 3 4 8" xfId="30323" xr:uid="{9DAD2D41-5371-46A0-BCA3-57C25B4F5A2C}"/>
    <cellStyle name="SAPBEXHLevel2 3 5" xfId="25118" xr:uid="{00000000-0005-0000-0000-0000466E0000}"/>
    <cellStyle name="SAPBEXHLevel2 3 5 2" xfId="25420" xr:uid="{00000000-0005-0000-0000-0000476E0000}"/>
    <cellStyle name="SAPBEXHLevel2 3 5 2 2" xfId="27574" xr:uid="{00000000-0005-0000-0000-0000486E0000}"/>
    <cellStyle name="SAPBEXHLevel2 3 5 2 2 2" xfId="32165" xr:uid="{850FA2A6-080E-46D4-9AB0-F69D72DC2FD5}"/>
    <cellStyle name="SAPBEXHLevel2 3 5 2 3" xfId="28272" xr:uid="{00000000-0005-0000-0000-0000496E0000}"/>
    <cellStyle name="SAPBEXHLevel2 3 5 2 3 2" xfId="32830" xr:uid="{AD768DB6-A9AE-4EC2-A6A4-85005728DEA7}"/>
    <cellStyle name="SAPBEXHLevel2 3 5 2 4" xfId="26243" xr:uid="{00000000-0005-0000-0000-00004A6E0000}"/>
    <cellStyle name="SAPBEXHLevel2 3 5 2 4 2" xfId="31031" xr:uid="{C7B137BD-3316-430D-AF46-6F21E6C0F6CF}"/>
    <cellStyle name="SAPBEXHLevel2 3 5 2 5" xfId="29824" xr:uid="{00000000-0005-0000-0000-00004B6E0000}"/>
    <cellStyle name="SAPBEXHLevel2 3 5 2 6" xfId="30578" xr:uid="{FA1D6532-F3DE-441A-80D4-AEB44916EB96}"/>
    <cellStyle name="SAPBEXHLevel2 3 5 3" xfId="25716" xr:uid="{00000000-0005-0000-0000-00004C6E0000}"/>
    <cellStyle name="SAPBEXHLevel2 3 5 3 2" xfId="27869" xr:uid="{00000000-0005-0000-0000-00004D6E0000}"/>
    <cellStyle name="SAPBEXHLevel2 3 5 3 2 2" xfId="32456" xr:uid="{34B5AB80-D878-4825-A217-58B9BEFD4F30}"/>
    <cellStyle name="SAPBEXHLevel2 3 5 3 3" xfId="28273" xr:uid="{00000000-0005-0000-0000-00004E6E0000}"/>
    <cellStyle name="SAPBEXHLevel2 3 5 3 3 2" xfId="32831" xr:uid="{B7604C57-774E-41D5-8EC4-1019A3AAD5B6}"/>
    <cellStyle name="SAPBEXHLevel2 3 5 3 4" xfId="26744" xr:uid="{00000000-0005-0000-0000-00004F6E0000}"/>
    <cellStyle name="SAPBEXHLevel2 3 5 3 4 2" xfId="31505" xr:uid="{FA134876-857E-47DD-8CD3-746A19EC03DC}"/>
    <cellStyle name="SAPBEXHLevel2 3 5 3 5" xfId="29825" xr:uid="{00000000-0005-0000-0000-0000506E0000}"/>
    <cellStyle name="SAPBEXHLevel2 3 5 3 6" xfId="30710" xr:uid="{AAF0239A-3176-42F7-B7E4-9E0176ADA9E3}"/>
    <cellStyle name="SAPBEXHLevel2 3 5 4" xfId="27403" xr:uid="{00000000-0005-0000-0000-0000516E0000}"/>
    <cellStyle name="SAPBEXHLevel2 3 5 4 2" xfId="32001" xr:uid="{E8BA43F3-E339-4E8E-9DE5-4C17D8C0C8FD}"/>
    <cellStyle name="SAPBEXHLevel2 3 5 5" xfId="28271" xr:uid="{00000000-0005-0000-0000-0000526E0000}"/>
    <cellStyle name="SAPBEXHLevel2 3 5 5 2" xfId="32829" xr:uid="{F1315DF4-B89E-40B8-A2F4-CD61F19E423D}"/>
    <cellStyle name="SAPBEXHLevel2 3 5 6" xfId="26349" xr:uid="{00000000-0005-0000-0000-0000536E0000}"/>
    <cellStyle name="SAPBEXHLevel2 3 5 6 2" xfId="31137" xr:uid="{641B7158-DB69-43F5-B488-103DE3E35E69}"/>
    <cellStyle name="SAPBEXHLevel2 3 5 7" xfId="29823" xr:uid="{00000000-0005-0000-0000-0000546E0000}"/>
    <cellStyle name="SAPBEXHLevel2 3 5 8" xfId="30418" xr:uid="{18639F46-DDDC-46D5-8429-A7554DBF5E83}"/>
    <cellStyle name="SAPBEXHLevel2 3 6" xfId="25852" xr:uid="{00000000-0005-0000-0000-0000556E0000}"/>
    <cellStyle name="SAPBEXHLevel2 3 6 2" xfId="30771" xr:uid="{B8C8D3BB-A7C6-4FF1-9937-97B64B0E5201}"/>
    <cellStyle name="SAPBEXHLevel2 3 7" xfId="28263" xr:uid="{00000000-0005-0000-0000-0000566E0000}"/>
    <cellStyle name="SAPBEXHLevel2 3 7 2" xfId="32821" xr:uid="{F1A8DB8F-21F6-4167-8612-0E3F44DC5046}"/>
    <cellStyle name="SAPBEXHLevel2 3 8" xfId="29247" xr:uid="{00000000-0005-0000-0000-0000576E0000}"/>
    <cellStyle name="SAPBEXHLevel2 3 8 2" xfId="33229" xr:uid="{DE4EA4D9-744B-4F43-8C04-22CE27F1102C}"/>
    <cellStyle name="SAPBEXHLevel2 3 9" xfId="29815" xr:uid="{00000000-0005-0000-0000-0000586E0000}"/>
    <cellStyle name="SAPBEXHLevel2 4" xfId="122" xr:uid="{00000000-0005-0000-0000-0000596E0000}"/>
    <cellStyle name="SAPBEXHLevel2 4 2" xfId="13656" xr:uid="{00000000-0005-0000-0000-00005A6E0000}"/>
    <cellStyle name="SAPBEXHLevel2 4 2 2" xfId="25494" xr:uid="{00000000-0005-0000-0000-00005B6E0000}"/>
    <cellStyle name="SAPBEXHLevel2 4 2 2 2" xfId="27647" xr:uid="{00000000-0005-0000-0000-00005C6E0000}"/>
    <cellStyle name="SAPBEXHLevel2 4 2 2 2 2" xfId="32234" xr:uid="{942CDE0B-CBD9-42FB-A600-6BCC7D6FAA4A}"/>
    <cellStyle name="SAPBEXHLevel2 4 2 2 3" xfId="28276" xr:uid="{00000000-0005-0000-0000-00005D6E0000}"/>
    <cellStyle name="SAPBEXHLevel2 4 2 2 3 2" xfId="32834" xr:uid="{EED06FF0-8A48-4231-A3FB-B84E3070108B}"/>
    <cellStyle name="SAPBEXHLevel2 4 2 2 4" xfId="26915" xr:uid="{00000000-0005-0000-0000-00005E6E0000}"/>
    <cellStyle name="SAPBEXHLevel2 4 2 2 4 2" xfId="31676" xr:uid="{7F9017C4-129C-4467-8305-75837367C37A}"/>
    <cellStyle name="SAPBEXHLevel2 4 2 2 5" xfId="29828" xr:uid="{00000000-0005-0000-0000-00005F6E0000}"/>
    <cellStyle name="SAPBEXHLevel2 4 2 3" xfId="26598" xr:uid="{00000000-0005-0000-0000-0000606E0000}"/>
    <cellStyle name="SAPBEXHLevel2 4 2 3 2" xfId="31376" xr:uid="{44F3B272-EDE0-4A70-A896-BAC71D707CF8}"/>
    <cellStyle name="SAPBEXHLevel2 4 2 4" xfId="28275" xr:uid="{00000000-0005-0000-0000-0000616E0000}"/>
    <cellStyle name="SAPBEXHLevel2 4 2 4 2" xfId="32833" xr:uid="{F9C38EE1-C1ED-4A57-B197-0B19606F71BB}"/>
    <cellStyle name="SAPBEXHLevel2 4 2 5" xfId="27025" xr:uid="{00000000-0005-0000-0000-0000626E0000}"/>
    <cellStyle name="SAPBEXHLevel2 4 2 5 2" xfId="31785" xr:uid="{6887543D-A4EA-435B-862C-364836836105}"/>
    <cellStyle name="SAPBEXHLevel2 4 2 6" xfId="29827" xr:uid="{00000000-0005-0000-0000-0000636E0000}"/>
    <cellStyle name="SAPBEXHLevel2 4 2 7" xfId="30196" xr:uid="{F372C198-18D8-4002-AA99-ED04027F27E3}"/>
    <cellStyle name="SAPBEXHLevel2 4 3" xfId="25853" xr:uid="{00000000-0005-0000-0000-0000646E0000}"/>
    <cellStyle name="SAPBEXHLevel2 4 3 2" xfId="30772" xr:uid="{1CC161FB-38BA-4433-9F67-F4DC0EBCEF70}"/>
    <cellStyle name="SAPBEXHLevel2 4 4" xfId="28274" xr:uid="{00000000-0005-0000-0000-0000656E0000}"/>
    <cellStyle name="SAPBEXHLevel2 4 4 2" xfId="32832" xr:uid="{AC01FCF2-0640-455A-916C-F4BF6DB28B18}"/>
    <cellStyle name="SAPBEXHLevel2 4 5" xfId="29192" xr:uid="{00000000-0005-0000-0000-0000666E0000}"/>
    <cellStyle name="SAPBEXHLevel2 4 5 2" xfId="33175" xr:uid="{DB40BBE0-81A8-4F08-84E8-AF80CB7611E4}"/>
    <cellStyle name="SAPBEXHLevel2 4 6" xfId="29826" xr:uid="{00000000-0005-0000-0000-0000676E0000}"/>
    <cellStyle name="SAPBEXHLevel2 5" xfId="254" xr:uid="{00000000-0005-0000-0000-0000686E0000}"/>
    <cellStyle name="SAPBEXHLevel2 5 2" xfId="13719" xr:uid="{00000000-0005-0000-0000-0000696E0000}"/>
    <cellStyle name="SAPBEXHLevel2 5 2 2" xfId="25532" xr:uid="{00000000-0005-0000-0000-00006A6E0000}"/>
    <cellStyle name="SAPBEXHLevel2 5 2 2 2" xfId="27685" xr:uid="{00000000-0005-0000-0000-00006B6E0000}"/>
    <cellStyle name="SAPBEXHLevel2 5 2 2 2 2" xfId="32272" xr:uid="{05E64827-7396-438E-A1E2-DBE3D96CCE7A}"/>
    <cellStyle name="SAPBEXHLevel2 5 2 2 3" xfId="28279" xr:uid="{00000000-0005-0000-0000-00006C6E0000}"/>
    <cellStyle name="SAPBEXHLevel2 5 2 2 3 2" xfId="32837" xr:uid="{6F43E969-74D4-4EAA-B07E-875232CB39EE}"/>
    <cellStyle name="SAPBEXHLevel2 5 2 2 4" xfId="26126" xr:uid="{00000000-0005-0000-0000-00006D6E0000}"/>
    <cellStyle name="SAPBEXHLevel2 5 2 2 4 2" xfId="30916" xr:uid="{D8F46A64-0730-4C1A-8471-3433436EED0C}"/>
    <cellStyle name="SAPBEXHLevel2 5 2 2 5" xfId="29831" xr:uid="{00000000-0005-0000-0000-00006E6E0000}"/>
    <cellStyle name="SAPBEXHLevel2 5 2 3" xfId="26639" xr:uid="{00000000-0005-0000-0000-00006F6E0000}"/>
    <cellStyle name="SAPBEXHLevel2 5 2 3 2" xfId="31416" xr:uid="{203F62C2-42AE-4F58-BD65-553845A083C7}"/>
    <cellStyle name="SAPBEXHLevel2 5 2 4" xfId="28278" xr:uid="{00000000-0005-0000-0000-0000706E0000}"/>
    <cellStyle name="SAPBEXHLevel2 5 2 4 2" xfId="32836" xr:uid="{250545E3-D43B-4FDD-AC1E-391A295F03F8}"/>
    <cellStyle name="SAPBEXHLevel2 5 2 5" xfId="27350" xr:uid="{00000000-0005-0000-0000-0000716E0000}"/>
    <cellStyle name="SAPBEXHLevel2 5 2 5 2" xfId="31948" xr:uid="{6B523822-CF41-48AC-9964-78FDBC8D8806}"/>
    <cellStyle name="SAPBEXHLevel2 5 2 6" xfId="29830" xr:uid="{00000000-0005-0000-0000-0000726E0000}"/>
    <cellStyle name="SAPBEXHLevel2 5 2 7" xfId="30234" xr:uid="{C1D12180-FEF4-4B46-91BB-7F6B61276BA8}"/>
    <cellStyle name="SAPBEXHLevel2 5 3" xfId="25922" xr:uid="{00000000-0005-0000-0000-0000736E0000}"/>
    <cellStyle name="SAPBEXHLevel2 5 3 2" xfId="30811" xr:uid="{D63BA733-35F9-4C28-A805-F1105009E4A6}"/>
    <cellStyle name="SAPBEXHLevel2 5 4" xfId="28277" xr:uid="{00000000-0005-0000-0000-0000746E0000}"/>
    <cellStyle name="SAPBEXHLevel2 5 4 2" xfId="32835" xr:uid="{879802F9-9F7B-4643-8DC8-432010893E2B}"/>
    <cellStyle name="SAPBEXHLevel2 5 5" xfId="28567" xr:uid="{00000000-0005-0000-0000-0000756E0000}"/>
    <cellStyle name="SAPBEXHLevel2 5 5 2" xfId="33125" xr:uid="{37D2A4B9-CD3B-46C8-ABD2-52AE200002E5}"/>
    <cellStyle name="SAPBEXHLevel2 5 6" xfId="29829" xr:uid="{00000000-0005-0000-0000-0000766E0000}"/>
    <cellStyle name="SAPBEXHLevel2 6" xfId="13653" xr:uid="{00000000-0005-0000-0000-0000776E0000}"/>
    <cellStyle name="SAPBEXHLevel2 6 2" xfId="25491" xr:uid="{00000000-0005-0000-0000-0000786E0000}"/>
    <cellStyle name="SAPBEXHLevel2 6 2 2" xfId="27644" xr:uid="{00000000-0005-0000-0000-0000796E0000}"/>
    <cellStyle name="SAPBEXHLevel2 6 2 2 2" xfId="32231" xr:uid="{5E7C80D3-DBB6-41FA-99CF-E1FD34A916B7}"/>
    <cellStyle name="SAPBEXHLevel2 6 2 3" xfId="28281" xr:uid="{00000000-0005-0000-0000-00007A6E0000}"/>
    <cellStyle name="SAPBEXHLevel2 6 2 3 2" xfId="32839" xr:uid="{DF731675-6CF9-4012-ADDC-5EBFF82F2893}"/>
    <cellStyle name="SAPBEXHLevel2 6 2 4" xfId="26100" xr:uid="{00000000-0005-0000-0000-00007B6E0000}"/>
    <cellStyle name="SAPBEXHLevel2 6 2 4 2" xfId="30890" xr:uid="{2B145ECC-5801-4A25-9009-81F9347BAFB0}"/>
    <cellStyle name="SAPBEXHLevel2 6 2 5" xfId="29833" xr:uid="{00000000-0005-0000-0000-00007C6E0000}"/>
    <cellStyle name="SAPBEXHLevel2 6 3" xfId="26595" xr:uid="{00000000-0005-0000-0000-00007D6E0000}"/>
    <cellStyle name="SAPBEXHLevel2 6 3 2" xfId="31373" xr:uid="{80AD0B72-64DF-42BD-BCE4-F2E0D5EF34EE}"/>
    <cellStyle name="SAPBEXHLevel2 6 4" xfId="28280" xr:uid="{00000000-0005-0000-0000-00007E6E0000}"/>
    <cellStyle name="SAPBEXHLevel2 6 4 2" xfId="32838" xr:uid="{654AE24B-CBFA-4215-8124-F04D01806536}"/>
    <cellStyle name="SAPBEXHLevel2 6 5" xfId="26926" xr:uid="{00000000-0005-0000-0000-00007F6E0000}"/>
    <cellStyle name="SAPBEXHLevel2 6 5 2" xfId="31687" xr:uid="{96447FAB-74D5-4575-BD3F-C1FD341008F3}"/>
    <cellStyle name="SAPBEXHLevel2 6 6" xfId="29832" xr:uid="{00000000-0005-0000-0000-0000806E0000}"/>
    <cellStyle name="SAPBEXHLevel2 6 7" xfId="30193" xr:uid="{501B2B62-61CB-43F6-B007-4F814AA35E2B}"/>
    <cellStyle name="SAPBEXHLevel2 7" xfId="24657" xr:uid="{00000000-0005-0000-0000-0000816E0000}"/>
    <cellStyle name="SAPBEXHLevel2 7 2" xfId="25300" xr:uid="{00000000-0005-0000-0000-0000826E0000}"/>
    <cellStyle name="SAPBEXHLevel2 7 2 2" xfId="27454" xr:uid="{00000000-0005-0000-0000-0000836E0000}"/>
    <cellStyle name="SAPBEXHLevel2 7 2 2 2" xfId="32046" xr:uid="{72689DBE-8526-4B79-8C52-65485C5CC00A}"/>
    <cellStyle name="SAPBEXHLevel2 7 2 3" xfId="28283" xr:uid="{00000000-0005-0000-0000-0000846E0000}"/>
    <cellStyle name="SAPBEXHLevel2 7 2 3 2" xfId="32841" xr:uid="{2053B8D7-C4AD-4BAD-845D-FF8F4EEE9405}"/>
    <cellStyle name="SAPBEXHLevel2 7 2 4" xfId="26336" xr:uid="{00000000-0005-0000-0000-0000856E0000}"/>
    <cellStyle name="SAPBEXHLevel2 7 2 4 2" xfId="31124" xr:uid="{2F9E563C-73CD-4622-B3FA-1B7BC3D83C7D}"/>
    <cellStyle name="SAPBEXHLevel2 7 2 5" xfId="29835" xr:uid="{00000000-0005-0000-0000-0000866E0000}"/>
    <cellStyle name="SAPBEXHLevel2 7 2 6" xfId="30459" xr:uid="{76974117-37A5-42A9-B803-E7B7994D4F6B}"/>
    <cellStyle name="SAPBEXHLevel2 7 3" xfId="25623" xr:uid="{00000000-0005-0000-0000-0000876E0000}"/>
    <cellStyle name="SAPBEXHLevel2 7 3 2" xfId="27776" xr:uid="{00000000-0005-0000-0000-0000886E0000}"/>
    <cellStyle name="SAPBEXHLevel2 7 3 2 2" xfId="32363" xr:uid="{4E07E887-6096-4A33-AA54-BD03AB9110C3}"/>
    <cellStyle name="SAPBEXHLevel2 7 3 3" xfId="28284" xr:uid="{00000000-0005-0000-0000-0000896E0000}"/>
    <cellStyle name="SAPBEXHLevel2 7 3 3 2" xfId="32842" xr:uid="{031F7860-2711-4612-9597-CE65A14BBACF}"/>
    <cellStyle name="SAPBEXHLevel2 7 3 4" xfId="26094" xr:uid="{00000000-0005-0000-0000-00008A6E0000}"/>
    <cellStyle name="SAPBEXHLevel2 7 3 4 2" xfId="30884" xr:uid="{60BB0556-877A-4C34-9928-4EE5799B65D3}"/>
    <cellStyle name="SAPBEXHLevel2 7 3 5" xfId="29836" xr:uid="{00000000-0005-0000-0000-00008B6E0000}"/>
    <cellStyle name="SAPBEXHLevel2 7 4" xfId="27250" xr:uid="{00000000-0005-0000-0000-00008C6E0000}"/>
    <cellStyle name="SAPBEXHLevel2 7 4 2" xfId="31885" xr:uid="{7614FBCF-40BC-4674-9176-11EBB4D785EB}"/>
    <cellStyle name="SAPBEXHLevel2 7 5" xfId="28282" xr:uid="{00000000-0005-0000-0000-00008D6E0000}"/>
    <cellStyle name="SAPBEXHLevel2 7 5 2" xfId="32840" xr:uid="{9DCCA00F-282D-4C25-A3D6-218E58AAC836}"/>
    <cellStyle name="SAPBEXHLevel2 7 6" xfId="26465" xr:uid="{00000000-0005-0000-0000-00008E6E0000}"/>
    <cellStyle name="SAPBEXHLevel2 7 6 2" xfId="31253" xr:uid="{186EF82F-E42E-4228-B7C2-A2BB7283741E}"/>
    <cellStyle name="SAPBEXHLevel2 7 7" xfId="29834" xr:uid="{00000000-0005-0000-0000-00008F6E0000}"/>
    <cellStyle name="SAPBEXHLevel2 7 8" xfId="30325" xr:uid="{229E654F-908C-4B68-9077-0996C2E93BA8}"/>
    <cellStyle name="SAPBEXHLevel2 8" xfId="25116" xr:uid="{00000000-0005-0000-0000-0000906E0000}"/>
    <cellStyle name="SAPBEXHLevel2 8 2" xfId="25406" xr:uid="{00000000-0005-0000-0000-0000916E0000}"/>
    <cellStyle name="SAPBEXHLevel2 8 2 2" xfId="27560" xr:uid="{00000000-0005-0000-0000-0000926E0000}"/>
    <cellStyle name="SAPBEXHLevel2 8 2 2 2" xfId="32151" xr:uid="{90C7F42A-B312-4EAA-94EA-EE536237FCAD}"/>
    <cellStyle name="SAPBEXHLevel2 8 2 3" xfId="28286" xr:uid="{00000000-0005-0000-0000-0000936E0000}"/>
    <cellStyle name="SAPBEXHLevel2 8 2 3 2" xfId="32844" xr:uid="{35C54C1F-07AD-48F2-97FB-71FA763B4C90}"/>
    <cellStyle name="SAPBEXHLevel2 8 2 4" xfId="26730" xr:uid="{00000000-0005-0000-0000-0000946E0000}"/>
    <cellStyle name="SAPBEXHLevel2 8 2 4 2" xfId="31491" xr:uid="{A07F036E-BD5D-40B9-B7AE-AE262FE25B7E}"/>
    <cellStyle name="SAPBEXHLevel2 8 2 5" xfId="29838" xr:uid="{00000000-0005-0000-0000-0000956E0000}"/>
    <cellStyle name="SAPBEXHLevel2 8 2 6" xfId="30564" xr:uid="{5A113824-98B1-4C31-A967-D84ED557DABE}"/>
    <cellStyle name="SAPBEXHLevel2 8 3" xfId="25714" xr:uid="{00000000-0005-0000-0000-0000966E0000}"/>
    <cellStyle name="SAPBEXHLevel2 8 3 2" xfId="27867" xr:uid="{00000000-0005-0000-0000-0000976E0000}"/>
    <cellStyle name="SAPBEXHLevel2 8 3 2 2" xfId="32454" xr:uid="{24E2CAE4-7FE5-4584-BEF0-238A2CC18CFD}"/>
    <cellStyle name="SAPBEXHLevel2 8 3 3" xfId="28287" xr:uid="{00000000-0005-0000-0000-0000986E0000}"/>
    <cellStyle name="SAPBEXHLevel2 8 3 3 2" xfId="32845" xr:uid="{C42DA687-62E5-4635-85AA-B5DF710B513F}"/>
    <cellStyle name="SAPBEXHLevel2 8 3 4" xfId="26374" xr:uid="{00000000-0005-0000-0000-0000996E0000}"/>
    <cellStyle name="SAPBEXHLevel2 8 3 4 2" xfId="31162" xr:uid="{CFE6F01C-DCA3-46E9-A4EF-8394609C5E68}"/>
    <cellStyle name="SAPBEXHLevel2 8 3 5" xfId="29839" xr:uid="{00000000-0005-0000-0000-00009A6E0000}"/>
    <cellStyle name="SAPBEXHLevel2 8 3 6" xfId="30708" xr:uid="{EDC6D8C8-CD94-4559-AD2F-B6E4788414FA}"/>
    <cellStyle name="SAPBEXHLevel2 8 4" xfId="27401" xr:uid="{00000000-0005-0000-0000-00009B6E0000}"/>
    <cellStyle name="SAPBEXHLevel2 8 4 2" xfId="31999" xr:uid="{ECE974CF-DB81-430D-89B9-DEBC405A3DB2}"/>
    <cellStyle name="SAPBEXHLevel2 8 5" xfId="28285" xr:uid="{00000000-0005-0000-0000-00009C6E0000}"/>
    <cellStyle name="SAPBEXHLevel2 8 5 2" xfId="32843" xr:uid="{0A0A9490-D74F-4E2B-8EF9-BD9B92AC3879}"/>
    <cellStyle name="SAPBEXHLevel2 8 6" xfId="26256" xr:uid="{00000000-0005-0000-0000-00009D6E0000}"/>
    <cellStyle name="SAPBEXHLevel2 8 6 2" xfId="31044" xr:uid="{07BB5ED6-A7D3-4FA7-BE6D-D761EF9A2973}"/>
    <cellStyle name="SAPBEXHLevel2 8 7" xfId="29837" xr:uid="{00000000-0005-0000-0000-00009E6E0000}"/>
    <cellStyle name="SAPBEXHLevel2 8 8" xfId="30416" xr:uid="{BE5236FA-F633-4124-BE3E-46D7BA216F6D}"/>
    <cellStyle name="SAPBEXHLevel2 9" xfId="25850" xr:uid="{00000000-0005-0000-0000-00009F6E0000}"/>
    <cellStyle name="SAPBEXHLevel2 9 2" xfId="30769" xr:uid="{6A79FB55-0B3D-40CC-86F5-BAE994AC70BE}"/>
    <cellStyle name="SAPBEXHLevel2X" xfId="123" xr:uid="{00000000-0005-0000-0000-0000A06E0000}"/>
    <cellStyle name="SAPBEXHLevel2X 10" xfId="28288" xr:uid="{00000000-0005-0000-0000-0000A16E0000}"/>
    <cellStyle name="SAPBEXHLevel2X 10 2" xfId="32846" xr:uid="{39FF4711-184E-4155-B896-5E8F59BFA985}"/>
    <cellStyle name="SAPBEXHLevel2X 11" xfId="26051" xr:uid="{00000000-0005-0000-0000-0000A26E0000}"/>
    <cellStyle name="SAPBEXHLevel2X 11 2" xfId="30843" xr:uid="{160C7412-0291-488B-B8CE-934EDA184A09}"/>
    <cellStyle name="SAPBEXHLevel2X 12" xfId="29840" xr:uid="{00000000-0005-0000-0000-0000A36E0000}"/>
    <cellStyle name="SAPBEXHLevel2X 2" xfId="124" xr:uid="{00000000-0005-0000-0000-0000A46E0000}"/>
    <cellStyle name="SAPBEXHLevel2X 2 2" xfId="13658" xr:uid="{00000000-0005-0000-0000-0000A56E0000}"/>
    <cellStyle name="SAPBEXHLevel2X 2 2 2" xfId="25496" xr:uid="{00000000-0005-0000-0000-0000A66E0000}"/>
    <cellStyle name="SAPBEXHLevel2X 2 2 2 2" xfId="27649" xr:uid="{00000000-0005-0000-0000-0000A76E0000}"/>
    <cellStyle name="SAPBEXHLevel2X 2 2 2 2 2" xfId="32236" xr:uid="{B80A8785-D80F-41F8-A924-B5604ECBEDEC}"/>
    <cellStyle name="SAPBEXHLevel2X 2 2 2 3" xfId="28291" xr:uid="{00000000-0005-0000-0000-0000A86E0000}"/>
    <cellStyle name="SAPBEXHLevel2X 2 2 2 3 2" xfId="32849" xr:uid="{4F02ACB4-2CD5-4991-BC7A-1B9FA7180F9F}"/>
    <cellStyle name="SAPBEXHLevel2X 2 2 2 4" xfId="26394" xr:uid="{00000000-0005-0000-0000-0000A96E0000}"/>
    <cellStyle name="SAPBEXHLevel2X 2 2 2 4 2" xfId="31182" xr:uid="{064AB945-CEAF-4881-B569-8DA15229C9D0}"/>
    <cellStyle name="SAPBEXHLevel2X 2 2 2 5" xfId="29843" xr:uid="{00000000-0005-0000-0000-0000AA6E0000}"/>
    <cellStyle name="SAPBEXHLevel2X 2 2 3" xfId="26600" xr:uid="{00000000-0005-0000-0000-0000AB6E0000}"/>
    <cellStyle name="SAPBEXHLevel2X 2 2 3 2" xfId="31378" xr:uid="{73AD210C-C5DB-4949-B322-D12E40597808}"/>
    <cellStyle name="SAPBEXHLevel2X 2 2 4" xfId="28290" xr:uid="{00000000-0005-0000-0000-0000AC6E0000}"/>
    <cellStyle name="SAPBEXHLevel2X 2 2 4 2" xfId="32848" xr:uid="{5840D0B1-F0D1-4F79-9E02-223FE0D68081}"/>
    <cellStyle name="SAPBEXHLevel2X 2 2 5" xfId="26149" xr:uid="{00000000-0005-0000-0000-0000AD6E0000}"/>
    <cellStyle name="SAPBEXHLevel2X 2 2 5 2" xfId="30938" xr:uid="{2010BA28-F46B-4C4D-B415-2371015A13BD}"/>
    <cellStyle name="SAPBEXHLevel2X 2 2 6" xfId="29842" xr:uid="{00000000-0005-0000-0000-0000AE6E0000}"/>
    <cellStyle name="SAPBEXHLevel2X 2 2 7" xfId="30198" xr:uid="{E89ED948-DFA8-4487-B3E7-4268A0D64F00}"/>
    <cellStyle name="SAPBEXHLevel2X 2 3" xfId="24264" xr:uid="{00000000-0005-0000-0000-0000AF6E0000}"/>
    <cellStyle name="SAPBEXHLevel2X 2 3 2" xfId="25585" xr:uid="{00000000-0005-0000-0000-0000B06E0000}"/>
    <cellStyle name="SAPBEXHLevel2X 2 3 2 2" xfId="27738" xr:uid="{00000000-0005-0000-0000-0000B16E0000}"/>
    <cellStyle name="SAPBEXHLevel2X 2 3 2 2 2" xfId="32325" xr:uid="{B55DCE78-72F5-4335-84F2-1F3E37C0F8D3}"/>
    <cellStyle name="SAPBEXHLevel2X 2 3 2 3" xfId="28293" xr:uid="{00000000-0005-0000-0000-0000B26E0000}"/>
    <cellStyle name="SAPBEXHLevel2X 2 3 2 3 2" xfId="32851" xr:uid="{8CCD1EE3-D11E-486C-84D3-FB7A88A1BC14}"/>
    <cellStyle name="SAPBEXHLevel2X 2 3 2 4" xfId="27359" xr:uid="{00000000-0005-0000-0000-0000B36E0000}"/>
    <cellStyle name="SAPBEXHLevel2X 2 3 2 4 2" xfId="31957" xr:uid="{F62F5FC4-6A2F-4DAA-B1CA-D24826E8C0DD}"/>
    <cellStyle name="SAPBEXHLevel2X 2 3 2 5" xfId="29845" xr:uid="{00000000-0005-0000-0000-0000B46E0000}"/>
    <cellStyle name="SAPBEXHLevel2X 2 3 3" xfId="27118" xr:uid="{00000000-0005-0000-0000-0000B56E0000}"/>
    <cellStyle name="SAPBEXHLevel2X 2 3 3 2" xfId="31836" xr:uid="{1893E49A-9731-483D-BEFD-38693119A0C3}"/>
    <cellStyle name="SAPBEXHLevel2X 2 3 4" xfId="28292" xr:uid="{00000000-0005-0000-0000-0000B66E0000}"/>
    <cellStyle name="SAPBEXHLevel2X 2 3 4 2" xfId="32850" xr:uid="{6207CD6C-19D7-4F96-8118-96D4E17C7A89}"/>
    <cellStyle name="SAPBEXHLevel2X 2 3 5" xfId="26117" xr:uid="{00000000-0005-0000-0000-0000B76E0000}"/>
    <cellStyle name="SAPBEXHLevel2X 2 3 5 2" xfId="30907" xr:uid="{3159AE05-F3B5-40C0-A49C-93A7BD5CF36A}"/>
    <cellStyle name="SAPBEXHLevel2X 2 3 6" xfId="29844" xr:uid="{00000000-0005-0000-0000-0000B86E0000}"/>
    <cellStyle name="SAPBEXHLevel2X 2 3 7" xfId="30287" xr:uid="{BC6E286A-C994-4AFF-8332-49B985F50C0F}"/>
    <cellStyle name="SAPBEXHLevel2X 2 4" xfId="24653" xr:uid="{00000000-0005-0000-0000-0000B96E0000}"/>
    <cellStyle name="SAPBEXHLevel2X 2 4 2" xfId="25434" xr:uid="{00000000-0005-0000-0000-0000BA6E0000}"/>
    <cellStyle name="SAPBEXHLevel2X 2 4 2 2" xfId="27588" xr:uid="{00000000-0005-0000-0000-0000BB6E0000}"/>
    <cellStyle name="SAPBEXHLevel2X 2 4 2 2 2" xfId="32179" xr:uid="{0E315E71-56C1-4990-9C93-05CD6BF7503B}"/>
    <cellStyle name="SAPBEXHLevel2X 2 4 2 3" xfId="28295" xr:uid="{00000000-0005-0000-0000-0000BC6E0000}"/>
    <cellStyle name="SAPBEXHLevel2X 2 4 2 3 2" xfId="32853" xr:uid="{B58957F9-99E3-49F7-8243-5C2E97FF393F}"/>
    <cellStyle name="SAPBEXHLevel2X 2 4 2 4" xfId="26763" xr:uid="{00000000-0005-0000-0000-0000BD6E0000}"/>
    <cellStyle name="SAPBEXHLevel2X 2 4 2 4 2" xfId="31524" xr:uid="{77D57CD8-7F85-4C95-ADE5-E90B7D3F99AC}"/>
    <cellStyle name="SAPBEXHLevel2X 2 4 2 5" xfId="29847" xr:uid="{00000000-0005-0000-0000-0000BE6E0000}"/>
    <cellStyle name="SAPBEXHLevel2X 2 4 2 6" xfId="30592" xr:uid="{5E3FF7A5-9C71-46A0-BDE9-F91D8C6AE5D5}"/>
    <cellStyle name="SAPBEXHLevel2X 2 4 3" xfId="25619" xr:uid="{00000000-0005-0000-0000-0000BF6E0000}"/>
    <cellStyle name="SAPBEXHLevel2X 2 4 3 2" xfId="27772" xr:uid="{00000000-0005-0000-0000-0000C06E0000}"/>
    <cellStyle name="SAPBEXHLevel2X 2 4 3 2 2" xfId="32359" xr:uid="{3BFC3389-8B95-4FBF-8F74-5DA40F0D5496}"/>
    <cellStyle name="SAPBEXHLevel2X 2 4 3 3" xfId="28296" xr:uid="{00000000-0005-0000-0000-0000C16E0000}"/>
    <cellStyle name="SAPBEXHLevel2X 2 4 3 3 2" xfId="32854" xr:uid="{A4B3E655-93A8-479B-BF76-8671D269DD33}"/>
    <cellStyle name="SAPBEXHLevel2X 2 4 3 4" xfId="26850" xr:uid="{00000000-0005-0000-0000-0000C26E0000}"/>
    <cellStyle name="SAPBEXHLevel2X 2 4 3 4 2" xfId="31611" xr:uid="{E89EEC76-5DC2-47FF-B04F-8C74CA1EA7F9}"/>
    <cellStyle name="SAPBEXHLevel2X 2 4 3 5" xfId="29848" xr:uid="{00000000-0005-0000-0000-0000C36E0000}"/>
    <cellStyle name="SAPBEXHLevel2X 2 4 4" xfId="27246" xr:uid="{00000000-0005-0000-0000-0000C46E0000}"/>
    <cellStyle name="SAPBEXHLevel2X 2 4 4 2" xfId="31881" xr:uid="{E4FC204D-A7C0-46E6-8996-4BF9746D653F}"/>
    <cellStyle name="SAPBEXHLevel2X 2 4 5" xfId="28294" xr:uid="{00000000-0005-0000-0000-0000C56E0000}"/>
    <cellStyle name="SAPBEXHLevel2X 2 4 5 2" xfId="32852" xr:uid="{240CAA38-6DDF-4C2E-A40E-456D138501A4}"/>
    <cellStyle name="SAPBEXHLevel2X 2 4 6" xfId="27006" xr:uid="{00000000-0005-0000-0000-0000C66E0000}"/>
    <cellStyle name="SAPBEXHLevel2X 2 4 6 2" xfId="31766" xr:uid="{105FD8AB-48E8-45F4-BFF0-933DB92B4937}"/>
    <cellStyle name="SAPBEXHLevel2X 2 4 7" xfId="29846" xr:uid="{00000000-0005-0000-0000-0000C76E0000}"/>
    <cellStyle name="SAPBEXHLevel2X 2 4 8" xfId="30321" xr:uid="{2806D815-5F18-444E-8ED7-38A401405B00}"/>
    <cellStyle name="SAPBEXHLevel2X 2 5" xfId="25120" xr:uid="{00000000-0005-0000-0000-0000C86E0000}"/>
    <cellStyle name="SAPBEXHLevel2X 2 5 2" xfId="25437" xr:uid="{00000000-0005-0000-0000-0000C96E0000}"/>
    <cellStyle name="SAPBEXHLevel2X 2 5 2 2" xfId="27591" xr:uid="{00000000-0005-0000-0000-0000CA6E0000}"/>
    <cellStyle name="SAPBEXHLevel2X 2 5 2 2 2" xfId="32182" xr:uid="{146EB42F-5C83-4AE3-BE9F-4CB82BFE5F0D}"/>
    <cellStyle name="SAPBEXHLevel2X 2 5 2 3" xfId="28298" xr:uid="{00000000-0005-0000-0000-0000CB6E0000}"/>
    <cellStyle name="SAPBEXHLevel2X 2 5 2 3 2" xfId="32856" xr:uid="{70CF47E2-36FE-48FF-8B38-7F073D4C6CC9}"/>
    <cellStyle name="SAPBEXHLevel2X 2 5 2 4" xfId="26507" xr:uid="{00000000-0005-0000-0000-0000CC6E0000}"/>
    <cellStyle name="SAPBEXHLevel2X 2 5 2 4 2" xfId="31295" xr:uid="{62206DC2-A8DB-4625-879F-CCBB1E349A40}"/>
    <cellStyle name="SAPBEXHLevel2X 2 5 2 5" xfId="29850" xr:uid="{00000000-0005-0000-0000-0000CD6E0000}"/>
    <cellStyle name="SAPBEXHLevel2X 2 5 2 6" xfId="30595" xr:uid="{C2289268-0FCB-4B31-8762-CB57558D250E}"/>
    <cellStyle name="SAPBEXHLevel2X 2 5 3" xfId="25718" xr:uid="{00000000-0005-0000-0000-0000CE6E0000}"/>
    <cellStyle name="SAPBEXHLevel2X 2 5 3 2" xfId="27871" xr:uid="{00000000-0005-0000-0000-0000CF6E0000}"/>
    <cellStyle name="SAPBEXHLevel2X 2 5 3 2 2" xfId="32458" xr:uid="{EB1F5D69-68AF-447A-9BF1-33F449301EC0}"/>
    <cellStyle name="SAPBEXHLevel2X 2 5 3 3" xfId="28299" xr:uid="{00000000-0005-0000-0000-0000D06E0000}"/>
    <cellStyle name="SAPBEXHLevel2X 2 5 3 3 2" xfId="32857" xr:uid="{10D277D1-34CF-43B5-8979-A5793419D8E8}"/>
    <cellStyle name="SAPBEXHLevel2X 2 5 3 4" xfId="26528" xr:uid="{00000000-0005-0000-0000-0000D16E0000}"/>
    <cellStyle name="SAPBEXHLevel2X 2 5 3 4 2" xfId="31315" xr:uid="{5FC43C3A-F925-4069-8E91-207A51EDA085}"/>
    <cellStyle name="SAPBEXHLevel2X 2 5 3 5" xfId="29851" xr:uid="{00000000-0005-0000-0000-0000D26E0000}"/>
    <cellStyle name="SAPBEXHLevel2X 2 5 3 6" xfId="30712" xr:uid="{2C92B649-8AB1-4A21-8F08-48935CD35806}"/>
    <cellStyle name="SAPBEXHLevel2X 2 5 4" xfId="27405" xr:uid="{00000000-0005-0000-0000-0000D36E0000}"/>
    <cellStyle name="SAPBEXHLevel2X 2 5 4 2" xfId="32003" xr:uid="{44509791-5438-46FD-9F65-7FAEE2426485}"/>
    <cellStyle name="SAPBEXHLevel2X 2 5 5" xfId="28297" xr:uid="{00000000-0005-0000-0000-0000D46E0000}"/>
    <cellStyle name="SAPBEXHLevel2X 2 5 5 2" xfId="32855" xr:uid="{EC309A9B-E3FB-4E54-B5D6-E3D8866D7C7C}"/>
    <cellStyle name="SAPBEXHLevel2X 2 5 6" xfId="26732" xr:uid="{00000000-0005-0000-0000-0000D56E0000}"/>
    <cellStyle name="SAPBEXHLevel2X 2 5 6 2" xfId="31493" xr:uid="{110C8C70-758F-49A8-829C-38446E4B2D36}"/>
    <cellStyle name="SAPBEXHLevel2X 2 5 7" xfId="29849" xr:uid="{00000000-0005-0000-0000-0000D66E0000}"/>
    <cellStyle name="SAPBEXHLevel2X 2 5 8" xfId="30420" xr:uid="{F37C0D99-6EE7-459E-89E5-F6BCAD23A3FC}"/>
    <cellStyle name="SAPBEXHLevel2X 2 6" xfId="25855" xr:uid="{00000000-0005-0000-0000-0000D76E0000}"/>
    <cellStyle name="SAPBEXHLevel2X 2 6 2" xfId="30774" xr:uid="{ACCE309B-1CC4-4462-8476-FE1359A71F1C}"/>
    <cellStyle name="SAPBEXHLevel2X 2 7" xfId="28289" xr:uid="{00000000-0005-0000-0000-0000D86E0000}"/>
    <cellStyle name="SAPBEXHLevel2X 2 7 2" xfId="32847" xr:uid="{4C1DB4CB-9701-4254-A426-86ECD8207323}"/>
    <cellStyle name="SAPBEXHLevel2X 2 8" xfId="29232" xr:uid="{00000000-0005-0000-0000-0000D96E0000}"/>
    <cellStyle name="SAPBEXHLevel2X 2 8 2" xfId="33215" xr:uid="{5C335A7E-A0D0-418A-A9A7-41FAB1BDCE87}"/>
    <cellStyle name="SAPBEXHLevel2X 2 9" xfId="29841" xr:uid="{00000000-0005-0000-0000-0000DA6E0000}"/>
    <cellStyle name="SAPBEXHLevel2X 3" xfId="125" xr:uid="{00000000-0005-0000-0000-0000DB6E0000}"/>
    <cellStyle name="SAPBEXHLevel2X 3 2" xfId="13659" xr:uid="{00000000-0005-0000-0000-0000DC6E0000}"/>
    <cellStyle name="SAPBEXHLevel2X 3 2 2" xfId="25497" xr:uid="{00000000-0005-0000-0000-0000DD6E0000}"/>
    <cellStyle name="SAPBEXHLevel2X 3 2 2 2" xfId="27650" xr:uid="{00000000-0005-0000-0000-0000DE6E0000}"/>
    <cellStyle name="SAPBEXHLevel2X 3 2 2 2 2" xfId="32237" xr:uid="{68C814BA-31C8-4FF0-B521-FFC6EF9D9B2E}"/>
    <cellStyle name="SAPBEXHLevel2X 3 2 2 3" xfId="28302" xr:uid="{00000000-0005-0000-0000-0000DF6E0000}"/>
    <cellStyle name="SAPBEXHLevel2X 3 2 2 3 2" xfId="32860" xr:uid="{3561326F-3243-4A1F-ADB6-5C8D27C8BD4F}"/>
    <cellStyle name="SAPBEXHLevel2X 3 2 2 4" xfId="26312" xr:uid="{00000000-0005-0000-0000-0000E06E0000}"/>
    <cellStyle name="SAPBEXHLevel2X 3 2 2 4 2" xfId="31100" xr:uid="{08ED919A-E9E6-4EDE-B952-9AD494F4E66F}"/>
    <cellStyle name="SAPBEXHLevel2X 3 2 2 5" xfId="29854" xr:uid="{00000000-0005-0000-0000-0000E16E0000}"/>
    <cellStyle name="SAPBEXHLevel2X 3 2 3" xfId="26601" xr:uid="{00000000-0005-0000-0000-0000E26E0000}"/>
    <cellStyle name="SAPBEXHLevel2X 3 2 3 2" xfId="31379" xr:uid="{296C1C71-F8D2-4DDC-9F2C-0C4AD5DE6453}"/>
    <cellStyle name="SAPBEXHLevel2X 3 2 4" xfId="28301" xr:uid="{00000000-0005-0000-0000-0000E36E0000}"/>
    <cellStyle name="SAPBEXHLevel2X 3 2 4 2" xfId="32859" xr:uid="{C131D219-DAB1-4AC7-A4E7-9A9F531C34A3}"/>
    <cellStyle name="SAPBEXHLevel2X 3 2 5" xfId="26535" xr:uid="{00000000-0005-0000-0000-0000E46E0000}"/>
    <cellStyle name="SAPBEXHLevel2X 3 2 5 2" xfId="31322" xr:uid="{D412E13F-DA19-40B5-B9A4-97D4B53735A3}"/>
    <cellStyle name="SAPBEXHLevel2X 3 2 6" xfId="29853" xr:uid="{00000000-0005-0000-0000-0000E56E0000}"/>
    <cellStyle name="SAPBEXHLevel2X 3 2 7" xfId="30199" xr:uid="{B349369F-99CF-4011-B0A7-CC1173872BC4}"/>
    <cellStyle name="SAPBEXHLevel2X 3 3" xfId="24265" xr:uid="{00000000-0005-0000-0000-0000E66E0000}"/>
    <cellStyle name="SAPBEXHLevel2X 3 3 2" xfId="25586" xr:uid="{00000000-0005-0000-0000-0000E76E0000}"/>
    <cellStyle name="SAPBEXHLevel2X 3 3 2 2" xfId="27739" xr:uid="{00000000-0005-0000-0000-0000E86E0000}"/>
    <cellStyle name="SAPBEXHLevel2X 3 3 2 2 2" xfId="32326" xr:uid="{C2A2EF66-BE32-4DFA-8855-340BB683DC17}"/>
    <cellStyle name="SAPBEXHLevel2X 3 3 2 3" xfId="28304" xr:uid="{00000000-0005-0000-0000-0000E96E0000}"/>
    <cellStyle name="SAPBEXHLevel2X 3 3 2 3 2" xfId="32862" xr:uid="{76A1AFBB-E582-49E7-B0F8-8AECAF892336}"/>
    <cellStyle name="SAPBEXHLevel2X 3 3 2 4" xfId="26815" xr:uid="{00000000-0005-0000-0000-0000EA6E0000}"/>
    <cellStyle name="SAPBEXHLevel2X 3 3 2 4 2" xfId="31576" xr:uid="{6C80A768-3F40-4268-8A8A-9C47F79ABB07}"/>
    <cellStyle name="SAPBEXHLevel2X 3 3 2 5" xfId="29856" xr:uid="{00000000-0005-0000-0000-0000EB6E0000}"/>
    <cellStyle name="SAPBEXHLevel2X 3 3 3" xfId="27119" xr:uid="{00000000-0005-0000-0000-0000EC6E0000}"/>
    <cellStyle name="SAPBEXHLevel2X 3 3 3 2" xfId="31837" xr:uid="{E50DE7E4-2CE2-4068-BF91-765F266F453A}"/>
    <cellStyle name="SAPBEXHLevel2X 3 3 4" xfId="28303" xr:uid="{00000000-0005-0000-0000-0000ED6E0000}"/>
    <cellStyle name="SAPBEXHLevel2X 3 3 4 2" xfId="32861" xr:uid="{669A3092-DDC0-4A10-8493-E327A624300F}"/>
    <cellStyle name="SAPBEXHLevel2X 3 3 5" xfId="26319" xr:uid="{00000000-0005-0000-0000-0000EE6E0000}"/>
    <cellStyle name="SAPBEXHLevel2X 3 3 5 2" xfId="31107" xr:uid="{883B4567-434B-48C7-98E5-AA0FD6CA2CDB}"/>
    <cellStyle name="SAPBEXHLevel2X 3 3 6" xfId="29855" xr:uid="{00000000-0005-0000-0000-0000EF6E0000}"/>
    <cellStyle name="SAPBEXHLevel2X 3 3 7" xfId="30288" xr:uid="{350C7EE5-1DE1-4EE7-8E5E-4DDB1FD06BEF}"/>
    <cellStyle name="SAPBEXHLevel2X 3 4" xfId="24652" xr:uid="{00000000-0005-0000-0000-0000F06E0000}"/>
    <cellStyle name="SAPBEXHLevel2X 3 4 2" xfId="25333" xr:uid="{00000000-0005-0000-0000-0000F16E0000}"/>
    <cellStyle name="SAPBEXHLevel2X 3 4 2 2" xfId="27487" xr:uid="{00000000-0005-0000-0000-0000F26E0000}"/>
    <cellStyle name="SAPBEXHLevel2X 3 4 2 2 2" xfId="32078" xr:uid="{A83611BE-9A26-40FF-8CD1-9A3E6BE2E539}"/>
    <cellStyle name="SAPBEXHLevel2X 3 4 2 3" xfId="28306" xr:uid="{00000000-0005-0000-0000-0000F36E0000}"/>
    <cellStyle name="SAPBEXHLevel2X 3 4 2 3 2" xfId="32864" xr:uid="{52970F03-AB03-4B01-883D-C6CA0A84735B}"/>
    <cellStyle name="SAPBEXHLevel2X 3 4 2 4" xfId="26363" xr:uid="{00000000-0005-0000-0000-0000F46E0000}"/>
    <cellStyle name="SAPBEXHLevel2X 3 4 2 4 2" xfId="31151" xr:uid="{9CBEE3DC-A698-40AD-A48D-0CF945B10F1E}"/>
    <cellStyle name="SAPBEXHLevel2X 3 4 2 5" xfId="29858" xr:uid="{00000000-0005-0000-0000-0000F56E0000}"/>
    <cellStyle name="SAPBEXHLevel2X 3 4 2 6" xfId="30491" xr:uid="{A9C0E3A9-55F6-4015-AC68-573BEB21E894}"/>
    <cellStyle name="SAPBEXHLevel2X 3 4 3" xfId="25618" xr:uid="{00000000-0005-0000-0000-0000F66E0000}"/>
    <cellStyle name="SAPBEXHLevel2X 3 4 3 2" xfId="27771" xr:uid="{00000000-0005-0000-0000-0000F76E0000}"/>
    <cellStyle name="SAPBEXHLevel2X 3 4 3 2 2" xfId="32358" xr:uid="{42DF8C83-80E7-4331-BAE5-F05E9F80A5BB}"/>
    <cellStyle name="SAPBEXHLevel2X 3 4 3 3" xfId="28307" xr:uid="{00000000-0005-0000-0000-0000F86E0000}"/>
    <cellStyle name="SAPBEXHLevel2X 3 4 3 3 2" xfId="32865" xr:uid="{F218E463-7A97-4B09-AC7A-A8A5154395F3}"/>
    <cellStyle name="SAPBEXHLevel2X 3 4 3 4" xfId="26516" xr:uid="{00000000-0005-0000-0000-0000F96E0000}"/>
    <cellStyle name="SAPBEXHLevel2X 3 4 3 4 2" xfId="31304" xr:uid="{D4617993-C1B8-4067-B4A5-5ED3D22B95B7}"/>
    <cellStyle name="SAPBEXHLevel2X 3 4 3 5" xfId="29859" xr:uid="{00000000-0005-0000-0000-0000FA6E0000}"/>
    <cellStyle name="SAPBEXHLevel2X 3 4 4" xfId="27245" xr:uid="{00000000-0005-0000-0000-0000FB6E0000}"/>
    <cellStyle name="SAPBEXHLevel2X 3 4 4 2" xfId="31880" xr:uid="{524C7DE7-3A6B-441E-A669-D3CE7200549B}"/>
    <cellStyle name="SAPBEXHLevel2X 3 4 5" xfId="28305" xr:uid="{00000000-0005-0000-0000-0000FC6E0000}"/>
    <cellStyle name="SAPBEXHLevel2X 3 4 5 2" xfId="32863" xr:uid="{803751BF-85B9-4945-B68A-25825F65E398}"/>
    <cellStyle name="SAPBEXHLevel2X 3 4 6" xfId="26711" xr:uid="{00000000-0005-0000-0000-0000FD6E0000}"/>
    <cellStyle name="SAPBEXHLevel2X 3 4 6 2" xfId="31473" xr:uid="{C43972B6-828B-4B93-8A38-E4488229649C}"/>
    <cellStyle name="SAPBEXHLevel2X 3 4 7" xfId="29857" xr:uid="{00000000-0005-0000-0000-0000FE6E0000}"/>
    <cellStyle name="SAPBEXHLevel2X 3 4 8" xfId="30320" xr:uid="{26317DB7-6BDD-4B90-B40E-D2875A8142C5}"/>
    <cellStyle name="SAPBEXHLevel2X 3 5" xfId="25121" xr:uid="{00000000-0005-0000-0000-0000FF6E0000}"/>
    <cellStyle name="SAPBEXHLevel2X 3 5 2" xfId="25354" xr:uid="{00000000-0005-0000-0000-0000006F0000}"/>
    <cellStyle name="SAPBEXHLevel2X 3 5 2 2" xfId="27508" xr:uid="{00000000-0005-0000-0000-0000016F0000}"/>
    <cellStyle name="SAPBEXHLevel2X 3 5 2 2 2" xfId="32099" xr:uid="{DF2B96D1-52CE-4933-AFCF-F69E40F779CE}"/>
    <cellStyle name="SAPBEXHLevel2X 3 5 2 3" xfId="28309" xr:uid="{00000000-0005-0000-0000-0000026F0000}"/>
    <cellStyle name="SAPBEXHLevel2X 3 5 2 3 2" xfId="32867" xr:uid="{E90AE2DB-A9BA-40FE-BD0C-868BA220FD86}"/>
    <cellStyle name="SAPBEXHLevel2X 3 5 2 4" xfId="26955" xr:uid="{00000000-0005-0000-0000-0000036F0000}"/>
    <cellStyle name="SAPBEXHLevel2X 3 5 2 4 2" xfId="31716" xr:uid="{1905C4DC-7DD6-41C2-8F5F-3FAA3826B72C}"/>
    <cellStyle name="SAPBEXHLevel2X 3 5 2 5" xfId="29861" xr:uid="{00000000-0005-0000-0000-0000046F0000}"/>
    <cellStyle name="SAPBEXHLevel2X 3 5 2 6" xfId="30512" xr:uid="{4B44D0F1-4E54-4371-90AF-C8D4AE8B2862}"/>
    <cellStyle name="SAPBEXHLevel2X 3 5 3" xfId="25719" xr:uid="{00000000-0005-0000-0000-0000056F0000}"/>
    <cellStyle name="SAPBEXHLevel2X 3 5 3 2" xfId="27872" xr:uid="{00000000-0005-0000-0000-0000066F0000}"/>
    <cellStyle name="SAPBEXHLevel2X 3 5 3 2 2" xfId="32459" xr:uid="{6ECD7BC5-A01F-47C2-9F2A-A0BEDD710D11}"/>
    <cellStyle name="SAPBEXHLevel2X 3 5 3 3" xfId="28310" xr:uid="{00000000-0005-0000-0000-0000076F0000}"/>
    <cellStyle name="SAPBEXHLevel2X 3 5 3 3 2" xfId="32868" xr:uid="{E0BC4AFA-FA82-450F-84BE-7FD9A52DC0A1}"/>
    <cellStyle name="SAPBEXHLevel2X 3 5 3 4" xfId="26513" xr:uid="{00000000-0005-0000-0000-0000086F0000}"/>
    <cellStyle name="SAPBEXHLevel2X 3 5 3 4 2" xfId="31301" xr:uid="{5DB21D4A-477F-4CEC-B329-F4C0FF595831}"/>
    <cellStyle name="SAPBEXHLevel2X 3 5 3 5" xfId="29862" xr:uid="{00000000-0005-0000-0000-0000096F0000}"/>
    <cellStyle name="SAPBEXHLevel2X 3 5 3 6" xfId="30713" xr:uid="{CE0C89F6-3B8F-47AA-9EFD-ECA249DD3F91}"/>
    <cellStyle name="SAPBEXHLevel2X 3 5 4" xfId="27406" xr:uid="{00000000-0005-0000-0000-00000A6F0000}"/>
    <cellStyle name="SAPBEXHLevel2X 3 5 4 2" xfId="32004" xr:uid="{3C67262E-D7E2-43C3-95D6-3198AA0C5344}"/>
    <cellStyle name="SAPBEXHLevel2X 3 5 5" xfId="28308" xr:uid="{00000000-0005-0000-0000-00000B6F0000}"/>
    <cellStyle name="SAPBEXHLevel2X 3 5 5 2" xfId="32866" xr:uid="{F9D42687-1A7C-4D66-8C2D-8F7878AADFE5}"/>
    <cellStyle name="SAPBEXHLevel2X 3 5 6" xfId="26141" xr:uid="{00000000-0005-0000-0000-00000C6F0000}"/>
    <cellStyle name="SAPBEXHLevel2X 3 5 6 2" xfId="30931" xr:uid="{69C3F65B-65BA-45D6-B78B-A22DAEA2C73B}"/>
    <cellStyle name="SAPBEXHLevel2X 3 5 7" xfId="29860" xr:uid="{00000000-0005-0000-0000-00000D6F0000}"/>
    <cellStyle name="SAPBEXHLevel2X 3 5 8" xfId="30421" xr:uid="{6986DA9C-58F3-4D52-95F6-31BF86F9DCD1}"/>
    <cellStyle name="SAPBEXHLevel2X 3 6" xfId="25856" xr:uid="{00000000-0005-0000-0000-00000E6F0000}"/>
    <cellStyle name="SAPBEXHLevel2X 3 6 2" xfId="30775" xr:uid="{D0EE09E1-B8EA-40EC-A02E-467C33508226}"/>
    <cellStyle name="SAPBEXHLevel2X 3 7" xfId="28300" xr:uid="{00000000-0005-0000-0000-00000F6F0000}"/>
    <cellStyle name="SAPBEXHLevel2X 3 7 2" xfId="32858" xr:uid="{9EACCF4F-5707-4C1F-BADE-68B4708927D1}"/>
    <cellStyle name="SAPBEXHLevel2X 3 8" xfId="29214" xr:uid="{00000000-0005-0000-0000-0000106F0000}"/>
    <cellStyle name="SAPBEXHLevel2X 3 8 2" xfId="33197" xr:uid="{4D64B8D7-1A4B-49DA-B4AF-03D38E28536A}"/>
    <cellStyle name="SAPBEXHLevel2X 3 9" xfId="29852" xr:uid="{00000000-0005-0000-0000-0000116F0000}"/>
    <cellStyle name="SAPBEXHLevel2X 4" xfId="126" xr:uid="{00000000-0005-0000-0000-0000126F0000}"/>
    <cellStyle name="SAPBEXHLevel2X 4 2" xfId="13660" xr:uid="{00000000-0005-0000-0000-0000136F0000}"/>
    <cellStyle name="SAPBEXHLevel2X 4 2 2" xfId="25498" xr:uid="{00000000-0005-0000-0000-0000146F0000}"/>
    <cellStyle name="SAPBEXHLevel2X 4 2 2 2" xfId="27651" xr:uid="{00000000-0005-0000-0000-0000156F0000}"/>
    <cellStyle name="SAPBEXHLevel2X 4 2 2 2 2" xfId="32238" xr:uid="{769983A9-FC25-4B24-845E-345081FEB88C}"/>
    <cellStyle name="SAPBEXHLevel2X 4 2 2 3" xfId="28313" xr:uid="{00000000-0005-0000-0000-0000166F0000}"/>
    <cellStyle name="SAPBEXHLevel2X 4 2 2 3 2" xfId="32871" xr:uid="{2D8F571C-74DA-48DB-9E7D-CE15639BEA6F}"/>
    <cellStyle name="SAPBEXHLevel2X 4 2 2 4" xfId="27348" xr:uid="{00000000-0005-0000-0000-0000176F0000}"/>
    <cellStyle name="SAPBEXHLevel2X 4 2 2 4 2" xfId="31946" xr:uid="{7D14A477-1CB6-4F9E-BE25-CCDF30EE4B3D}"/>
    <cellStyle name="SAPBEXHLevel2X 4 2 2 5" xfId="29865" xr:uid="{00000000-0005-0000-0000-0000186F0000}"/>
    <cellStyle name="SAPBEXHLevel2X 4 2 3" xfId="26602" xr:uid="{00000000-0005-0000-0000-0000196F0000}"/>
    <cellStyle name="SAPBEXHLevel2X 4 2 3 2" xfId="31380" xr:uid="{CC15C65E-53C9-4EF0-987E-5BCB52B43667}"/>
    <cellStyle name="SAPBEXHLevel2X 4 2 4" xfId="28312" xr:uid="{00000000-0005-0000-0000-00001A6F0000}"/>
    <cellStyle name="SAPBEXHLevel2X 4 2 4 2" xfId="32870" xr:uid="{348F290E-97A2-426E-AEF8-FF08E05C193F}"/>
    <cellStyle name="SAPBEXHLevel2X 4 2 5" xfId="27082" xr:uid="{00000000-0005-0000-0000-00001B6F0000}"/>
    <cellStyle name="SAPBEXHLevel2X 4 2 5 2" xfId="31806" xr:uid="{9968531E-208C-4393-8B61-AD4ECE53455F}"/>
    <cellStyle name="SAPBEXHLevel2X 4 2 6" xfId="29864" xr:uid="{00000000-0005-0000-0000-00001C6F0000}"/>
    <cellStyle name="SAPBEXHLevel2X 4 2 7" xfId="30200" xr:uid="{973650EE-48B8-407C-A2EF-2928BD22E9A5}"/>
    <cellStyle name="SAPBEXHLevel2X 4 3" xfId="25857" xr:uid="{00000000-0005-0000-0000-00001D6F0000}"/>
    <cellStyle name="SAPBEXHLevel2X 4 3 2" xfId="30776" xr:uid="{6F22AA6E-5ACF-4450-A3A3-206F1A076CB3}"/>
    <cellStyle name="SAPBEXHLevel2X 4 4" xfId="28311" xr:uid="{00000000-0005-0000-0000-00001E6F0000}"/>
    <cellStyle name="SAPBEXHLevel2X 4 4 2" xfId="32869" xr:uid="{896D0740-6BAD-422F-B817-AEC5931338C7}"/>
    <cellStyle name="SAPBEXHLevel2X 4 5" xfId="26370" xr:uid="{00000000-0005-0000-0000-00001F6F0000}"/>
    <cellStyle name="SAPBEXHLevel2X 4 5 2" xfId="31158" xr:uid="{E95CA076-8D58-4743-9DF5-2ECA034581DC}"/>
    <cellStyle name="SAPBEXHLevel2X 4 6" xfId="29863" xr:uid="{00000000-0005-0000-0000-0000206F0000}"/>
    <cellStyle name="SAPBEXHLevel2X 5" xfId="255" xr:uid="{00000000-0005-0000-0000-0000216F0000}"/>
    <cellStyle name="SAPBEXHLevel2X 5 2" xfId="13720" xr:uid="{00000000-0005-0000-0000-0000226F0000}"/>
    <cellStyle name="SAPBEXHLevel2X 5 2 2" xfId="25533" xr:uid="{00000000-0005-0000-0000-0000236F0000}"/>
    <cellStyle name="SAPBEXHLevel2X 5 2 2 2" xfId="27686" xr:uid="{00000000-0005-0000-0000-0000246F0000}"/>
    <cellStyle name="SAPBEXHLevel2X 5 2 2 2 2" xfId="32273" xr:uid="{969DB673-F132-4CBE-994C-665BFBD48362}"/>
    <cellStyle name="SAPBEXHLevel2X 5 2 2 3" xfId="28316" xr:uid="{00000000-0005-0000-0000-0000256F0000}"/>
    <cellStyle name="SAPBEXHLevel2X 5 2 2 3 2" xfId="32874" xr:uid="{5AF32070-A573-43CF-A82F-F76A65150F26}"/>
    <cellStyle name="SAPBEXHLevel2X 5 2 2 4" xfId="26214" xr:uid="{00000000-0005-0000-0000-0000266F0000}"/>
    <cellStyle name="SAPBEXHLevel2X 5 2 2 4 2" xfId="31002" xr:uid="{97AC4181-D357-4B1E-8C2A-AC0B62651307}"/>
    <cellStyle name="SAPBEXHLevel2X 5 2 2 5" xfId="29868" xr:uid="{00000000-0005-0000-0000-0000276F0000}"/>
    <cellStyle name="SAPBEXHLevel2X 5 2 3" xfId="26640" xr:uid="{00000000-0005-0000-0000-0000286F0000}"/>
    <cellStyle name="SAPBEXHLevel2X 5 2 3 2" xfId="31417" xr:uid="{E29B80E2-11AB-4507-84F4-47950C32AA74}"/>
    <cellStyle name="SAPBEXHLevel2X 5 2 4" xfId="28315" xr:uid="{00000000-0005-0000-0000-0000296F0000}"/>
    <cellStyle name="SAPBEXHLevel2X 5 2 4 2" xfId="32873" xr:uid="{301B100A-14DB-4657-9AD5-698FB11EB8AD}"/>
    <cellStyle name="SAPBEXHLevel2X 5 2 5" xfId="27008" xr:uid="{00000000-0005-0000-0000-00002A6F0000}"/>
    <cellStyle name="SAPBEXHLevel2X 5 2 5 2" xfId="31768" xr:uid="{46C5460C-2A05-4E8D-80FC-DACAB3901175}"/>
    <cellStyle name="SAPBEXHLevel2X 5 2 6" xfId="29867" xr:uid="{00000000-0005-0000-0000-00002B6F0000}"/>
    <cellStyle name="SAPBEXHLevel2X 5 2 7" xfId="30235" xr:uid="{C03BD525-83C6-47A9-BC30-CB915168A97D}"/>
    <cellStyle name="SAPBEXHLevel2X 5 3" xfId="25923" xr:uid="{00000000-0005-0000-0000-00002C6F0000}"/>
    <cellStyle name="SAPBEXHLevel2X 5 3 2" xfId="30812" xr:uid="{05DEC17D-FB44-425C-8C75-470DC3851EBE}"/>
    <cellStyle name="SAPBEXHLevel2X 5 4" xfId="28314" xr:uid="{00000000-0005-0000-0000-00002D6F0000}"/>
    <cellStyle name="SAPBEXHLevel2X 5 4 2" xfId="32872" xr:uid="{2E98358B-10FF-44FC-AF6F-5FD64FD46555}"/>
    <cellStyle name="SAPBEXHLevel2X 5 5" xfId="27924" xr:uid="{00000000-0005-0000-0000-00002E6F0000}"/>
    <cellStyle name="SAPBEXHLevel2X 5 5 2" xfId="32482" xr:uid="{DF0E5E79-F03F-4499-909D-9C987E0A765E}"/>
    <cellStyle name="SAPBEXHLevel2X 5 6" xfId="29866" xr:uid="{00000000-0005-0000-0000-00002F6F0000}"/>
    <cellStyle name="SAPBEXHLevel2X 6" xfId="13657" xr:uid="{00000000-0005-0000-0000-0000306F0000}"/>
    <cellStyle name="SAPBEXHLevel2X 6 2" xfId="25495" xr:uid="{00000000-0005-0000-0000-0000316F0000}"/>
    <cellStyle name="SAPBEXHLevel2X 6 2 2" xfId="27648" xr:uid="{00000000-0005-0000-0000-0000326F0000}"/>
    <cellStyle name="SAPBEXHLevel2X 6 2 2 2" xfId="32235" xr:uid="{62D6E3E9-F16D-4400-89DF-D5E2BD38B569}"/>
    <cellStyle name="SAPBEXHLevel2X 6 2 3" xfId="28318" xr:uid="{00000000-0005-0000-0000-0000336F0000}"/>
    <cellStyle name="SAPBEXHLevel2X 6 2 3 2" xfId="32876" xr:uid="{7F3B2853-9A74-4353-865D-F8D35928BB50}"/>
    <cellStyle name="SAPBEXHLevel2X 6 2 4" xfId="27321" xr:uid="{00000000-0005-0000-0000-0000346F0000}"/>
    <cellStyle name="SAPBEXHLevel2X 6 2 4 2" xfId="31940" xr:uid="{B24DB459-6A37-4D29-9C5D-6DE37E9678FD}"/>
    <cellStyle name="SAPBEXHLevel2X 6 2 5" xfId="29870" xr:uid="{00000000-0005-0000-0000-0000356F0000}"/>
    <cellStyle name="SAPBEXHLevel2X 6 3" xfId="26599" xr:uid="{00000000-0005-0000-0000-0000366F0000}"/>
    <cellStyle name="SAPBEXHLevel2X 6 3 2" xfId="31377" xr:uid="{127269DD-B4D7-4E7D-92C1-E9F349449EE5}"/>
    <cellStyle name="SAPBEXHLevel2X 6 4" xfId="28317" xr:uid="{00000000-0005-0000-0000-0000376F0000}"/>
    <cellStyle name="SAPBEXHLevel2X 6 4 2" xfId="32875" xr:uid="{7D039002-1AF4-47D8-AA52-29136A2095D9}"/>
    <cellStyle name="SAPBEXHLevel2X 6 5" xfId="26352" xr:uid="{00000000-0005-0000-0000-0000386F0000}"/>
    <cellStyle name="SAPBEXHLevel2X 6 5 2" xfId="31140" xr:uid="{24C10434-4703-4634-A24A-B7999810F8E0}"/>
    <cellStyle name="SAPBEXHLevel2X 6 6" xfId="29869" xr:uid="{00000000-0005-0000-0000-0000396F0000}"/>
    <cellStyle name="SAPBEXHLevel2X 6 7" xfId="30197" xr:uid="{0DBA6F2A-DBB0-4119-96D4-9A08BB066EFA}"/>
    <cellStyle name="SAPBEXHLevel2X 7" xfId="24654" xr:uid="{00000000-0005-0000-0000-00003A6F0000}"/>
    <cellStyle name="SAPBEXHLevel2X 7 2" xfId="25350" xr:uid="{00000000-0005-0000-0000-00003B6F0000}"/>
    <cellStyle name="SAPBEXHLevel2X 7 2 2" xfId="27504" xr:uid="{00000000-0005-0000-0000-00003C6F0000}"/>
    <cellStyle name="SAPBEXHLevel2X 7 2 2 2" xfId="32095" xr:uid="{F85131B8-CC45-4460-A75E-29E81793FD40}"/>
    <cellStyle name="SAPBEXHLevel2X 7 2 3" xfId="28320" xr:uid="{00000000-0005-0000-0000-00003D6F0000}"/>
    <cellStyle name="SAPBEXHLevel2X 7 2 3 2" xfId="32878" xr:uid="{04C7A79E-6BF2-497C-8C1C-03BB16105FEC}"/>
    <cellStyle name="SAPBEXHLevel2X 7 2 4" xfId="26206" xr:uid="{00000000-0005-0000-0000-00003E6F0000}"/>
    <cellStyle name="SAPBEXHLevel2X 7 2 4 2" xfId="30994" xr:uid="{7753D107-6785-493D-8438-04D4AD959D57}"/>
    <cellStyle name="SAPBEXHLevel2X 7 2 5" xfId="29872" xr:uid="{00000000-0005-0000-0000-00003F6F0000}"/>
    <cellStyle name="SAPBEXHLevel2X 7 2 6" xfId="30508" xr:uid="{675FD031-24F5-4CED-B577-29B0C1D816EC}"/>
    <cellStyle name="SAPBEXHLevel2X 7 3" xfId="25620" xr:uid="{00000000-0005-0000-0000-0000406F0000}"/>
    <cellStyle name="SAPBEXHLevel2X 7 3 2" xfId="27773" xr:uid="{00000000-0005-0000-0000-0000416F0000}"/>
    <cellStyle name="SAPBEXHLevel2X 7 3 2 2" xfId="32360" xr:uid="{C826C5D0-40E6-4EDE-8663-C9AC6AAE5153}"/>
    <cellStyle name="SAPBEXHLevel2X 7 3 3" xfId="28321" xr:uid="{00000000-0005-0000-0000-0000426F0000}"/>
    <cellStyle name="SAPBEXHLevel2X 7 3 3 2" xfId="32879" xr:uid="{C3DDCAA5-A4BD-411B-8856-CBBA4B8F3FE0}"/>
    <cellStyle name="SAPBEXHLevel2X 7 3 4" xfId="26888" xr:uid="{00000000-0005-0000-0000-0000436F0000}"/>
    <cellStyle name="SAPBEXHLevel2X 7 3 4 2" xfId="31649" xr:uid="{21D57C68-30F9-4B6C-9844-67B585BDE5AE}"/>
    <cellStyle name="SAPBEXHLevel2X 7 3 5" xfId="29873" xr:uid="{00000000-0005-0000-0000-0000446F0000}"/>
    <cellStyle name="SAPBEXHLevel2X 7 4" xfId="27247" xr:uid="{00000000-0005-0000-0000-0000456F0000}"/>
    <cellStyle name="SAPBEXHLevel2X 7 4 2" xfId="31882" xr:uid="{1F50CDA6-D426-4BE3-93AA-CB66526806EF}"/>
    <cellStyle name="SAPBEXHLevel2X 7 5" xfId="28319" xr:uid="{00000000-0005-0000-0000-0000466F0000}"/>
    <cellStyle name="SAPBEXHLevel2X 7 5 2" xfId="32877" xr:uid="{03C2483C-A434-4110-A236-1E6DD3535078}"/>
    <cellStyle name="SAPBEXHLevel2X 7 6" xfId="26115" xr:uid="{00000000-0005-0000-0000-0000476F0000}"/>
    <cellStyle name="SAPBEXHLevel2X 7 6 2" xfId="30905" xr:uid="{129CF6D2-70A9-455A-BFB0-65BC28E450D7}"/>
    <cellStyle name="SAPBEXHLevel2X 7 7" xfId="29871" xr:uid="{00000000-0005-0000-0000-0000486F0000}"/>
    <cellStyle name="SAPBEXHLevel2X 7 8" xfId="30322" xr:uid="{9C2CAA50-A93A-4420-AE48-305EBCF23106}"/>
    <cellStyle name="SAPBEXHLevel2X 8" xfId="25119" xr:uid="{00000000-0005-0000-0000-0000496F0000}"/>
    <cellStyle name="SAPBEXHLevel2X 8 2" xfId="25337" xr:uid="{00000000-0005-0000-0000-00004A6F0000}"/>
    <cellStyle name="SAPBEXHLevel2X 8 2 2" xfId="27491" xr:uid="{00000000-0005-0000-0000-00004B6F0000}"/>
    <cellStyle name="SAPBEXHLevel2X 8 2 2 2" xfId="32082" xr:uid="{686CFDCF-31B4-455B-AE48-7F75F05EE172}"/>
    <cellStyle name="SAPBEXHLevel2X 8 2 3" xfId="28323" xr:uid="{00000000-0005-0000-0000-00004C6F0000}"/>
    <cellStyle name="SAPBEXHLevel2X 8 2 3 2" xfId="32881" xr:uid="{8854D5C0-02DF-4691-A393-6F32A7509F3E}"/>
    <cellStyle name="SAPBEXHLevel2X 8 2 4" xfId="26138" xr:uid="{00000000-0005-0000-0000-00004D6F0000}"/>
    <cellStyle name="SAPBEXHLevel2X 8 2 4 2" xfId="30928" xr:uid="{4C73DAD2-5CC0-48FE-838B-08B6E4FF6FD6}"/>
    <cellStyle name="SAPBEXHLevel2X 8 2 5" xfId="29875" xr:uid="{00000000-0005-0000-0000-00004E6F0000}"/>
    <cellStyle name="SAPBEXHLevel2X 8 2 6" xfId="30495" xr:uid="{CC2F96E7-3868-4F9E-906C-EA6B106A0B19}"/>
    <cellStyle name="SAPBEXHLevel2X 8 3" xfId="25717" xr:uid="{00000000-0005-0000-0000-00004F6F0000}"/>
    <cellStyle name="SAPBEXHLevel2X 8 3 2" xfId="27870" xr:uid="{00000000-0005-0000-0000-0000506F0000}"/>
    <cellStyle name="SAPBEXHLevel2X 8 3 2 2" xfId="32457" xr:uid="{B23026B2-2D81-4A57-8853-B023293739F1}"/>
    <cellStyle name="SAPBEXHLevel2X 8 3 3" xfId="28324" xr:uid="{00000000-0005-0000-0000-0000516F0000}"/>
    <cellStyle name="SAPBEXHLevel2X 8 3 3 2" xfId="32882" xr:uid="{117AC622-D2D6-4810-BD6D-24D778F585A5}"/>
    <cellStyle name="SAPBEXHLevel2X 8 3 4" xfId="26822" xr:uid="{00000000-0005-0000-0000-0000526F0000}"/>
    <cellStyle name="SAPBEXHLevel2X 8 3 4 2" xfId="31583" xr:uid="{D4DB7635-284C-414E-BEC7-B40091DDE713}"/>
    <cellStyle name="SAPBEXHLevel2X 8 3 5" xfId="29876" xr:uid="{00000000-0005-0000-0000-0000536F0000}"/>
    <cellStyle name="SAPBEXHLevel2X 8 3 6" xfId="30711" xr:uid="{AAB3D7A8-2466-4FE4-A4B2-92DA429CF465}"/>
    <cellStyle name="SAPBEXHLevel2X 8 4" xfId="27404" xr:uid="{00000000-0005-0000-0000-0000546F0000}"/>
    <cellStyle name="SAPBEXHLevel2X 8 4 2" xfId="32002" xr:uid="{421B840A-CBB3-4937-9CBB-1689F18F6E06}"/>
    <cellStyle name="SAPBEXHLevel2X 8 5" xfId="28322" xr:uid="{00000000-0005-0000-0000-0000556F0000}"/>
    <cellStyle name="SAPBEXHLevel2X 8 5 2" xfId="32880" xr:uid="{800D98A4-FE35-4C07-97C7-594FE8FE102F}"/>
    <cellStyle name="SAPBEXHLevel2X 8 6" xfId="26826" xr:uid="{00000000-0005-0000-0000-0000566F0000}"/>
    <cellStyle name="SAPBEXHLevel2X 8 6 2" xfId="31587" xr:uid="{B5C5A7A9-5D59-4A1E-A74F-1A3BE4914B90}"/>
    <cellStyle name="SAPBEXHLevel2X 8 7" xfId="29874" xr:uid="{00000000-0005-0000-0000-0000576F0000}"/>
    <cellStyle name="SAPBEXHLevel2X 8 8" xfId="30419" xr:uid="{25479D68-A9E2-4939-8BD0-4B760DB2443B}"/>
    <cellStyle name="SAPBEXHLevel2X 9" xfId="25854" xr:uid="{00000000-0005-0000-0000-0000586F0000}"/>
    <cellStyle name="SAPBEXHLevel2X 9 2" xfId="30773" xr:uid="{0C939519-7478-4B4C-9B66-38110537D7E9}"/>
    <cellStyle name="SAPBEXHLevel3" xfId="127" xr:uid="{00000000-0005-0000-0000-0000596F0000}"/>
    <cellStyle name="SAPBEXHLevel3 10" xfId="28325" xr:uid="{00000000-0005-0000-0000-00005A6F0000}"/>
    <cellStyle name="SAPBEXHLevel3 10 2" xfId="32883" xr:uid="{390F4228-059F-4A06-8E9C-87458E7D9AB6}"/>
    <cellStyle name="SAPBEXHLevel3 11" xfId="26726" xr:uid="{00000000-0005-0000-0000-00005B6F0000}"/>
    <cellStyle name="SAPBEXHLevel3 11 2" xfId="31487" xr:uid="{C42E8870-3739-4180-A974-9A6B484EBF9F}"/>
    <cellStyle name="SAPBEXHLevel3 12" xfId="29877" xr:uid="{00000000-0005-0000-0000-00005C6F0000}"/>
    <cellStyle name="SAPBEXHLevel3 2" xfId="128" xr:uid="{00000000-0005-0000-0000-00005D6F0000}"/>
    <cellStyle name="SAPBEXHLevel3 2 2" xfId="13662" xr:uid="{00000000-0005-0000-0000-00005E6F0000}"/>
    <cellStyle name="SAPBEXHLevel3 2 2 2" xfId="25500" xr:uid="{00000000-0005-0000-0000-00005F6F0000}"/>
    <cellStyle name="SAPBEXHLevel3 2 2 2 2" xfId="27653" xr:uid="{00000000-0005-0000-0000-0000606F0000}"/>
    <cellStyle name="SAPBEXHLevel3 2 2 2 2 2" xfId="32240" xr:uid="{3ACD2E27-846A-4B3D-982F-B31A0A7D6651}"/>
    <cellStyle name="SAPBEXHLevel3 2 2 2 3" xfId="28328" xr:uid="{00000000-0005-0000-0000-0000616F0000}"/>
    <cellStyle name="SAPBEXHLevel3 2 2 2 3 2" xfId="32886" xr:uid="{6DD8A478-4974-45E0-808C-38EDE4A00250}"/>
    <cellStyle name="SAPBEXHLevel3 2 2 2 4" xfId="26782" xr:uid="{00000000-0005-0000-0000-0000626F0000}"/>
    <cellStyle name="SAPBEXHLevel3 2 2 2 4 2" xfId="31543" xr:uid="{12E4A735-9FA2-4D1F-90CB-43A10226922B}"/>
    <cellStyle name="SAPBEXHLevel3 2 2 2 5" xfId="29880" xr:uid="{00000000-0005-0000-0000-0000636F0000}"/>
    <cellStyle name="SAPBEXHLevel3 2 2 3" xfId="26604" xr:uid="{00000000-0005-0000-0000-0000646F0000}"/>
    <cellStyle name="SAPBEXHLevel3 2 2 3 2" xfId="31382" xr:uid="{2BF13B17-76AD-4804-8BFD-D27D192C32F4}"/>
    <cellStyle name="SAPBEXHLevel3 2 2 4" xfId="28327" xr:uid="{00000000-0005-0000-0000-0000656F0000}"/>
    <cellStyle name="SAPBEXHLevel3 2 2 4 2" xfId="32885" xr:uid="{729EA39B-151C-4472-AB98-B67533377E4C}"/>
    <cellStyle name="SAPBEXHLevel3 2 2 5" xfId="26542" xr:uid="{00000000-0005-0000-0000-0000666F0000}"/>
    <cellStyle name="SAPBEXHLevel3 2 2 5 2" xfId="31329" xr:uid="{02455393-3BD4-4378-B5DE-5E9774295F4C}"/>
    <cellStyle name="SAPBEXHLevel3 2 2 6" xfId="29879" xr:uid="{00000000-0005-0000-0000-0000676F0000}"/>
    <cellStyle name="SAPBEXHLevel3 2 2 7" xfId="30202" xr:uid="{BBBD1AA3-778C-4BC5-B153-4DBD9FED934E}"/>
    <cellStyle name="SAPBEXHLevel3 2 3" xfId="24266" xr:uid="{00000000-0005-0000-0000-0000686F0000}"/>
    <cellStyle name="SAPBEXHLevel3 2 3 2" xfId="25587" xr:uid="{00000000-0005-0000-0000-0000696F0000}"/>
    <cellStyle name="SAPBEXHLevel3 2 3 2 2" xfId="27740" xr:uid="{00000000-0005-0000-0000-00006A6F0000}"/>
    <cellStyle name="SAPBEXHLevel3 2 3 2 2 2" xfId="32327" xr:uid="{D0A71B44-117A-491D-9D77-C62ED6F72671}"/>
    <cellStyle name="SAPBEXHLevel3 2 3 2 3" xfId="28330" xr:uid="{00000000-0005-0000-0000-00006B6F0000}"/>
    <cellStyle name="SAPBEXHLevel3 2 3 2 3 2" xfId="32888" xr:uid="{779DF8D9-F3A5-4B76-9F83-BF7EEF5892FA}"/>
    <cellStyle name="SAPBEXHLevel3 2 3 2 4" xfId="26451" xr:uid="{00000000-0005-0000-0000-00006C6F0000}"/>
    <cellStyle name="SAPBEXHLevel3 2 3 2 4 2" xfId="31239" xr:uid="{109D2016-F41B-480D-BC0C-C5FCE043689B}"/>
    <cellStyle name="SAPBEXHLevel3 2 3 2 5" xfId="29882" xr:uid="{00000000-0005-0000-0000-00006D6F0000}"/>
    <cellStyle name="SAPBEXHLevel3 2 3 3" xfId="27120" xr:uid="{00000000-0005-0000-0000-00006E6F0000}"/>
    <cellStyle name="SAPBEXHLevel3 2 3 3 2" xfId="31838" xr:uid="{0035D12D-E24C-42A4-8B52-91AF1B552E95}"/>
    <cellStyle name="SAPBEXHLevel3 2 3 4" xfId="28329" xr:uid="{00000000-0005-0000-0000-00006F6F0000}"/>
    <cellStyle name="SAPBEXHLevel3 2 3 4 2" xfId="32887" xr:uid="{930115E3-D16F-416E-ACF4-402ECFCA5D9E}"/>
    <cellStyle name="SAPBEXHLevel3 2 3 5" xfId="26176" xr:uid="{00000000-0005-0000-0000-0000706F0000}"/>
    <cellStyle name="SAPBEXHLevel3 2 3 5 2" xfId="30965" xr:uid="{D3E7D36C-B590-4E1F-BAC3-EDDFD6CE0B97}"/>
    <cellStyle name="SAPBEXHLevel3 2 3 6" xfId="29881" xr:uid="{00000000-0005-0000-0000-0000716F0000}"/>
    <cellStyle name="SAPBEXHLevel3 2 3 7" xfId="30289" xr:uid="{68786F03-A1A1-4938-93E2-D324674A8DE4}"/>
    <cellStyle name="SAPBEXHLevel3 2 4" xfId="24650" xr:uid="{00000000-0005-0000-0000-0000726F0000}"/>
    <cellStyle name="SAPBEXHLevel3 2 4 2" xfId="25317" xr:uid="{00000000-0005-0000-0000-0000736F0000}"/>
    <cellStyle name="SAPBEXHLevel3 2 4 2 2" xfId="27471" xr:uid="{00000000-0005-0000-0000-0000746F0000}"/>
    <cellStyle name="SAPBEXHLevel3 2 4 2 2 2" xfId="32062" xr:uid="{087651B0-C2A5-440D-A983-A13AAAD9FFB2}"/>
    <cellStyle name="SAPBEXHLevel3 2 4 2 3" xfId="28332" xr:uid="{00000000-0005-0000-0000-0000756F0000}"/>
    <cellStyle name="SAPBEXHLevel3 2 4 2 3 2" xfId="32890" xr:uid="{81CAC22D-97C2-41A5-AA93-6A2BE40E4D51}"/>
    <cellStyle name="SAPBEXHLevel3 2 4 2 4" xfId="26320" xr:uid="{00000000-0005-0000-0000-0000766F0000}"/>
    <cellStyle name="SAPBEXHLevel3 2 4 2 4 2" xfId="31108" xr:uid="{22E4178D-3D0E-4144-8E6B-706FB7BAC68D}"/>
    <cellStyle name="SAPBEXHLevel3 2 4 2 5" xfId="29884" xr:uid="{00000000-0005-0000-0000-0000776F0000}"/>
    <cellStyle name="SAPBEXHLevel3 2 4 2 6" xfId="30475" xr:uid="{5702EFEA-1A7C-4A1C-A697-D4BB52DC9D11}"/>
    <cellStyle name="SAPBEXHLevel3 2 4 3" xfId="25616" xr:uid="{00000000-0005-0000-0000-0000786F0000}"/>
    <cellStyle name="SAPBEXHLevel3 2 4 3 2" xfId="27769" xr:uid="{00000000-0005-0000-0000-0000796F0000}"/>
    <cellStyle name="SAPBEXHLevel3 2 4 3 2 2" xfId="32356" xr:uid="{FF46548E-6827-40A5-849B-98132378A016}"/>
    <cellStyle name="SAPBEXHLevel3 2 4 3 3" xfId="28333" xr:uid="{00000000-0005-0000-0000-00007A6F0000}"/>
    <cellStyle name="SAPBEXHLevel3 2 4 3 3 2" xfId="32891" xr:uid="{67E0CFF0-24D8-410F-8918-D8E809EE90F4}"/>
    <cellStyle name="SAPBEXHLevel3 2 4 3 4" xfId="26124" xr:uid="{00000000-0005-0000-0000-00007B6F0000}"/>
    <cellStyle name="SAPBEXHLevel3 2 4 3 4 2" xfId="30914" xr:uid="{2B225268-935F-48D5-A725-BD5D521C3B4D}"/>
    <cellStyle name="SAPBEXHLevel3 2 4 3 5" xfId="29885" xr:uid="{00000000-0005-0000-0000-00007C6F0000}"/>
    <cellStyle name="SAPBEXHLevel3 2 4 4" xfId="27243" xr:uid="{00000000-0005-0000-0000-00007D6F0000}"/>
    <cellStyle name="SAPBEXHLevel3 2 4 4 2" xfId="31878" xr:uid="{238F233A-17CE-4BE0-8753-89AFBE7CD717}"/>
    <cellStyle name="SAPBEXHLevel3 2 4 5" xfId="28331" xr:uid="{00000000-0005-0000-0000-00007E6F0000}"/>
    <cellStyle name="SAPBEXHLevel3 2 4 5 2" xfId="32889" xr:uid="{5E7EB697-EAC7-4C7E-BFC5-B133B717C656}"/>
    <cellStyle name="SAPBEXHLevel3 2 4 6" xfId="26779" xr:uid="{00000000-0005-0000-0000-00007F6F0000}"/>
    <cellStyle name="SAPBEXHLevel3 2 4 6 2" xfId="31540" xr:uid="{C3F2AA8E-3F21-4B99-92DB-6A5A99513555}"/>
    <cellStyle name="SAPBEXHLevel3 2 4 7" xfId="29883" xr:uid="{00000000-0005-0000-0000-0000806F0000}"/>
    <cellStyle name="SAPBEXHLevel3 2 4 8" xfId="30318" xr:uid="{88A181F7-9BE4-4925-AB9B-79CFE2B35AFB}"/>
    <cellStyle name="SAPBEXHLevel3 2 5" xfId="25123" xr:uid="{00000000-0005-0000-0000-0000816F0000}"/>
    <cellStyle name="SAPBEXHLevel3 2 5 2" xfId="25402" xr:uid="{00000000-0005-0000-0000-0000826F0000}"/>
    <cellStyle name="SAPBEXHLevel3 2 5 2 2" xfId="27556" xr:uid="{00000000-0005-0000-0000-0000836F0000}"/>
    <cellStyle name="SAPBEXHLevel3 2 5 2 2 2" xfId="32147" xr:uid="{79723505-481C-4012-88DC-7AE670F6A53C}"/>
    <cellStyle name="SAPBEXHLevel3 2 5 2 3" xfId="28335" xr:uid="{00000000-0005-0000-0000-0000846F0000}"/>
    <cellStyle name="SAPBEXHLevel3 2 5 2 3 2" xfId="32893" xr:uid="{4AFEEAF3-B2C2-45A4-996E-B5B2C2F0F2A1}"/>
    <cellStyle name="SAPBEXHLevel3 2 5 2 4" xfId="26989" xr:uid="{00000000-0005-0000-0000-0000856F0000}"/>
    <cellStyle name="SAPBEXHLevel3 2 5 2 4 2" xfId="31750" xr:uid="{B7FBEA03-64BB-4DA4-9C46-AF239438FA02}"/>
    <cellStyle name="SAPBEXHLevel3 2 5 2 5" xfId="29887" xr:uid="{00000000-0005-0000-0000-0000866F0000}"/>
    <cellStyle name="SAPBEXHLevel3 2 5 2 6" xfId="30560" xr:uid="{CA2C2169-2D1F-4F95-BDBB-CF94ADFF2567}"/>
    <cellStyle name="SAPBEXHLevel3 2 5 3" xfId="25721" xr:uid="{00000000-0005-0000-0000-0000876F0000}"/>
    <cellStyle name="SAPBEXHLevel3 2 5 3 2" xfId="27874" xr:uid="{00000000-0005-0000-0000-0000886F0000}"/>
    <cellStyle name="SAPBEXHLevel3 2 5 3 2 2" xfId="32461" xr:uid="{69800BA3-D48D-4B18-96D2-0DD317045434}"/>
    <cellStyle name="SAPBEXHLevel3 2 5 3 3" xfId="28336" xr:uid="{00000000-0005-0000-0000-0000896F0000}"/>
    <cellStyle name="SAPBEXHLevel3 2 5 3 3 2" xfId="32894" xr:uid="{57A8D45B-64EC-4794-8B86-C47441E1AC10}"/>
    <cellStyle name="SAPBEXHLevel3 2 5 3 4" xfId="26130" xr:uid="{00000000-0005-0000-0000-00008A6F0000}"/>
    <cellStyle name="SAPBEXHLevel3 2 5 3 4 2" xfId="30920" xr:uid="{3BFFD6D9-40CD-4806-8DC9-DD4EEF0FF543}"/>
    <cellStyle name="SAPBEXHLevel3 2 5 3 5" xfId="29888" xr:uid="{00000000-0005-0000-0000-00008B6F0000}"/>
    <cellStyle name="SAPBEXHLevel3 2 5 3 6" xfId="30715" xr:uid="{0EF3445F-1D0C-493F-A0F2-6F462B587C13}"/>
    <cellStyle name="SAPBEXHLevel3 2 5 4" xfId="27408" xr:uid="{00000000-0005-0000-0000-00008C6F0000}"/>
    <cellStyle name="SAPBEXHLevel3 2 5 4 2" xfId="32006" xr:uid="{44DE8BE0-F503-404A-9748-C95551C1BF22}"/>
    <cellStyle name="SAPBEXHLevel3 2 5 5" xfId="28334" xr:uid="{00000000-0005-0000-0000-00008D6F0000}"/>
    <cellStyle name="SAPBEXHLevel3 2 5 5 2" xfId="32892" xr:uid="{2D895C81-B1DF-4DC3-8081-FE71A6F9FAD3}"/>
    <cellStyle name="SAPBEXHLevel3 2 5 6" xfId="26958" xr:uid="{00000000-0005-0000-0000-00008E6F0000}"/>
    <cellStyle name="SAPBEXHLevel3 2 5 6 2" xfId="31719" xr:uid="{F47F5D6D-AB91-4FBA-AB14-8F8540202F69}"/>
    <cellStyle name="SAPBEXHLevel3 2 5 7" xfId="29886" xr:uid="{00000000-0005-0000-0000-00008F6F0000}"/>
    <cellStyle name="SAPBEXHLevel3 2 5 8" xfId="30423" xr:uid="{4B230C4A-C462-4013-AD36-50D48C947651}"/>
    <cellStyle name="SAPBEXHLevel3 2 6" xfId="25859" xr:uid="{00000000-0005-0000-0000-0000906F0000}"/>
    <cellStyle name="SAPBEXHLevel3 2 6 2" xfId="30778" xr:uid="{F1404CA5-F8C1-40E4-842C-54A69C099A43}"/>
    <cellStyle name="SAPBEXHLevel3 2 7" xfId="28326" xr:uid="{00000000-0005-0000-0000-0000916F0000}"/>
    <cellStyle name="SAPBEXHLevel3 2 7 2" xfId="32884" xr:uid="{A948E8AE-495D-4A27-8E05-0989FA2C5EFF}"/>
    <cellStyle name="SAPBEXHLevel3 2 8" xfId="26803" xr:uid="{00000000-0005-0000-0000-0000926F0000}"/>
    <cellStyle name="SAPBEXHLevel3 2 8 2" xfId="31564" xr:uid="{492255BB-88EE-4248-A3B2-0C39480E8EE2}"/>
    <cellStyle name="SAPBEXHLevel3 2 9" xfId="29878" xr:uid="{00000000-0005-0000-0000-0000936F0000}"/>
    <cellStyle name="SAPBEXHLevel3 3" xfId="129" xr:uid="{00000000-0005-0000-0000-0000946F0000}"/>
    <cellStyle name="SAPBEXHLevel3 3 2" xfId="13663" xr:uid="{00000000-0005-0000-0000-0000956F0000}"/>
    <cellStyle name="SAPBEXHLevel3 3 2 2" xfId="25501" xr:uid="{00000000-0005-0000-0000-0000966F0000}"/>
    <cellStyle name="SAPBEXHLevel3 3 2 2 2" xfId="27654" xr:uid="{00000000-0005-0000-0000-0000976F0000}"/>
    <cellStyle name="SAPBEXHLevel3 3 2 2 2 2" xfId="32241" xr:uid="{A6EC6A46-D1F6-46A4-992F-BCF644129001}"/>
    <cellStyle name="SAPBEXHLevel3 3 2 2 3" xfId="28339" xr:uid="{00000000-0005-0000-0000-0000986F0000}"/>
    <cellStyle name="SAPBEXHLevel3 3 2 2 3 2" xfId="32897" xr:uid="{9118F691-F55F-413D-9A51-8BC53DB98C83}"/>
    <cellStyle name="SAPBEXHLevel3 3 2 2 4" xfId="26540" xr:uid="{00000000-0005-0000-0000-0000996F0000}"/>
    <cellStyle name="SAPBEXHLevel3 3 2 2 4 2" xfId="31327" xr:uid="{A3F8F7AE-9154-4276-98E4-C633C6443E50}"/>
    <cellStyle name="SAPBEXHLevel3 3 2 2 5" xfId="29891" xr:uid="{00000000-0005-0000-0000-00009A6F0000}"/>
    <cellStyle name="SAPBEXHLevel3 3 2 3" xfId="26605" xr:uid="{00000000-0005-0000-0000-00009B6F0000}"/>
    <cellStyle name="SAPBEXHLevel3 3 2 3 2" xfId="31383" xr:uid="{D9AD2042-6F3D-4596-B9B7-37B22D32625A}"/>
    <cellStyle name="SAPBEXHLevel3 3 2 4" xfId="28338" xr:uid="{00000000-0005-0000-0000-00009C6F0000}"/>
    <cellStyle name="SAPBEXHLevel3 3 2 4 2" xfId="32896" xr:uid="{543C8F61-54F0-4192-ACB1-FBC492EB7016}"/>
    <cellStyle name="SAPBEXHLevel3 3 2 5" xfId="26712" xr:uid="{00000000-0005-0000-0000-00009D6F0000}"/>
    <cellStyle name="SAPBEXHLevel3 3 2 5 2" xfId="31474" xr:uid="{E9A2D744-F419-4C0E-A33E-5BC6521381CC}"/>
    <cellStyle name="SAPBEXHLevel3 3 2 6" xfId="29890" xr:uid="{00000000-0005-0000-0000-00009E6F0000}"/>
    <cellStyle name="SAPBEXHLevel3 3 2 7" xfId="30203" xr:uid="{5572BB18-1275-4C03-8CB0-DAA99260A2D9}"/>
    <cellStyle name="SAPBEXHLevel3 3 3" xfId="24267" xr:uid="{00000000-0005-0000-0000-00009F6F0000}"/>
    <cellStyle name="SAPBEXHLevel3 3 3 2" xfId="25588" xr:uid="{00000000-0005-0000-0000-0000A06F0000}"/>
    <cellStyle name="SAPBEXHLevel3 3 3 2 2" xfId="27741" xr:uid="{00000000-0005-0000-0000-0000A16F0000}"/>
    <cellStyle name="SAPBEXHLevel3 3 3 2 2 2" xfId="32328" xr:uid="{C66C74D3-B0A0-4F9A-A1C6-999A655606BD}"/>
    <cellStyle name="SAPBEXHLevel3 3 3 2 3" xfId="28341" xr:uid="{00000000-0005-0000-0000-0000A26F0000}"/>
    <cellStyle name="SAPBEXHLevel3 3 3 2 3 2" xfId="32899" xr:uid="{7C5522E9-BCDD-451C-96B9-365DBEAFBD0C}"/>
    <cellStyle name="SAPBEXHLevel3 3 3 2 4" xfId="26688" xr:uid="{00000000-0005-0000-0000-0000A36F0000}"/>
    <cellStyle name="SAPBEXHLevel3 3 3 2 4 2" xfId="31450" xr:uid="{323BA747-4870-4FCF-A32A-136477FDD5BB}"/>
    <cellStyle name="SAPBEXHLevel3 3 3 2 5" xfId="29893" xr:uid="{00000000-0005-0000-0000-0000A46F0000}"/>
    <cellStyle name="SAPBEXHLevel3 3 3 3" xfId="27121" xr:uid="{00000000-0005-0000-0000-0000A56F0000}"/>
    <cellStyle name="SAPBEXHLevel3 3 3 3 2" xfId="31839" xr:uid="{03133A09-158C-488E-9CE1-56186442D499}"/>
    <cellStyle name="SAPBEXHLevel3 3 3 4" xfId="28340" xr:uid="{00000000-0005-0000-0000-0000A66F0000}"/>
    <cellStyle name="SAPBEXHLevel3 3 3 4 2" xfId="32898" xr:uid="{E816AAF6-8948-4786-AB4C-F13407C38A06}"/>
    <cellStyle name="SAPBEXHLevel3 3 3 5" xfId="26288" xr:uid="{00000000-0005-0000-0000-0000A76F0000}"/>
    <cellStyle name="SAPBEXHLevel3 3 3 5 2" xfId="31076" xr:uid="{D251BE32-D48F-4108-AD45-5769E870534E}"/>
    <cellStyle name="SAPBEXHLevel3 3 3 6" xfId="29892" xr:uid="{00000000-0005-0000-0000-0000A86F0000}"/>
    <cellStyle name="SAPBEXHLevel3 3 3 7" xfId="30290" xr:uid="{B8AA07B4-C741-4A59-9FBC-77EF44526F45}"/>
    <cellStyle name="SAPBEXHLevel3 3 4" xfId="24649" xr:uid="{00000000-0005-0000-0000-0000A96F0000}"/>
    <cellStyle name="SAPBEXHLevel3 3 4 2" xfId="25405" xr:uid="{00000000-0005-0000-0000-0000AA6F0000}"/>
    <cellStyle name="SAPBEXHLevel3 3 4 2 2" xfId="27559" xr:uid="{00000000-0005-0000-0000-0000AB6F0000}"/>
    <cellStyle name="SAPBEXHLevel3 3 4 2 2 2" xfId="32150" xr:uid="{D52E23B2-4AF2-4F12-AC37-F00499E96FFF}"/>
    <cellStyle name="SAPBEXHLevel3 3 4 2 3" xfId="28343" xr:uid="{00000000-0005-0000-0000-0000AC6F0000}"/>
    <cellStyle name="SAPBEXHLevel3 3 4 2 3 2" xfId="32901" xr:uid="{433E9049-26DA-4E9A-AD48-3CD77353E62C}"/>
    <cellStyle name="SAPBEXHLevel3 3 4 2 4" xfId="26748" xr:uid="{00000000-0005-0000-0000-0000AD6F0000}"/>
    <cellStyle name="SAPBEXHLevel3 3 4 2 4 2" xfId="31509" xr:uid="{3A03C3C8-0558-4A63-98B8-AFEB51F8E7D4}"/>
    <cellStyle name="SAPBEXHLevel3 3 4 2 5" xfId="29895" xr:uid="{00000000-0005-0000-0000-0000AE6F0000}"/>
    <cellStyle name="SAPBEXHLevel3 3 4 2 6" xfId="30563" xr:uid="{72BFE700-20DC-4B40-AA68-9D423C320EEA}"/>
    <cellStyle name="SAPBEXHLevel3 3 4 3" xfId="25615" xr:uid="{00000000-0005-0000-0000-0000AF6F0000}"/>
    <cellStyle name="SAPBEXHLevel3 3 4 3 2" xfId="27768" xr:uid="{00000000-0005-0000-0000-0000B06F0000}"/>
    <cellStyle name="SAPBEXHLevel3 3 4 3 2 2" xfId="32355" xr:uid="{856F8FD3-8C00-4C11-BB47-D96F6009832F}"/>
    <cellStyle name="SAPBEXHLevel3 3 4 3 3" xfId="28344" xr:uid="{00000000-0005-0000-0000-0000B16F0000}"/>
    <cellStyle name="SAPBEXHLevel3 3 4 3 3 2" xfId="32902" xr:uid="{2FB193E1-5489-44B9-B429-E9E44E059481}"/>
    <cellStyle name="SAPBEXHLevel3 3 4 3 4" xfId="26282" xr:uid="{00000000-0005-0000-0000-0000B26F0000}"/>
    <cellStyle name="SAPBEXHLevel3 3 4 3 4 2" xfId="31070" xr:uid="{A910F346-740B-48C6-89CB-269109A7C369}"/>
    <cellStyle name="SAPBEXHLevel3 3 4 3 5" xfId="29896" xr:uid="{00000000-0005-0000-0000-0000B36F0000}"/>
    <cellStyle name="SAPBEXHLevel3 3 4 4" xfId="27242" xr:uid="{00000000-0005-0000-0000-0000B46F0000}"/>
    <cellStyle name="SAPBEXHLevel3 3 4 4 2" xfId="31877" xr:uid="{22EC87EE-F0C9-4F5A-99FA-6208E08F42B2}"/>
    <cellStyle name="SAPBEXHLevel3 3 4 5" xfId="28342" xr:uid="{00000000-0005-0000-0000-0000B56F0000}"/>
    <cellStyle name="SAPBEXHLevel3 3 4 5 2" xfId="32900" xr:uid="{3223B95C-34AC-4A1C-9DC6-FBE44E6203D3}"/>
    <cellStyle name="SAPBEXHLevel3 3 4 6" xfId="26368" xr:uid="{00000000-0005-0000-0000-0000B66F0000}"/>
    <cellStyle name="SAPBEXHLevel3 3 4 6 2" xfId="31156" xr:uid="{D5298CA2-60BA-4D1F-B65F-51C11EDEB375}"/>
    <cellStyle name="SAPBEXHLevel3 3 4 7" xfId="29894" xr:uid="{00000000-0005-0000-0000-0000B76F0000}"/>
    <cellStyle name="SAPBEXHLevel3 3 4 8" xfId="30317" xr:uid="{A8B505F8-E93C-4EB0-A3CB-8D06F0A9843A}"/>
    <cellStyle name="SAPBEXHLevel3 3 5" xfId="25124" xr:uid="{00000000-0005-0000-0000-0000B86F0000}"/>
    <cellStyle name="SAPBEXHLevel3 3 5 2" xfId="25313" xr:uid="{00000000-0005-0000-0000-0000B96F0000}"/>
    <cellStyle name="SAPBEXHLevel3 3 5 2 2" xfId="27467" xr:uid="{00000000-0005-0000-0000-0000BA6F0000}"/>
    <cellStyle name="SAPBEXHLevel3 3 5 2 2 2" xfId="32058" xr:uid="{A6F23E69-091F-43AD-B7C9-CAD44631E320}"/>
    <cellStyle name="SAPBEXHLevel3 3 5 2 3" xfId="28346" xr:uid="{00000000-0005-0000-0000-0000BB6F0000}"/>
    <cellStyle name="SAPBEXHLevel3 3 5 2 3 2" xfId="32904" xr:uid="{4824B40C-4DC6-4D45-A2AC-A325A7349EE2}"/>
    <cellStyle name="SAPBEXHLevel3 3 5 2 4" xfId="26766" xr:uid="{00000000-0005-0000-0000-0000BC6F0000}"/>
    <cellStyle name="SAPBEXHLevel3 3 5 2 4 2" xfId="31527" xr:uid="{BBFA4BB5-8801-4BDD-82D3-0EF4357319CA}"/>
    <cellStyle name="SAPBEXHLevel3 3 5 2 5" xfId="29898" xr:uid="{00000000-0005-0000-0000-0000BD6F0000}"/>
    <cellStyle name="SAPBEXHLevel3 3 5 2 6" xfId="30471" xr:uid="{DBFB9A03-9BDF-468A-BCFD-2403DB498759}"/>
    <cellStyle name="SAPBEXHLevel3 3 5 3" xfId="25722" xr:uid="{00000000-0005-0000-0000-0000BE6F0000}"/>
    <cellStyle name="SAPBEXHLevel3 3 5 3 2" xfId="27875" xr:uid="{00000000-0005-0000-0000-0000BF6F0000}"/>
    <cellStyle name="SAPBEXHLevel3 3 5 3 2 2" xfId="32462" xr:uid="{2B821AC4-D019-4154-B121-CB4B15430B01}"/>
    <cellStyle name="SAPBEXHLevel3 3 5 3 3" xfId="28347" xr:uid="{00000000-0005-0000-0000-0000C06F0000}"/>
    <cellStyle name="SAPBEXHLevel3 3 5 3 3 2" xfId="32905" xr:uid="{0CC86C96-ECF4-4652-B072-330B8CD4A97D}"/>
    <cellStyle name="SAPBEXHLevel3 3 5 3 4" xfId="26947" xr:uid="{00000000-0005-0000-0000-0000C16F0000}"/>
    <cellStyle name="SAPBEXHLevel3 3 5 3 4 2" xfId="31708" xr:uid="{CE1F4693-F839-4099-BF08-9700AAE61C9E}"/>
    <cellStyle name="SAPBEXHLevel3 3 5 3 5" xfId="29899" xr:uid="{00000000-0005-0000-0000-0000C26F0000}"/>
    <cellStyle name="SAPBEXHLevel3 3 5 3 6" xfId="30716" xr:uid="{FEDC0ECE-9E8C-4814-A2BF-14F076955364}"/>
    <cellStyle name="SAPBEXHLevel3 3 5 4" xfId="27409" xr:uid="{00000000-0005-0000-0000-0000C36F0000}"/>
    <cellStyle name="SAPBEXHLevel3 3 5 4 2" xfId="32007" xr:uid="{39BD0938-5642-409A-84E5-4862C597B0E0}"/>
    <cellStyle name="SAPBEXHLevel3 3 5 5" xfId="28345" xr:uid="{00000000-0005-0000-0000-0000C46F0000}"/>
    <cellStyle name="SAPBEXHLevel3 3 5 5 2" xfId="32903" xr:uid="{398EB182-6084-426C-8E7B-DC153011D061}"/>
    <cellStyle name="SAPBEXHLevel3 3 5 6" xfId="26250" xr:uid="{00000000-0005-0000-0000-0000C56F0000}"/>
    <cellStyle name="SAPBEXHLevel3 3 5 6 2" xfId="31038" xr:uid="{4B98F7A7-8D59-41CB-B46C-AF3C0BD2B46B}"/>
    <cellStyle name="SAPBEXHLevel3 3 5 7" xfId="29897" xr:uid="{00000000-0005-0000-0000-0000C66F0000}"/>
    <cellStyle name="SAPBEXHLevel3 3 5 8" xfId="30424" xr:uid="{CD66E6E1-73DC-4CCA-A799-0A161640029B}"/>
    <cellStyle name="SAPBEXHLevel3 3 6" xfId="25860" xr:uid="{00000000-0005-0000-0000-0000C76F0000}"/>
    <cellStyle name="SAPBEXHLevel3 3 6 2" xfId="30779" xr:uid="{B7D70DE1-5CB6-42F4-A047-B3EFE4AB17AF}"/>
    <cellStyle name="SAPBEXHLevel3 3 7" xfId="28337" xr:uid="{00000000-0005-0000-0000-0000C86F0000}"/>
    <cellStyle name="SAPBEXHLevel3 3 7 2" xfId="32895" xr:uid="{B11384A2-482C-41A0-8123-04BFB108CE62}"/>
    <cellStyle name="SAPBEXHLevel3 3 8" xfId="26277" xr:uid="{00000000-0005-0000-0000-0000C96F0000}"/>
    <cellStyle name="SAPBEXHLevel3 3 8 2" xfId="31065" xr:uid="{E75C802E-1F11-4E60-AF63-3C04D2FC4AF9}"/>
    <cellStyle name="SAPBEXHLevel3 3 9" xfId="29889" xr:uid="{00000000-0005-0000-0000-0000CA6F0000}"/>
    <cellStyle name="SAPBEXHLevel3 4" xfId="130" xr:uid="{00000000-0005-0000-0000-0000CB6F0000}"/>
    <cellStyle name="SAPBEXHLevel3 4 2" xfId="13664" xr:uid="{00000000-0005-0000-0000-0000CC6F0000}"/>
    <cellStyle name="SAPBEXHLevel3 4 2 2" xfId="25502" xr:uid="{00000000-0005-0000-0000-0000CD6F0000}"/>
    <cellStyle name="SAPBEXHLevel3 4 2 2 2" xfId="27655" xr:uid="{00000000-0005-0000-0000-0000CE6F0000}"/>
    <cellStyle name="SAPBEXHLevel3 4 2 2 2 2" xfId="32242" xr:uid="{DCF34BC6-C1ED-4D4E-8CD2-00A315050FC3}"/>
    <cellStyle name="SAPBEXHLevel3 4 2 2 3" xfId="28350" xr:uid="{00000000-0005-0000-0000-0000CF6F0000}"/>
    <cellStyle name="SAPBEXHLevel3 4 2 2 3 2" xfId="32908" xr:uid="{D4EA904A-7EF7-487C-B227-50F81470DD38}"/>
    <cellStyle name="SAPBEXHLevel3 4 2 2 4" xfId="26709" xr:uid="{00000000-0005-0000-0000-0000D06F0000}"/>
    <cellStyle name="SAPBEXHLevel3 4 2 2 4 2" xfId="31471" xr:uid="{AA5AA700-C16F-4356-A6FC-79E66AF508EF}"/>
    <cellStyle name="SAPBEXHLevel3 4 2 2 5" xfId="29902" xr:uid="{00000000-0005-0000-0000-0000D16F0000}"/>
    <cellStyle name="SAPBEXHLevel3 4 2 3" xfId="26606" xr:uid="{00000000-0005-0000-0000-0000D26F0000}"/>
    <cellStyle name="SAPBEXHLevel3 4 2 3 2" xfId="31384" xr:uid="{31EB22C3-8594-40C4-BD48-3E1498FFDCBF}"/>
    <cellStyle name="SAPBEXHLevel3 4 2 4" xfId="28349" xr:uid="{00000000-0005-0000-0000-0000D36F0000}"/>
    <cellStyle name="SAPBEXHLevel3 4 2 4 2" xfId="32907" xr:uid="{D4D71F68-A404-42DB-A5EB-C1CF690FBD16}"/>
    <cellStyle name="SAPBEXHLevel3 4 2 5" xfId="26531" xr:uid="{00000000-0005-0000-0000-0000D46F0000}"/>
    <cellStyle name="SAPBEXHLevel3 4 2 5 2" xfId="31318" xr:uid="{4109E92F-63E2-4110-953B-D440C7DF01FA}"/>
    <cellStyle name="SAPBEXHLevel3 4 2 6" xfId="29901" xr:uid="{00000000-0005-0000-0000-0000D56F0000}"/>
    <cellStyle name="SAPBEXHLevel3 4 2 7" xfId="30204" xr:uid="{78E148D1-4B9F-4F13-8416-C8ABA4C9B8CB}"/>
    <cellStyle name="SAPBEXHLevel3 4 3" xfId="25861" xr:uid="{00000000-0005-0000-0000-0000D66F0000}"/>
    <cellStyle name="SAPBEXHLevel3 4 3 2" xfId="30780" xr:uid="{4793C011-09A9-41AE-91F7-6B1D3563F9B5}"/>
    <cellStyle name="SAPBEXHLevel3 4 4" xfId="28348" xr:uid="{00000000-0005-0000-0000-0000D76F0000}"/>
    <cellStyle name="SAPBEXHLevel3 4 4 2" xfId="32906" xr:uid="{5C370678-43BA-4143-8DC2-66461B3508E8}"/>
    <cellStyle name="SAPBEXHLevel3 4 5" xfId="26872" xr:uid="{00000000-0005-0000-0000-0000D86F0000}"/>
    <cellStyle name="SAPBEXHLevel3 4 5 2" xfId="31633" xr:uid="{9281A1B2-4AAE-4617-B8BA-ACECFF9D935F}"/>
    <cellStyle name="SAPBEXHLevel3 4 6" xfId="29900" xr:uid="{00000000-0005-0000-0000-0000D96F0000}"/>
    <cellStyle name="SAPBEXHLevel3 5" xfId="256" xr:uid="{00000000-0005-0000-0000-0000DA6F0000}"/>
    <cellStyle name="SAPBEXHLevel3 5 2" xfId="13721" xr:uid="{00000000-0005-0000-0000-0000DB6F0000}"/>
    <cellStyle name="SAPBEXHLevel3 5 2 2" xfId="25534" xr:uid="{00000000-0005-0000-0000-0000DC6F0000}"/>
    <cellStyle name="SAPBEXHLevel3 5 2 2 2" xfId="27687" xr:uid="{00000000-0005-0000-0000-0000DD6F0000}"/>
    <cellStyle name="SAPBEXHLevel3 5 2 2 2 2" xfId="32274" xr:uid="{5B25153C-21D5-4CC1-A987-84663E8FB2FF}"/>
    <cellStyle name="SAPBEXHLevel3 5 2 2 3" xfId="28353" xr:uid="{00000000-0005-0000-0000-0000DE6F0000}"/>
    <cellStyle name="SAPBEXHLevel3 5 2 2 3 2" xfId="32911" xr:uid="{08B18678-FA3B-46B9-809C-D530B3883FEB}"/>
    <cellStyle name="SAPBEXHLevel3 5 2 2 4" xfId="26367" xr:uid="{00000000-0005-0000-0000-0000DF6F0000}"/>
    <cellStyle name="SAPBEXHLevel3 5 2 2 4 2" xfId="31155" xr:uid="{C37B0BD9-8E79-469D-B398-9D802812FE38}"/>
    <cellStyle name="SAPBEXHLevel3 5 2 2 5" xfId="29905" xr:uid="{00000000-0005-0000-0000-0000E06F0000}"/>
    <cellStyle name="SAPBEXHLevel3 5 2 3" xfId="26641" xr:uid="{00000000-0005-0000-0000-0000E16F0000}"/>
    <cellStyle name="SAPBEXHLevel3 5 2 3 2" xfId="31418" xr:uid="{416B3960-B635-459F-8510-8D481B44FE18}"/>
    <cellStyle name="SAPBEXHLevel3 5 2 4" xfId="28352" xr:uid="{00000000-0005-0000-0000-0000E26F0000}"/>
    <cellStyle name="SAPBEXHLevel3 5 2 4 2" xfId="32910" xr:uid="{EA392423-7540-4DE5-9633-53EEF87AE1F0}"/>
    <cellStyle name="SAPBEXHLevel3 5 2 5" xfId="26147" xr:uid="{00000000-0005-0000-0000-0000E36F0000}"/>
    <cellStyle name="SAPBEXHLevel3 5 2 5 2" xfId="30936" xr:uid="{98E377F1-087C-48A6-93A6-32101F4D07BC}"/>
    <cellStyle name="SAPBEXHLevel3 5 2 6" xfId="29904" xr:uid="{00000000-0005-0000-0000-0000E46F0000}"/>
    <cellStyle name="SAPBEXHLevel3 5 2 7" xfId="30236" xr:uid="{2F74F913-0742-4C11-964F-17CD59297CB0}"/>
    <cellStyle name="SAPBEXHLevel3 5 3" xfId="25924" xr:uid="{00000000-0005-0000-0000-0000E56F0000}"/>
    <cellStyle name="SAPBEXHLevel3 5 3 2" xfId="30813" xr:uid="{F1C2AE9C-FD5E-45DB-ACA5-8F36E833280E}"/>
    <cellStyle name="SAPBEXHLevel3 5 4" xfId="28351" xr:uid="{00000000-0005-0000-0000-0000E66F0000}"/>
    <cellStyle name="SAPBEXHLevel3 5 4 2" xfId="32909" xr:uid="{B3DFA827-607E-4F8D-A577-BC4406EDF386}"/>
    <cellStyle name="SAPBEXHLevel3 5 5" xfId="27925" xr:uid="{00000000-0005-0000-0000-0000E76F0000}"/>
    <cellStyle name="SAPBEXHLevel3 5 5 2" xfId="32483" xr:uid="{D7F33FEC-024A-4948-A435-DEC870447515}"/>
    <cellStyle name="SAPBEXHLevel3 5 6" xfId="29903" xr:uid="{00000000-0005-0000-0000-0000E86F0000}"/>
    <cellStyle name="SAPBEXHLevel3 6" xfId="13661" xr:uid="{00000000-0005-0000-0000-0000E96F0000}"/>
    <cellStyle name="SAPBEXHLevel3 6 2" xfId="25499" xr:uid="{00000000-0005-0000-0000-0000EA6F0000}"/>
    <cellStyle name="SAPBEXHLevel3 6 2 2" xfId="27652" xr:uid="{00000000-0005-0000-0000-0000EB6F0000}"/>
    <cellStyle name="SAPBEXHLevel3 6 2 2 2" xfId="32239" xr:uid="{668D9F72-6A8C-4DE4-9C85-9EB40FC43A15}"/>
    <cellStyle name="SAPBEXHLevel3 6 2 3" xfId="28355" xr:uid="{00000000-0005-0000-0000-0000EC6F0000}"/>
    <cellStyle name="SAPBEXHLevel3 6 2 3 2" xfId="32913" xr:uid="{CB48DB85-A35F-4FEE-960E-5E7D48793C60}"/>
    <cellStyle name="SAPBEXHLevel3 6 2 4" xfId="26794" xr:uid="{00000000-0005-0000-0000-0000ED6F0000}"/>
    <cellStyle name="SAPBEXHLevel3 6 2 4 2" xfId="31555" xr:uid="{E176367F-542D-4131-8C4F-C0A0499599A7}"/>
    <cellStyle name="SAPBEXHLevel3 6 2 5" xfId="29907" xr:uid="{00000000-0005-0000-0000-0000EE6F0000}"/>
    <cellStyle name="SAPBEXHLevel3 6 3" xfId="26603" xr:uid="{00000000-0005-0000-0000-0000EF6F0000}"/>
    <cellStyle name="SAPBEXHLevel3 6 3 2" xfId="31381" xr:uid="{5F545534-DD63-4537-8E5B-E127F68486C8}"/>
    <cellStyle name="SAPBEXHLevel3 6 4" xfId="28354" xr:uid="{00000000-0005-0000-0000-0000F06F0000}"/>
    <cellStyle name="SAPBEXHLevel3 6 4 2" xfId="32912" xr:uid="{EB195557-1EBF-44AB-9361-F9DF343FF301}"/>
    <cellStyle name="SAPBEXHLevel3 6 5" xfId="26393" xr:uid="{00000000-0005-0000-0000-0000F16F0000}"/>
    <cellStyle name="SAPBEXHLevel3 6 5 2" xfId="31181" xr:uid="{4C4ED018-D722-4C94-9A2F-04D92C87ED0D}"/>
    <cellStyle name="SAPBEXHLevel3 6 6" xfId="29906" xr:uid="{00000000-0005-0000-0000-0000F26F0000}"/>
    <cellStyle name="SAPBEXHLevel3 6 7" xfId="30201" xr:uid="{9F4B375B-9C1F-4E71-ABB8-95C9CC45826E}"/>
    <cellStyle name="SAPBEXHLevel3 7" xfId="24651" xr:uid="{00000000-0005-0000-0000-0000F36F0000}"/>
    <cellStyle name="SAPBEXHLevel3 7 2" xfId="25418" xr:uid="{00000000-0005-0000-0000-0000F46F0000}"/>
    <cellStyle name="SAPBEXHLevel3 7 2 2" xfId="27572" xr:uid="{00000000-0005-0000-0000-0000F56F0000}"/>
    <cellStyle name="SAPBEXHLevel3 7 2 2 2" xfId="32163" xr:uid="{A04F3B43-2F39-4407-9E2C-77353E529F96}"/>
    <cellStyle name="SAPBEXHLevel3 7 2 3" xfId="28357" xr:uid="{00000000-0005-0000-0000-0000F66F0000}"/>
    <cellStyle name="SAPBEXHLevel3 7 2 3 2" xfId="32915" xr:uid="{805D60E6-F214-410B-8ED9-33B0B7A90C1D}"/>
    <cellStyle name="SAPBEXHLevel3 7 2 4" xfId="26385" xr:uid="{00000000-0005-0000-0000-0000F76F0000}"/>
    <cellStyle name="SAPBEXHLevel3 7 2 4 2" xfId="31173" xr:uid="{474F3DD6-0578-4BE0-920F-723127349A54}"/>
    <cellStyle name="SAPBEXHLevel3 7 2 5" xfId="29909" xr:uid="{00000000-0005-0000-0000-0000F86F0000}"/>
    <cellStyle name="SAPBEXHLevel3 7 2 6" xfId="30576" xr:uid="{8F984D2E-47FB-439E-9F86-48863A21BC1C}"/>
    <cellStyle name="SAPBEXHLevel3 7 3" xfId="25617" xr:uid="{00000000-0005-0000-0000-0000F96F0000}"/>
    <cellStyle name="SAPBEXHLevel3 7 3 2" xfId="27770" xr:uid="{00000000-0005-0000-0000-0000FA6F0000}"/>
    <cellStyle name="SAPBEXHLevel3 7 3 2 2" xfId="32357" xr:uid="{A61A6933-F8BB-4307-87FC-C237DF279BE1}"/>
    <cellStyle name="SAPBEXHLevel3 7 3 3" xfId="28358" xr:uid="{00000000-0005-0000-0000-0000FB6F0000}"/>
    <cellStyle name="SAPBEXHLevel3 7 3 3 2" xfId="32916" xr:uid="{E44D309F-6BA7-49EC-8C89-1451E2A6AD81}"/>
    <cellStyle name="SAPBEXHLevel3 7 3 4" xfId="27042" xr:uid="{00000000-0005-0000-0000-0000FC6F0000}"/>
    <cellStyle name="SAPBEXHLevel3 7 3 4 2" xfId="31790" xr:uid="{BE553B79-05D6-4193-9234-800F319C7455}"/>
    <cellStyle name="SAPBEXHLevel3 7 3 5" xfId="29910" xr:uid="{00000000-0005-0000-0000-0000FD6F0000}"/>
    <cellStyle name="SAPBEXHLevel3 7 4" xfId="27244" xr:uid="{00000000-0005-0000-0000-0000FE6F0000}"/>
    <cellStyle name="SAPBEXHLevel3 7 4 2" xfId="31879" xr:uid="{7B68BD0B-CF30-4926-9AE9-636DD273FD3A}"/>
    <cellStyle name="SAPBEXHLevel3 7 5" xfId="28356" xr:uid="{00000000-0005-0000-0000-0000FF6F0000}"/>
    <cellStyle name="SAPBEXHLevel3 7 5 2" xfId="32914" xr:uid="{A4201494-3AED-4732-854F-36AC61FC814B}"/>
    <cellStyle name="SAPBEXHLevel3 7 6" xfId="26436" xr:uid="{00000000-0005-0000-0000-000000700000}"/>
    <cellStyle name="SAPBEXHLevel3 7 6 2" xfId="31224" xr:uid="{A13C6F1F-C9B2-4637-BBF5-34473A453CF2}"/>
    <cellStyle name="SAPBEXHLevel3 7 7" xfId="29908" xr:uid="{00000000-0005-0000-0000-000001700000}"/>
    <cellStyle name="SAPBEXHLevel3 7 8" xfId="30319" xr:uid="{B11FE871-B35C-4986-9DF7-5A2060F8D49E}"/>
    <cellStyle name="SAPBEXHLevel3 8" xfId="25122" xr:uid="{00000000-0005-0000-0000-000002700000}"/>
    <cellStyle name="SAPBEXHLevel3 8 2" xfId="25388" xr:uid="{00000000-0005-0000-0000-000003700000}"/>
    <cellStyle name="SAPBEXHLevel3 8 2 2" xfId="27542" xr:uid="{00000000-0005-0000-0000-000004700000}"/>
    <cellStyle name="SAPBEXHLevel3 8 2 2 2" xfId="32133" xr:uid="{1BE6C9C2-FF59-4CD3-9BFC-2F1A68A02B35}"/>
    <cellStyle name="SAPBEXHLevel3 8 2 3" xfId="28360" xr:uid="{00000000-0005-0000-0000-000005700000}"/>
    <cellStyle name="SAPBEXHLevel3 8 2 3 2" xfId="32918" xr:uid="{A9A4C4EA-B837-47FB-968D-7AEB77BA049E}"/>
    <cellStyle name="SAPBEXHLevel3 8 2 4" xfId="26167" xr:uid="{00000000-0005-0000-0000-000006700000}"/>
    <cellStyle name="SAPBEXHLevel3 8 2 4 2" xfId="30956" xr:uid="{DA2571E1-2719-4E78-9545-47DA2E951D59}"/>
    <cellStyle name="SAPBEXHLevel3 8 2 5" xfId="29912" xr:uid="{00000000-0005-0000-0000-000007700000}"/>
    <cellStyle name="SAPBEXHLevel3 8 2 6" xfId="30546" xr:uid="{7DC491B1-983E-4C2B-BF6F-C9B3873ABC14}"/>
    <cellStyle name="SAPBEXHLevel3 8 3" xfId="25720" xr:uid="{00000000-0005-0000-0000-000008700000}"/>
    <cellStyle name="SAPBEXHLevel3 8 3 2" xfId="27873" xr:uid="{00000000-0005-0000-0000-000009700000}"/>
    <cellStyle name="SAPBEXHLevel3 8 3 2 2" xfId="32460" xr:uid="{A821DC7E-DAC6-4D4F-AAE2-24FF2B8A8FAE}"/>
    <cellStyle name="SAPBEXHLevel3 8 3 3" xfId="28361" xr:uid="{00000000-0005-0000-0000-00000A700000}"/>
    <cellStyle name="SAPBEXHLevel3 8 3 3 2" xfId="32919" xr:uid="{D1977913-2B64-468C-9881-AC5C3D7DF6AF}"/>
    <cellStyle name="SAPBEXHLevel3 8 3 4" xfId="27007" xr:uid="{00000000-0005-0000-0000-00000B700000}"/>
    <cellStyle name="SAPBEXHLevel3 8 3 4 2" xfId="31767" xr:uid="{C51FB8F3-9580-43FD-93AA-B0DFAC0F43B0}"/>
    <cellStyle name="SAPBEXHLevel3 8 3 5" xfId="29913" xr:uid="{00000000-0005-0000-0000-00000C700000}"/>
    <cellStyle name="SAPBEXHLevel3 8 3 6" xfId="30714" xr:uid="{F9848995-1295-42F8-95CC-5CA13C5980FE}"/>
    <cellStyle name="SAPBEXHLevel3 8 4" xfId="27407" xr:uid="{00000000-0005-0000-0000-00000D700000}"/>
    <cellStyle name="SAPBEXHLevel3 8 4 2" xfId="32005" xr:uid="{2F1555A1-B554-49EC-9141-30EF248D14EE}"/>
    <cellStyle name="SAPBEXHLevel3 8 5" xfId="28359" xr:uid="{00000000-0005-0000-0000-00000E700000}"/>
    <cellStyle name="SAPBEXHLevel3 8 5 2" xfId="32917" xr:uid="{610FB90E-49C4-4B0F-AD15-5023090204D0}"/>
    <cellStyle name="SAPBEXHLevel3 8 6" xfId="27011" xr:uid="{00000000-0005-0000-0000-00000F700000}"/>
    <cellStyle name="SAPBEXHLevel3 8 6 2" xfId="31771" xr:uid="{C762534F-965B-4BE1-8104-19AF190FDA03}"/>
    <cellStyle name="SAPBEXHLevel3 8 7" xfId="29911" xr:uid="{00000000-0005-0000-0000-000010700000}"/>
    <cellStyle name="SAPBEXHLevel3 8 8" xfId="30422" xr:uid="{F6BE29FF-10AE-4C07-8CB3-6CE8CEF910D2}"/>
    <cellStyle name="SAPBEXHLevel3 9" xfId="25858" xr:uid="{00000000-0005-0000-0000-000011700000}"/>
    <cellStyle name="SAPBEXHLevel3 9 2" xfId="30777" xr:uid="{268C28AB-60F0-499B-8CE2-918873F2311A}"/>
    <cellStyle name="SAPBEXHLevel3X" xfId="131" xr:uid="{00000000-0005-0000-0000-000012700000}"/>
    <cellStyle name="SAPBEXHLevel3X 10" xfId="28362" xr:uid="{00000000-0005-0000-0000-000013700000}"/>
    <cellStyle name="SAPBEXHLevel3X 10 2" xfId="32920" xr:uid="{11621F44-FDEB-4865-8F9A-08A93EE8731D}"/>
    <cellStyle name="SAPBEXHLevel3X 11" xfId="26346" xr:uid="{00000000-0005-0000-0000-000014700000}"/>
    <cellStyle name="SAPBEXHLevel3X 11 2" xfId="31134" xr:uid="{FA68AC57-2062-46B1-A5DF-F5927AE8776B}"/>
    <cellStyle name="SAPBEXHLevel3X 12" xfId="29914" xr:uid="{00000000-0005-0000-0000-000015700000}"/>
    <cellStyle name="SAPBEXHLevel3X 2" xfId="132" xr:uid="{00000000-0005-0000-0000-000016700000}"/>
    <cellStyle name="SAPBEXHLevel3X 2 2" xfId="13666" xr:uid="{00000000-0005-0000-0000-000017700000}"/>
    <cellStyle name="SAPBEXHLevel3X 2 2 2" xfId="25504" xr:uid="{00000000-0005-0000-0000-000018700000}"/>
    <cellStyle name="SAPBEXHLevel3X 2 2 2 2" xfId="27657" xr:uid="{00000000-0005-0000-0000-000019700000}"/>
    <cellStyle name="SAPBEXHLevel3X 2 2 2 2 2" xfId="32244" xr:uid="{A94E29C9-0001-4209-A89C-49E31D0A7749}"/>
    <cellStyle name="SAPBEXHLevel3X 2 2 2 3" xfId="28365" xr:uid="{00000000-0005-0000-0000-00001A700000}"/>
    <cellStyle name="SAPBEXHLevel3X 2 2 2 3 2" xfId="32923" xr:uid="{2E97E469-414C-4FD2-B278-36779B074FA2}"/>
    <cellStyle name="SAPBEXHLevel3X 2 2 2 4" xfId="26988" xr:uid="{00000000-0005-0000-0000-00001B700000}"/>
    <cellStyle name="SAPBEXHLevel3X 2 2 2 4 2" xfId="31749" xr:uid="{D0ED1A95-A758-4BD1-B905-CA6F27234B6E}"/>
    <cellStyle name="SAPBEXHLevel3X 2 2 2 5" xfId="29917" xr:uid="{00000000-0005-0000-0000-00001C700000}"/>
    <cellStyle name="SAPBEXHLevel3X 2 2 3" xfId="26608" xr:uid="{00000000-0005-0000-0000-00001D700000}"/>
    <cellStyle name="SAPBEXHLevel3X 2 2 3 2" xfId="31386" xr:uid="{C40AF5BB-0917-4918-9CF5-71FF6F2AF2C5}"/>
    <cellStyle name="SAPBEXHLevel3X 2 2 4" xfId="28364" xr:uid="{00000000-0005-0000-0000-00001E700000}"/>
    <cellStyle name="SAPBEXHLevel3X 2 2 4 2" xfId="32922" xr:uid="{A45550F3-51A4-4793-8FD2-DE19B259EDB3}"/>
    <cellStyle name="SAPBEXHLevel3X 2 2 5" xfId="26389" xr:uid="{00000000-0005-0000-0000-00001F700000}"/>
    <cellStyle name="SAPBEXHLevel3X 2 2 5 2" xfId="31177" xr:uid="{AB680CDE-526D-49FC-8FBC-4051E2F047FA}"/>
    <cellStyle name="SAPBEXHLevel3X 2 2 6" xfId="29916" xr:uid="{00000000-0005-0000-0000-000020700000}"/>
    <cellStyle name="SAPBEXHLevel3X 2 2 7" xfId="30206" xr:uid="{40CB4C43-24BF-4F00-ADEF-639D5F2188AB}"/>
    <cellStyle name="SAPBEXHLevel3X 2 3" xfId="24268" xr:uid="{00000000-0005-0000-0000-000021700000}"/>
    <cellStyle name="SAPBEXHLevel3X 2 3 2" xfId="25589" xr:uid="{00000000-0005-0000-0000-000022700000}"/>
    <cellStyle name="SAPBEXHLevel3X 2 3 2 2" xfId="27742" xr:uid="{00000000-0005-0000-0000-000023700000}"/>
    <cellStyle name="SAPBEXHLevel3X 2 3 2 2 2" xfId="32329" xr:uid="{DB735D1E-414A-464B-9CF6-43F01866573D}"/>
    <cellStyle name="SAPBEXHLevel3X 2 3 2 3" xfId="28367" xr:uid="{00000000-0005-0000-0000-000024700000}"/>
    <cellStyle name="SAPBEXHLevel3X 2 3 2 3 2" xfId="32925" xr:uid="{92FFC510-0780-4E32-8FC0-4866BC9D9F49}"/>
    <cellStyle name="SAPBEXHLevel3X 2 3 2 4" xfId="26922" xr:uid="{00000000-0005-0000-0000-000025700000}"/>
    <cellStyle name="SAPBEXHLevel3X 2 3 2 4 2" xfId="31683" xr:uid="{04C871BF-A386-41FE-840B-26A3E0419F42}"/>
    <cellStyle name="SAPBEXHLevel3X 2 3 2 5" xfId="29919" xr:uid="{00000000-0005-0000-0000-000026700000}"/>
    <cellStyle name="SAPBEXHLevel3X 2 3 3" xfId="27122" xr:uid="{00000000-0005-0000-0000-000027700000}"/>
    <cellStyle name="SAPBEXHLevel3X 2 3 3 2" xfId="31840" xr:uid="{9DAFE868-A6DA-41A0-851F-28068239C1C6}"/>
    <cellStyle name="SAPBEXHLevel3X 2 3 4" xfId="28366" xr:uid="{00000000-0005-0000-0000-000028700000}"/>
    <cellStyle name="SAPBEXHLevel3X 2 3 4 2" xfId="32924" xr:uid="{43C271B0-82E4-4B15-9AD0-81870F98FE3F}"/>
    <cellStyle name="SAPBEXHLevel3X 2 3 5" xfId="27164" xr:uid="{00000000-0005-0000-0000-000029700000}"/>
    <cellStyle name="SAPBEXHLevel3X 2 3 5 2" xfId="31855" xr:uid="{8663B18A-E581-4164-8027-AED7E7E69FD0}"/>
    <cellStyle name="SAPBEXHLevel3X 2 3 6" xfId="29918" xr:uid="{00000000-0005-0000-0000-00002A700000}"/>
    <cellStyle name="SAPBEXHLevel3X 2 3 7" xfId="30291" xr:uid="{C63E0506-4261-4F0D-BA32-E6D4B9B3F60D}"/>
    <cellStyle name="SAPBEXHLevel3X 2 4" xfId="24647" xr:uid="{00000000-0005-0000-0000-00002B700000}"/>
    <cellStyle name="SAPBEXHLevel3X 2 4 2" xfId="25358" xr:uid="{00000000-0005-0000-0000-00002C700000}"/>
    <cellStyle name="SAPBEXHLevel3X 2 4 2 2" xfId="27512" xr:uid="{00000000-0005-0000-0000-00002D700000}"/>
    <cellStyle name="SAPBEXHLevel3X 2 4 2 2 2" xfId="32103" xr:uid="{D7C9F1CC-12C8-41F1-B606-60011B4D22AE}"/>
    <cellStyle name="SAPBEXHLevel3X 2 4 2 3" xfId="28369" xr:uid="{00000000-0005-0000-0000-00002E700000}"/>
    <cellStyle name="SAPBEXHLevel3X 2 4 2 3 2" xfId="32927" xr:uid="{C2C4B16F-011E-485D-A304-6B8FAFEBE8A7}"/>
    <cellStyle name="SAPBEXHLevel3X 2 4 2 4" xfId="26137" xr:uid="{00000000-0005-0000-0000-00002F700000}"/>
    <cellStyle name="SAPBEXHLevel3X 2 4 2 4 2" xfId="30927" xr:uid="{2A25FF93-81DC-4245-85F2-7CBE6C48EE92}"/>
    <cellStyle name="SAPBEXHLevel3X 2 4 2 5" xfId="29921" xr:uid="{00000000-0005-0000-0000-000030700000}"/>
    <cellStyle name="SAPBEXHLevel3X 2 4 2 6" xfId="30516" xr:uid="{B4DCA501-5C1A-4F2A-A8A3-1517461D3419}"/>
    <cellStyle name="SAPBEXHLevel3X 2 4 3" xfId="25613" xr:uid="{00000000-0005-0000-0000-000031700000}"/>
    <cellStyle name="SAPBEXHLevel3X 2 4 3 2" xfId="27766" xr:uid="{00000000-0005-0000-0000-000032700000}"/>
    <cellStyle name="SAPBEXHLevel3X 2 4 3 2 2" xfId="32353" xr:uid="{43BB4D17-1E35-4B40-817B-4827DAAB81DD}"/>
    <cellStyle name="SAPBEXHLevel3X 2 4 3 3" xfId="28370" xr:uid="{00000000-0005-0000-0000-000033700000}"/>
    <cellStyle name="SAPBEXHLevel3X 2 4 3 3 2" xfId="32928" xr:uid="{016662A2-605E-48D3-AD0C-4689DC12773B}"/>
    <cellStyle name="SAPBEXHLevel3X 2 4 3 4" xfId="26416" xr:uid="{00000000-0005-0000-0000-000034700000}"/>
    <cellStyle name="SAPBEXHLevel3X 2 4 3 4 2" xfId="31204" xr:uid="{27C49BFC-72BA-4824-BA3D-F153A3E89D3F}"/>
    <cellStyle name="SAPBEXHLevel3X 2 4 3 5" xfId="29922" xr:uid="{00000000-0005-0000-0000-000035700000}"/>
    <cellStyle name="SAPBEXHLevel3X 2 4 4" xfId="27240" xr:uid="{00000000-0005-0000-0000-000036700000}"/>
    <cellStyle name="SAPBEXHLevel3X 2 4 4 2" xfId="31875" xr:uid="{ED0BC1E4-4364-4F95-B507-334C449D03D8}"/>
    <cellStyle name="SAPBEXHLevel3X 2 4 5" xfId="28368" xr:uid="{00000000-0005-0000-0000-000037700000}"/>
    <cellStyle name="SAPBEXHLevel3X 2 4 5 2" xfId="32926" xr:uid="{1174CCE6-2E97-42C9-B9FC-433ED4CF3D6D}"/>
    <cellStyle name="SAPBEXHLevel3X 2 4 6" xfId="26145" xr:uid="{00000000-0005-0000-0000-000038700000}"/>
    <cellStyle name="SAPBEXHLevel3X 2 4 6 2" xfId="30935" xr:uid="{FEEAC14C-EEEB-45D6-A5EA-973896FDA51F}"/>
    <cellStyle name="SAPBEXHLevel3X 2 4 7" xfId="29920" xr:uid="{00000000-0005-0000-0000-000039700000}"/>
    <cellStyle name="SAPBEXHLevel3X 2 4 8" xfId="30315" xr:uid="{77FC5731-9C3C-4578-9FA9-DA2BF5988AAE}"/>
    <cellStyle name="SAPBEXHLevel3X 2 5" xfId="25126" xr:uid="{00000000-0005-0000-0000-00003A700000}"/>
    <cellStyle name="SAPBEXHLevel3X 2 5 2" xfId="25327" xr:uid="{00000000-0005-0000-0000-00003B700000}"/>
    <cellStyle name="SAPBEXHLevel3X 2 5 2 2" xfId="27481" xr:uid="{00000000-0005-0000-0000-00003C700000}"/>
    <cellStyle name="SAPBEXHLevel3X 2 5 2 2 2" xfId="32072" xr:uid="{74D14D4D-B4BA-4416-8881-AF21335FAADA}"/>
    <cellStyle name="SAPBEXHLevel3X 2 5 2 3" xfId="28372" xr:uid="{00000000-0005-0000-0000-00003D700000}"/>
    <cellStyle name="SAPBEXHLevel3X 2 5 2 3 2" xfId="32930" xr:uid="{5910C690-B46C-4CB4-9A01-EAEDB0F63403}"/>
    <cellStyle name="SAPBEXHLevel3X 2 5 2 4" xfId="27084" xr:uid="{00000000-0005-0000-0000-00003E700000}"/>
    <cellStyle name="SAPBEXHLevel3X 2 5 2 4 2" xfId="31808" xr:uid="{598B73BA-12A2-4ED9-ACA8-D34CB7704AE5}"/>
    <cellStyle name="SAPBEXHLevel3X 2 5 2 5" xfId="29924" xr:uid="{00000000-0005-0000-0000-00003F700000}"/>
    <cellStyle name="SAPBEXHLevel3X 2 5 2 6" xfId="30485" xr:uid="{5F4BB849-C8DB-4B40-A74A-D0DC5A1488CE}"/>
    <cellStyle name="SAPBEXHLevel3X 2 5 3" xfId="25724" xr:uid="{00000000-0005-0000-0000-000040700000}"/>
    <cellStyle name="SAPBEXHLevel3X 2 5 3 2" xfId="27877" xr:uid="{00000000-0005-0000-0000-000041700000}"/>
    <cellStyle name="SAPBEXHLevel3X 2 5 3 2 2" xfId="32464" xr:uid="{089F2F43-5561-43EF-8547-5B9BB64E6E6E}"/>
    <cellStyle name="SAPBEXHLevel3X 2 5 3 3" xfId="28373" xr:uid="{00000000-0005-0000-0000-000042700000}"/>
    <cellStyle name="SAPBEXHLevel3X 2 5 3 3 2" xfId="32931" xr:uid="{1D7FD07F-E432-43A4-933D-F681EA8460FC}"/>
    <cellStyle name="SAPBEXHLevel3X 2 5 3 4" xfId="26467" xr:uid="{00000000-0005-0000-0000-000043700000}"/>
    <cellStyle name="SAPBEXHLevel3X 2 5 3 4 2" xfId="31255" xr:uid="{BB46B35F-4917-4B6E-A76B-D6E27C399AB4}"/>
    <cellStyle name="SAPBEXHLevel3X 2 5 3 5" xfId="29925" xr:uid="{00000000-0005-0000-0000-000044700000}"/>
    <cellStyle name="SAPBEXHLevel3X 2 5 3 6" xfId="30718" xr:uid="{9501C45C-F55E-408F-BBD8-46EF45884285}"/>
    <cellStyle name="SAPBEXHLevel3X 2 5 4" xfId="27411" xr:uid="{00000000-0005-0000-0000-000045700000}"/>
    <cellStyle name="SAPBEXHLevel3X 2 5 4 2" xfId="32009" xr:uid="{B963967A-B5BD-46DE-9661-6C3D661A43BA}"/>
    <cellStyle name="SAPBEXHLevel3X 2 5 5" xfId="28371" xr:uid="{00000000-0005-0000-0000-000046700000}"/>
    <cellStyle name="SAPBEXHLevel3X 2 5 5 2" xfId="32929" xr:uid="{FF6AD0FD-4A12-49B9-8E50-EC5BE2E61FE4}"/>
    <cellStyle name="SAPBEXHLevel3X 2 5 6" xfId="27349" xr:uid="{00000000-0005-0000-0000-000047700000}"/>
    <cellStyle name="SAPBEXHLevel3X 2 5 6 2" xfId="31947" xr:uid="{3A0F00AB-61D7-46EF-8DD5-44D14E4471EE}"/>
    <cellStyle name="SAPBEXHLevel3X 2 5 7" xfId="29923" xr:uid="{00000000-0005-0000-0000-000048700000}"/>
    <cellStyle name="SAPBEXHLevel3X 2 5 8" xfId="30426" xr:uid="{0D99F112-65FD-4913-808C-EC234BA6F5B8}"/>
    <cellStyle name="SAPBEXHLevel3X 2 6" xfId="25863" xr:uid="{00000000-0005-0000-0000-000049700000}"/>
    <cellStyle name="SAPBEXHLevel3X 2 6 2" xfId="30782" xr:uid="{5D7C521D-7709-4E30-A4A3-AEB4B661BCE7}"/>
    <cellStyle name="SAPBEXHLevel3X 2 7" xfId="28363" xr:uid="{00000000-0005-0000-0000-00004A700000}"/>
    <cellStyle name="SAPBEXHLevel3X 2 7 2" xfId="32921" xr:uid="{B8DCD961-5FED-4850-97AF-0E2F1363450C}"/>
    <cellStyle name="SAPBEXHLevel3X 2 8" xfId="26938" xr:uid="{00000000-0005-0000-0000-00004B700000}"/>
    <cellStyle name="SAPBEXHLevel3X 2 8 2" xfId="31699" xr:uid="{3533D43B-EEA1-49FB-B113-B4881C9CA127}"/>
    <cellStyle name="SAPBEXHLevel3X 2 9" xfId="29915" xr:uid="{00000000-0005-0000-0000-00004C700000}"/>
    <cellStyle name="SAPBEXHLevel3X 3" xfId="133" xr:uid="{00000000-0005-0000-0000-00004D700000}"/>
    <cellStyle name="SAPBEXHLevel3X 3 2" xfId="13667" xr:uid="{00000000-0005-0000-0000-00004E700000}"/>
    <cellStyle name="SAPBEXHLevel3X 3 2 2" xfId="25505" xr:uid="{00000000-0005-0000-0000-00004F700000}"/>
    <cellStyle name="SAPBEXHLevel3X 3 2 2 2" xfId="27658" xr:uid="{00000000-0005-0000-0000-000050700000}"/>
    <cellStyle name="SAPBEXHLevel3X 3 2 2 2 2" xfId="32245" xr:uid="{45C9EA8A-E4FD-4269-B7CB-01F2CE9D712D}"/>
    <cellStyle name="SAPBEXHLevel3X 3 2 2 3" xfId="28376" xr:uid="{00000000-0005-0000-0000-000051700000}"/>
    <cellStyle name="SAPBEXHLevel3X 3 2 2 3 2" xfId="32934" xr:uid="{7531EA30-1CF2-4937-8C60-A9F9B2B05CD3}"/>
    <cellStyle name="SAPBEXHLevel3X 3 2 2 4" xfId="26387" xr:uid="{00000000-0005-0000-0000-000052700000}"/>
    <cellStyle name="SAPBEXHLevel3X 3 2 2 4 2" xfId="31175" xr:uid="{3E890B52-0C3C-46A5-88C2-5148C2E18100}"/>
    <cellStyle name="SAPBEXHLevel3X 3 2 2 5" xfId="29928" xr:uid="{00000000-0005-0000-0000-000053700000}"/>
    <cellStyle name="SAPBEXHLevel3X 3 2 3" xfId="26609" xr:uid="{00000000-0005-0000-0000-000054700000}"/>
    <cellStyle name="SAPBEXHLevel3X 3 2 3 2" xfId="31387" xr:uid="{33F8AD2E-82C9-40DD-9503-73B4F74EB8D6}"/>
    <cellStyle name="SAPBEXHLevel3X 3 2 4" xfId="28375" xr:uid="{00000000-0005-0000-0000-000055700000}"/>
    <cellStyle name="SAPBEXHLevel3X 3 2 4 2" xfId="32933" xr:uid="{A6DB452C-6770-4CA2-8524-F3CB5F8D8EFE}"/>
    <cellStyle name="SAPBEXHLevel3X 3 2 5" xfId="26227" xr:uid="{00000000-0005-0000-0000-000056700000}"/>
    <cellStyle name="SAPBEXHLevel3X 3 2 5 2" xfId="31015" xr:uid="{0FE2B551-C769-455F-A119-03249EA0373E}"/>
    <cellStyle name="SAPBEXHLevel3X 3 2 6" xfId="29927" xr:uid="{00000000-0005-0000-0000-000057700000}"/>
    <cellStyle name="SAPBEXHLevel3X 3 2 7" xfId="30207" xr:uid="{53B2C8A4-0890-4B77-82CB-55055705A567}"/>
    <cellStyle name="SAPBEXHLevel3X 3 3" xfId="24269" xr:uid="{00000000-0005-0000-0000-000058700000}"/>
    <cellStyle name="SAPBEXHLevel3X 3 3 2" xfId="25590" xr:uid="{00000000-0005-0000-0000-000059700000}"/>
    <cellStyle name="SAPBEXHLevel3X 3 3 2 2" xfId="27743" xr:uid="{00000000-0005-0000-0000-00005A700000}"/>
    <cellStyle name="SAPBEXHLevel3X 3 3 2 2 2" xfId="32330" xr:uid="{D4735676-1E70-4426-96C1-8E973CE83299}"/>
    <cellStyle name="SAPBEXHLevel3X 3 3 2 3" xfId="28378" xr:uid="{00000000-0005-0000-0000-00005B700000}"/>
    <cellStyle name="SAPBEXHLevel3X 3 3 2 3 2" xfId="32936" xr:uid="{47CD5417-91F0-4586-8778-F4ADA13B265F}"/>
    <cellStyle name="SAPBEXHLevel3X 3 3 2 4" xfId="26856" xr:uid="{00000000-0005-0000-0000-00005C700000}"/>
    <cellStyle name="SAPBEXHLevel3X 3 3 2 4 2" xfId="31617" xr:uid="{F35650B9-1998-46A9-80CB-CC926C4B1C75}"/>
    <cellStyle name="SAPBEXHLevel3X 3 3 2 5" xfId="29930" xr:uid="{00000000-0005-0000-0000-00005D700000}"/>
    <cellStyle name="SAPBEXHLevel3X 3 3 3" xfId="27123" xr:uid="{00000000-0005-0000-0000-00005E700000}"/>
    <cellStyle name="SAPBEXHLevel3X 3 3 3 2" xfId="31841" xr:uid="{A2A3250A-9173-4538-AD50-1DF232369A34}"/>
    <cellStyle name="SAPBEXHLevel3X 3 3 4" xfId="28377" xr:uid="{00000000-0005-0000-0000-00005F700000}"/>
    <cellStyle name="SAPBEXHLevel3X 3 3 4 2" xfId="32935" xr:uid="{A92B8164-03E0-4534-90D0-9469A4607D93}"/>
    <cellStyle name="SAPBEXHLevel3X 3 3 5" xfId="26220" xr:uid="{00000000-0005-0000-0000-000060700000}"/>
    <cellStyle name="SAPBEXHLevel3X 3 3 5 2" xfId="31008" xr:uid="{52AD1348-1EEB-48E8-93DF-37DACCD3D1B6}"/>
    <cellStyle name="SAPBEXHLevel3X 3 3 6" xfId="29929" xr:uid="{00000000-0005-0000-0000-000061700000}"/>
    <cellStyle name="SAPBEXHLevel3X 3 3 7" xfId="30292" xr:uid="{02150287-7FDA-4614-85C9-ECDA83D69B0E}"/>
    <cellStyle name="SAPBEXHLevel3X 3 4" xfId="24646" xr:uid="{00000000-0005-0000-0000-000062700000}"/>
    <cellStyle name="SAPBEXHLevel3X 3 4 2" xfId="25442" xr:uid="{00000000-0005-0000-0000-000063700000}"/>
    <cellStyle name="SAPBEXHLevel3X 3 4 2 2" xfId="27596" xr:uid="{00000000-0005-0000-0000-000064700000}"/>
    <cellStyle name="SAPBEXHLevel3X 3 4 2 2 2" xfId="32187" xr:uid="{8E529128-2E78-4424-9B25-6A7FD379159C}"/>
    <cellStyle name="SAPBEXHLevel3X 3 4 2 3" xfId="28380" xr:uid="{00000000-0005-0000-0000-000065700000}"/>
    <cellStyle name="SAPBEXHLevel3X 3 4 2 3 2" xfId="32938" xr:uid="{98A0BD92-CFDA-4B56-A258-C04AE6CCBED3}"/>
    <cellStyle name="SAPBEXHLevel3X 3 4 2 4" xfId="27054" xr:uid="{00000000-0005-0000-0000-000066700000}"/>
    <cellStyle name="SAPBEXHLevel3X 3 4 2 4 2" xfId="31799" xr:uid="{874CF853-9C2A-4BBC-AF32-C7B644EA822F}"/>
    <cellStyle name="SAPBEXHLevel3X 3 4 2 5" xfId="29932" xr:uid="{00000000-0005-0000-0000-000067700000}"/>
    <cellStyle name="SAPBEXHLevel3X 3 4 2 6" xfId="30600" xr:uid="{15179D37-B044-4166-BC6D-052A57DCF611}"/>
    <cellStyle name="SAPBEXHLevel3X 3 4 3" xfId="25612" xr:uid="{00000000-0005-0000-0000-000068700000}"/>
    <cellStyle name="SAPBEXHLevel3X 3 4 3 2" xfId="27765" xr:uid="{00000000-0005-0000-0000-000069700000}"/>
    <cellStyle name="SAPBEXHLevel3X 3 4 3 2 2" xfId="32352" xr:uid="{172DD6D6-87DB-4594-98BE-0BD1541FA2C3}"/>
    <cellStyle name="SAPBEXHLevel3X 3 4 3 3" xfId="28381" xr:uid="{00000000-0005-0000-0000-00006A700000}"/>
    <cellStyle name="SAPBEXHLevel3X 3 4 3 3 2" xfId="32939" xr:uid="{25D86A90-082E-4162-8F5F-5A2C66EEC653}"/>
    <cellStyle name="SAPBEXHLevel3X 3 4 3 4" xfId="26928" xr:uid="{00000000-0005-0000-0000-00006B700000}"/>
    <cellStyle name="SAPBEXHLevel3X 3 4 3 4 2" xfId="31689" xr:uid="{C0357729-241F-4D8A-AE11-CC2D1DB45871}"/>
    <cellStyle name="SAPBEXHLevel3X 3 4 3 5" xfId="29933" xr:uid="{00000000-0005-0000-0000-00006C700000}"/>
    <cellStyle name="SAPBEXHLevel3X 3 4 4" xfId="27239" xr:uid="{00000000-0005-0000-0000-00006D700000}"/>
    <cellStyle name="SAPBEXHLevel3X 3 4 4 2" xfId="31874" xr:uid="{7C478664-1320-406F-9D50-BDA5498B65D0}"/>
    <cellStyle name="SAPBEXHLevel3X 3 4 5" xfId="28379" xr:uid="{00000000-0005-0000-0000-00006E700000}"/>
    <cellStyle name="SAPBEXHLevel3X 3 4 5 2" xfId="32937" xr:uid="{C404FCF7-6D4A-4604-B569-5C109511B721}"/>
    <cellStyle name="SAPBEXHLevel3X 3 4 6" xfId="26458" xr:uid="{00000000-0005-0000-0000-00006F700000}"/>
    <cellStyle name="SAPBEXHLevel3X 3 4 6 2" xfId="31246" xr:uid="{F376D0A3-6563-4E6B-B0FA-C719D730CADD}"/>
    <cellStyle name="SAPBEXHLevel3X 3 4 7" xfId="29931" xr:uid="{00000000-0005-0000-0000-000070700000}"/>
    <cellStyle name="SAPBEXHLevel3X 3 4 8" xfId="30314" xr:uid="{9C7F96D7-C898-45CD-AD25-FDA8A5006533}"/>
    <cellStyle name="SAPBEXHLevel3X 3 5" xfId="25127" xr:uid="{00000000-0005-0000-0000-000071700000}"/>
    <cellStyle name="SAPBEXHLevel3X 3 5 2" xfId="25428" xr:uid="{00000000-0005-0000-0000-000072700000}"/>
    <cellStyle name="SAPBEXHLevel3X 3 5 2 2" xfId="27582" xr:uid="{00000000-0005-0000-0000-000073700000}"/>
    <cellStyle name="SAPBEXHLevel3X 3 5 2 2 2" xfId="32173" xr:uid="{1B21319F-FE3D-49A4-8166-691F0E52E145}"/>
    <cellStyle name="SAPBEXHLevel3X 3 5 2 3" xfId="28383" xr:uid="{00000000-0005-0000-0000-000074700000}"/>
    <cellStyle name="SAPBEXHLevel3X 3 5 2 3 2" xfId="32941" xr:uid="{09BD3033-EE54-4276-87A9-462B7CBCF00E}"/>
    <cellStyle name="SAPBEXHLevel3X 3 5 2 4" xfId="26103" xr:uid="{00000000-0005-0000-0000-000075700000}"/>
    <cellStyle name="SAPBEXHLevel3X 3 5 2 4 2" xfId="30893" xr:uid="{EE724D09-6C37-48B0-9A6B-2502F315B0FF}"/>
    <cellStyle name="SAPBEXHLevel3X 3 5 2 5" xfId="29935" xr:uid="{00000000-0005-0000-0000-000076700000}"/>
    <cellStyle name="SAPBEXHLevel3X 3 5 2 6" xfId="30586" xr:uid="{E7B2D32A-8966-4AB1-843C-0FDDCC975C12}"/>
    <cellStyle name="SAPBEXHLevel3X 3 5 3" xfId="25725" xr:uid="{00000000-0005-0000-0000-000077700000}"/>
    <cellStyle name="SAPBEXHLevel3X 3 5 3 2" xfId="27878" xr:uid="{00000000-0005-0000-0000-000078700000}"/>
    <cellStyle name="SAPBEXHLevel3X 3 5 3 2 2" xfId="32465" xr:uid="{05DA57AD-D9EC-41A6-BECD-405554911E5C}"/>
    <cellStyle name="SAPBEXHLevel3X 3 5 3 3" xfId="28384" xr:uid="{00000000-0005-0000-0000-000079700000}"/>
    <cellStyle name="SAPBEXHLevel3X 3 5 3 3 2" xfId="32942" xr:uid="{F96DE1DF-5756-4F8F-B2F1-734EB2D9815E}"/>
    <cellStyle name="SAPBEXHLevel3X 3 5 3 4" xfId="26508" xr:uid="{00000000-0005-0000-0000-00007A700000}"/>
    <cellStyle name="SAPBEXHLevel3X 3 5 3 4 2" xfId="31296" xr:uid="{CAD70976-8996-443A-9418-1CA939F3EF17}"/>
    <cellStyle name="SAPBEXHLevel3X 3 5 3 5" xfId="29936" xr:uid="{00000000-0005-0000-0000-00007B700000}"/>
    <cellStyle name="SAPBEXHLevel3X 3 5 3 6" xfId="30719" xr:uid="{5C99FBAA-B4E1-4A51-840B-F673FA42281D}"/>
    <cellStyle name="SAPBEXHLevel3X 3 5 4" xfId="27412" xr:uid="{00000000-0005-0000-0000-00007C700000}"/>
    <cellStyle name="SAPBEXHLevel3X 3 5 4 2" xfId="32010" xr:uid="{2094438C-978F-4161-AA50-4DC8055F527B}"/>
    <cellStyle name="SAPBEXHLevel3X 3 5 5" xfId="28382" xr:uid="{00000000-0005-0000-0000-00007D700000}"/>
    <cellStyle name="SAPBEXHLevel3X 3 5 5 2" xfId="32940" xr:uid="{537EAACE-E228-447D-B4AB-A93491D7BB7D}"/>
    <cellStyle name="SAPBEXHLevel3X 3 5 6" xfId="26496" xr:uid="{00000000-0005-0000-0000-00007E700000}"/>
    <cellStyle name="SAPBEXHLevel3X 3 5 6 2" xfId="31284" xr:uid="{DB492B91-6731-4C01-BF2B-F64CE2048734}"/>
    <cellStyle name="SAPBEXHLevel3X 3 5 7" xfId="29934" xr:uid="{00000000-0005-0000-0000-00007F700000}"/>
    <cellStyle name="SAPBEXHLevel3X 3 5 8" xfId="30427" xr:uid="{2FCDDEB8-F9E5-47A8-BF9F-E2EB35A6F064}"/>
    <cellStyle name="SAPBEXHLevel3X 3 6" xfId="25864" xr:uid="{00000000-0005-0000-0000-000080700000}"/>
    <cellStyle name="SAPBEXHLevel3X 3 6 2" xfId="30783" xr:uid="{FA22FF2A-56DE-435D-BD51-B2DC772EDF96}"/>
    <cellStyle name="SAPBEXHLevel3X 3 7" xfId="28374" xr:uid="{00000000-0005-0000-0000-000081700000}"/>
    <cellStyle name="SAPBEXHLevel3X 3 7 2" xfId="32932" xr:uid="{00A9E9D9-3078-4324-B743-E89FCC929ADA}"/>
    <cellStyle name="SAPBEXHLevel3X 3 8" xfId="26413" xr:uid="{00000000-0005-0000-0000-000082700000}"/>
    <cellStyle name="SAPBEXHLevel3X 3 8 2" xfId="31201" xr:uid="{AA5E62CA-10E7-400C-BFF8-E934203BD2AE}"/>
    <cellStyle name="SAPBEXHLevel3X 3 9" xfId="29926" xr:uid="{00000000-0005-0000-0000-000083700000}"/>
    <cellStyle name="SAPBEXHLevel3X 4" xfId="134" xr:uid="{00000000-0005-0000-0000-000084700000}"/>
    <cellStyle name="SAPBEXHLevel3X 4 2" xfId="13668" xr:uid="{00000000-0005-0000-0000-000085700000}"/>
    <cellStyle name="SAPBEXHLevel3X 4 2 2" xfId="25506" xr:uid="{00000000-0005-0000-0000-000086700000}"/>
    <cellStyle name="SAPBEXHLevel3X 4 2 2 2" xfId="27659" xr:uid="{00000000-0005-0000-0000-000087700000}"/>
    <cellStyle name="SAPBEXHLevel3X 4 2 2 2 2" xfId="32246" xr:uid="{BCE1656E-6784-4AB3-AB71-1227A8F66DA6}"/>
    <cellStyle name="SAPBEXHLevel3X 4 2 2 3" xfId="28387" xr:uid="{00000000-0005-0000-0000-000088700000}"/>
    <cellStyle name="SAPBEXHLevel3X 4 2 2 3 2" xfId="32945" xr:uid="{34D3DA20-C764-4AE8-A870-3B88521D41F0}"/>
    <cellStyle name="SAPBEXHLevel3X 4 2 2 4" xfId="26127" xr:uid="{00000000-0005-0000-0000-000089700000}"/>
    <cellStyle name="SAPBEXHLevel3X 4 2 2 4 2" xfId="30917" xr:uid="{FCE1060C-123F-419A-BE20-65C9334370FD}"/>
    <cellStyle name="SAPBEXHLevel3X 4 2 2 5" xfId="29939" xr:uid="{00000000-0005-0000-0000-00008A700000}"/>
    <cellStyle name="SAPBEXHLevel3X 4 2 3" xfId="26610" xr:uid="{00000000-0005-0000-0000-00008B700000}"/>
    <cellStyle name="SAPBEXHLevel3X 4 2 3 2" xfId="31388" xr:uid="{DB7AA06A-C417-44D8-8505-5A8987FA45D9}"/>
    <cellStyle name="SAPBEXHLevel3X 4 2 4" xfId="28386" xr:uid="{00000000-0005-0000-0000-00008C700000}"/>
    <cellStyle name="SAPBEXHLevel3X 4 2 4 2" xfId="32944" xr:uid="{059C8CAB-AD2B-4347-8CE5-5ACF8CCA0B08}"/>
    <cellStyle name="SAPBEXHLevel3X 4 2 5" xfId="26356" xr:uid="{00000000-0005-0000-0000-00008D700000}"/>
    <cellStyle name="SAPBEXHLevel3X 4 2 5 2" xfId="31144" xr:uid="{3F017564-F0CA-4570-8FFA-2C568DD995F0}"/>
    <cellStyle name="SAPBEXHLevel3X 4 2 6" xfId="29938" xr:uid="{00000000-0005-0000-0000-00008E700000}"/>
    <cellStyle name="SAPBEXHLevel3X 4 2 7" xfId="30208" xr:uid="{634BA862-F399-4C76-9D22-CE789E832FBC}"/>
    <cellStyle name="SAPBEXHLevel3X 4 3" xfId="25865" xr:uid="{00000000-0005-0000-0000-00008F700000}"/>
    <cellStyle name="SAPBEXHLevel3X 4 3 2" xfId="30784" xr:uid="{7A7F6CB4-B13E-4B5C-AD91-87BECF742EB1}"/>
    <cellStyle name="SAPBEXHLevel3X 4 4" xfId="28385" xr:uid="{00000000-0005-0000-0000-000090700000}"/>
    <cellStyle name="SAPBEXHLevel3X 4 4 2" xfId="32943" xr:uid="{6E9CB22E-45CE-4BE8-89A3-E2D89B5B189C}"/>
    <cellStyle name="SAPBEXHLevel3X 4 5" xfId="26996" xr:uid="{00000000-0005-0000-0000-000091700000}"/>
    <cellStyle name="SAPBEXHLevel3X 4 5 2" xfId="31757" xr:uid="{FAC2BE78-A6B4-445B-8720-D7A1C7BDCF67}"/>
    <cellStyle name="SAPBEXHLevel3X 4 6" xfId="29937" xr:uid="{00000000-0005-0000-0000-000092700000}"/>
    <cellStyle name="SAPBEXHLevel3X 5" xfId="257" xr:uid="{00000000-0005-0000-0000-000093700000}"/>
    <cellStyle name="SAPBEXHLevel3X 5 2" xfId="13722" xr:uid="{00000000-0005-0000-0000-000094700000}"/>
    <cellStyle name="SAPBEXHLevel3X 5 2 2" xfId="25535" xr:uid="{00000000-0005-0000-0000-000095700000}"/>
    <cellStyle name="SAPBEXHLevel3X 5 2 2 2" xfId="27688" xr:uid="{00000000-0005-0000-0000-000096700000}"/>
    <cellStyle name="SAPBEXHLevel3X 5 2 2 2 2" xfId="32275" xr:uid="{E8A5EE03-50A0-4240-9220-DC11A54B3885}"/>
    <cellStyle name="SAPBEXHLevel3X 5 2 2 3" xfId="28390" xr:uid="{00000000-0005-0000-0000-000097700000}"/>
    <cellStyle name="SAPBEXHLevel3X 5 2 2 3 2" xfId="32948" xr:uid="{1E6139FD-3027-421E-9DDD-0067DCF3FFD2}"/>
    <cellStyle name="SAPBEXHLevel3X 5 2 2 4" xfId="26537" xr:uid="{00000000-0005-0000-0000-000098700000}"/>
    <cellStyle name="SAPBEXHLevel3X 5 2 2 4 2" xfId="31324" xr:uid="{6E13C0EE-DF69-480F-9D3C-8A3C860372FE}"/>
    <cellStyle name="SAPBEXHLevel3X 5 2 2 5" xfId="29942" xr:uid="{00000000-0005-0000-0000-000099700000}"/>
    <cellStyle name="SAPBEXHLevel3X 5 2 3" xfId="26642" xr:uid="{00000000-0005-0000-0000-00009A700000}"/>
    <cellStyle name="SAPBEXHLevel3X 5 2 3 2" xfId="31419" xr:uid="{3823216F-B58B-4ACE-97B1-BB5E64B03519}"/>
    <cellStyle name="SAPBEXHLevel3X 5 2 4" xfId="28389" xr:uid="{00000000-0005-0000-0000-00009B700000}"/>
    <cellStyle name="SAPBEXHLevel3X 5 2 4 2" xfId="32947" xr:uid="{B103FB01-8BC2-4145-8BC0-6644725E7CC4}"/>
    <cellStyle name="SAPBEXHLevel3X 5 2 5" xfId="26247" xr:uid="{00000000-0005-0000-0000-00009C700000}"/>
    <cellStyle name="SAPBEXHLevel3X 5 2 5 2" xfId="31035" xr:uid="{59A8A4E6-431F-4189-A0E6-FDFDFCC54D49}"/>
    <cellStyle name="SAPBEXHLevel3X 5 2 6" xfId="29941" xr:uid="{00000000-0005-0000-0000-00009D700000}"/>
    <cellStyle name="SAPBEXHLevel3X 5 2 7" xfId="30237" xr:uid="{5D0F3AAC-5157-40EC-9714-DBF28195E1A0}"/>
    <cellStyle name="SAPBEXHLevel3X 5 3" xfId="25925" xr:uid="{00000000-0005-0000-0000-00009E700000}"/>
    <cellStyle name="SAPBEXHLevel3X 5 3 2" xfId="30814" xr:uid="{8B2656C5-9F3A-4B11-8E2F-B0ACD9624AC3}"/>
    <cellStyle name="SAPBEXHLevel3X 5 4" xfId="28388" xr:uid="{00000000-0005-0000-0000-00009F700000}"/>
    <cellStyle name="SAPBEXHLevel3X 5 4 2" xfId="32946" xr:uid="{158EB2F5-0BE7-4648-8A80-F7F2CF99D94A}"/>
    <cellStyle name="SAPBEXHLevel3X 5 5" xfId="27926" xr:uid="{00000000-0005-0000-0000-0000A0700000}"/>
    <cellStyle name="SAPBEXHLevel3X 5 5 2" xfId="32484" xr:uid="{0E1C805C-125B-4C8F-A1E3-829552F84728}"/>
    <cellStyle name="SAPBEXHLevel3X 5 6" xfId="29940" xr:uid="{00000000-0005-0000-0000-0000A1700000}"/>
    <cellStyle name="SAPBEXHLevel3X 6" xfId="13665" xr:uid="{00000000-0005-0000-0000-0000A2700000}"/>
    <cellStyle name="SAPBEXHLevel3X 6 2" xfId="25503" xr:uid="{00000000-0005-0000-0000-0000A3700000}"/>
    <cellStyle name="SAPBEXHLevel3X 6 2 2" xfId="27656" xr:uid="{00000000-0005-0000-0000-0000A4700000}"/>
    <cellStyle name="SAPBEXHLevel3X 6 2 2 2" xfId="32243" xr:uid="{59C02CF4-9696-438C-AB17-00BA00ED1F9A}"/>
    <cellStyle name="SAPBEXHLevel3X 6 2 3" xfId="28392" xr:uid="{00000000-0005-0000-0000-0000A5700000}"/>
    <cellStyle name="SAPBEXHLevel3X 6 2 3 2" xfId="32950" xr:uid="{A70A3F1C-C535-4A50-965A-23056B6B8F38}"/>
    <cellStyle name="SAPBEXHLevel3X 6 2 4" xfId="26805" xr:uid="{00000000-0005-0000-0000-0000A6700000}"/>
    <cellStyle name="SAPBEXHLevel3X 6 2 4 2" xfId="31566" xr:uid="{4C728602-73BE-4E59-8123-19760408D66B}"/>
    <cellStyle name="SAPBEXHLevel3X 6 2 5" xfId="29944" xr:uid="{00000000-0005-0000-0000-0000A7700000}"/>
    <cellStyle name="SAPBEXHLevel3X 6 3" xfId="26607" xr:uid="{00000000-0005-0000-0000-0000A8700000}"/>
    <cellStyle name="SAPBEXHLevel3X 6 3 2" xfId="31385" xr:uid="{3D23335A-A6F2-45F2-98D3-9CDD0399F482}"/>
    <cellStyle name="SAPBEXHLevel3X 6 4" xfId="28391" xr:uid="{00000000-0005-0000-0000-0000A9700000}"/>
    <cellStyle name="SAPBEXHLevel3X 6 4 2" xfId="32949" xr:uid="{1274685D-3743-4D65-8A74-50868C7C8624}"/>
    <cellStyle name="SAPBEXHLevel3X 6 5" xfId="26120" xr:uid="{00000000-0005-0000-0000-0000AA700000}"/>
    <cellStyle name="SAPBEXHLevel3X 6 5 2" xfId="30910" xr:uid="{EAAD5286-CA08-4F8C-9FC0-C1170F6E4F80}"/>
    <cellStyle name="SAPBEXHLevel3X 6 6" xfId="29943" xr:uid="{00000000-0005-0000-0000-0000AB700000}"/>
    <cellStyle name="SAPBEXHLevel3X 6 7" xfId="30205" xr:uid="{3655B80D-A217-4F56-B61B-ACA014A35A1E}"/>
    <cellStyle name="SAPBEXHLevel3X 7" xfId="24648" xr:uid="{00000000-0005-0000-0000-0000AC700000}"/>
    <cellStyle name="SAPBEXHLevel3X 7 2" xfId="25392" xr:uid="{00000000-0005-0000-0000-0000AD700000}"/>
    <cellStyle name="SAPBEXHLevel3X 7 2 2" xfId="27546" xr:uid="{00000000-0005-0000-0000-0000AE700000}"/>
    <cellStyle name="SAPBEXHLevel3X 7 2 2 2" xfId="32137" xr:uid="{7CC33AB6-2FBF-4589-9DCC-8356C15E51CB}"/>
    <cellStyle name="SAPBEXHLevel3X 7 2 3" xfId="28394" xr:uid="{00000000-0005-0000-0000-0000AF700000}"/>
    <cellStyle name="SAPBEXHLevel3X 7 2 3 2" xfId="32952" xr:uid="{5218DFB4-9C8B-4255-8199-2E951C98061A}"/>
    <cellStyle name="SAPBEXHLevel3X 7 2 4" xfId="26527" xr:uid="{00000000-0005-0000-0000-0000B0700000}"/>
    <cellStyle name="SAPBEXHLevel3X 7 2 4 2" xfId="31314" xr:uid="{83B58F8D-68DB-46AC-ABBF-0D282F66988C}"/>
    <cellStyle name="SAPBEXHLevel3X 7 2 5" xfId="29946" xr:uid="{00000000-0005-0000-0000-0000B1700000}"/>
    <cellStyle name="SAPBEXHLevel3X 7 2 6" xfId="30550" xr:uid="{B1EE9249-7FDA-47C7-BD9F-3316C79AD5ED}"/>
    <cellStyle name="SAPBEXHLevel3X 7 3" xfId="25614" xr:uid="{00000000-0005-0000-0000-0000B2700000}"/>
    <cellStyle name="SAPBEXHLevel3X 7 3 2" xfId="27767" xr:uid="{00000000-0005-0000-0000-0000B3700000}"/>
    <cellStyle name="SAPBEXHLevel3X 7 3 2 2" xfId="32354" xr:uid="{F42B81ED-5BF4-4065-A397-BC2ABF82F0EA}"/>
    <cellStyle name="SAPBEXHLevel3X 7 3 3" xfId="28395" xr:uid="{00000000-0005-0000-0000-0000B4700000}"/>
    <cellStyle name="SAPBEXHLevel3X 7 3 3 2" xfId="32953" xr:uid="{6D99D37A-E8F0-4A6F-B791-F86D9715914F}"/>
    <cellStyle name="SAPBEXHLevel3X 7 3 4" xfId="26892" xr:uid="{00000000-0005-0000-0000-0000B5700000}"/>
    <cellStyle name="SAPBEXHLevel3X 7 3 4 2" xfId="31653" xr:uid="{C8E59616-84C5-494D-8A3F-BFFC7D6FD597}"/>
    <cellStyle name="SAPBEXHLevel3X 7 3 5" xfId="29947" xr:uid="{00000000-0005-0000-0000-0000B6700000}"/>
    <cellStyle name="SAPBEXHLevel3X 7 4" xfId="27241" xr:uid="{00000000-0005-0000-0000-0000B7700000}"/>
    <cellStyle name="SAPBEXHLevel3X 7 4 2" xfId="31876" xr:uid="{3D2A80C7-F827-489A-B6F7-5C6A97044B85}"/>
    <cellStyle name="SAPBEXHLevel3X 7 5" xfId="28393" xr:uid="{00000000-0005-0000-0000-0000B8700000}"/>
    <cellStyle name="SAPBEXHLevel3X 7 5 2" xfId="32951" xr:uid="{B996BF90-7336-45B5-AF61-BFE5C42EDF50}"/>
    <cellStyle name="SAPBEXHLevel3X 7 6" xfId="26426" xr:uid="{00000000-0005-0000-0000-0000B9700000}"/>
    <cellStyle name="SAPBEXHLevel3X 7 6 2" xfId="31214" xr:uid="{CF2C049C-A657-4B60-914F-2C40643340B0}"/>
    <cellStyle name="SAPBEXHLevel3X 7 7" xfId="29945" xr:uid="{00000000-0005-0000-0000-0000BA700000}"/>
    <cellStyle name="SAPBEXHLevel3X 7 8" xfId="30316" xr:uid="{4E695917-C041-4582-8901-18280CF2CE17}"/>
    <cellStyle name="SAPBEXHLevel3X 8" xfId="25125" xr:uid="{00000000-0005-0000-0000-0000BB700000}"/>
    <cellStyle name="SAPBEXHLevel3X 8 2" xfId="25414" xr:uid="{00000000-0005-0000-0000-0000BC700000}"/>
    <cellStyle name="SAPBEXHLevel3X 8 2 2" xfId="27568" xr:uid="{00000000-0005-0000-0000-0000BD700000}"/>
    <cellStyle name="SAPBEXHLevel3X 8 2 2 2" xfId="32159" xr:uid="{23F4745B-DC52-4355-B90C-5E01822F08C8}"/>
    <cellStyle name="SAPBEXHLevel3X 8 2 3" xfId="28397" xr:uid="{00000000-0005-0000-0000-0000BE700000}"/>
    <cellStyle name="SAPBEXHLevel3X 8 2 3 2" xfId="32955" xr:uid="{24744013-6FAD-464F-9156-9C215C2FBD74}"/>
    <cellStyle name="SAPBEXHLevel3X 8 2 4" xfId="26410" xr:uid="{00000000-0005-0000-0000-0000BF700000}"/>
    <cellStyle name="SAPBEXHLevel3X 8 2 4 2" xfId="31198" xr:uid="{765D670A-2483-4C3C-B436-DBD6EDD29432}"/>
    <cellStyle name="SAPBEXHLevel3X 8 2 5" xfId="29949" xr:uid="{00000000-0005-0000-0000-0000C0700000}"/>
    <cellStyle name="SAPBEXHLevel3X 8 2 6" xfId="30572" xr:uid="{36E80096-F8E1-40CF-9AB9-FE6B9DCE4B69}"/>
    <cellStyle name="SAPBEXHLevel3X 8 3" xfId="25723" xr:uid="{00000000-0005-0000-0000-0000C1700000}"/>
    <cellStyle name="SAPBEXHLevel3X 8 3 2" xfId="27876" xr:uid="{00000000-0005-0000-0000-0000C2700000}"/>
    <cellStyle name="SAPBEXHLevel3X 8 3 2 2" xfId="32463" xr:uid="{0DA899B9-A7A2-45D5-A485-18C101D666F7}"/>
    <cellStyle name="SAPBEXHLevel3X 8 3 3" xfId="28398" xr:uid="{00000000-0005-0000-0000-0000C3700000}"/>
    <cellStyle name="SAPBEXHLevel3X 8 3 3 2" xfId="32956" xr:uid="{8C4CC2ED-82E0-4B10-84C7-466A272FFD2B}"/>
    <cellStyle name="SAPBEXHLevel3X 8 3 4" xfId="26559" xr:uid="{00000000-0005-0000-0000-0000C4700000}"/>
    <cellStyle name="SAPBEXHLevel3X 8 3 4 2" xfId="31340" xr:uid="{A160F7CB-B045-4745-8777-D2B2444E6D14}"/>
    <cellStyle name="SAPBEXHLevel3X 8 3 5" xfId="29950" xr:uid="{00000000-0005-0000-0000-0000C5700000}"/>
    <cellStyle name="SAPBEXHLevel3X 8 3 6" xfId="30717" xr:uid="{75E9B26F-EBEB-4DEA-83E0-DA62D7697FB4}"/>
    <cellStyle name="SAPBEXHLevel3X 8 4" xfId="27410" xr:uid="{00000000-0005-0000-0000-0000C6700000}"/>
    <cellStyle name="SAPBEXHLevel3X 8 4 2" xfId="32008" xr:uid="{3E1AD465-B838-4DC5-A2D5-3A1D185E4EE3}"/>
    <cellStyle name="SAPBEXHLevel3X 8 5" xfId="28396" xr:uid="{00000000-0005-0000-0000-0000C7700000}"/>
    <cellStyle name="SAPBEXHLevel3X 8 5 2" xfId="32954" xr:uid="{C88F1E99-2D38-4D3D-A891-6A85B0C75960}"/>
    <cellStyle name="SAPBEXHLevel3X 8 6" xfId="26889" xr:uid="{00000000-0005-0000-0000-0000C8700000}"/>
    <cellStyle name="SAPBEXHLevel3X 8 6 2" xfId="31650" xr:uid="{A7BED088-0100-401F-BFB1-42FFD4A43473}"/>
    <cellStyle name="SAPBEXHLevel3X 8 7" xfId="29948" xr:uid="{00000000-0005-0000-0000-0000C9700000}"/>
    <cellStyle name="SAPBEXHLevel3X 8 8" xfId="30425" xr:uid="{1974C777-750B-4F6C-9D68-A17FF86EA43B}"/>
    <cellStyle name="SAPBEXHLevel3X 9" xfId="25862" xr:uid="{00000000-0005-0000-0000-0000CA700000}"/>
    <cellStyle name="SAPBEXHLevel3X 9 2" xfId="30781" xr:uid="{26A23DAD-FA9C-4CAB-BCA3-2DB80B9EE2E6}"/>
    <cellStyle name="SAPBEXinputData" xfId="24270" xr:uid="{00000000-0005-0000-0000-0000CB700000}"/>
    <cellStyle name="SAPBEXinputData 2" xfId="24271" xr:uid="{00000000-0005-0000-0000-0000CC700000}"/>
    <cellStyle name="SAPBEXinputData 2 2" xfId="24927" xr:uid="{00000000-0005-0000-0000-0000CD700000}"/>
    <cellStyle name="SAPBEXinputData 2 2 2" xfId="27336" xr:uid="{00000000-0005-0000-0000-0000CE700000}"/>
    <cellStyle name="SAPBEXinputData 2 3" xfId="27125" xr:uid="{00000000-0005-0000-0000-0000CF700000}"/>
    <cellStyle name="SAPBEXinputData 3" xfId="24272" xr:uid="{00000000-0005-0000-0000-0000D0700000}"/>
    <cellStyle name="SAPBEXinputData 3 2" xfId="24924" xr:uid="{00000000-0005-0000-0000-0000D1700000}"/>
    <cellStyle name="SAPBEXinputData 3 2 2" xfId="27333" xr:uid="{00000000-0005-0000-0000-0000D2700000}"/>
    <cellStyle name="SAPBEXinputData 3 3" xfId="27126" xr:uid="{00000000-0005-0000-0000-0000D3700000}"/>
    <cellStyle name="SAPBEXinputData 4" xfId="24771" xr:uid="{00000000-0005-0000-0000-0000D4700000}"/>
    <cellStyle name="SAPBEXinputData 4 2" xfId="27312" xr:uid="{00000000-0005-0000-0000-0000D5700000}"/>
    <cellStyle name="SAPBEXinputData 5" xfId="27124" xr:uid="{00000000-0005-0000-0000-0000D6700000}"/>
    <cellStyle name="SAPBEXresData" xfId="135" xr:uid="{00000000-0005-0000-0000-0000D7700000}"/>
    <cellStyle name="SAPBEXresData 2" xfId="13669" xr:uid="{00000000-0005-0000-0000-0000D8700000}"/>
    <cellStyle name="SAPBEXresData 2 2" xfId="25507" xr:uid="{00000000-0005-0000-0000-0000D9700000}"/>
    <cellStyle name="SAPBEXresData 2 2 2" xfId="27660" xr:uid="{00000000-0005-0000-0000-0000DA700000}"/>
    <cellStyle name="SAPBEXresData 2 2 2 2" xfId="32247" xr:uid="{31F18D4B-DE0A-468B-800F-CB07B9542BC9}"/>
    <cellStyle name="SAPBEXresData 2 2 3" xfId="28401" xr:uid="{00000000-0005-0000-0000-0000DB700000}"/>
    <cellStyle name="SAPBEXresData 2 2 3 2" xfId="32959" xr:uid="{C135B232-02CE-477D-B212-BC1534F5DF12}"/>
    <cellStyle name="SAPBEXresData 2 2 4" xfId="26499" xr:uid="{00000000-0005-0000-0000-0000DC700000}"/>
    <cellStyle name="SAPBEXresData 2 2 4 2" xfId="31287" xr:uid="{C40CCFAC-CD22-44E0-9B80-B03B15117FF8}"/>
    <cellStyle name="SAPBEXresData 2 2 5" xfId="29953" xr:uid="{00000000-0005-0000-0000-0000DD700000}"/>
    <cellStyle name="SAPBEXresData 2 3" xfId="26611" xr:uid="{00000000-0005-0000-0000-0000DE700000}"/>
    <cellStyle name="SAPBEXresData 2 3 2" xfId="31389" xr:uid="{9D513E72-31AA-45CF-BC1B-BCA72D20ADEE}"/>
    <cellStyle name="SAPBEXresData 2 4" xfId="28400" xr:uid="{00000000-0005-0000-0000-0000DF700000}"/>
    <cellStyle name="SAPBEXresData 2 4 2" xfId="32958" xr:uid="{E907A8F9-4CB0-4D04-948E-35404C48A1D6}"/>
    <cellStyle name="SAPBEXresData 2 5" xfId="26715" xr:uid="{00000000-0005-0000-0000-0000E0700000}"/>
    <cellStyle name="SAPBEXresData 2 5 2" xfId="31477" xr:uid="{CDA56021-F4A4-40D2-8249-B99836CC4F8F}"/>
    <cellStyle name="SAPBEXresData 2 6" xfId="29952" xr:uid="{00000000-0005-0000-0000-0000E1700000}"/>
    <cellStyle name="SAPBEXresData 2 7" xfId="30209" xr:uid="{588FC51F-DC46-481B-9DD5-800962759BCD}"/>
    <cellStyle name="SAPBEXresData 3" xfId="24645" xr:uid="{00000000-0005-0000-0000-0000E2700000}"/>
    <cellStyle name="SAPBEXresData 3 2" xfId="25341" xr:uid="{00000000-0005-0000-0000-0000E3700000}"/>
    <cellStyle name="SAPBEXresData 3 2 2" xfId="27495" xr:uid="{00000000-0005-0000-0000-0000E4700000}"/>
    <cellStyle name="SAPBEXresData 3 2 2 2" xfId="32086" xr:uid="{A13287A6-D481-4C26-881C-3FA5B17372DA}"/>
    <cellStyle name="SAPBEXresData 3 2 3" xfId="28403" xr:uid="{00000000-0005-0000-0000-0000E5700000}"/>
    <cellStyle name="SAPBEXresData 3 2 3 2" xfId="32961" xr:uid="{D0B87572-0820-4FFD-9189-EC41B2827FC6}"/>
    <cellStyle name="SAPBEXresData 3 2 4" xfId="26541" xr:uid="{00000000-0005-0000-0000-0000E6700000}"/>
    <cellStyle name="SAPBEXresData 3 2 4 2" xfId="31328" xr:uid="{55AE0055-7746-4D87-8475-F97FD3F0729B}"/>
    <cellStyle name="SAPBEXresData 3 2 5" xfId="29955" xr:uid="{00000000-0005-0000-0000-0000E7700000}"/>
    <cellStyle name="SAPBEXresData 3 2 6" xfId="30499" xr:uid="{B50FC92F-F0CB-4F38-8AF1-1AF96D23585D}"/>
    <cellStyle name="SAPBEXresData 3 3" xfId="25611" xr:uid="{00000000-0005-0000-0000-0000E8700000}"/>
    <cellStyle name="SAPBEXresData 3 3 2" xfId="27764" xr:uid="{00000000-0005-0000-0000-0000E9700000}"/>
    <cellStyle name="SAPBEXresData 3 3 2 2" xfId="32351" xr:uid="{0688740D-E7F9-4D74-843E-E4157EDB68F1}"/>
    <cellStyle name="SAPBEXresData 3 3 3" xfId="28404" xr:uid="{00000000-0005-0000-0000-0000EA700000}"/>
    <cellStyle name="SAPBEXresData 3 3 3 2" xfId="32962" xr:uid="{C245EF7D-E6F9-4BF1-90CB-F5DF8F549C80}"/>
    <cellStyle name="SAPBEXresData 3 3 4" xfId="26330" xr:uid="{00000000-0005-0000-0000-0000EB700000}"/>
    <cellStyle name="SAPBEXresData 3 3 4 2" xfId="31118" xr:uid="{4FF40185-9067-4EE2-A64F-A75C7F043B48}"/>
    <cellStyle name="SAPBEXresData 3 3 5" xfId="29956" xr:uid="{00000000-0005-0000-0000-0000EC700000}"/>
    <cellStyle name="SAPBEXresData 3 4" xfId="27238" xr:uid="{00000000-0005-0000-0000-0000ED700000}"/>
    <cellStyle name="SAPBEXresData 3 4 2" xfId="31873" xr:uid="{8C8F3C1E-9D2E-4991-B68F-AE6B00549F21}"/>
    <cellStyle name="SAPBEXresData 3 5" xfId="28402" xr:uid="{00000000-0005-0000-0000-0000EE700000}"/>
    <cellStyle name="SAPBEXresData 3 5 2" xfId="32960" xr:uid="{0E4ECC88-9DC2-4E81-9643-5DFA564C2B3E}"/>
    <cellStyle name="SAPBEXresData 3 6" xfId="26751" xr:uid="{00000000-0005-0000-0000-0000EF700000}"/>
    <cellStyle name="SAPBEXresData 3 6 2" xfId="31512" xr:uid="{528ECEEA-F1BD-47FF-82BC-DDFCC6E7796D}"/>
    <cellStyle name="SAPBEXresData 3 7" xfId="29954" xr:uid="{00000000-0005-0000-0000-0000F0700000}"/>
    <cellStyle name="SAPBEXresData 3 8" xfId="30313" xr:uid="{98D5FDE3-7A4B-44E1-B7F0-84C7A73756FA}"/>
    <cellStyle name="SAPBEXresData 4" xfId="25128" xr:uid="{00000000-0005-0000-0000-0000F1700000}"/>
    <cellStyle name="SAPBEXresData 4 2" xfId="25344" xr:uid="{00000000-0005-0000-0000-0000F2700000}"/>
    <cellStyle name="SAPBEXresData 4 2 2" xfId="27498" xr:uid="{00000000-0005-0000-0000-0000F3700000}"/>
    <cellStyle name="SAPBEXresData 4 2 2 2" xfId="32089" xr:uid="{FCA101A0-664E-4625-B783-DD3C6C6FB558}"/>
    <cellStyle name="SAPBEXresData 4 2 3" xfId="28406" xr:uid="{00000000-0005-0000-0000-0000F4700000}"/>
    <cellStyle name="SAPBEXresData 4 2 3 2" xfId="32964" xr:uid="{A3A07294-8B9C-4D21-BA5F-D09D42340CD5}"/>
    <cellStyle name="SAPBEXresData 4 2 4" xfId="26107" xr:uid="{00000000-0005-0000-0000-0000F5700000}"/>
    <cellStyle name="SAPBEXresData 4 2 4 2" xfId="30897" xr:uid="{09543267-4766-41FA-AE47-FEEB9601E6AF}"/>
    <cellStyle name="SAPBEXresData 4 2 5" xfId="29958" xr:uid="{00000000-0005-0000-0000-0000F6700000}"/>
    <cellStyle name="SAPBEXresData 4 2 6" xfId="30502" xr:uid="{411C24F2-E001-4709-A07B-96166EA5E295}"/>
    <cellStyle name="SAPBEXresData 4 3" xfId="25726" xr:uid="{00000000-0005-0000-0000-0000F7700000}"/>
    <cellStyle name="SAPBEXresData 4 3 2" xfId="27879" xr:uid="{00000000-0005-0000-0000-0000F8700000}"/>
    <cellStyle name="SAPBEXresData 4 3 2 2" xfId="32466" xr:uid="{0CE4D7B6-27D6-440E-BF6E-EE90A31DA340}"/>
    <cellStyle name="SAPBEXresData 4 3 3" xfId="28407" xr:uid="{00000000-0005-0000-0000-0000F9700000}"/>
    <cellStyle name="SAPBEXresData 4 3 3 2" xfId="32965" xr:uid="{BA000DEF-7153-4D69-8EC3-BE73C2E77D84}"/>
    <cellStyle name="SAPBEXresData 4 3 4" xfId="26862" xr:uid="{00000000-0005-0000-0000-0000FA700000}"/>
    <cellStyle name="SAPBEXresData 4 3 4 2" xfId="31623" xr:uid="{9C7F8C61-7F39-4974-A573-BEB57D747127}"/>
    <cellStyle name="SAPBEXresData 4 3 5" xfId="29959" xr:uid="{00000000-0005-0000-0000-0000FB700000}"/>
    <cellStyle name="SAPBEXresData 4 3 6" xfId="30720" xr:uid="{ADAA1D7E-62A2-4BE2-9FE9-C2B35ED28893}"/>
    <cellStyle name="SAPBEXresData 4 4" xfId="27413" xr:uid="{00000000-0005-0000-0000-0000FC700000}"/>
    <cellStyle name="SAPBEXresData 4 4 2" xfId="32011" xr:uid="{4137C93A-144D-4CF8-B103-F506FD47E2B5}"/>
    <cellStyle name="SAPBEXresData 4 5" xfId="28405" xr:uid="{00000000-0005-0000-0000-0000FD700000}"/>
    <cellStyle name="SAPBEXresData 4 5 2" xfId="32963" xr:uid="{21240C7F-76AF-4D19-9CCE-36C38AE9F239}"/>
    <cellStyle name="SAPBEXresData 4 6" xfId="26110" xr:uid="{00000000-0005-0000-0000-0000FE700000}"/>
    <cellStyle name="SAPBEXresData 4 6 2" xfId="30900" xr:uid="{E6FA5FF2-1A50-466A-BB3A-EA7AC2160900}"/>
    <cellStyle name="SAPBEXresData 4 7" xfId="29957" xr:uid="{00000000-0005-0000-0000-0000FF700000}"/>
    <cellStyle name="SAPBEXresData 4 8" xfId="30428" xr:uid="{3509B2EE-6847-4BE4-A7C8-7D6FAC8BA3BE}"/>
    <cellStyle name="SAPBEXresData 5" xfId="25866" xr:uid="{00000000-0005-0000-0000-000000710000}"/>
    <cellStyle name="SAPBEXresData 5 2" xfId="30785" xr:uid="{89020E5D-E677-4847-8404-A5FED79CD070}"/>
    <cellStyle name="SAPBEXresData 6" xfId="28399" xr:uid="{00000000-0005-0000-0000-000001710000}"/>
    <cellStyle name="SAPBEXresData 6 2" xfId="32957" xr:uid="{76ACBCB1-7E01-489D-BDBB-CFB175A7983B}"/>
    <cellStyle name="SAPBEXresData 7" xfId="26489" xr:uid="{00000000-0005-0000-0000-000002710000}"/>
    <cellStyle name="SAPBEXresData 7 2" xfId="31277" xr:uid="{BF10D402-DDAB-40A8-8196-2217B4CB615E}"/>
    <cellStyle name="SAPBEXresData 8" xfId="29951" xr:uid="{00000000-0005-0000-0000-000003710000}"/>
    <cellStyle name="SAPBEXresDataEmph" xfId="136" xr:uid="{00000000-0005-0000-0000-000004710000}"/>
    <cellStyle name="SAPBEXresDataEmph 2" xfId="13670" xr:uid="{00000000-0005-0000-0000-000005710000}"/>
    <cellStyle name="SAPBEXresDataEmph 2 2" xfId="25508" xr:uid="{00000000-0005-0000-0000-000006710000}"/>
    <cellStyle name="SAPBEXresDataEmph 2 2 2" xfId="27661" xr:uid="{00000000-0005-0000-0000-000007710000}"/>
    <cellStyle name="SAPBEXresDataEmph 2 2 2 2" xfId="32248" xr:uid="{CC2BAD40-7685-4B6B-8565-8F3029A8A40A}"/>
    <cellStyle name="SAPBEXresDataEmph 2 2 3" xfId="28410" xr:uid="{00000000-0005-0000-0000-000008710000}"/>
    <cellStyle name="SAPBEXresDataEmph 2 2 3 2" xfId="32968" xr:uid="{BD9A4AE5-A9DC-4D3F-ABF5-4DDBC27DCA42}"/>
    <cellStyle name="SAPBEXresDataEmph 2 2 4" xfId="26894" xr:uid="{00000000-0005-0000-0000-000009710000}"/>
    <cellStyle name="SAPBEXresDataEmph 2 2 4 2" xfId="31655" xr:uid="{EBAC9037-3727-43A9-943F-67402A80A1F8}"/>
    <cellStyle name="SAPBEXresDataEmph 2 2 5" xfId="29962" xr:uid="{00000000-0005-0000-0000-00000A710000}"/>
    <cellStyle name="SAPBEXresDataEmph 2 3" xfId="26612" xr:uid="{00000000-0005-0000-0000-00000B710000}"/>
    <cellStyle name="SAPBEXresDataEmph 2 3 2" xfId="31390" xr:uid="{E7820E30-1AA6-4097-84BC-91C6E5115A66}"/>
    <cellStyle name="SAPBEXresDataEmph 2 4" xfId="28409" xr:uid="{00000000-0005-0000-0000-00000C710000}"/>
    <cellStyle name="SAPBEXresDataEmph 2 4 2" xfId="32967" xr:uid="{5BDBE309-DA57-4062-B030-822DE2438060}"/>
    <cellStyle name="SAPBEXresDataEmph 2 5" xfId="26539" xr:uid="{00000000-0005-0000-0000-00000D710000}"/>
    <cellStyle name="SAPBEXresDataEmph 2 5 2" xfId="31326" xr:uid="{31BDFD7F-85A6-4534-B823-5F749CEDC4CF}"/>
    <cellStyle name="SAPBEXresDataEmph 2 6" xfId="29961" xr:uid="{00000000-0005-0000-0000-00000E710000}"/>
    <cellStyle name="SAPBEXresDataEmph 2 7" xfId="30210" xr:uid="{0008B232-9B18-4BAB-AD83-F2A96E2D67BD}"/>
    <cellStyle name="SAPBEXresDataEmph 3" xfId="24644" xr:uid="{00000000-0005-0000-0000-00000F710000}"/>
    <cellStyle name="SAPBEXresDataEmph 3 2" xfId="25425" xr:uid="{00000000-0005-0000-0000-000010710000}"/>
    <cellStyle name="SAPBEXresDataEmph 3 2 2" xfId="27579" xr:uid="{00000000-0005-0000-0000-000011710000}"/>
    <cellStyle name="SAPBEXresDataEmph 3 2 2 2" xfId="32170" xr:uid="{3C9006EB-966C-4311-BD1C-30C6CBF003BF}"/>
    <cellStyle name="SAPBEXresDataEmph 3 2 3" xfId="28412" xr:uid="{00000000-0005-0000-0000-000012710000}"/>
    <cellStyle name="SAPBEXresDataEmph 3 2 3 2" xfId="32970" xr:uid="{880627F5-D108-4DF4-BF59-7B48A3E1EBDA}"/>
    <cellStyle name="SAPBEXresDataEmph 3 2 4" xfId="26858" xr:uid="{00000000-0005-0000-0000-000013710000}"/>
    <cellStyle name="SAPBEXresDataEmph 3 2 4 2" xfId="31619" xr:uid="{B9D44A06-73B0-4C60-B95D-19DE9FAF22D6}"/>
    <cellStyle name="SAPBEXresDataEmph 3 2 5" xfId="29964" xr:uid="{00000000-0005-0000-0000-000014710000}"/>
    <cellStyle name="SAPBEXresDataEmph 3 2 6" xfId="30583" xr:uid="{118AEA6D-5ECA-44F9-A30E-97C01EB3D2ED}"/>
    <cellStyle name="SAPBEXresDataEmph 3 3" xfId="25610" xr:uid="{00000000-0005-0000-0000-000015710000}"/>
    <cellStyle name="SAPBEXresDataEmph 3 3 2" xfId="27763" xr:uid="{00000000-0005-0000-0000-000016710000}"/>
    <cellStyle name="SAPBEXresDataEmph 3 3 2 2" xfId="32350" xr:uid="{3E87F055-7D5E-4815-A065-51C972BACD7A}"/>
    <cellStyle name="SAPBEXresDataEmph 3 3 3" xfId="28413" xr:uid="{00000000-0005-0000-0000-000017710000}"/>
    <cellStyle name="SAPBEXresDataEmph 3 3 3 2" xfId="32971" xr:uid="{5319DF64-80FF-4ACC-90B6-DD1883D8C3E4}"/>
    <cellStyle name="SAPBEXresDataEmph 3 3 4" xfId="26395" xr:uid="{00000000-0005-0000-0000-000018710000}"/>
    <cellStyle name="SAPBEXresDataEmph 3 3 4 2" xfId="31183" xr:uid="{A443C37C-E0A8-4017-B108-737E0B8263C1}"/>
    <cellStyle name="SAPBEXresDataEmph 3 3 5" xfId="29965" xr:uid="{00000000-0005-0000-0000-000019710000}"/>
    <cellStyle name="SAPBEXresDataEmph 3 4" xfId="27237" xr:uid="{00000000-0005-0000-0000-00001A710000}"/>
    <cellStyle name="SAPBEXresDataEmph 3 4 2" xfId="31872" xr:uid="{21A0E2B4-E9EB-490A-876F-2980D4FE38C5}"/>
    <cellStyle name="SAPBEXresDataEmph 3 5" xfId="28411" xr:uid="{00000000-0005-0000-0000-00001B710000}"/>
    <cellStyle name="SAPBEXresDataEmph 3 5 2" xfId="32969" xr:uid="{28523237-3CAD-43AA-BC67-7CDCBBBAFDE3}"/>
    <cellStyle name="SAPBEXresDataEmph 3 6" xfId="26942" xr:uid="{00000000-0005-0000-0000-00001C710000}"/>
    <cellStyle name="SAPBEXresDataEmph 3 6 2" xfId="31703" xr:uid="{E5E4A04A-8C9C-4FC9-8554-4AED80F51B73}"/>
    <cellStyle name="SAPBEXresDataEmph 3 7" xfId="29963" xr:uid="{00000000-0005-0000-0000-00001D710000}"/>
    <cellStyle name="SAPBEXresDataEmph 3 8" xfId="30312" xr:uid="{45295B30-D13B-4F34-A0A5-E4B0FD6B8441}"/>
    <cellStyle name="SAPBEXresDataEmph 4" xfId="25129" xr:uid="{00000000-0005-0000-0000-00001E710000}"/>
    <cellStyle name="SAPBEXresDataEmph 4 2" xfId="25445" xr:uid="{00000000-0005-0000-0000-00001F710000}"/>
    <cellStyle name="SAPBEXresDataEmph 4 2 2" xfId="27599" xr:uid="{00000000-0005-0000-0000-000020710000}"/>
    <cellStyle name="SAPBEXresDataEmph 4 2 2 2" xfId="32190" xr:uid="{B526E0FD-18C7-4740-90B2-A0AF61D9A7DB}"/>
    <cellStyle name="SAPBEXresDataEmph 4 2 3" xfId="28415" xr:uid="{00000000-0005-0000-0000-000021710000}"/>
    <cellStyle name="SAPBEXresDataEmph 4 2 3 2" xfId="32973" xr:uid="{747E3ED8-A525-4339-A12E-CEE9E8DF9EBF}"/>
    <cellStyle name="SAPBEXresDataEmph 4 2 4" xfId="26502" xr:uid="{00000000-0005-0000-0000-000022710000}"/>
    <cellStyle name="SAPBEXresDataEmph 4 2 4 2" xfId="31290" xr:uid="{19279DAE-A5B4-464D-965C-C12B30D6DC89}"/>
    <cellStyle name="SAPBEXresDataEmph 4 2 5" xfId="29967" xr:uid="{00000000-0005-0000-0000-000023710000}"/>
    <cellStyle name="SAPBEXresDataEmph 4 2 6" xfId="30603" xr:uid="{947BB9F9-B1DC-4E58-A878-9F29896B084B}"/>
    <cellStyle name="SAPBEXresDataEmph 4 3" xfId="25727" xr:uid="{00000000-0005-0000-0000-000024710000}"/>
    <cellStyle name="SAPBEXresDataEmph 4 3 2" xfId="27880" xr:uid="{00000000-0005-0000-0000-000025710000}"/>
    <cellStyle name="SAPBEXresDataEmph 4 3 2 2" xfId="32467" xr:uid="{7357FA17-93D3-4A42-95E7-9281B0EA1AC6}"/>
    <cellStyle name="SAPBEXresDataEmph 4 3 3" xfId="28416" xr:uid="{00000000-0005-0000-0000-000026710000}"/>
    <cellStyle name="SAPBEXresDataEmph 4 3 3 2" xfId="32974" xr:uid="{8E28FBFB-A495-4021-994F-A1A6A51C0F28}"/>
    <cellStyle name="SAPBEXresDataEmph 4 3 4" xfId="26844" xr:uid="{00000000-0005-0000-0000-000027710000}"/>
    <cellStyle name="SAPBEXresDataEmph 4 3 4 2" xfId="31605" xr:uid="{EF3C1E56-8E20-4988-803A-95E0141F5C9B}"/>
    <cellStyle name="SAPBEXresDataEmph 4 3 5" xfId="29968" xr:uid="{00000000-0005-0000-0000-000028710000}"/>
    <cellStyle name="SAPBEXresDataEmph 4 3 6" xfId="30721" xr:uid="{B691638A-1E6C-4C5B-B110-68170A31A118}"/>
    <cellStyle name="SAPBEXresDataEmph 4 4" xfId="27414" xr:uid="{00000000-0005-0000-0000-000029710000}"/>
    <cellStyle name="SAPBEXresDataEmph 4 4 2" xfId="32012" xr:uid="{AE600082-B064-494C-96EE-8E531B7CF68D}"/>
    <cellStyle name="SAPBEXresDataEmph 4 5" xfId="28414" xr:uid="{00000000-0005-0000-0000-00002A710000}"/>
    <cellStyle name="SAPBEXresDataEmph 4 5 2" xfId="32972" xr:uid="{90532C1F-2ECF-49A8-829C-A6D409E295D5}"/>
    <cellStyle name="SAPBEXresDataEmph 4 6" xfId="26245" xr:uid="{00000000-0005-0000-0000-00002B710000}"/>
    <cellStyle name="SAPBEXresDataEmph 4 6 2" xfId="31033" xr:uid="{D004DBA8-B1E1-4D7F-B105-D1E54511FC5A}"/>
    <cellStyle name="SAPBEXresDataEmph 4 7" xfId="29966" xr:uid="{00000000-0005-0000-0000-00002C710000}"/>
    <cellStyle name="SAPBEXresDataEmph 4 8" xfId="30429" xr:uid="{8FB2A62A-1802-4E79-B1B2-BFD9C53A863C}"/>
    <cellStyle name="SAPBEXresDataEmph 5" xfId="25867" xr:uid="{00000000-0005-0000-0000-00002D710000}"/>
    <cellStyle name="SAPBEXresDataEmph 5 2" xfId="30786" xr:uid="{FFF959E2-3AC1-4645-A757-91898D25434E}"/>
    <cellStyle name="SAPBEXresDataEmph 6" xfId="28408" xr:uid="{00000000-0005-0000-0000-00002E710000}"/>
    <cellStyle name="SAPBEXresDataEmph 6 2" xfId="32966" xr:uid="{B3038231-9028-4686-9E7E-C271E67D17E3}"/>
    <cellStyle name="SAPBEXresDataEmph 7" xfId="26203" xr:uid="{00000000-0005-0000-0000-00002F710000}"/>
    <cellStyle name="SAPBEXresDataEmph 7 2" xfId="30991" xr:uid="{6F515C21-D15E-4F3C-9A74-C1D6824EBFE9}"/>
    <cellStyle name="SAPBEXresDataEmph 8" xfId="29960" xr:uid="{00000000-0005-0000-0000-000030710000}"/>
    <cellStyle name="SAPBEXresItem" xfId="137" xr:uid="{00000000-0005-0000-0000-000031710000}"/>
    <cellStyle name="SAPBEXresItem 2" xfId="13671" xr:uid="{00000000-0005-0000-0000-000032710000}"/>
    <cellStyle name="SAPBEXresItem 2 2" xfId="25509" xr:uid="{00000000-0005-0000-0000-000033710000}"/>
    <cellStyle name="SAPBEXresItem 2 2 2" xfId="27662" xr:uid="{00000000-0005-0000-0000-000034710000}"/>
    <cellStyle name="SAPBEXresItem 2 2 2 2" xfId="32249" xr:uid="{52318F6E-27F6-4D80-AD02-729626C991F0}"/>
    <cellStyle name="SAPBEXresItem 2 2 3" xfId="28419" xr:uid="{00000000-0005-0000-0000-000035710000}"/>
    <cellStyle name="SAPBEXresItem 2 2 3 2" xfId="32977" xr:uid="{5A75664B-C8DE-4257-9424-DBDDE3F1779F}"/>
    <cellStyle name="SAPBEXresItem 2 2 4" xfId="27043" xr:uid="{00000000-0005-0000-0000-000036710000}"/>
    <cellStyle name="SAPBEXresItem 2 2 4 2" xfId="31791" xr:uid="{5B35A57A-187C-42BE-A5EB-F006CC4BFDE6}"/>
    <cellStyle name="SAPBEXresItem 2 2 5" xfId="29971" xr:uid="{00000000-0005-0000-0000-000037710000}"/>
    <cellStyle name="SAPBEXresItem 2 3" xfId="26613" xr:uid="{00000000-0005-0000-0000-000038710000}"/>
    <cellStyle name="SAPBEXresItem 2 3 2" xfId="31391" xr:uid="{7C00BA68-6895-4290-A316-8F64AD140FB3}"/>
    <cellStyle name="SAPBEXresItem 2 4" xfId="28418" xr:uid="{00000000-0005-0000-0000-000039710000}"/>
    <cellStyle name="SAPBEXresItem 2 4 2" xfId="32976" xr:uid="{9464EFEF-957A-44B2-95B8-698BC8C1B168}"/>
    <cellStyle name="SAPBEXresItem 2 5" xfId="26239" xr:uid="{00000000-0005-0000-0000-00003A710000}"/>
    <cellStyle name="SAPBEXresItem 2 5 2" xfId="31027" xr:uid="{40945518-8415-4E7A-92E2-942FF1F02D6F}"/>
    <cellStyle name="SAPBEXresItem 2 6" xfId="29970" xr:uid="{00000000-0005-0000-0000-00003B710000}"/>
    <cellStyle name="SAPBEXresItem 2 7" xfId="30211" xr:uid="{78D343AB-EBB6-42AF-9FD8-C037755F5D01}"/>
    <cellStyle name="SAPBEXresItem 3" xfId="24643" xr:uid="{00000000-0005-0000-0000-00003C710000}"/>
    <cellStyle name="SAPBEXresItem 3 2" xfId="25324" xr:uid="{00000000-0005-0000-0000-00003D710000}"/>
    <cellStyle name="SAPBEXresItem 3 2 2" xfId="27478" xr:uid="{00000000-0005-0000-0000-00003E710000}"/>
    <cellStyle name="SAPBEXresItem 3 2 2 2" xfId="32069" xr:uid="{E032E2A0-C6DD-4919-832C-3BFEC77D5B00}"/>
    <cellStyle name="SAPBEXresItem 3 2 3" xfId="28421" xr:uid="{00000000-0005-0000-0000-00003F710000}"/>
    <cellStyle name="SAPBEXresItem 3 2 3 2" xfId="32979" xr:uid="{DEA2BF65-5A6B-4DAA-9964-B5AD048916B4}"/>
    <cellStyle name="SAPBEXresItem 3 2 4" xfId="26285" xr:uid="{00000000-0005-0000-0000-000040710000}"/>
    <cellStyle name="SAPBEXresItem 3 2 4 2" xfId="31073" xr:uid="{C47A41FD-3666-477B-A049-2DB0FEA3B263}"/>
    <cellStyle name="SAPBEXresItem 3 2 5" xfId="29973" xr:uid="{00000000-0005-0000-0000-000041710000}"/>
    <cellStyle name="SAPBEXresItem 3 2 6" xfId="30482" xr:uid="{EE957DA7-00F2-41E3-9FB3-058F6C112041}"/>
    <cellStyle name="SAPBEXresItem 3 3" xfId="25609" xr:uid="{00000000-0005-0000-0000-000042710000}"/>
    <cellStyle name="SAPBEXresItem 3 3 2" xfId="27762" xr:uid="{00000000-0005-0000-0000-000043710000}"/>
    <cellStyle name="SAPBEXresItem 3 3 2 2" xfId="32349" xr:uid="{144E2ED6-1AB1-45A2-BB73-70FCD6BB2752}"/>
    <cellStyle name="SAPBEXresItem 3 3 3" xfId="28422" xr:uid="{00000000-0005-0000-0000-000044710000}"/>
    <cellStyle name="SAPBEXresItem 3 3 3 2" xfId="32980" xr:uid="{2EF41680-8F4C-4493-B788-EC56347BDB0E}"/>
    <cellStyle name="SAPBEXresItem 3 3 4" xfId="26758" xr:uid="{00000000-0005-0000-0000-000045710000}"/>
    <cellStyle name="SAPBEXresItem 3 3 4 2" xfId="31519" xr:uid="{3DFF23BC-0CBB-4D2E-B35E-344C5CF92F0E}"/>
    <cellStyle name="SAPBEXresItem 3 3 5" xfId="29974" xr:uid="{00000000-0005-0000-0000-000046710000}"/>
    <cellStyle name="SAPBEXresItem 3 4" xfId="27236" xr:uid="{00000000-0005-0000-0000-000047710000}"/>
    <cellStyle name="SAPBEXresItem 3 4 2" xfId="31871" xr:uid="{55B4F386-3EA2-4BB9-9065-C5B14852E81A}"/>
    <cellStyle name="SAPBEXresItem 3 5" xfId="28420" xr:uid="{00000000-0005-0000-0000-000048710000}"/>
    <cellStyle name="SAPBEXresItem 3 5 2" xfId="32978" xr:uid="{B4A332ED-A41A-4018-A852-ADA4535A31D8}"/>
    <cellStyle name="SAPBEXresItem 3 6" xfId="26262" xr:uid="{00000000-0005-0000-0000-000049710000}"/>
    <cellStyle name="SAPBEXresItem 3 6 2" xfId="31050" xr:uid="{C48287E8-D790-4437-B93E-56A7109BA769}"/>
    <cellStyle name="SAPBEXresItem 3 7" xfId="29972" xr:uid="{00000000-0005-0000-0000-00004A710000}"/>
    <cellStyle name="SAPBEXresItem 3 8" xfId="30311" xr:uid="{9A0EB819-2046-4FBA-8392-80F36F38F624}"/>
    <cellStyle name="SAPBEXresItem 4" xfId="25130" xr:uid="{00000000-0005-0000-0000-00004B710000}"/>
    <cellStyle name="SAPBEXresItem 4 2" xfId="25359" xr:uid="{00000000-0005-0000-0000-00004C710000}"/>
    <cellStyle name="SAPBEXresItem 4 2 2" xfId="27513" xr:uid="{00000000-0005-0000-0000-00004D710000}"/>
    <cellStyle name="SAPBEXresItem 4 2 2 2" xfId="32104" xr:uid="{EE3BCF92-A63B-444C-A2AA-F9ACF77F9847}"/>
    <cellStyle name="SAPBEXresItem 4 2 3" xfId="28424" xr:uid="{00000000-0005-0000-0000-00004E710000}"/>
    <cellStyle name="SAPBEXresItem 4 2 3 2" xfId="32982" xr:uid="{0269FBE7-9D4A-4F5F-895E-8B64BFABEC40}"/>
    <cellStyle name="SAPBEXresItem 4 2 4" xfId="26390" xr:uid="{00000000-0005-0000-0000-00004F710000}"/>
    <cellStyle name="SAPBEXresItem 4 2 4 2" xfId="31178" xr:uid="{84BEF513-E694-41E1-B558-8899D3741EBA}"/>
    <cellStyle name="SAPBEXresItem 4 2 5" xfId="29976" xr:uid="{00000000-0005-0000-0000-000050710000}"/>
    <cellStyle name="SAPBEXresItem 4 2 6" xfId="30517" xr:uid="{199A6A53-C134-4E05-8544-57A9EEBAF9B2}"/>
    <cellStyle name="SAPBEXresItem 4 3" xfId="25728" xr:uid="{00000000-0005-0000-0000-000051710000}"/>
    <cellStyle name="SAPBEXresItem 4 3 2" xfId="27881" xr:uid="{00000000-0005-0000-0000-000052710000}"/>
    <cellStyle name="SAPBEXresItem 4 3 2 2" xfId="32468" xr:uid="{7EBAD6C1-1A41-4837-95D6-435B661C22F6}"/>
    <cellStyle name="SAPBEXresItem 4 3 3" xfId="28425" xr:uid="{00000000-0005-0000-0000-000053710000}"/>
    <cellStyle name="SAPBEXresItem 4 3 3 2" xfId="32983" xr:uid="{FC0A1BB6-10CA-4B88-9F61-6C1B29556F38}"/>
    <cellStyle name="SAPBEXresItem 4 3 4" xfId="26089" xr:uid="{00000000-0005-0000-0000-000054710000}"/>
    <cellStyle name="SAPBEXresItem 4 3 4 2" xfId="30879" xr:uid="{59A9CB58-2C88-48DD-BD34-3A4E0B966154}"/>
    <cellStyle name="SAPBEXresItem 4 3 5" xfId="29977" xr:uid="{00000000-0005-0000-0000-000055710000}"/>
    <cellStyle name="SAPBEXresItem 4 3 6" xfId="30722" xr:uid="{178772A6-10FE-4C85-B592-4A5D5C16EE77}"/>
    <cellStyle name="SAPBEXresItem 4 4" xfId="27415" xr:uid="{00000000-0005-0000-0000-000056710000}"/>
    <cellStyle name="SAPBEXresItem 4 4 2" xfId="32013" xr:uid="{25279071-EF0D-425C-9D9D-A28C2360DE31}"/>
    <cellStyle name="SAPBEXresItem 4 5" xfId="28423" xr:uid="{00000000-0005-0000-0000-000057710000}"/>
    <cellStyle name="SAPBEXresItem 4 5 2" xfId="32981" xr:uid="{9968FDDF-5FA8-4DF4-ACC5-6B0EB42E2D6A}"/>
    <cellStyle name="SAPBEXresItem 4 6" xfId="26173" xr:uid="{00000000-0005-0000-0000-000058710000}"/>
    <cellStyle name="SAPBEXresItem 4 6 2" xfId="30962" xr:uid="{95974007-B3EA-450E-B810-D3FC78735E3E}"/>
    <cellStyle name="SAPBEXresItem 4 7" xfId="29975" xr:uid="{00000000-0005-0000-0000-000059710000}"/>
    <cellStyle name="SAPBEXresItem 4 8" xfId="30430" xr:uid="{904981E1-9E29-43EF-8495-398467FB9408}"/>
    <cellStyle name="SAPBEXresItem 5" xfId="25868" xr:uid="{00000000-0005-0000-0000-00005A710000}"/>
    <cellStyle name="SAPBEXresItem 5 2" xfId="30787" xr:uid="{FE393BF8-D47A-4458-9C26-838606B5466E}"/>
    <cellStyle name="SAPBEXresItem 6" xfId="28417" xr:uid="{00000000-0005-0000-0000-00005B710000}"/>
    <cellStyle name="SAPBEXresItem 6 2" xfId="32975" xr:uid="{7CDBB365-8C41-4429-A8E0-C34DBC7AD173}"/>
    <cellStyle name="SAPBEXresItem 7" xfId="26060" xr:uid="{00000000-0005-0000-0000-00005C710000}"/>
    <cellStyle name="SAPBEXresItem 7 2" xfId="30850" xr:uid="{52ADF58C-1D3A-402D-B2B0-7ED5A5D91DAC}"/>
    <cellStyle name="SAPBEXresItem 8" xfId="29969" xr:uid="{00000000-0005-0000-0000-00005D710000}"/>
    <cellStyle name="SAPBEXresItemX" xfId="138" xr:uid="{00000000-0005-0000-0000-00005E710000}"/>
    <cellStyle name="SAPBEXresItemX 2" xfId="13672" xr:uid="{00000000-0005-0000-0000-00005F710000}"/>
    <cellStyle name="SAPBEXresItemX 2 2" xfId="25510" xr:uid="{00000000-0005-0000-0000-000060710000}"/>
    <cellStyle name="SAPBEXresItemX 2 2 2" xfId="27663" xr:uid="{00000000-0005-0000-0000-000061710000}"/>
    <cellStyle name="SAPBEXresItemX 2 2 2 2" xfId="32250" xr:uid="{53AD8C90-FFC3-40CA-99E8-E10FD5F78BCF}"/>
    <cellStyle name="SAPBEXresItemX 2 2 3" xfId="28428" xr:uid="{00000000-0005-0000-0000-000062710000}"/>
    <cellStyle name="SAPBEXresItemX 2 2 3 2" xfId="32986" xr:uid="{410E13BF-50EC-49FF-B6BB-BC08C436225E}"/>
    <cellStyle name="SAPBEXresItemX 2 2 4" xfId="29184" xr:uid="{00000000-0005-0000-0000-000063710000}"/>
    <cellStyle name="SAPBEXresItemX 2 2 4 2" xfId="33167" xr:uid="{A910185D-1D4B-4D9D-BEB4-523F12BAF3DF}"/>
    <cellStyle name="SAPBEXresItemX 2 2 5" xfId="29980" xr:uid="{00000000-0005-0000-0000-000064710000}"/>
    <cellStyle name="SAPBEXresItemX 2 3" xfId="26614" xr:uid="{00000000-0005-0000-0000-000065710000}"/>
    <cellStyle name="SAPBEXresItemX 2 3 2" xfId="31392" xr:uid="{9A88EDBA-C65A-4099-901A-86BBFF318240}"/>
    <cellStyle name="SAPBEXresItemX 2 4" xfId="28427" xr:uid="{00000000-0005-0000-0000-000066710000}"/>
    <cellStyle name="SAPBEXresItemX 2 4 2" xfId="32985" xr:uid="{EAF16952-C87D-49F1-8AC9-AE75A91DB4D9}"/>
    <cellStyle name="SAPBEXresItemX 2 5" xfId="26964" xr:uid="{00000000-0005-0000-0000-000067710000}"/>
    <cellStyle name="SAPBEXresItemX 2 5 2" xfId="31725" xr:uid="{65017915-715F-4BC5-9781-47CEAFE8095D}"/>
    <cellStyle name="SAPBEXresItemX 2 6" xfId="29979" xr:uid="{00000000-0005-0000-0000-000068710000}"/>
    <cellStyle name="SAPBEXresItemX 2 7" xfId="30212" xr:uid="{95AF9018-89CB-4A66-8425-795779C587AC}"/>
    <cellStyle name="SAPBEXresItemX 3" xfId="24642" xr:uid="{00000000-0005-0000-0000-000069710000}"/>
    <cellStyle name="SAPBEXresItemX 3 2" xfId="25411" xr:uid="{00000000-0005-0000-0000-00006A710000}"/>
    <cellStyle name="SAPBEXresItemX 3 2 2" xfId="27565" xr:uid="{00000000-0005-0000-0000-00006B710000}"/>
    <cellStyle name="SAPBEXresItemX 3 2 2 2" xfId="32156" xr:uid="{FB8E910C-FE6C-4248-95DA-9C554E3A8F7C}"/>
    <cellStyle name="SAPBEXresItemX 3 2 3" xfId="28430" xr:uid="{00000000-0005-0000-0000-00006C710000}"/>
    <cellStyle name="SAPBEXresItemX 3 2 3 2" xfId="32988" xr:uid="{5EA8B50B-FE48-4A20-A4CF-271BFA2A5089}"/>
    <cellStyle name="SAPBEXresItemX 3 2 4" xfId="27361" xr:uid="{00000000-0005-0000-0000-00006D710000}"/>
    <cellStyle name="SAPBEXresItemX 3 2 4 2" xfId="31959" xr:uid="{95B73734-F631-4A42-8C1F-0E5B8C893550}"/>
    <cellStyle name="SAPBEXresItemX 3 2 5" xfId="29982" xr:uid="{00000000-0005-0000-0000-00006E710000}"/>
    <cellStyle name="SAPBEXresItemX 3 2 6" xfId="30569" xr:uid="{54186D70-32FB-4E0A-9FB7-944A154F4F8A}"/>
    <cellStyle name="SAPBEXresItemX 3 3" xfId="25608" xr:uid="{00000000-0005-0000-0000-00006F710000}"/>
    <cellStyle name="SAPBEXresItemX 3 3 2" xfId="27761" xr:uid="{00000000-0005-0000-0000-000070710000}"/>
    <cellStyle name="SAPBEXresItemX 3 3 2 2" xfId="32348" xr:uid="{F3D1ED86-CE02-4479-9476-87509162F45A}"/>
    <cellStyle name="SAPBEXresItemX 3 3 3" xfId="28431" xr:uid="{00000000-0005-0000-0000-000071710000}"/>
    <cellStyle name="SAPBEXresItemX 3 3 3 2" xfId="32989" xr:uid="{AD41128B-35D3-4E5F-B808-3CCD73B80ADD}"/>
    <cellStyle name="SAPBEXresItemX 3 3 4" xfId="26727" xr:uid="{00000000-0005-0000-0000-000072710000}"/>
    <cellStyle name="SAPBEXresItemX 3 3 4 2" xfId="31488" xr:uid="{0EE4D0E4-0CA6-4650-B6DB-6AC84F4C7506}"/>
    <cellStyle name="SAPBEXresItemX 3 3 5" xfId="29983" xr:uid="{00000000-0005-0000-0000-000073710000}"/>
    <cellStyle name="SAPBEXresItemX 3 4" xfId="27235" xr:uid="{00000000-0005-0000-0000-000074710000}"/>
    <cellStyle name="SAPBEXresItemX 3 4 2" xfId="31870" xr:uid="{C235107F-A795-421E-B950-9C7ED79CC2B7}"/>
    <cellStyle name="SAPBEXresItemX 3 5" xfId="28429" xr:uid="{00000000-0005-0000-0000-000075710000}"/>
    <cellStyle name="SAPBEXresItemX 3 5 2" xfId="32987" xr:uid="{7DBB8A2E-5E05-4CCD-AD0B-CF1D39A1DAE3}"/>
    <cellStyle name="SAPBEXresItemX 3 6" xfId="26786" xr:uid="{00000000-0005-0000-0000-000076710000}"/>
    <cellStyle name="SAPBEXresItemX 3 6 2" xfId="31547" xr:uid="{20754AF5-828D-4081-8ED8-34F8519C796D}"/>
    <cellStyle name="SAPBEXresItemX 3 7" xfId="29981" xr:uid="{00000000-0005-0000-0000-000077710000}"/>
    <cellStyle name="SAPBEXresItemX 3 8" xfId="30310" xr:uid="{B544BC57-376E-45F1-9BDE-EE77E1ADF4E5}"/>
    <cellStyle name="SAPBEXresItemX 4" xfId="25131" xr:uid="{00000000-0005-0000-0000-000078710000}"/>
    <cellStyle name="SAPBEXresItemX 4 2" xfId="25296" xr:uid="{00000000-0005-0000-0000-000079710000}"/>
    <cellStyle name="SAPBEXresItemX 4 2 2" xfId="27450" xr:uid="{00000000-0005-0000-0000-00007A710000}"/>
    <cellStyle name="SAPBEXresItemX 4 2 2 2" xfId="32042" xr:uid="{3F5947A9-2D16-48A7-82D1-732ACBCD3FA6}"/>
    <cellStyle name="SAPBEXresItemX 4 2 3" xfId="28433" xr:uid="{00000000-0005-0000-0000-00007B710000}"/>
    <cellStyle name="SAPBEXresItemX 4 2 3 2" xfId="32991" xr:uid="{47AE9D4A-07EC-4009-9EF4-8A043B5F3949}"/>
    <cellStyle name="SAPBEXresItemX 4 2 4" xfId="26848" xr:uid="{00000000-0005-0000-0000-00007C710000}"/>
    <cellStyle name="SAPBEXresItemX 4 2 4 2" xfId="31609" xr:uid="{E420AF74-C1CF-4754-9F10-6755AC839197}"/>
    <cellStyle name="SAPBEXresItemX 4 2 5" xfId="29985" xr:uid="{00000000-0005-0000-0000-00007D710000}"/>
    <cellStyle name="SAPBEXresItemX 4 2 6" xfId="30455" xr:uid="{91547A3D-6356-46AB-AFB2-894878C9FF00}"/>
    <cellStyle name="SAPBEXresItemX 4 3" xfId="25729" xr:uid="{00000000-0005-0000-0000-00007E710000}"/>
    <cellStyle name="SAPBEXresItemX 4 3 2" xfId="27882" xr:uid="{00000000-0005-0000-0000-00007F710000}"/>
    <cellStyle name="SAPBEXresItemX 4 3 2 2" xfId="32469" xr:uid="{5C8F957D-3317-4740-9BEA-0C1CF797DDE8}"/>
    <cellStyle name="SAPBEXresItemX 4 3 3" xfId="28434" xr:uid="{00000000-0005-0000-0000-000080710000}"/>
    <cellStyle name="SAPBEXresItemX 4 3 3 2" xfId="32992" xr:uid="{21EF1449-BD6E-4670-B181-D27EA582F915}"/>
    <cellStyle name="SAPBEXresItemX 4 3 4" xfId="26734" xr:uid="{00000000-0005-0000-0000-000081710000}"/>
    <cellStyle name="SAPBEXresItemX 4 3 4 2" xfId="31495" xr:uid="{E5B76F23-F061-4966-9C7F-C26A8FCB31BB}"/>
    <cellStyle name="SAPBEXresItemX 4 3 5" xfId="29986" xr:uid="{00000000-0005-0000-0000-000082710000}"/>
    <cellStyle name="SAPBEXresItemX 4 3 6" xfId="30723" xr:uid="{0D1CF379-DD00-4381-B474-1DDA3C24F6E0}"/>
    <cellStyle name="SAPBEXresItemX 4 4" xfId="27416" xr:uid="{00000000-0005-0000-0000-000083710000}"/>
    <cellStyle name="SAPBEXresItemX 4 4 2" xfId="32014" xr:uid="{A2F09C70-C06D-4EEC-9B40-6F787FB07970}"/>
    <cellStyle name="SAPBEXresItemX 4 5" xfId="28432" xr:uid="{00000000-0005-0000-0000-000084710000}"/>
    <cellStyle name="SAPBEXresItemX 4 5 2" xfId="32990" xr:uid="{32284CED-3766-46E0-B68B-028853F4C675}"/>
    <cellStyle name="SAPBEXresItemX 4 6" xfId="26739" xr:uid="{00000000-0005-0000-0000-000085710000}"/>
    <cellStyle name="SAPBEXresItemX 4 6 2" xfId="31500" xr:uid="{1A4E4A20-47B6-4DA8-8FA6-9BC79219F610}"/>
    <cellStyle name="SAPBEXresItemX 4 7" xfId="29984" xr:uid="{00000000-0005-0000-0000-000086710000}"/>
    <cellStyle name="SAPBEXresItemX 4 8" xfId="30431" xr:uid="{E7B623BE-0AB8-4561-9EE3-83CDC59EFB8F}"/>
    <cellStyle name="SAPBEXresItemX 5" xfId="25869" xr:uid="{00000000-0005-0000-0000-000087710000}"/>
    <cellStyle name="SAPBEXresItemX 5 2" xfId="30788" xr:uid="{5B4BD75F-F7FC-4621-8B60-BD3AF64D9C38}"/>
    <cellStyle name="SAPBEXresItemX 6" xfId="28426" xr:uid="{00000000-0005-0000-0000-000088710000}"/>
    <cellStyle name="SAPBEXresItemX 6 2" xfId="32984" xr:uid="{65594BA8-DCF8-4BE1-B0FF-F3CF7DF2C3C7}"/>
    <cellStyle name="SAPBEXresItemX 7" xfId="29256" xr:uid="{00000000-0005-0000-0000-000089710000}"/>
    <cellStyle name="SAPBEXresItemX 7 2" xfId="33238" xr:uid="{A592596F-FF36-4019-B971-D4A1C03FF47B}"/>
    <cellStyle name="SAPBEXresItemX 8" xfId="29978" xr:uid="{00000000-0005-0000-0000-00008A710000}"/>
    <cellStyle name="SAPBEXstdData" xfId="139" xr:uid="{00000000-0005-0000-0000-00008B710000}"/>
    <cellStyle name="SAPBEXstdData 10" xfId="24641" xr:uid="{00000000-0005-0000-0000-00008C710000}"/>
    <cellStyle name="SAPBEXstdData 10 2" xfId="25309" xr:uid="{00000000-0005-0000-0000-00008D710000}"/>
    <cellStyle name="SAPBEXstdData 10 2 2" xfId="27463" xr:uid="{00000000-0005-0000-0000-00008E710000}"/>
    <cellStyle name="SAPBEXstdData 10 2 2 2" xfId="32055" xr:uid="{B05E8876-BA72-4D4C-BCAC-B5AF1EBF7EBC}"/>
    <cellStyle name="SAPBEXstdData 10 2 3" xfId="28437" xr:uid="{00000000-0005-0000-0000-00008F710000}"/>
    <cellStyle name="SAPBEXstdData 10 2 3 2" xfId="32995" xr:uid="{3120BA99-0AB0-4E3D-89D0-F4E519A27F9D}"/>
    <cellStyle name="SAPBEXstdData 10 2 4" xfId="26798" xr:uid="{00000000-0005-0000-0000-000090710000}"/>
    <cellStyle name="SAPBEXstdData 10 2 4 2" xfId="31559" xr:uid="{2098688E-92E8-4866-BF5F-57C3757891C4}"/>
    <cellStyle name="SAPBEXstdData 10 2 5" xfId="29989" xr:uid="{00000000-0005-0000-0000-000091710000}"/>
    <cellStyle name="SAPBEXstdData 10 2 6" xfId="30468" xr:uid="{6E4B5D26-2C55-4608-94CC-591045C26B2A}"/>
    <cellStyle name="SAPBEXstdData 10 3" xfId="25607" xr:uid="{00000000-0005-0000-0000-000092710000}"/>
    <cellStyle name="SAPBEXstdData 10 3 2" xfId="27760" xr:uid="{00000000-0005-0000-0000-000093710000}"/>
    <cellStyle name="SAPBEXstdData 10 3 2 2" xfId="32347" xr:uid="{2C40D5AC-B23A-4B5E-A101-487CD2355C0F}"/>
    <cellStyle name="SAPBEXstdData 10 3 3" xfId="28438" xr:uid="{00000000-0005-0000-0000-000094710000}"/>
    <cellStyle name="SAPBEXstdData 10 3 3 2" xfId="32996" xr:uid="{D7CB0E92-F3FF-4595-B62A-EE09BF029DCC}"/>
    <cellStyle name="SAPBEXstdData 10 3 4" xfId="26290" xr:uid="{00000000-0005-0000-0000-000095710000}"/>
    <cellStyle name="SAPBEXstdData 10 3 4 2" xfId="31078" xr:uid="{94C58FF4-40DD-48D2-9DF3-027D1694EFF5}"/>
    <cellStyle name="SAPBEXstdData 10 3 5" xfId="29990" xr:uid="{00000000-0005-0000-0000-000096710000}"/>
    <cellStyle name="SAPBEXstdData 10 4" xfId="27234" xr:uid="{00000000-0005-0000-0000-000097710000}"/>
    <cellStyle name="SAPBEXstdData 10 4 2" xfId="31869" xr:uid="{EEDF2C85-C5B4-4E87-B729-A7051D0CF60C}"/>
    <cellStyle name="SAPBEXstdData 10 5" xfId="28436" xr:uid="{00000000-0005-0000-0000-000098710000}"/>
    <cellStyle name="SAPBEXstdData 10 5 2" xfId="32994" xr:uid="{5D5D16DB-C51D-4326-A20D-962D2B3C13F1}"/>
    <cellStyle name="SAPBEXstdData 10 6" xfId="26327" xr:uid="{00000000-0005-0000-0000-000099710000}"/>
    <cellStyle name="SAPBEXstdData 10 6 2" xfId="31115" xr:uid="{FFC23425-295C-4B87-AF5E-33C5FF5FD9EC}"/>
    <cellStyle name="SAPBEXstdData 10 7" xfId="29988" xr:uid="{00000000-0005-0000-0000-00009A710000}"/>
    <cellStyle name="SAPBEXstdData 10 8" xfId="30309" xr:uid="{0F8C9CF7-83E2-49B6-9A84-B0F894765E52}"/>
    <cellStyle name="SAPBEXstdData 11" xfId="25132" xr:uid="{00000000-0005-0000-0000-00009B710000}"/>
    <cellStyle name="SAPBEXstdData 11 2" xfId="25282" xr:uid="{00000000-0005-0000-0000-00009C710000}"/>
    <cellStyle name="SAPBEXstdData 11 2 2" xfId="27437" xr:uid="{00000000-0005-0000-0000-00009D710000}"/>
    <cellStyle name="SAPBEXstdData 11 2 2 2" xfId="32032" xr:uid="{62DD0B01-FA65-44BA-A8FD-C0EE724A195A}"/>
    <cellStyle name="SAPBEXstdData 11 2 3" xfId="28440" xr:uid="{00000000-0005-0000-0000-00009E710000}"/>
    <cellStyle name="SAPBEXstdData 11 2 3 2" xfId="32998" xr:uid="{EC1E66EE-1CE7-419C-AAA6-1D487B3297F8}"/>
    <cellStyle name="SAPBEXstdData 11 2 4" xfId="27014" xr:uid="{00000000-0005-0000-0000-00009F710000}"/>
    <cellStyle name="SAPBEXstdData 11 2 4 2" xfId="31774" xr:uid="{9E31ED2B-3822-405D-9554-2D2A8944BF89}"/>
    <cellStyle name="SAPBEXstdData 11 2 5" xfId="29992" xr:uid="{00000000-0005-0000-0000-0000A0710000}"/>
    <cellStyle name="SAPBEXstdData 11 2 6" xfId="30445" xr:uid="{EDA2700C-F3AA-43B0-9BEA-C71D3264A84E}"/>
    <cellStyle name="SAPBEXstdData 11 3" xfId="25730" xr:uid="{00000000-0005-0000-0000-0000A1710000}"/>
    <cellStyle name="SAPBEXstdData 11 3 2" xfId="27883" xr:uid="{00000000-0005-0000-0000-0000A2710000}"/>
    <cellStyle name="SAPBEXstdData 11 3 2 2" xfId="32470" xr:uid="{9AF19C54-25D6-40FF-8260-884EF5C66A41}"/>
    <cellStyle name="SAPBEXstdData 11 3 3" xfId="28441" xr:uid="{00000000-0005-0000-0000-0000A3710000}"/>
    <cellStyle name="SAPBEXstdData 11 3 3 2" xfId="32999" xr:uid="{459FA47A-62CD-4E64-AF63-7F6B6AC1BDD9}"/>
    <cellStyle name="SAPBEXstdData 11 3 4" xfId="26151" xr:uid="{00000000-0005-0000-0000-0000A4710000}"/>
    <cellStyle name="SAPBEXstdData 11 3 4 2" xfId="30940" xr:uid="{8A07657E-2A5B-41BF-A372-19136E4C3D49}"/>
    <cellStyle name="SAPBEXstdData 11 3 5" xfId="29993" xr:uid="{00000000-0005-0000-0000-0000A5710000}"/>
    <cellStyle name="SAPBEXstdData 11 3 6" xfId="30724" xr:uid="{9DB7EB20-E8B2-4F25-AD62-40A87C0D2C85}"/>
    <cellStyle name="SAPBEXstdData 11 4" xfId="27417" xr:uid="{00000000-0005-0000-0000-0000A6710000}"/>
    <cellStyle name="SAPBEXstdData 11 4 2" xfId="32015" xr:uid="{0AECD3CA-668E-4F07-B4AC-FD2C5B36CFE9}"/>
    <cellStyle name="SAPBEXstdData 11 5" xfId="28439" xr:uid="{00000000-0005-0000-0000-0000A7710000}"/>
    <cellStyle name="SAPBEXstdData 11 5 2" xfId="32997" xr:uid="{762E15EF-B237-409B-AA2C-62B5282289E4}"/>
    <cellStyle name="SAPBEXstdData 11 6" xfId="27302" xr:uid="{00000000-0005-0000-0000-0000A8710000}"/>
    <cellStyle name="SAPBEXstdData 11 6 2" xfId="31931" xr:uid="{2E10869C-7272-4D87-B130-AE094B4B93BD}"/>
    <cellStyle name="SAPBEXstdData 11 7" xfId="29991" xr:uid="{00000000-0005-0000-0000-0000A9710000}"/>
    <cellStyle name="SAPBEXstdData 11 8" xfId="30432" xr:uid="{436EB1C3-ED9C-4ACD-8AC8-9D3C8C95AF3B}"/>
    <cellStyle name="SAPBEXstdData 12" xfId="25870" xr:uid="{00000000-0005-0000-0000-0000AA710000}"/>
    <cellStyle name="SAPBEXstdData 12 2" xfId="30789" xr:uid="{0C69F05A-53E9-48FC-BE5D-7B74EBDD4371}"/>
    <cellStyle name="SAPBEXstdData 13" xfId="28435" xr:uid="{00000000-0005-0000-0000-0000AB710000}"/>
    <cellStyle name="SAPBEXstdData 13 2" xfId="32993" xr:uid="{5940534C-4A89-44CF-B18D-4E122BF547AD}"/>
    <cellStyle name="SAPBEXstdData 14" xfId="29198" xr:uid="{00000000-0005-0000-0000-0000AC710000}"/>
    <cellStyle name="SAPBEXstdData 14 2" xfId="33181" xr:uid="{85680C9A-01B0-403D-A10B-72D4097CE49F}"/>
    <cellStyle name="SAPBEXstdData 15" xfId="29987" xr:uid="{00000000-0005-0000-0000-0000AD710000}"/>
    <cellStyle name="SAPBEXstdData 2" xfId="140" xr:uid="{00000000-0005-0000-0000-0000AE710000}"/>
    <cellStyle name="SAPBEXstdData 2 2" xfId="13674" xr:uid="{00000000-0005-0000-0000-0000AF710000}"/>
    <cellStyle name="SAPBEXstdData 2 2 2" xfId="25512" xr:uid="{00000000-0005-0000-0000-0000B0710000}"/>
    <cellStyle name="SAPBEXstdData 2 2 2 2" xfId="27665" xr:uid="{00000000-0005-0000-0000-0000B1710000}"/>
    <cellStyle name="SAPBEXstdData 2 2 2 2 2" xfId="32252" xr:uid="{7CF8C022-02D9-4EA1-9FFA-4D1B8CCBF34E}"/>
    <cellStyle name="SAPBEXstdData 2 2 2 3" xfId="28444" xr:uid="{00000000-0005-0000-0000-0000B2710000}"/>
    <cellStyle name="SAPBEXstdData 2 2 2 3 2" xfId="33002" xr:uid="{EEFF2867-575E-4590-A22B-52A48595D626}"/>
    <cellStyle name="SAPBEXstdData 2 2 2 4" xfId="26229" xr:uid="{00000000-0005-0000-0000-0000B3710000}"/>
    <cellStyle name="SAPBEXstdData 2 2 2 4 2" xfId="31017" xr:uid="{739C1F9A-23FF-4538-9D5B-3D4A69CEA782}"/>
    <cellStyle name="SAPBEXstdData 2 2 2 5" xfId="29996" xr:uid="{00000000-0005-0000-0000-0000B4710000}"/>
    <cellStyle name="SAPBEXstdData 2 2 3" xfId="26616" xr:uid="{00000000-0005-0000-0000-0000B5710000}"/>
    <cellStyle name="SAPBEXstdData 2 2 3 2" xfId="31394" xr:uid="{D97D2E37-2D81-4E8D-951F-2C298928F8D2}"/>
    <cellStyle name="SAPBEXstdData 2 2 4" xfId="28443" xr:uid="{00000000-0005-0000-0000-0000B6710000}"/>
    <cellStyle name="SAPBEXstdData 2 2 4 2" xfId="33001" xr:uid="{810E784D-4E98-4C38-B9A8-2DF39F5B7278}"/>
    <cellStyle name="SAPBEXstdData 2 2 5" xfId="26400" xr:uid="{00000000-0005-0000-0000-0000B7710000}"/>
    <cellStyle name="SAPBEXstdData 2 2 5 2" xfId="31188" xr:uid="{0E8A4D13-ADDB-4233-887F-F0E753718A29}"/>
    <cellStyle name="SAPBEXstdData 2 2 6" xfId="29995" xr:uid="{00000000-0005-0000-0000-0000B8710000}"/>
    <cellStyle name="SAPBEXstdData 2 2 7" xfId="30214" xr:uid="{DFEF52C8-08FE-40F4-A24C-F40DEFF9ACAF}"/>
    <cellStyle name="SAPBEXstdData 2 3" xfId="25871" xr:uid="{00000000-0005-0000-0000-0000B9710000}"/>
    <cellStyle name="SAPBEXstdData 2 3 2" xfId="30790" xr:uid="{9B5E8483-8500-4BD1-995D-20F90515F869}"/>
    <cellStyle name="SAPBEXstdData 2 4" xfId="28442" xr:uid="{00000000-0005-0000-0000-0000BA710000}"/>
    <cellStyle name="SAPBEXstdData 2 4 2" xfId="33000" xr:uid="{12ACE4CE-F589-4CFD-898E-E70F78C34355}"/>
    <cellStyle name="SAPBEXstdData 2 5" xfId="29182" xr:uid="{00000000-0005-0000-0000-0000BB710000}"/>
    <cellStyle name="SAPBEXstdData 2 5 2" xfId="33165" xr:uid="{5EBBE023-6A7C-4CE2-A468-55D972DFF252}"/>
    <cellStyle name="SAPBEXstdData 2 6" xfId="29994" xr:uid="{00000000-0005-0000-0000-0000BC710000}"/>
    <cellStyle name="SAPBEXstdData 3" xfId="258" xr:uid="{00000000-0005-0000-0000-0000BD710000}"/>
    <cellStyle name="SAPBEXstdData 3 2" xfId="13723" xr:uid="{00000000-0005-0000-0000-0000BE710000}"/>
    <cellStyle name="SAPBEXstdData 3 2 2" xfId="25536" xr:uid="{00000000-0005-0000-0000-0000BF710000}"/>
    <cellStyle name="SAPBEXstdData 3 2 2 2" xfId="27689" xr:uid="{00000000-0005-0000-0000-0000C0710000}"/>
    <cellStyle name="SAPBEXstdData 3 2 2 2 2" xfId="32276" xr:uid="{13382D6E-105A-4546-8DE2-397ECB5A9D81}"/>
    <cellStyle name="SAPBEXstdData 3 2 2 3" xfId="28447" xr:uid="{00000000-0005-0000-0000-0000C1710000}"/>
    <cellStyle name="SAPBEXstdData 3 2 2 3 2" xfId="33005" xr:uid="{9D3966AA-D612-4B1A-9F4C-A971C9F4EB9F}"/>
    <cellStyle name="SAPBEXstdData 3 2 2 4" xfId="26475" xr:uid="{00000000-0005-0000-0000-0000C2710000}"/>
    <cellStyle name="SAPBEXstdData 3 2 2 4 2" xfId="31263" xr:uid="{0DF836AD-19C1-41E2-8B15-7317C8766CDD}"/>
    <cellStyle name="SAPBEXstdData 3 2 2 5" xfId="29999" xr:uid="{00000000-0005-0000-0000-0000C3710000}"/>
    <cellStyle name="SAPBEXstdData 3 2 3" xfId="26643" xr:uid="{00000000-0005-0000-0000-0000C4710000}"/>
    <cellStyle name="SAPBEXstdData 3 2 3 2" xfId="31420" xr:uid="{6CE9F8B1-2D67-41AC-820F-E02E60EAD317}"/>
    <cellStyle name="SAPBEXstdData 3 2 4" xfId="28446" xr:uid="{00000000-0005-0000-0000-0000C5710000}"/>
    <cellStyle name="SAPBEXstdData 3 2 4 2" xfId="33004" xr:uid="{6DB1F29A-7836-4EF0-A9E1-D4E2C311CD4A}"/>
    <cellStyle name="SAPBEXstdData 3 2 5" xfId="26482" xr:uid="{00000000-0005-0000-0000-0000C6710000}"/>
    <cellStyle name="SAPBEXstdData 3 2 5 2" xfId="31270" xr:uid="{553F2D6E-64F8-4F57-8F6F-7F51751B0401}"/>
    <cellStyle name="SAPBEXstdData 3 2 6" xfId="29998" xr:uid="{00000000-0005-0000-0000-0000C7710000}"/>
    <cellStyle name="SAPBEXstdData 3 2 7" xfId="30238" xr:uid="{4D59176C-D9B6-4692-9AB4-19B1E2B4D14C}"/>
    <cellStyle name="SAPBEXstdData 3 3" xfId="25926" xr:uid="{00000000-0005-0000-0000-0000C8710000}"/>
    <cellStyle name="SAPBEXstdData 3 3 2" xfId="30815" xr:uid="{BA922E1A-F9F7-4326-8E04-1FCD3AF3DB7E}"/>
    <cellStyle name="SAPBEXstdData 3 4" xfId="28445" xr:uid="{00000000-0005-0000-0000-0000C9710000}"/>
    <cellStyle name="SAPBEXstdData 3 4 2" xfId="33003" xr:uid="{CB0C2F93-3F21-4AD5-8427-007368EEF373}"/>
    <cellStyle name="SAPBEXstdData 3 5" xfId="27927" xr:uid="{00000000-0005-0000-0000-0000CA710000}"/>
    <cellStyle name="SAPBEXstdData 3 5 2" xfId="32485" xr:uid="{36681907-28E8-4F17-B101-B02A7B0335C6}"/>
    <cellStyle name="SAPBEXstdData 3 6" xfId="29997" xr:uid="{00000000-0005-0000-0000-0000CB710000}"/>
    <cellStyle name="SAPBEXstdData 4" xfId="259" xr:uid="{00000000-0005-0000-0000-0000CC710000}"/>
    <cellStyle name="SAPBEXstdData 4 2" xfId="13724" xr:uid="{00000000-0005-0000-0000-0000CD710000}"/>
    <cellStyle name="SAPBEXstdData 4 2 2" xfId="25537" xr:uid="{00000000-0005-0000-0000-0000CE710000}"/>
    <cellStyle name="SAPBEXstdData 4 2 2 2" xfId="27690" xr:uid="{00000000-0005-0000-0000-0000CF710000}"/>
    <cellStyle name="SAPBEXstdData 4 2 2 2 2" xfId="32277" xr:uid="{C3D37178-1243-4687-AA27-4AE2008CF5B1}"/>
    <cellStyle name="SAPBEXstdData 4 2 2 3" xfId="28450" xr:uid="{00000000-0005-0000-0000-0000D0710000}"/>
    <cellStyle name="SAPBEXstdData 4 2 2 3 2" xfId="33008" xr:uid="{6137533C-9C36-4923-93B0-AB9EFA850A69}"/>
    <cellStyle name="SAPBEXstdData 4 2 2 4" xfId="26438" xr:uid="{00000000-0005-0000-0000-0000D1710000}"/>
    <cellStyle name="SAPBEXstdData 4 2 2 4 2" xfId="31226" xr:uid="{5721256A-B2FC-4845-8F7E-BBE95A185664}"/>
    <cellStyle name="SAPBEXstdData 4 2 2 5" xfId="30002" xr:uid="{00000000-0005-0000-0000-0000D2710000}"/>
    <cellStyle name="SAPBEXstdData 4 2 3" xfId="26644" xr:uid="{00000000-0005-0000-0000-0000D3710000}"/>
    <cellStyle name="SAPBEXstdData 4 2 3 2" xfId="31421" xr:uid="{2B7DC36C-1C8B-4A64-B65D-02A8B73D71C7}"/>
    <cellStyle name="SAPBEXstdData 4 2 4" xfId="28449" xr:uid="{00000000-0005-0000-0000-0000D4710000}"/>
    <cellStyle name="SAPBEXstdData 4 2 4 2" xfId="33007" xr:uid="{386F2B08-8FB3-4407-86C3-F89D44CC2C04}"/>
    <cellStyle name="SAPBEXstdData 4 2 5" xfId="26741" xr:uid="{00000000-0005-0000-0000-0000D5710000}"/>
    <cellStyle name="SAPBEXstdData 4 2 5 2" xfId="31502" xr:uid="{C338A613-1C95-4278-8FB9-4D6201EAED65}"/>
    <cellStyle name="SAPBEXstdData 4 2 6" xfId="30001" xr:uid="{00000000-0005-0000-0000-0000D6710000}"/>
    <cellStyle name="SAPBEXstdData 4 2 7" xfId="30239" xr:uid="{096EC458-3FF2-43E1-A1F6-5838C7CCE44F}"/>
    <cellStyle name="SAPBEXstdData 4 3" xfId="25927" xr:uid="{00000000-0005-0000-0000-0000D7710000}"/>
    <cellStyle name="SAPBEXstdData 4 3 2" xfId="30816" xr:uid="{1355830C-8261-4079-94F9-5431238621DB}"/>
    <cellStyle name="SAPBEXstdData 4 4" xfId="28448" xr:uid="{00000000-0005-0000-0000-0000D8710000}"/>
    <cellStyle name="SAPBEXstdData 4 4 2" xfId="33006" xr:uid="{AA8C8842-1256-4F06-A9B4-0503D8051E85}"/>
    <cellStyle name="SAPBEXstdData 4 5" xfId="27928" xr:uid="{00000000-0005-0000-0000-0000D9710000}"/>
    <cellStyle name="SAPBEXstdData 4 5 2" xfId="32486" xr:uid="{73928584-F901-48E9-9EB0-BC57D7B7C8E6}"/>
    <cellStyle name="SAPBEXstdData 4 6" xfId="30000" xr:uid="{00000000-0005-0000-0000-0000DA710000}"/>
    <cellStyle name="SAPBEXstdData 5" xfId="260" xr:uid="{00000000-0005-0000-0000-0000DB710000}"/>
    <cellStyle name="SAPBEXstdData 5 2" xfId="13725" xr:uid="{00000000-0005-0000-0000-0000DC710000}"/>
    <cellStyle name="SAPBEXstdData 5 2 2" xfId="25538" xr:uid="{00000000-0005-0000-0000-0000DD710000}"/>
    <cellStyle name="SAPBEXstdData 5 2 2 2" xfId="27691" xr:uid="{00000000-0005-0000-0000-0000DE710000}"/>
    <cellStyle name="SAPBEXstdData 5 2 2 2 2" xfId="32278" xr:uid="{A512DC99-19C6-4C59-A94B-9546900850FC}"/>
    <cellStyle name="SAPBEXstdData 5 2 2 3" xfId="28453" xr:uid="{00000000-0005-0000-0000-0000DF710000}"/>
    <cellStyle name="SAPBEXstdData 5 2 2 3 2" xfId="33011" xr:uid="{4F105195-5BB0-4831-A6B8-C078303734D8}"/>
    <cellStyle name="SAPBEXstdData 5 2 2 4" xfId="26419" xr:uid="{00000000-0005-0000-0000-0000E0710000}"/>
    <cellStyle name="SAPBEXstdData 5 2 2 4 2" xfId="31207" xr:uid="{777FFAFA-E68C-4C66-B6A6-7D2365A9ECD3}"/>
    <cellStyle name="SAPBEXstdData 5 2 2 5" xfId="30005" xr:uid="{00000000-0005-0000-0000-0000E1710000}"/>
    <cellStyle name="SAPBEXstdData 5 2 3" xfId="26645" xr:uid="{00000000-0005-0000-0000-0000E2710000}"/>
    <cellStyle name="SAPBEXstdData 5 2 3 2" xfId="31422" xr:uid="{5A0B12DF-FF47-47EC-BB0D-F02BD6C7668C}"/>
    <cellStyle name="SAPBEXstdData 5 2 4" xfId="28452" xr:uid="{00000000-0005-0000-0000-0000E3710000}"/>
    <cellStyle name="SAPBEXstdData 5 2 4 2" xfId="33010" xr:uid="{29F6836E-4864-4D9F-BF8A-9FCFCEA72DE4}"/>
    <cellStyle name="SAPBEXstdData 5 2 5" xfId="26259" xr:uid="{00000000-0005-0000-0000-0000E4710000}"/>
    <cellStyle name="SAPBEXstdData 5 2 5 2" xfId="31047" xr:uid="{92C2CDA4-2107-4FD0-81B5-00022EA4E2B8}"/>
    <cellStyle name="SAPBEXstdData 5 2 6" xfId="30004" xr:uid="{00000000-0005-0000-0000-0000E5710000}"/>
    <cellStyle name="SAPBEXstdData 5 2 7" xfId="30240" xr:uid="{C015ED9E-10EB-4B07-8F67-D4EDB7D49790}"/>
    <cellStyle name="SAPBEXstdData 5 3" xfId="25928" xr:uid="{00000000-0005-0000-0000-0000E6710000}"/>
    <cellStyle name="SAPBEXstdData 5 3 2" xfId="30817" xr:uid="{4C0E11B8-45DA-4D62-ADB6-067A073CB0DD}"/>
    <cellStyle name="SAPBEXstdData 5 4" xfId="28451" xr:uid="{00000000-0005-0000-0000-0000E7710000}"/>
    <cellStyle name="SAPBEXstdData 5 4 2" xfId="33009" xr:uid="{231ED612-7EFC-4B98-8698-AAB8CC248A4D}"/>
    <cellStyle name="SAPBEXstdData 5 5" xfId="28568" xr:uid="{00000000-0005-0000-0000-0000E8710000}"/>
    <cellStyle name="SAPBEXstdData 5 5 2" xfId="33126" xr:uid="{A4346555-7686-4575-B879-7FA803203005}"/>
    <cellStyle name="SAPBEXstdData 5 6" xfId="30003" xr:uid="{00000000-0005-0000-0000-0000E9710000}"/>
    <cellStyle name="SAPBEXstdData 6" xfId="261" xr:uid="{00000000-0005-0000-0000-0000EA710000}"/>
    <cellStyle name="SAPBEXstdData 6 2" xfId="13726" xr:uid="{00000000-0005-0000-0000-0000EB710000}"/>
    <cellStyle name="SAPBEXstdData 6 2 2" xfId="25539" xr:uid="{00000000-0005-0000-0000-0000EC710000}"/>
    <cellStyle name="SAPBEXstdData 6 2 2 2" xfId="27692" xr:uid="{00000000-0005-0000-0000-0000ED710000}"/>
    <cellStyle name="SAPBEXstdData 6 2 2 2 2" xfId="32279" xr:uid="{ECB69947-A60B-4E67-8174-4DD9966BE067}"/>
    <cellStyle name="SAPBEXstdData 6 2 2 3" xfId="28456" xr:uid="{00000000-0005-0000-0000-0000EE710000}"/>
    <cellStyle name="SAPBEXstdData 6 2 2 3 2" xfId="33014" xr:uid="{7317279E-711B-45F7-810E-D923C0528B7B}"/>
    <cellStyle name="SAPBEXstdData 6 2 2 4" xfId="26098" xr:uid="{00000000-0005-0000-0000-0000EF710000}"/>
    <cellStyle name="SAPBEXstdData 6 2 2 4 2" xfId="30888" xr:uid="{37DC453A-E91E-4C94-A2B8-CCB381944492}"/>
    <cellStyle name="SAPBEXstdData 6 2 2 5" xfId="30008" xr:uid="{00000000-0005-0000-0000-0000F0710000}"/>
    <cellStyle name="SAPBEXstdData 6 2 3" xfId="26646" xr:uid="{00000000-0005-0000-0000-0000F1710000}"/>
    <cellStyle name="SAPBEXstdData 6 2 3 2" xfId="31423" xr:uid="{9B050B83-861C-4718-9DBE-917C3F6F4AF0}"/>
    <cellStyle name="SAPBEXstdData 6 2 4" xfId="28455" xr:uid="{00000000-0005-0000-0000-0000F2710000}"/>
    <cellStyle name="SAPBEXstdData 6 2 4 2" xfId="33013" xr:uid="{7405DCA3-1F8D-4026-BE19-911A01BE113D}"/>
    <cellStyle name="SAPBEXstdData 6 2 5" xfId="26863" xr:uid="{00000000-0005-0000-0000-0000F3710000}"/>
    <cellStyle name="SAPBEXstdData 6 2 5 2" xfId="31624" xr:uid="{8C144ABE-4980-4003-8D69-2D52CB28A52B}"/>
    <cellStyle name="SAPBEXstdData 6 2 6" xfId="30007" xr:uid="{00000000-0005-0000-0000-0000F4710000}"/>
    <cellStyle name="SAPBEXstdData 6 2 7" xfId="30241" xr:uid="{0B28B474-ACF4-4B60-A1DC-EE1FD952C416}"/>
    <cellStyle name="SAPBEXstdData 6 3" xfId="25929" xr:uid="{00000000-0005-0000-0000-0000F5710000}"/>
    <cellStyle name="SAPBEXstdData 6 3 2" xfId="30818" xr:uid="{B47014C3-78AC-4AC8-B38B-A1DF7A383AC6}"/>
    <cellStyle name="SAPBEXstdData 6 4" xfId="28454" xr:uid="{00000000-0005-0000-0000-0000F6710000}"/>
    <cellStyle name="SAPBEXstdData 6 4 2" xfId="33012" xr:uid="{1187B200-02AB-4CC3-9B22-483132479092}"/>
    <cellStyle name="SAPBEXstdData 6 5" xfId="28569" xr:uid="{00000000-0005-0000-0000-0000F7710000}"/>
    <cellStyle name="SAPBEXstdData 6 5 2" xfId="33127" xr:uid="{36A26F5A-037E-4960-886E-0DEFE69034DA}"/>
    <cellStyle name="SAPBEXstdData 6 6" xfId="30006" xr:uid="{00000000-0005-0000-0000-0000F8710000}"/>
    <cellStyle name="SAPBEXstdData 7" xfId="262" xr:uid="{00000000-0005-0000-0000-0000F9710000}"/>
    <cellStyle name="SAPBEXstdData 7 2" xfId="30009" xr:uid="{00000000-0005-0000-0000-0000FA710000}"/>
    <cellStyle name="SAPBEXstdData 8" xfId="415" xr:uid="{00000000-0005-0000-0000-0000FB710000}"/>
    <cellStyle name="SAPBEXstdData 8 2" xfId="13794" xr:uid="{00000000-0005-0000-0000-0000FC710000}"/>
    <cellStyle name="SAPBEXstdData 8 2 2" xfId="25552" xr:uid="{00000000-0005-0000-0000-0000FD710000}"/>
    <cellStyle name="SAPBEXstdData 8 2 2 2" xfId="27705" xr:uid="{00000000-0005-0000-0000-0000FE710000}"/>
    <cellStyle name="SAPBEXstdData 8 2 2 2 2" xfId="32292" xr:uid="{2F350E49-9E79-4B62-B68F-BACE6ED48024}"/>
    <cellStyle name="SAPBEXstdData 8 2 2 3" xfId="28459" xr:uid="{00000000-0005-0000-0000-0000FF710000}"/>
    <cellStyle name="SAPBEXstdData 8 2 2 3 2" xfId="33017" xr:uid="{8C200174-1AA0-4019-AEB3-6E3846E819E0}"/>
    <cellStyle name="SAPBEXstdData 8 2 2 4" xfId="26456" xr:uid="{00000000-0005-0000-0000-000000720000}"/>
    <cellStyle name="SAPBEXstdData 8 2 2 4 2" xfId="31244" xr:uid="{5EA6F7B7-D4C0-4E42-B0AA-0EF20F2A0F4A}"/>
    <cellStyle name="SAPBEXstdData 8 2 2 5" xfId="30012" xr:uid="{00000000-0005-0000-0000-000001720000}"/>
    <cellStyle name="SAPBEXstdData 8 2 3" xfId="26669" xr:uid="{00000000-0005-0000-0000-000002720000}"/>
    <cellStyle name="SAPBEXstdData 8 2 3 2" xfId="31437" xr:uid="{E3CDF642-70ED-4426-B25F-180C63757242}"/>
    <cellStyle name="SAPBEXstdData 8 2 4" xfId="28458" xr:uid="{00000000-0005-0000-0000-000003720000}"/>
    <cellStyle name="SAPBEXstdData 8 2 4 2" xfId="33016" xr:uid="{0C2235BF-8EE0-4059-AAC2-78B7C08C06F6}"/>
    <cellStyle name="SAPBEXstdData 8 2 5" xfId="26076" xr:uid="{00000000-0005-0000-0000-000004720000}"/>
    <cellStyle name="SAPBEXstdData 8 2 5 2" xfId="30866" xr:uid="{D1E09095-3BFB-43DC-ACDA-F4AC2A2310BA}"/>
    <cellStyle name="SAPBEXstdData 8 2 6" xfId="30011" xr:uid="{00000000-0005-0000-0000-000005720000}"/>
    <cellStyle name="SAPBEXstdData 8 2 7" xfId="30254" xr:uid="{EFA4FADD-D61A-4AF5-94C0-0F270D52EBCD}"/>
    <cellStyle name="SAPBEXstdData 8 3" xfId="26010" xr:uid="{00000000-0005-0000-0000-000006720000}"/>
    <cellStyle name="SAPBEXstdData 8 3 2" xfId="30831" xr:uid="{C0F43442-2780-4A71-B5DA-82402504CA59}"/>
    <cellStyle name="SAPBEXstdData 8 4" xfId="28457" xr:uid="{00000000-0005-0000-0000-000007720000}"/>
    <cellStyle name="SAPBEXstdData 8 4 2" xfId="33015" xr:uid="{7660F239-36E9-4A4B-9CD9-0FCA13A7551F}"/>
    <cellStyle name="SAPBEXstdData 8 5" xfId="29216" xr:uid="{00000000-0005-0000-0000-000008720000}"/>
    <cellStyle name="SAPBEXstdData 8 5 2" xfId="33199" xr:uid="{FA836CD4-D54D-47B9-AC47-BDC617F36541}"/>
    <cellStyle name="SAPBEXstdData 8 6" xfId="30010" xr:uid="{00000000-0005-0000-0000-000009720000}"/>
    <cellStyle name="SAPBEXstdData 9" xfId="13673" xr:uid="{00000000-0005-0000-0000-00000A720000}"/>
    <cellStyle name="SAPBEXstdData 9 2" xfId="25511" xr:uid="{00000000-0005-0000-0000-00000B720000}"/>
    <cellStyle name="SAPBEXstdData 9 2 2" xfId="27664" xr:uid="{00000000-0005-0000-0000-00000C720000}"/>
    <cellStyle name="SAPBEXstdData 9 2 2 2" xfId="32251" xr:uid="{C26862EF-59CB-4964-8AA0-E4667E73DDA2}"/>
    <cellStyle name="SAPBEXstdData 9 2 3" xfId="28461" xr:uid="{00000000-0005-0000-0000-00000D720000}"/>
    <cellStyle name="SAPBEXstdData 9 2 3 2" xfId="33019" xr:uid="{CB89FF5F-F813-4921-8CC8-8A6E28971297}"/>
    <cellStyle name="SAPBEXstdData 9 2 4" xfId="26049" xr:uid="{00000000-0005-0000-0000-00000E720000}"/>
    <cellStyle name="SAPBEXstdData 9 2 4 2" xfId="30841" xr:uid="{3DEF1656-BCE4-4674-A01A-674865A15F0F}"/>
    <cellStyle name="SAPBEXstdData 9 2 5" xfId="30014" xr:uid="{00000000-0005-0000-0000-00000F720000}"/>
    <cellStyle name="SAPBEXstdData 9 3" xfId="26615" xr:uid="{00000000-0005-0000-0000-000010720000}"/>
    <cellStyle name="SAPBEXstdData 9 3 2" xfId="31393" xr:uid="{0F4C5B58-B276-43B0-AC0D-D489FB5206A0}"/>
    <cellStyle name="SAPBEXstdData 9 4" xfId="28460" xr:uid="{00000000-0005-0000-0000-000011720000}"/>
    <cellStyle name="SAPBEXstdData 9 4 2" xfId="33018" xr:uid="{B3516FEC-E82F-43D0-B5B8-EA90D8717362}"/>
    <cellStyle name="SAPBEXstdData 9 5" xfId="26329" xr:uid="{00000000-0005-0000-0000-000012720000}"/>
    <cellStyle name="SAPBEXstdData 9 5 2" xfId="31117" xr:uid="{59B1AE19-21BA-4E3E-845C-E45F3CE75F1E}"/>
    <cellStyle name="SAPBEXstdData 9 6" xfId="30013" xr:uid="{00000000-0005-0000-0000-000013720000}"/>
    <cellStyle name="SAPBEXstdData 9 7" xfId="30213" xr:uid="{48941877-D26B-4771-9716-4D46534FE40E}"/>
    <cellStyle name="SAPBEXstdData_Copy of xSAPtemp5457" xfId="263" xr:uid="{00000000-0005-0000-0000-000014720000}"/>
    <cellStyle name="SAPBEXstdDataEmph" xfId="141" xr:uid="{00000000-0005-0000-0000-000015720000}"/>
    <cellStyle name="SAPBEXstdDataEmph 2" xfId="13675" xr:uid="{00000000-0005-0000-0000-000016720000}"/>
    <cellStyle name="SAPBEXstdDataEmph 2 2" xfId="25513" xr:uid="{00000000-0005-0000-0000-000017720000}"/>
    <cellStyle name="SAPBEXstdDataEmph 2 2 2" xfId="27666" xr:uid="{00000000-0005-0000-0000-000018720000}"/>
    <cellStyle name="SAPBEXstdDataEmph 2 2 2 2" xfId="32253" xr:uid="{6C649EDB-A2F5-40C0-A2A7-C7264DEDF202}"/>
    <cellStyle name="SAPBEXstdDataEmph 2 2 3" xfId="28464" xr:uid="{00000000-0005-0000-0000-000019720000}"/>
    <cellStyle name="SAPBEXstdDataEmph 2 2 3 2" xfId="33022" xr:uid="{940E1A11-B64C-44DD-912B-78DAE898F187}"/>
    <cellStyle name="SAPBEXstdDataEmph 2 2 4" xfId="26985" xr:uid="{00000000-0005-0000-0000-00001A720000}"/>
    <cellStyle name="SAPBEXstdDataEmph 2 2 4 2" xfId="31746" xr:uid="{848A66EA-CBA5-46DA-9012-B484E6B8A73C}"/>
    <cellStyle name="SAPBEXstdDataEmph 2 2 5" xfId="30017" xr:uid="{00000000-0005-0000-0000-00001B720000}"/>
    <cellStyle name="SAPBEXstdDataEmph 2 3" xfId="26617" xr:uid="{00000000-0005-0000-0000-00001C720000}"/>
    <cellStyle name="SAPBEXstdDataEmph 2 3 2" xfId="31395" xr:uid="{097D0D70-26EE-4CA9-B363-7D9BB207809B}"/>
    <cellStyle name="SAPBEXstdDataEmph 2 4" xfId="28463" xr:uid="{00000000-0005-0000-0000-00001D720000}"/>
    <cellStyle name="SAPBEXstdDataEmph 2 4 2" xfId="33021" xr:uid="{8BAE36D8-5132-45D4-B409-1D80B3F3B201}"/>
    <cellStyle name="SAPBEXstdDataEmph 2 5" xfId="26823" xr:uid="{00000000-0005-0000-0000-00001E720000}"/>
    <cellStyle name="SAPBEXstdDataEmph 2 5 2" xfId="31584" xr:uid="{241EC948-B9DC-4DB5-98C3-4D70862923BD}"/>
    <cellStyle name="SAPBEXstdDataEmph 2 6" xfId="30016" xr:uid="{00000000-0005-0000-0000-00001F720000}"/>
    <cellStyle name="SAPBEXstdDataEmph 2 7" xfId="30215" xr:uid="{14432CF8-CB79-4547-B514-2B092D099D46}"/>
    <cellStyle name="SAPBEXstdDataEmph 3" xfId="24640" xr:uid="{00000000-0005-0000-0000-000020720000}"/>
    <cellStyle name="SAPBEXstdDataEmph 3 2" xfId="25401" xr:uid="{00000000-0005-0000-0000-000021720000}"/>
    <cellStyle name="SAPBEXstdDataEmph 3 2 2" xfId="27555" xr:uid="{00000000-0005-0000-0000-000022720000}"/>
    <cellStyle name="SAPBEXstdDataEmph 3 2 2 2" xfId="32146" xr:uid="{92034934-59B1-4B47-97C8-01E0BBA5E1CC}"/>
    <cellStyle name="SAPBEXstdDataEmph 3 2 3" xfId="28466" xr:uid="{00000000-0005-0000-0000-000023720000}"/>
    <cellStyle name="SAPBEXstdDataEmph 3 2 3 2" xfId="33024" xr:uid="{1292078A-90F8-4801-974C-C127B9217E47}"/>
    <cellStyle name="SAPBEXstdDataEmph 3 2 4" xfId="26462" xr:uid="{00000000-0005-0000-0000-000024720000}"/>
    <cellStyle name="SAPBEXstdDataEmph 3 2 4 2" xfId="31250" xr:uid="{E0E2A86E-8DB5-4FE4-A024-9EB12F258DEE}"/>
    <cellStyle name="SAPBEXstdDataEmph 3 2 5" xfId="30019" xr:uid="{00000000-0005-0000-0000-000025720000}"/>
    <cellStyle name="SAPBEXstdDataEmph 3 2 6" xfId="30559" xr:uid="{E8986772-1807-4A47-8012-BA5F428AEC62}"/>
    <cellStyle name="SAPBEXstdDataEmph 3 3" xfId="25606" xr:uid="{00000000-0005-0000-0000-000026720000}"/>
    <cellStyle name="SAPBEXstdDataEmph 3 3 2" xfId="27759" xr:uid="{00000000-0005-0000-0000-000027720000}"/>
    <cellStyle name="SAPBEXstdDataEmph 3 3 2 2" xfId="32346" xr:uid="{C84438FF-9D79-4980-AFF1-D1AC31684EA7}"/>
    <cellStyle name="SAPBEXstdDataEmph 3 3 3" xfId="28467" xr:uid="{00000000-0005-0000-0000-000028720000}"/>
    <cellStyle name="SAPBEXstdDataEmph 3 3 3 2" xfId="33025" xr:uid="{C95F8EE6-DCE2-4C3A-BD77-3F85B187D19B}"/>
    <cellStyle name="SAPBEXstdDataEmph 3 3 4" xfId="27299" xr:uid="{00000000-0005-0000-0000-000029720000}"/>
    <cellStyle name="SAPBEXstdDataEmph 3 3 4 2" xfId="31928" xr:uid="{FEA5A6FE-BF89-4B8A-A339-9EBDB37695FA}"/>
    <cellStyle name="SAPBEXstdDataEmph 3 3 5" xfId="30020" xr:uid="{00000000-0005-0000-0000-00002A720000}"/>
    <cellStyle name="SAPBEXstdDataEmph 3 4" xfId="27233" xr:uid="{00000000-0005-0000-0000-00002B720000}"/>
    <cellStyle name="SAPBEXstdDataEmph 3 4 2" xfId="31868" xr:uid="{3F71C599-362F-4AFA-A546-C7178FF950FB}"/>
    <cellStyle name="SAPBEXstdDataEmph 3 5" xfId="28465" xr:uid="{00000000-0005-0000-0000-00002C720000}"/>
    <cellStyle name="SAPBEXstdDataEmph 3 5 2" xfId="33023" xr:uid="{9DB387F2-BC1A-4200-A51D-1206CF697C38}"/>
    <cellStyle name="SAPBEXstdDataEmph 3 6" xfId="26309" xr:uid="{00000000-0005-0000-0000-00002D720000}"/>
    <cellStyle name="SAPBEXstdDataEmph 3 6 2" xfId="31097" xr:uid="{59ED7346-941B-41AE-9498-B31ADC581229}"/>
    <cellStyle name="SAPBEXstdDataEmph 3 7" xfId="30018" xr:uid="{00000000-0005-0000-0000-00002E720000}"/>
    <cellStyle name="SAPBEXstdDataEmph 3 8" xfId="30308" xr:uid="{7BF7292D-ED29-4A4F-9629-9CA4D29C1449}"/>
    <cellStyle name="SAPBEXstdDataEmph 4" xfId="25133" xr:uid="{00000000-0005-0000-0000-00002F720000}"/>
    <cellStyle name="SAPBEXstdDataEmph 4 2" xfId="25365" xr:uid="{00000000-0005-0000-0000-000030720000}"/>
    <cellStyle name="SAPBEXstdDataEmph 4 2 2" xfId="27519" xr:uid="{00000000-0005-0000-0000-000031720000}"/>
    <cellStyle name="SAPBEXstdDataEmph 4 2 2 2" xfId="32110" xr:uid="{C3DB6E0D-4C64-402F-AF6F-F87EC42A57A0}"/>
    <cellStyle name="SAPBEXstdDataEmph 4 2 3" xfId="28469" xr:uid="{00000000-0005-0000-0000-000032720000}"/>
    <cellStyle name="SAPBEXstdDataEmph 4 2 3 2" xfId="33027" xr:uid="{03DB1558-DFB9-44E7-8AF1-A00784726736}"/>
    <cellStyle name="SAPBEXstdDataEmph 4 2 4" xfId="26106" xr:uid="{00000000-0005-0000-0000-000033720000}"/>
    <cellStyle name="SAPBEXstdDataEmph 4 2 4 2" xfId="30896" xr:uid="{C145BEC5-B10F-41E8-8AA1-8065C6991384}"/>
    <cellStyle name="SAPBEXstdDataEmph 4 2 5" xfId="30022" xr:uid="{00000000-0005-0000-0000-000034720000}"/>
    <cellStyle name="SAPBEXstdDataEmph 4 2 6" xfId="30523" xr:uid="{B93307D7-4979-4CF4-8FCC-E3E0ABBD6DE6}"/>
    <cellStyle name="SAPBEXstdDataEmph 4 3" xfId="25731" xr:uid="{00000000-0005-0000-0000-000035720000}"/>
    <cellStyle name="SAPBEXstdDataEmph 4 3 2" xfId="27884" xr:uid="{00000000-0005-0000-0000-000036720000}"/>
    <cellStyle name="SAPBEXstdDataEmph 4 3 2 2" xfId="32471" xr:uid="{2E6FCE45-E9CC-4CDE-BF1A-7E92C0EF760E}"/>
    <cellStyle name="SAPBEXstdDataEmph 4 3 3" xfId="28470" xr:uid="{00000000-0005-0000-0000-000037720000}"/>
    <cellStyle name="SAPBEXstdDataEmph 4 3 3 2" xfId="33028" xr:uid="{955BB6CF-61D1-4756-83E9-9A56A20CB11C}"/>
    <cellStyle name="SAPBEXstdDataEmph 4 3 4" xfId="27013" xr:uid="{00000000-0005-0000-0000-000038720000}"/>
    <cellStyle name="SAPBEXstdDataEmph 4 3 4 2" xfId="31773" xr:uid="{B086D7B8-C840-48B7-A6D0-B7DAEF42AAB1}"/>
    <cellStyle name="SAPBEXstdDataEmph 4 3 5" xfId="30023" xr:uid="{00000000-0005-0000-0000-000039720000}"/>
    <cellStyle name="SAPBEXstdDataEmph 4 3 6" xfId="30725" xr:uid="{735FE7FD-41B0-401E-8EBE-0E809E5745CA}"/>
    <cellStyle name="SAPBEXstdDataEmph 4 4" xfId="27418" xr:uid="{00000000-0005-0000-0000-00003A720000}"/>
    <cellStyle name="SAPBEXstdDataEmph 4 4 2" xfId="32016" xr:uid="{84EE8AAE-91BA-4DEF-9C49-A1058B424518}"/>
    <cellStyle name="SAPBEXstdDataEmph 4 5" xfId="28468" xr:uid="{00000000-0005-0000-0000-00003B720000}"/>
    <cellStyle name="SAPBEXstdDataEmph 4 5 2" xfId="33026" xr:uid="{66822EB3-F42A-4099-8615-39FEB50EA92A}"/>
    <cellStyle name="SAPBEXstdDataEmph 4 6" xfId="26816" xr:uid="{00000000-0005-0000-0000-00003C720000}"/>
    <cellStyle name="SAPBEXstdDataEmph 4 6 2" xfId="31577" xr:uid="{2231C6E4-FE15-40CC-A8E4-67C8AD8E35C3}"/>
    <cellStyle name="SAPBEXstdDataEmph 4 7" xfId="30021" xr:uid="{00000000-0005-0000-0000-00003D720000}"/>
    <cellStyle name="SAPBEXstdDataEmph 4 8" xfId="30433" xr:uid="{7E7934BB-4CDE-4914-ADFD-6F133E14CD07}"/>
    <cellStyle name="SAPBEXstdDataEmph 5" xfId="25872" xr:uid="{00000000-0005-0000-0000-00003E720000}"/>
    <cellStyle name="SAPBEXstdDataEmph 5 2" xfId="30791" xr:uid="{565538A6-2502-4992-A7FB-98538A320F68}"/>
    <cellStyle name="SAPBEXstdDataEmph 6" xfId="28462" xr:uid="{00000000-0005-0000-0000-00003F720000}"/>
    <cellStyle name="SAPBEXstdDataEmph 6 2" xfId="33020" xr:uid="{9AFAABCD-7C3C-416C-BEE5-F95693649CF4}"/>
    <cellStyle name="SAPBEXstdDataEmph 7" xfId="29246" xr:uid="{00000000-0005-0000-0000-000040720000}"/>
    <cellStyle name="SAPBEXstdDataEmph 7 2" xfId="33228" xr:uid="{DD80551F-22CF-41D5-A477-5E2B829C95F9}"/>
    <cellStyle name="SAPBEXstdDataEmph 8" xfId="30015" xr:uid="{00000000-0005-0000-0000-000041720000}"/>
    <cellStyle name="SAPBEXstdItem" xfId="142" xr:uid="{00000000-0005-0000-0000-000042720000}"/>
    <cellStyle name="SAPBEXstdItem 10" xfId="13676" xr:uid="{00000000-0005-0000-0000-000043720000}"/>
    <cellStyle name="SAPBEXstdItem 10 2" xfId="25514" xr:uid="{00000000-0005-0000-0000-000044720000}"/>
    <cellStyle name="SAPBEXstdItem 10 2 2" xfId="27667" xr:uid="{00000000-0005-0000-0000-000045720000}"/>
    <cellStyle name="SAPBEXstdItem 10 2 2 2" xfId="32254" xr:uid="{7D516838-2059-4549-BF1E-17D4AE5F6889}"/>
    <cellStyle name="SAPBEXstdItem 10 2 3" xfId="28473" xr:uid="{00000000-0005-0000-0000-000046720000}"/>
    <cellStyle name="SAPBEXstdItem 10 2 3 2" xfId="33031" xr:uid="{5F895FB3-966C-44C4-849F-34E9E656E6B7}"/>
    <cellStyle name="SAPBEXstdItem 10 2 4" xfId="26956" xr:uid="{00000000-0005-0000-0000-000047720000}"/>
    <cellStyle name="SAPBEXstdItem 10 2 4 2" xfId="31717" xr:uid="{E188FEB3-1FDF-4FE9-AA13-17537B49E2C0}"/>
    <cellStyle name="SAPBEXstdItem 10 2 5" xfId="30026" xr:uid="{00000000-0005-0000-0000-000048720000}"/>
    <cellStyle name="SAPBEXstdItem 10 3" xfId="26618" xr:uid="{00000000-0005-0000-0000-000049720000}"/>
    <cellStyle name="SAPBEXstdItem 10 3 2" xfId="31396" xr:uid="{E82856EF-9F70-42EA-B44B-61410958F902}"/>
    <cellStyle name="SAPBEXstdItem 10 4" xfId="28472" xr:uid="{00000000-0005-0000-0000-00004A720000}"/>
    <cellStyle name="SAPBEXstdItem 10 4 2" xfId="33030" xr:uid="{043BF500-34B1-466D-8CB2-D76B146B9567}"/>
    <cellStyle name="SAPBEXstdItem 10 5" xfId="26494" xr:uid="{00000000-0005-0000-0000-00004B720000}"/>
    <cellStyle name="SAPBEXstdItem 10 5 2" xfId="31282" xr:uid="{CEAC0034-716C-4DE0-B62B-8A2432C96AD3}"/>
    <cellStyle name="SAPBEXstdItem 10 6" xfId="30025" xr:uid="{00000000-0005-0000-0000-00004C720000}"/>
    <cellStyle name="SAPBEXstdItem 10 7" xfId="30216" xr:uid="{1E91C4F7-07F4-4518-B240-4C92F223DC71}"/>
    <cellStyle name="SAPBEXstdItem 11" xfId="24639" xr:uid="{00000000-0005-0000-0000-00004D720000}"/>
    <cellStyle name="SAPBEXstdItem 11 2" xfId="25385" xr:uid="{00000000-0005-0000-0000-00004E720000}"/>
    <cellStyle name="SAPBEXstdItem 11 2 2" xfId="27539" xr:uid="{00000000-0005-0000-0000-00004F720000}"/>
    <cellStyle name="SAPBEXstdItem 11 2 2 2" xfId="32130" xr:uid="{02BEAEA3-DCF8-4973-9D3E-A7F611D9F75E}"/>
    <cellStyle name="SAPBEXstdItem 11 2 3" xfId="28475" xr:uid="{00000000-0005-0000-0000-000050720000}"/>
    <cellStyle name="SAPBEXstdItem 11 2 3 2" xfId="33033" xr:uid="{37057B8F-AC3B-48A3-8A72-17B997A3BF6E}"/>
    <cellStyle name="SAPBEXstdItem 11 2 4" xfId="26455" xr:uid="{00000000-0005-0000-0000-000051720000}"/>
    <cellStyle name="SAPBEXstdItem 11 2 4 2" xfId="31243" xr:uid="{36F12AA0-35D3-4E9B-A301-E890BC29AF02}"/>
    <cellStyle name="SAPBEXstdItem 11 2 5" xfId="30028" xr:uid="{00000000-0005-0000-0000-000052720000}"/>
    <cellStyle name="SAPBEXstdItem 11 2 6" xfId="30543" xr:uid="{E134D3F1-720F-4874-A32F-8529DCD2F790}"/>
    <cellStyle name="SAPBEXstdItem 11 3" xfId="25605" xr:uid="{00000000-0005-0000-0000-000053720000}"/>
    <cellStyle name="SAPBEXstdItem 11 3 2" xfId="27758" xr:uid="{00000000-0005-0000-0000-000054720000}"/>
    <cellStyle name="SAPBEXstdItem 11 3 2 2" xfId="32345" xr:uid="{B4A2052D-72BA-4A55-8B1F-1CB6B713AB48}"/>
    <cellStyle name="SAPBEXstdItem 11 3 3" xfId="28476" xr:uid="{00000000-0005-0000-0000-000055720000}"/>
    <cellStyle name="SAPBEXstdItem 11 3 3 2" xfId="33034" xr:uid="{69024373-1E71-4559-BD1C-D4F2788C10F1}"/>
    <cellStyle name="SAPBEXstdItem 11 3 4" xfId="26812" xr:uid="{00000000-0005-0000-0000-000056720000}"/>
    <cellStyle name="SAPBEXstdItem 11 3 4 2" xfId="31573" xr:uid="{C89EDFA2-E246-4599-9154-B4B08FD77D65}"/>
    <cellStyle name="SAPBEXstdItem 11 3 5" xfId="30029" xr:uid="{00000000-0005-0000-0000-000057720000}"/>
    <cellStyle name="SAPBEXstdItem 11 4" xfId="27232" xr:uid="{00000000-0005-0000-0000-000058720000}"/>
    <cellStyle name="SAPBEXstdItem 11 4 2" xfId="31867" xr:uid="{7889C2A1-42D6-48E0-95D1-F1BB65C8FB84}"/>
    <cellStyle name="SAPBEXstdItem 11 5" xfId="28474" xr:uid="{00000000-0005-0000-0000-000059720000}"/>
    <cellStyle name="SAPBEXstdItem 11 5 2" xfId="33032" xr:uid="{5F6E539F-F53C-44AC-9347-B925503AD9B1}"/>
    <cellStyle name="SAPBEXstdItem 11 6" xfId="26384" xr:uid="{00000000-0005-0000-0000-00005A720000}"/>
    <cellStyle name="SAPBEXstdItem 11 6 2" xfId="31172" xr:uid="{FC60DFD3-0147-41BF-B105-6E95D68F2FDE}"/>
    <cellStyle name="SAPBEXstdItem 11 7" xfId="30027" xr:uid="{00000000-0005-0000-0000-00005B720000}"/>
    <cellStyle name="SAPBEXstdItem 11 8" xfId="30307" xr:uid="{2AF6E124-2F3F-4F8D-A7EA-049A1A01AF25}"/>
    <cellStyle name="SAPBEXstdItem 12" xfId="25134" xr:uid="{00000000-0005-0000-0000-00005C720000}"/>
    <cellStyle name="SAPBEXstdItem 12 2" xfId="25379" xr:uid="{00000000-0005-0000-0000-00005D720000}"/>
    <cellStyle name="SAPBEXstdItem 12 2 2" xfId="27533" xr:uid="{00000000-0005-0000-0000-00005E720000}"/>
    <cellStyle name="SAPBEXstdItem 12 2 2 2" xfId="32124" xr:uid="{D27E560F-9BF6-4229-9F1A-498B4DD98F63}"/>
    <cellStyle name="SAPBEXstdItem 12 2 3" xfId="28478" xr:uid="{00000000-0005-0000-0000-00005F720000}"/>
    <cellStyle name="SAPBEXstdItem 12 2 3 2" xfId="33036" xr:uid="{D844B4D7-CD17-4B05-BFC5-ACE730F2582E}"/>
    <cellStyle name="SAPBEXstdItem 12 2 4" xfId="26136" xr:uid="{00000000-0005-0000-0000-000060720000}"/>
    <cellStyle name="SAPBEXstdItem 12 2 4 2" xfId="30926" xr:uid="{5B3C1DA1-79AF-44B7-B530-E884DD7C41BC}"/>
    <cellStyle name="SAPBEXstdItem 12 2 5" xfId="30031" xr:uid="{00000000-0005-0000-0000-000061720000}"/>
    <cellStyle name="SAPBEXstdItem 12 2 6" xfId="30537" xr:uid="{1B85A3BF-9FC1-4D77-9F42-13F96FAC7F22}"/>
    <cellStyle name="SAPBEXstdItem 12 3" xfId="25732" xr:uid="{00000000-0005-0000-0000-000062720000}"/>
    <cellStyle name="SAPBEXstdItem 12 3 2" xfId="27885" xr:uid="{00000000-0005-0000-0000-000063720000}"/>
    <cellStyle name="SAPBEXstdItem 12 3 2 2" xfId="32472" xr:uid="{E45C59CD-23E8-4BE9-BB2E-F3F2B3BBE5E7}"/>
    <cellStyle name="SAPBEXstdItem 12 3 3" xfId="28479" xr:uid="{00000000-0005-0000-0000-000064720000}"/>
    <cellStyle name="SAPBEXstdItem 12 3 3 2" xfId="33037" xr:uid="{B276B874-BD72-4BDE-A8A0-3462BC9F5443}"/>
    <cellStyle name="SAPBEXstdItem 12 3 4" xfId="26369" xr:uid="{00000000-0005-0000-0000-000065720000}"/>
    <cellStyle name="SAPBEXstdItem 12 3 4 2" xfId="31157" xr:uid="{E644A67F-BDAC-41F3-84E3-2DF7986CAEC0}"/>
    <cellStyle name="SAPBEXstdItem 12 3 5" xfId="30032" xr:uid="{00000000-0005-0000-0000-000066720000}"/>
    <cellStyle name="SAPBEXstdItem 12 3 6" xfId="30726" xr:uid="{19016C21-975C-4390-A620-1E379C7B2287}"/>
    <cellStyle name="SAPBEXstdItem 12 4" xfId="27419" xr:uid="{00000000-0005-0000-0000-000067720000}"/>
    <cellStyle name="SAPBEXstdItem 12 4 2" xfId="32017" xr:uid="{DE928E43-71EE-45CB-9CEA-A4F481339B5B}"/>
    <cellStyle name="SAPBEXstdItem 12 5" xfId="28477" xr:uid="{00000000-0005-0000-0000-000068720000}"/>
    <cellStyle name="SAPBEXstdItem 12 5 2" xfId="33035" xr:uid="{A6840F9F-DA6C-4DB5-9F48-9F9FC63770E6}"/>
    <cellStyle name="SAPBEXstdItem 12 6" xfId="26452" xr:uid="{00000000-0005-0000-0000-000069720000}"/>
    <cellStyle name="SAPBEXstdItem 12 6 2" xfId="31240" xr:uid="{D8656223-C067-43D5-812E-64BB93BDD6EC}"/>
    <cellStyle name="SAPBEXstdItem 12 7" xfId="30030" xr:uid="{00000000-0005-0000-0000-00006A720000}"/>
    <cellStyle name="SAPBEXstdItem 12 8" xfId="30434" xr:uid="{FDE54373-F2BC-40DB-BE8D-7BA59BAC4E44}"/>
    <cellStyle name="SAPBEXstdItem 13" xfId="25873" xr:uid="{00000000-0005-0000-0000-00006B720000}"/>
    <cellStyle name="SAPBEXstdItem 13 2" xfId="30792" xr:uid="{B15561DA-BA49-4E99-9D4F-1DDA8061DEDF}"/>
    <cellStyle name="SAPBEXstdItem 14" xfId="28471" xr:uid="{00000000-0005-0000-0000-00006C720000}"/>
    <cellStyle name="SAPBEXstdItem 14 2" xfId="33029" xr:uid="{AE37E7B4-FAA3-402F-A678-168F87B1E84D}"/>
    <cellStyle name="SAPBEXstdItem 15" xfId="29209" xr:uid="{00000000-0005-0000-0000-00006D720000}"/>
    <cellStyle name="SAPBEXstdItem 15 2" xfId="33192" xr:uid="{1DE7E4B1-6DAB-4F2F-ADFC-1B7C186465CE}"/>
    <cellStyle name="SAPBEXstdItem 16" xfId="30024" xr:uid="{00000000-0005-0000-0000-00006E720000}"/>
    <cellStyle name="SAPBEXstdItem 2" xfId="143" xr:uid="{00000000-0005-0000-0000-00006F720000}"/>
    <cellStyle name="SAPBEXstdItem 2 2" xfId="13677" xr:uid="{00000000-0005-0000-0000-000070720000}"/>
    <cellStyle name="SAPBEXstdItem 2 2 2" xfId="25515" xr:uid="{00000000-0005-0000-0000-000071720000}"/>
    <cellStyle name="SAPBEXstdItem 2 2 2 2" xfId="27668" xr:uid="{00000000-0005-0000-0000-000072720000}"/>
    <cellStyle name="SAPBEXstdItem 2 2 2 2 2" xfId="32255" xr:uid="{696E9D6A-C1B3-4AA3-AD6A-87722D7571B7}"/>
    <cellStyle name="SAPBEXstdItem 2 2 2 3" xfId="28482" xr:uid="{00000000-0005-0000-0000-000073720000}"/>
    <cellStyle name="SAPBEXstdItem 2 2 2 3 2" xfId="33040" xr:uid="{6BF646E8-E27D-4DD5-B34F-F8BF8E1EE11C}"/>
    <cellStyle name="SAPBEXstdItem 2 2 2 4" xfId="26943" xr:uid="{00000000-0005-0000-0000-000074720000}"/>
    <cellStyle name="SAPBEXstdItem 2 2 2 4 2" xfId="31704" xr:uid="{4C72149F-6ECC-4652-B466-CD99280FAD44}"/>
    <cellStyle name="SAPBEXstdItem 2 2 2 5" xfId="30035" xr:uid="{00000000-0005-0000-0000-000075720000}"/>
    <cellStyle name="SAPBEXstdItem 2 2 3" xfId="26619" xr:uid="{00000000-0005-0000-0000-000076720000}"/>
    <cellStyle name="SAPBEXstdItem 2 2 3 2" xfId="31397" xr:uid="{7C978F41-27D8-480E-B306-7FA8B2900AC4}"/>
    <cellStyle name="SAPBEXstdItem 2 2 4" xfId="28481" xr:uid="{00000000-0005-0000-0000-000077720000}"/>
    <cellStyle name="SAPBEXstdItem 2 2 4 2" xfId="33039" xr:uid="{E29D8BD4-78EB-4195-8E9A-68118CC55C74}"/>
    <cellStyle name="SAPBEXstdItem 2 2 5" xfId="26514" xr:uid="{00000000-0005-0000-0000-000078720000}"/>
    <cellStyle name="SAPBEXstdItem 2 2 5 2" xfId="31302" xr:uid="{F63CBD9C-1327-4193-8051-294F91FF2D59}"/>
    <cellStyle name="SAPBEXstdItem 2 2 6" xfId="30034" xr:uid="{00000000-0005-0000-0000-000079720000}"/>
    <cellStyle name="SAPBEXstdItem 2 2 7" xfId="30217" xr:uid="{CF994EC1-D8C3-4EB2-9A75-5E70A7D56FB3}"/>
    <cellStyle name="SAPBEXstdItem 2 3" xfId="25874" xr:uid="{00000000-0005-0000-0000-00007A720000}"/>
    <cellStyle name="SAPBEXstdItem 2 3 2" xfId="30793" xr:uid="{EA128775-1CBF-4AEA-9D27-9D5EA39C04F2}"/>
    <cellStyle name="SAPBEXstdItem 2 4" xfId="28480" xr:uid="{00000000-0005-0000-0000-00007B720000}"/>
    <cellStyle name="SAPBEXstdItem 2 4 2" xfId="33038" xr:uid="{E0AA107B-C196-4163-9C91-F27A7D044E97}"/>
    <cellStyle name="SAPBEXstdItem 2 5" xfId="26050" xr:uid="{00000000-0005-0000-0000-00007C720000}"/>
    <cellStyle name="SAPBEXstdItem 2 5 2" xfId="30842" xr:uid="{99293753-3EA6-4A60-AD32-F1125BCB9804}"/>
    <cellStyle name="SAPBEXstdItem 2 6" xfId="30033" xr:uid="{00000000-0005-0000-0000-00007D720000}"/>
    <cellStyle name="SAPBEXstdItem 3" xfId="264" xr:uid="{00000000-0005-0000-0000-00007E720000}"/>
    <cellStyle name="SAPBEXstdItem 3 2" xfId="13727" xr:uid="{00000000-0005-0000-0000-00007F720000}"/>
    <cellStyle name="SAPBEXstdItem 3 2 2" xfId="25540" xr:uid="{00000000-0005-0000-0000-000080720000}"/>
    <cellStyle name="SAPBEXstdItem 3 2 2 2" xfId="27693" xr:uid="{00000000-0005-0000-0000-000081720000}"/>
    <cellStyle name="SAPBEXstdItem 3 2 2 2 2" xfId="32280" xr:uid="{6985C235-AFF0-4F97-9938-F58B5CFC5A9E}"/>
    <cellStyle name="SAPBEXstdItem 3 2 2 3" xfId="28485" xr:uid="{00000000-0005-0000-0000-000082720000}"/>
    <cellStyle name="SAPBEXstdItem 3 2 2 3 2" xfId="33043" xr:uid="{6A6A8FA8-BACD-47C1-A580-4243E59733A2}"/>
    <cellStyle name="SAPBEXstdItem 3 2 2 4" xfId="26696" xr:uid="{00000000-0005-0000-0000-000083720000}"/>
    <cellStyle name="SAPBEXstdItem 3 2 2 4 2" xfId="31458" xr:uid="{FCE8D75C-BD5C-48FA-96F5-9338A6092641}"/>
    <cellStyle name="SAPBEXstdItem 3 2 2 5" xfId="30038" xr:uid="{00000000-0005-0000-0000-000084720000}"/>
    <cellStyle name="SAPBEXstdItem 3 2 3" xfId="26647" xr:uid="{00000000-0005-0000-0000-000085720000}"/>
    <cellStyle name="SAPBEXstdItem 3 2 3 2" xfId="31424" xr:uid="{87C21466-7482-44B5-8CFE-BE7C7B976A4F}"/>
    <cellStyle name="SAPBEXstdItem 3 2 4" xfId="28484" xr:uid="{00000000-0005-0000-0000-000086720000}"/>
    <cellStyle name="SAPBEXstdItem 3 2 4 2" xfId="33042" xr:uid="{0110FBA5-9D1D-48C4-8501-A2FA48B3EC7B}"/>
    <cellStyle name="SAPBEXstdItem 3 2 5" xfId="26242" xr:uid="{00000000-0005-0000-0000-000087720000}"/>
    <cellStyle name="SAPBEXstdItem 3 2 5 2" xfId="31030" xr:uid="{7405C4C0-AE2D-4335-9D17-B9A90015A59A}"/>
    <cellStyle name="SAPBEXstdItem 3 2 6" xfId="30037" xr:uid="{00000000-0005-0000-0000-000088720000}"/>
    <cellStyle name="SAPBEXstdItem 3 2 7" xfId="30242" xr:uid="{DFECBD3B-2808-4947-A060-1025849DBB5E}"/>
    <cellStyle name="SAPBEXstdItem 3 3" xfId="25930" xr:uid="{00000000-0005-0000-0000-000089720000}"/>
    <cellStyle name="SAPBEXstdItem 3 3 2" xfId="30819" xr:uid="{90A9C38F-F533-4290-828F-050A4CFE7DB3}"/>
    <cellStyle name="SAPBEXstdItem 3 4" xfId="28483" xr:uid="{00000000-0005-0000-0000-00008A720000}"/>
    <cellStyle name="SAPBEXstdItem 3 4 2" xfId="33041" xr:uid="{DB02B5ED-8DAA-429C-B3E8-D97C4760D959}"/>
    <cellStyle name="SAPBEXstdItem 3 5" xfId="27929" xr:uid="{00000000-0005-0000-0000-00008B720000}"/>
    <cellStyle name="SAPBEXstdItem 3 5 2" xfId="32487" xr:uid="{96285822-A17F-4307-B5E4-3926E2C1CEFE}"/>
    <cellStyle name="SAPBEXstdItem 3 6" xfId="30036" xr:uid="{00000000-0005-0000-0000-00008C720000}"/>
    <cellStyle name="SAPBEXstdItem 4" xfId="265" xr:uid="{00000000-0005-0000-0000-00008D720000}"/>
    <cellStyle name="SAPBEXstdItem 4 2" xfId="13728" xr:uid="{00000000-0005-0000-0000-00008E720000}"/>
    <cellStyle name="SAPBEXstdItem 4 2 2" xfId="25541" xr:uid="{00000000-0005-0000-0000-00008F720000}"/>
    <cellStyle name="SAPBEXstdItem 4 2 2 2" xfId="27694" xr:uid="{00000000-0005-0000-0000-000090720000}"/>
    <cellStyle name="SAPBEXstdItem 4 2 2 2 2" xfId="32281" xr:uid="{BA55B361-4B9D-4F73-A554-BE337B3695C9}"/>
    <cellStyle name="SAPBEXstdItem 4 2 2 3" xfId="28488" xr:uid="{00000000-0005-0000-0000-000091720000}"/>
    <cellStyle name="SAPBEXstdItem 4 2 2 3 2" xfId="33046" xr:uid="{59935496-8342-40CF-8F6B-68A5DDCE2877}"/>
    <cellStyle name="SAPBEXstdItem 4 2 2 4" xfId="26160" xr:uid="{00000000-0005-0000-0000-000092720000}"/>
    <cellStyle name="SAPBEXstdItem 4 2 2 4 2" xfId="30949" xr:uid="{838666B9-E9A6-435B-83E0-2167E01C3C7A}"/>
    <cellStyle name="SAPBEXstdItem 4 2 2 5" xfId="30041" xr:uid="{00000000-0005-0000-0000-000093720000}"/>
    <cellStyle name="SAPBEXstdItem 4 2 3" xfId="26648" xr:uid="{00000000-0005-0000-0000-000094720000}"/>
    <cellStyle name="SAPBEXstdItem 4 2 3 2" xfId="31425" xr:uid="{D0DDBB1F-5634-45F6-BDB2-C1A1BE05E9B3}"/>
    <cellStyle name="SAPBEXstdItem 4 2 4" xfId="28487" xr:uid="{00000000-0005-0000-0000-000095720000}"/>
    <cellStyle name="SAPBEXstdItem 4 2 4 2" xfId="33045" xr:uid="{7D0C6730-F3AB-461C-88D0-38BD0C44178B}"/>
    <cellStyle name="SAPBEXstdItem 4 2 5" xfId="26118" xr:uid="{00000000-0005-0000-0000-000096720000}"/>
    <cellStyle name="SAPBEXstdItem 4 2 5 2" xfId="30908" xr:uid="{2F4A2F80-FA9C-4A8B-8303-BBEBD72A48FD}"/>
    <cellStyle name="SAPBEXstdItem 4 2 6" xfId="30040" xr:uid="{00000000-0005-0000-0000-000097720000}"/>
    <cellStyle name="SAPBEXstdItem 4 2 7" xfId="30243" xr:uid="{3D600FC7-16B8-47FA-8F80-96BAD9BF94CB}"/>
    <cellStyle name="SAPBEXstdItem 4 3" xfId="25931" xr:uid="{00000000-0005-0000-0000-000098720000}"/>
    <cellStyle name="SAPBEXstdItem 4 3 2" xfId="30820" xr:uid="{B96F8E83-4834-4CDE-84B6-90336E133109}"/>
    <cellStyle name="SAPBEXstdItem 4 4" xfId="28486" xr:uid="{00000000-0005-0000-0000-000099720000}"/>
    <cellStyle name="SAPBEXstdItem 4 4 2" xfId="33044" xr:uid="{88B94184-2749-4E6E-B69A-2E52FCDC5D1C}"/>
    <cellStyle name="SAPBEXstdItem 4 5" xfId="29217" xr:uid="{00000000-0005-0000-0000-00009A720000}"/>
    <cellStyle name="SAPBEXstdItem 4 5 2" xfId="33200" xr:uid="{EC8D61F5-2AFF-4C1E-809B-5CD5F6276A41}"/>
    <cellStyle name="SAPBEXstdItem 4 6" xfId="30039" xr:uid="{00000000-0005-0000-0000-00009B720000}"/>
    <cellStyle name="SAPBEXstdItem 5" xfId="266" xr:uid="{00000000-0005-0000-0000-00009C720000}"/>
    <cellStyle name="SAPBEXstdItem 5 2" xfId="13729" xr:uid="{00000000-0005-0000-0000-00009D720000}"/>
    <cellStyle name="SAPBEXstdItem 5 2 2" xfId="25542" xr:uid="{00000000-0005-0000-0000-00009E720000}"/>
    <cellStyle name="SAPBEXstdItem 5 2 2 2" xfId="27695" xr:uid="{00000000-0005-0000-0000-00009F720000}"/>
    <cellStyle name="SAPBEXstdItem 5 2 2 2 2" xfId="32282" xr:uid="{8AB2937F-3855-466C-8513-5A2CA4D9C60D}"/>
    <cellStyle name="SAPBEXstdItem 5 2 2 3" xfId="28491" xr:uid="{00000000-0005-0000-0000-0000A0720000}"/>
    <cellStyle name="SAPBEXstdItem 5 2 2 3 2" xfId="33049" xr:uid="{97F5E2E8-943D-4712-A72D-9C87792233CB}"/>
    <cellStyle name="SAPBEXstdItem 5 2 2 4" xfId="26979" xr:uid="{00000000-0005-0000-0000-0000A1720000}"/>
    <cellStyle name="SAPBEXstdItem 5 2 2 4 2" xfId="31740" xr:uid="{CE9C04E6-1564-4660-88BB-1A46D22F771A}"/>
    <cellStyle name="SAPBEXstdItem 5 2 2 5" xfId="30044" xr:uid="{00000000-0005-0000-0000-0000A2720000}"/>
    <cellStyle name="SAPBEXstdItem 5 2 3" xfId="26649" xr:uid="{00000000-0005-0000-0000-0000A3720000}"/>
    <cellStyle name="SAPBEXstdItem 5 2 3 2" xfId="31426" xr:uid="{67FEBB94-350B-4639-A157-37401D1093B2}"/>
    <cellStyle name="SAPBEXstdItem 5 2 4" xfId="28490" xr:uid="{00000000-0005-0000-0000-0000A4720000}"/>
    <cellStyle name="SAPBEXstdItem 5 2 4 2" xfId="33048" xr:uid="{B3151FFB-8738-4439-886E-6D5AA2B63BC8}"/>
    <cellStyle name="SAPBEXstdItem 5 2 5" xfId="26736" xr:uid="{00000000-0005-0000-0000-0000A5720000}"/>
    <cellStyle name="SAPBEXstdItem 5 2 5 2" xfId="31497" xr:uid="{31443F00-E23F-4A6D-9818-37B9187F851C}"/>
    <cellStyle name="SAPBEXstdItem 5 2 6" xfId="30043" xr:uid="{00000000-0005-0000-0000-0000A6720000}"/>
    <cellStyle name="SAPBEXstdItem 5 2 7" xfId="30244" xr:uid="{3FA22EDC-745E-47D4-BAC0-F42AB0837140}"/>
    <cellStyle name="SAPBEXstdItem 5 3" xfId="25932" xr:uid="{00000000-0005-0000-0000-0000A7720000}"/>
    <cellStyle name="SAPBEXstdItem 5 3 2" xfId="30821" xr:uid="{704D1973-5298-4610-BCC8-865BE2BA0ABB}"/>
    <cellStyle name="SAPBEXstdItem 5 4" xfId="28489" xr:uid="{00000000-0005-0000-0000-0000A8720000}"/>
    <cellStyle name="SAPBEXstdItem 5 4 2" xfId="33047" xr:uid="{17ABF4AF-C1AE-449F-BC1A-645A4F542230}"/>
    <cellStyle name="SAPBEXstdItem 5 5" xfId="26818" xr:uid="{00000000-0005-0000-0000-0000A9720000}"/>
    <cellStyle name="SAPBEXstdItem 5 5 2" xfId="31579" xr:uid="{5EA776B2-B43E-4AD5-97E6-3F43F4C48838}"/>
    <cellStyle name="SAPBEXstdItem 5 6" xfId="30042" xr:uid="{00000000-0005-0000-0000-0000AA720000}"/>
    <cellStyle name="SAPBEXstdItem 6" xfId="267" xr:uid="{00000000-0005-0000-0000-0000AB720000}"/>
    <cellStyle name="SAPBEXstdItem 6 2" xfId="13730" xr:uid="{00000000-0005-0000-0000-0000AC720000}"/>
    <cellStyle name="SAPBEXstdItem 6 2 2" xfId="25543" xr:uid="{00000000-0005-0000-0000-0000AD720000}"/>
    <cellStyle name="SAPBEXstdItem 6 2 2 2" xfId="27696" xr:uid="{00000000-0005-0000-0000-0000AE720000}"/>
    <cellStyle name="SAPBEXstdItem 6 2 2 2 2" xfId="32283" xr:uid="{2D740B26-59CB-4597-B548-C02B489D9AA7}"/>
    <cellStyle name="SAPBEXstdItem 6 2 2 3" xfId="28494" xr:uid="{00000000-0005-0000-0000-0000AF720000}"/>
    <cellStyle name="SAPBEXstdItem 6 2 2 3 2" xfId="33052" xr:uid="{30F72A85-F673-4D64-B204-B373C5977653}"/>
    <cellStyle name="SAPBEXstdItem 6 2 2 4" xfId="26990" xr:uid="{00000000-0005-0000-0000-0000B0720000}"/>
    <cellStyle name="SAPBEXstdItem 6 2 2 4 2" xfId="31751" xr:uid="{8588298E-827D-4779-94CA-26B2C9A0D8AE}"/>
    <cellStyle name="SAPBEXstdItem 6 2 2 5" xfId="30047" xr:uid="{00000000-0005-0000-0000-0000B1720000}"/>
    <cellStyle name="SAPBEXstdItem 6 2 3" xfId="26650" xr:uid="{00000000-0005-0000-0000-0000B2720000}"/>
    <cellStyle name="SAPBEXstdItem 6 2 3 2" xfId="31427" xr:uid="{0B066A34-38E4-4AA9-BDDC-5B769B9E89BE}"/>
    <cellStyle name="SAPBEXstdItem 6 2 4" xfId="28493" xr:uid="{00000000-0005-0000-0000-0000B3720000}"/>
    <cellStyle name="SAPBEXstdItem 6 2 4 2" xfId="33051" xr:uid="{700E2564-6A4F-4F27-9425-884ED2289BFC}"/>
    <cellStyle name="SAPBEXstdItem 6 2 5" xfId="26714" xr:uid="{00000000-0005-0000-0000-0000B4720000}"/>
    <cellStyle name="SAPBEXstdItem 6 2 5 2" xfId="31476" xr:uid="{44221BFB-7587-4B39-89A3-2D6105BFF88E}"/>
    <cellStyle name="SAPBEXstdItem 6 2 6" xfId="30046" xr:uid="{00000000-0005-0000-0000-0000B5720000}"/>
    <cellStyle name="SAPBEXstdItem 6 2 7" xfId="30245" xr:uid="{FC078262-2F3C-4771-888F-BA5155B57ED8}"/>
    <cellStyle name="SAPBEXstdItem 6 3" xfId="25933" xr:uid="{00000000-0005-0000-0000-0000B6720000}"/>
    <cellStyle name="SAPBEXstdItem 6 3 2" xfId="30822" xr:uid="{D21B78F2-CF4E-4ED4-A0BC-1F74A4210DAA}"/>
    <cellStyle name="SAPBEXstdItem 6 4" xfId="28492" xr:uid="{00000000-0005-0000-0000-0000B7720000}"/>
    <cellStyle name="SAPBEXstdItem 6 4 2" xfId="33050" xr:uid="{1663D4C5-1AFA-46B6-B267-9398D61DA737}"/>
    <cellStyle name="SAPBEXstdItem 6 5" xfId="29222" xr:uid="{00000000-0005-0000-0000-0000B8720000}"/>
    <cellStyle name="SAPBEXstdItem 6 5 2" xfId="33205" xr:uid="{C7AF8F48-C2F8-4193-87FB-C5D69D620641}"/>
    <cellStyle name="SAPBEXstdItem 6 6" xfId="30045" xr:uid="{00000000-0005-0000-0000-0000B9720000}"/>
    <cellStyle name="SAPBEXstdItem 7" xfId="268" xr:uid="{00000000-0005-0000-0000-0000BA720000}"/>
    <cellStyle name="SAPBEXstdItem 7 2" xfId="13731" xr:uid="{00000000-0005-0000-0000-0000BB720000}"/>
    <cellStyle name="SAPBEXstdItem 7 2 2" xfId="25544" xr:uid="{00000000-0005-0000-0000-0000BC720000}"/>
    <cellStyle name="SAPBEXstdItem 7 2 2 2" xfId="27697" xr:uid="{00000000-0005-0000-0000-0000BD720000}"/>
    <cellStyle name="SAPBEXstdItem 7 2 2 2 2" xfId="32284" xr:uid="{E21CDEFD-7E91-42C0-92DD-9EA523EEC3AF}"/>
    <cellStyle name="SAPBEXstdItem 7 2 2 3" xfId="28497" xr:uid="{00000000-0005-0000-0000-0000BE720000}"/>
    <cellStyle name="SAPBEXstdItem 7 2 2 3 2" xfId="33055" xr:uid="{0270057D-A899-47A1-BD5A-9BF688C52639}"/>
    <cellStyle name="SAPBEXstdItem 7 2 2 4" xfId="26468" xr:uid="{00000000-0005-0000-0000-0000BF720000}"/>
    <cellStyle name="SAPBEXstdItem 7 2 2 4 2" xfId="31256" xr:uid="{EAE69160-DA68-4209-A242-83C57F08876E}"/>
    <cellStyle name="SAPBEXstdItem 7 2 2 5" xfId="30050" xr:uid="{00000000-0005-0000-0000-0000C0720000}"/>
    <cellStyle name="SAPBEXstdItem 7 2 3" xfId="26651" xr:uid="{00000000-0005-0000-0000-0000C1720000}"/>
    <cellStyle name="SAPBEXstdItem 7 2 3 2" xfId="31428" xr:uid="{35738A9C-30BB-40FC-9184-44086A11D765}"/>
    <cellStyle name="SAPBEXstdItem 7 2 4" xfId="28496" xr:uid="{00000000-0005-0000-0000-0000C2720000}"/>
    <cellStyle name="SAPBEXstdItem 7 2 4 2" xfId="33054" xr:uid="{26567702-F94E-4923-A2A7-9C79EEF88D27}"/>
    <cellStyle name="SAPBEXstdItem 7 2 5" xfId="27015" xr:uid="{00000000-0005-0000-0000-0000C3720000}"/>
    <cellStyle name="SAPBEXstdItem 7 2 5 2" xfId="31775" xr:uid="{FD77F79D-D49D-488E-BBFD-9EC8514538ED}"/>
    <cellStyle name="SAPBEXstdItem 7 2 6" xfId="30049" xr:uid="{00000000-0005-0000-0000-0000C4720000}"/>
    <cellStyle name="SAPBEXstdItem 7 2 7" xfId="30246" xr:uid="{61361662-69CD-4397-BBF9-B0081A913AD2}"/>
    <cellStyle name="SAPBEXstdItem 7 3" xfId="25934" xr:uid="{00000000-0005-0000-0000-0000C5720000}"/>
    <cellStyle name="SAPBEXstdItem 7 3 2" xfId="30823" xr:uid="{B1B4484C-EC93-4362-9EB8-C48F0316CCB3}"/>
    <cellStyle name="SAPBEXstdItem 7 4" xfId="28495" xr:uid="{00000000-0005-0000-0000-0000C6720000}"/>
    <cellStyle name="SAPBEXstdItem 7 4 2" xfId="33053" xr:uid="{E9338782-8223-4DD7-9738-8EFEA1E61D8E}"/>
    <cellStyle name="SAPBEXstdItem 7 5" xfId="26223" xr:uid="{00000000-0005-0000-0000-0000C7720000}"/>
    <cellStyle name="SAPBEXstdItem 7 5 2" xfId="31011" xr:uid="{0EEA543C-F7F4-4BE2-BF84-38EC12740A9D}"/>
    <cellStyle name="SAPBEXstdItem 7 6" xfId="30048" xr:uid="{00000000-0005-0000-0000-0000C8720000}"/>
    <cellStyle name="SAPBEXstdItem 8" xfId="416" xr:uid="{00000000-0005-0000-0000-0000C9720000}"/>
    <cellStyle name="SAPBEXstdItem 8 2" xfId="13795" xr:uid="{00000000-0005-0000-0000-0000CA720000}"/>
    <cellStyle name="SAPBEXstdItem 8 2 2" xfId="25553" xr:uid="{00000000-0005-0000-0000-0000CB720000}"/>
    <cellStyle name="SAPBEXstdItem 8 2 2 2" xfId="27706" xr:uid="{00000000-0005-0000-0000-0000CC720000}"/>
    <cellStyle name="SAPBEXstdItem 8 2 2 2 2" xfId="32293" xr:uid="{D30D4205-5F54-4900-9916-E4441AA7CA4F}"/>
    <cellStyle name="SAPBEXstdItem 8 2 2 3" xfId="28500" xr:uid="{00000000-0005-0000-0000-0000CD720000}"/>
    <cellStyle name="SAPBEXstdItem 8 2 2 3 2" xfId="33058" xr:uid="{7332AD0A-8557-49CF-9956-71FF6D895310}"/>
    <cellStyle name="SAPBEXstdItem 8 2 2 4" xfId="26129" xr:uid="{00000000-0005-0000-0000-0000CE720000}"/>
    <cellStyle name="SAPBEXstdItem 8 2 2 4 2" xfId="30919" xr:uid="{AAF40E07-866B-45F0-9F7A-6D9459E65E19}"/>
    <cellStyle name="SAPBEXstdItem 8 2 2 5" xfId="30053" xr:uid="{00000000-0005-0000-0000-0000CF720000}"/>
    <cellStyle name="SAPBEXstdItem 8 2 3" xfId="26670" xr:uid="{00000000-0005-0000-0000-0000D0720000}"/>
    <cellStyle name="SAPBEXstdItem 8 2 3 2" xfId="31438" xr:uid="{2A2D3166-BAB0-47E2-924D-3DD0C1176EDD}"/>
    <cellStyle name="SAPBEXstdItem 8 2 4" xfId="28499" xr:uid="{00000000-0005-0000-0000-0000D1720000}"/>
    <cellStyle name="SAPBEXstdItem 8 2 4 2" xfId="33057" xr:uid="{201E6516-7941-450F-86EA-2D4285A8D997}"/>
    <cellStyle name="SAPBEXstdItem 8 2 5" xfId="26407" xr:uid="{00000000-0005-0000-0000-0000D2720000}"/>
    <cellStyle name="SAPBEXstdItem 8 2 5 2" xfId="31195" xr:uid="{A18DEEE5-EA94-406F-A298-C9E928B8D34A}"/>
    <cellStyle name="SAPBEXstdItem 8 2 6" xfId="30052" xr:uid="{00000000-0005-0000-0000-0000D3720000}"/>
    <cellStyle name="SAPBEXstdItem 8 2 7" xfId="30255" xr:uid="{2162DB1E-34DC-40E3-A6D2-2D699CD3299C}"/>
    <cellStyle name="SAPBEXstdItem 8 3" xfId="26011" xr:uid="{00000000-0005-0000-0000-0000D4720000}"/>
    <cellStyle name="SAPBEXstdItem 8 3 2" xfId="30832" xr:uid="{D3E9926A-8CAB-418D-AD87-A5DE07390A19}"/>
    <cellStyle name="SAPBEXstdItem 8 4" xfId="28498" xr:uid="{00000000-0005-0000-0000-0000D5720000}"/>
    <cellStyle name="SAPBEXstdItem 8 4 2" xfId="33056" xr:uid="{73AD4AED-2DBE-47DD-B1A9-43199632E870}"/>
    <cellStyle name="SAPBEXstdItem 8 5" xfId="26783" xr:uid="{00000000-0005-0000-0000-0000D6720000}"/>
    <cellStyle name="SAPBEXstdItem 8 5 2" xfId="31544" xr:uid="{2E5B7600-D7CB-4389-8D84-BEFDC09AC730}"/>
    <cellStyle name="SAPBEXstdItem 8 6" xfId="30051" xr:uid="{00000000-0005-0000-0000-0000D7720000}"/>
    <cellStyle name="SAPBEXstdItem 9" xfId="390" xr:uid="{00000000-0005-0000-0000-0000D8720000}"/>
    <cellStyle name="SAPBEXstdItem 9 2" xfId="13785" xr:uid="{00000000-0005-0000-0000-0000D9720000}"/>
    <cellStyle name="SAPBEXstdItem 9 2 2" xfId="25550" xr:uid="{00000000-0005-0000-0000-0000DA720000}"/>
    <cellStyle name="SAPBEXstdItem 9 2 2 2" xfId="27703" xr:uid="{00000000-0005-0000-0000-0000DB720000}"/>
    <cellStyle name="SAPBEXstdItem 9 2 2 2 2" xfId="32290" xr:uid="{FC5FAF89-B973-4220-A508-2C323A63AA4F}"/>
    <cellStyle name="SAPBEXstdItem 9 2 2 3" xfId="28503" xr:uid="{00000000-0005-0000-0000-0000DC720000}"/>
    <cellStyle name="SAPBEXstdItem 9 2 2 3 2" xfId="33061" xr:uid="{F6B53ED1-B409-42EA-8901-4385869A478B}"/>
    <cellStyle name="SAPBEXstdItem 9 2 2 4" xfId="26874" xr:uid="{00000000-0005-0000-0000-0000DD720000}"/>
    <cellStyle name="SAPBEXstdItem 9 2 2 4 2" xfId="31635" xr:uid="{2E748202-5BF5-42F9-86BE-811F07998D4A}"/>
    <cellStyle name="SAPBEXstdItem 9 2 2 5" xfId="30056" xr:uid="{00000000-0005-0000-0000-0000DE720000}"/>
    <cellStyle name="SAPBEXstdItem 9 2 3" xfId="26666" xr:uid="{00000000-0005-0000-0000-0000DF720000}"/>
    <cellStyle name="SAPBEXstdItem 9 2 3 2" xfId="31435" xr:uid="{E1584895-BC74-471F-9FB2-3F591342C952}"/>
    <cellStyle name="SAPBEXstdItem 9 2 4" xfId="28502" xr:uid="{00000000-0005-0000-0000-0000E0720000}"/>
    <cellStyle name="SAPBEXstdItem 9 2 4 2" xfId="33060" xr:uid="{BD3B9994-431C-4E10-B3A5-69FF96D42208}"/>
    <cellStyle name="SAPBEXstdItem 9 2 5" xfId="26914" xr:uid="{00000000-0005-0000-0000-0000E1720000}"/>
    <cellStyle name="SAPBEXstdItem 9 2 5 2" xfId="31675" xr:uid="{EB98D1A1-DD4F-4318-993B-19B27BEE66EA}"/>
    <cellStyle name="SAPBEXstdItem 9 2 6" xfId="30055" xr:uid="{00000000-0005-0000-0000-0000E2720000}"/>
    <cellStyle name="SAPBEXstdItem 9 2 7" xfId="30252" xr:uid="{34D26DA7-6042-42AB-94B9-D00C562E1852}"/>
    <cellStyle name="SAPBEXstdItem 9 3" xfId="26001" xr:uid="{00000000-0005-0000-0000-0000E3720000}"/>
    <cellStyle name="SAPBEXstdItem 9 3 2" xfId="30829" xr:uid="{68C2CEF7-8D30-4BCF-8B6A-899C64E2EC72}"/>
    <cellStyle name="SAPBEXstdItem 9 4" xfId="28501" xr:uid="{00000000-0005-0000-0000-0000E4720000}"/>
    <cellStyle name="SAPBEXstdItem 9 4 2" xfId="33059" xr:uid="{1F596DCC-4D2F-462A-B512-ABE366DFFB95}"/>
    <cellStyle name="SAPBEXstdItem 9 5" xfId="26185" xr:uid="{00000000-0005-0000-0000-0000E5720000}"/>
    <cellStyle name="SAPBEXstdItem 9 5 2" xfId="30973" xr:uid="{60DEF704-4DC3-4205-8EFB-3BB04E0F2B53}"/>
    <cellStyle name="SAPBEXstdItem 9 6" xfId="30054" xr:uid="{00000000-0005-0000-0000-0000E6720000}"/>
    <cellStyle name="SAPBEXstdItem_Copy of xSAPtemp5457" xfId="269" xr:uid="{00000000-0005-0000-0000-0000E7720000}"/>
    <cellStyle name="SAPBEXstdItemX" xfId="144" xr:uid="{00000000-0005-0000-0000-0000E8720000}"/>
    <cellStyle name="SAPBEXstdItemX 10" xfId="24638" xr:uid="{00000000-0005-0000-0000-0000E9720000}"/>
    <cellStyle name="SAPBEXstdItemX 10 2" xfId="25372" xr:uid="{00000000-0005-0000-0000-0000EA720000}"/>
    <cellStyle name="SAPBEXstdItemX 10 2 2" xfId="27526" xr:uid="{00000000-0005-0000-0000-0000EB720000}"/>
    <cellStyle name="SAPBEXstdItemX 10 2 2 2" xfId="32117" xr:uid="{BE6ED098-B76A-412A-8C84-FD84DA07FE60}"/>
    <cellStyle name="SAPBEXstdItemX 10 2 3" xfId="28506" xr:uid="{00000000-0005-0000-0000-0000EC720000}"/>
    <cellStyle name="SAPBEXstdItemX 10 2 3 2" xfId="33064" xr:uid="{068F6A29-45CC-4065-89DD-CA1F43BFFBAA}"/>
    <cellStyle name="SAPBEXstdItemX 10 2 4" xfId="26343" xr:uid="{00000000-0005-0000-0000-0000ED720000}"/>
    <cellStyle name="SAPBEXstdItemX 10 2 4 2" xfId="31131" xr:uid="{B108C3F8-1537-4F60-AF55-44E5D9CB7148}"/>
    <cellStyle name="SAPBEXstdItemX 10 2 5" xfId="30059" xr:uid="{00000000-0005-0000-0000-0000EE720000}"/>
    <cellStyle name="SAPBEXstdItemX 10 2 6" xfId="30530" xr:uid="{FB2D7D71-37B4-4DA6-94A1-8C320F4A8C6D}"/>
    <cellStyle name="SAPBEXstdItemX 10 3" xfId="25604" xr:uid="{00000000-0005-0000-0000-0000EF720000}"/>
    <cellStyle name="SAPBEXstdItemX 10 3 2" xfId="27757" xr:uid="{00000000-0005-0000-0000-0000F0720000}"/>
    <cellStyle name="SAPBEXstdItemX 10 3 2 2" xfId="32344" xr:uid="{4F0D5557-1B45-4CC0-B0D0-074C02E61F09}"/>
    <cellStyle name="SAPBEXstdItemX 10 3 3" xfId="28507" xr:uid="{00000000-0005-0000-0000-0000F1720000}"/>
    <cellStyle name="SAPBEXstdItemX 10 3 3 2" xfId="33065" xr:uid="{A2E4BB60-ECF9-4485-AC4B-AA8A2D0AF916}"/>
    <cellStyle name="SAPBEXstdItemX 10 3 4" xfId="26157" xr:uid="{00000000-0005-0000-0000-0000F2720000}"/>
    <cellStyle name="SAPBEXstdItemX 10 3 4 2" xfId="30946" xr:uid="{CF3DF234-942D-40B2-8FE7-BC185A8F6599}"/>
    <cellStyle name="SAPBEXstdItemX 10 3 5" xfId="30060" xr:uid="{00000000-0005-0000-0000-0000F3720000}"/>
    <cellStyle name="SAPBEXstdItemX 10 4" xfId="27231" xr:uid="{00000000-0005-0000-0000-0000F4720000}"/>
    <cellStyle name="SAPBEXstdItemX 10 4 2" xfId="31866" xr:uid="{96E71D92-0CD1-4C98-83DB-4DBBFBA8E389}"/>
    <cellStyle name="SAPBEXstdItemX 10 5" xfId="28505" xr:uid="{00000000-0005-0000-0000-0000F5720000}"/>
    <cellStyle name="SAPBEXstdItemX 10 5 2" xfId="33063" xr:uid="{AFC5D090-4EB8-474D-B926-E8FD54C36D94}"/>
    <cellStyle name="SAPBEXstdItemX 10 6" xfId="26817" xr:uid="{00000000-0005-0000-0000-0000F6720000}"/>
    <cellStyle name="SAPBEXstdItemX 10 6 2" xfId="31578" xr:uid="{8C6AD66F-A482-467A-B4C0-960835230A37}"/>
    <cellStyle name="SAPBEXstdItemX 10 7" xfId="30058" xr:uid="{00000000-0005-0000-0000-0000F7720000}"/>
    <cellStyle name="SAPBEXstdItemX 10 8" xfId="30306" xr:uid="{469C9D92-3790-46B7-A006-B35C9A660C4B}"/>
    <cellStyle name="SAPBEXstdItemX 11" xfId="25135" xr:uid="{00000000-0005-0000-0000-0000F8720000}"/>
    <cellStyle name="SAPBEXstdItemX 11 2" xfId="25393" xr:uid="{00000000-0005-0000-0000-0000F9720000}"/>
    <cellStyle name="SAPBEXstdItemX 11 2 2" xfId="27547" xr:uid="{00000000-0005-0000-0000-0000FA720000}"/>
    <cellStyle name="SAPBEXstdItemX 11 2 2 2" xfId="32138" xr:uid="{F80BC26C-8E2E-48CE-A2AD-44DF8F8169AF}"/>
    <cellStyle name="SAPBEXstdItemX 11 2 3" xfId="28509" xr:uid="{00000000-0005-0000-0000-0000FB720000}"/>
    <cellStyle name="SAPBEXstdItemX 11 2 3 2" xfId="33067" xr:uid="{DFBD76AC-FD7F-432D-B891-C71E2177209A}"/>
    <cellStyle name="SAPBEXstdItemX 11 2 4" xfId="26936" xr:uid="{00000000-0005-0000-0000-0000FC720000}"/>
    <cellStyle name="SAPBEXstdItemX 11 2 4 2" xfId="31697" xr:uid="{6DADB447-29E9-4F1D-A32C-EC5FF1F59ED4}"/>
    <cellStyle name="SAPBEXstdItemX 11 2 5" xfId="30062" xr:uid="{00000000-0005-0000-0000-0000FD720000}"/>
    <cellStyle name="SAPBEXstdItemX 11 2 6" xfId="30551" xr:uid="{8E824CFF-6EE6-4B9C-8D55-8F9F4A63DF9A}"/>
    <cellStyle name="SAPBEXstdItemX 11 3" xfId="25733" xr:uid="{00000000-0005-0000-0000-0000FE720000}"/>
    <cellStyle name="SAPBEXstdItemX 11 3 2" xfId="27886" xr:uid="{00000000-0005-0000-0000-0000FF720000}"/>
    <cellStyle name="SAPBEXstdItemX 11 3 2 2" xfId="32473" xr:uid="{982B4582-EE8C-4C66-AEF0-D57E4776F136}"/>
    <cellStyle name="SAPBEXstdItemX 11 3 3" xfId="28510" xr:uid="{00000000-0005-0000-0000-000000730000}"/>
    <cellStyle name="SAPBEXstdItemX 11 3 3 2" xfId="33068" xr:uid="{97D7F3ED-666C-4489-BDDF-EAAE5B679DFC}"/>
    <cellStyle name="SAPBEXstdItemX 11 3 4" xfId="26503" xr:uid="{00000000-0005-0000-0000-000001730000}"/>
    <cellStyle name="SAPBEXstdItemX 11 3 4 2" xfId="31291" xr:uid="{1A0A6709-935F-4649-9B34-D1B0D390BF5D}"/>
    <cellStyle name="SAPBEXstdItemX 11 3 5" xfId="30063" xr:uid="{00000000-0005-0000-0000-000002730000}"/>
    <cellStyle name="SAPBEXstdItemX 11 3 6" xfId="30727" xr:uid="{FC27EFC6-ACD8-4E9C-B916-EAF31F2B71F2}"/>
    <cellStyle name="SAPBEXstdItemX 11 4" xfId="27420" xr:uid="{00000000-0005-0000-0000-000003730000}"/>
    <cellStyle name="SAPBEXstdItemX 11 4 2" xfId="32018" xr:uid="{8F59E05C-E4EC-4591-A253-78017FF4FF77}"/>
    <cellStyle name="SAPBEXstdItemX 11 5" xfId="28508" xr:uid="{00000000-0005-0000-0000-000004730000}"/>
    <cellStyle name="SAPBEXstdItemX 11 5 2" xfId="33066" xr:uid="{D6532987-E911-4FFD-86A4-F6D73E05B852}"/>
    <cellStyle name="SAPBEXstdItemX 11 6" xfId="26901" xr:uid="{00000000-0005-0000-0000-000005730000}"/>
    <cellStyle name="SAPBEXstdItemX 11 6 2" xfId="31662" xr:uid="{242F3B15-E70B-4502-B22D-7B1B97010A27}"/>
    <cellStyle name="SAPBEXstdItemX 11 7" xfId="30061" xr:uid="{00000000-0005-0000-0000-000006730000}"/>
    <cellStyle name="SAPBEXstdItemX 11 8" xfId="30435" xr:uid="{420A8787-3A43-48AB-B173-80A93038E12F}"/>
    <cellStyle name="SAPBEXstdItemX 12" xfId="25875" xr:uid="{00000000-0005-0000-0000-000007730000}"/>
    <cellStyle name="SAPBEXstdItemX 12 2" xfId="30794" xr:uid="{BC8DDD42-1B18-4A77-A0DC-EC76A27862BA}"/>
    <cellStyle name="SAPBEXstdItemX 13" xfId="28504" xr:uid="{00000000-0005-0000-0000-000008730000}"/>
    <cellStyle name="SAPBEXstdItemX 13 2" xfId="33062" xr:uid="{306B671E-2CA5-4283-9CC2-6C5C3A114545}"/>
    <cellStyle name="SAPBEXstdItemX 14" xfId="29231" xr:uid="{00000000-0005-0000-0000-000009730000}"/>
    <cellStyle name="SAPBEXstdItemX 14 2" xfId="33214" xr:uid="{3B6CE51F-2FEF-4519-A55B-E8B4FB785D61}"/>
    <cellStyle name="SAPBEXstdItemX 15" xfId="30057" xr:uid="{00000000-0005-0000-0000-00000A730000}"/>
    <cellStyle name="SAPBEXstdItemX 2" xfId="145" xr:uid="{00000000-0005-0000-0000-00000B730000}"/>
    <cellStyle name="SAPBEXstdItemX 2 2" xfId="13679" xr:uid="{00000000-0005-0000-0000-00000C730000}"/>
    <cellStyle name="SAPBEXstdItemX 2 2 2" xfId="25517" xr:uid="{00000000-0005-0000-0000-00000D730000}"/>
    <cellStyle name="SAPBEXstdItemX 2 2 2 2" xfId="27670" xr:uid="{00000000-0005-0000-0000-00000E730000}"/>
    <cellStyle name="SAPBEXstdItemX 2 2 2 2 2" xfId="32257" xr:uid="{F301BCE4-7412-4D58-91FE-BA8D26C45B89}"/>
    <cellStyle name="SAPBEXstdItemX 2 2 2 3" xfId="28513" xr:uid="{00000000-0005-0000-0000-00000F730000}"/>
    <cellStyle name="SAPBEXstdItemX 2 2 2 3 2" xfId="33071" xr:uid="{E971B834-8FDA-4C39-B881-D7198F76055C}"/>
    <cellStyle name="SAPBEXstdItemX 2 2 2 4" xfId="26533" xr:uid="{00000000-0005-0000-0000-000010730000}"/>
    <cellStyle name="SAPBEXstdItemX 2 2 2 4 2" xfId="31320" xr:uid="{FD055C53-4284-49A6-8999-E48C8CAC182D}"/>
    <cellStyle name="SAPBEXstdItemX 2 2 2 5" xfId="30066" xr:uid="{00000000-0005-0000-0000-000011730000}"/>
    <cellStyle name="SAPBEXstdItemX 2 2 3" xfId="26621" xr:uid="{00000000-0005-0000-0000-000012730000}"/>
    <cellStyle name="SAPBEXstdItemX 2 2 3 2" xfId="31399" xr:uid="{8EF8B65D-8512-4257-87ED-DECF5B810A74}"/>
    <cellStyle name="SAPBEXstdItemX 2 2 4" xfId="28512" xr:uid="{00000000-0005-0000-0000-000013730000}"/>
    <cellStyle name="SAPBEXstdItemX 2 2 4 2" xfId="33070" xr:uid="{B711DA77-B8FE-445B-A5DA-37F3EED58D11}"/>
    <cellStyle name="SAPBEXstdItemX 2 2 5" xfId="26148" xr:uid="{00000000-0005-0000-0000-000014730000}"/>
    <cellStyle name="SAPBEXstdItemX 2 2 5 2" xfId="30937" xr:uid="{BD061F09-CAB7-48D3-8A1D-748D6B8CF1E1}"/>
    <cellStyle name="SAPBEXstdItemX 2 2 6" xfId="30065" xr:uid="{00000000-0005-0000-0000-000015730000}"/>
    <cellStyle name="SAPBEXstdItemX 2 2 7" xfId="30219" xr:uid="{B6403426-D85D-41E5-B79D-E57BB10DAEEE}"/>
    <cellStyle name="SAPBEXstdItemX 2 3" xfId="25876" xr:uid="{00000000-0005-0000-0000-000016730000}"/>
    <cellStyle name="SAPBEXstdItemX 2 3 2" xfId="30795" xr:uid="{5A72E37F-BF9E-4E87-8CBE-2A256ACE2B03}"/>
    <cellStyle name="SAPBEXstdItemX 2 4" xfId="28511" xr:uid="{00000000-0005-0000-0000-000017730000}"/>
    <cellStyle name="SAPBEXstdItemX 2 4 2" xfId="33069" xr:uid="{9D8DF68B-372D-4711-B7A8-9725E7A1D69E}"/>
    <cellStyle name="SAPBEXstdItemX 2 5" xfId="29195" xr:uid="{00000000-0005-0000-0000-000018730000}"/>
    <cellStyle name="SAPBEXstdItemX 2 5 2" xfId="33178" xr:uid="{5D261E12-24F4-4BC2-8E5E-DB3C76DA0D10}"/>
    <cellStyle name="SAPBEXstdItemX 2 6" xfId="30064" xr:uid="{00000000-0005-0000-0000-000019730000}"/>
    <cellStyle name="SAPBEXstdItemX 3" xfId="270" xr:uid="{00000000-0005-0000-0000-00001A730000}"/>
    <cellStyle name="SAPBEXstdItemX 3 2" xfId="13732" xr:uid="{00000000-0005-0000-0000-00001B730000}"/>
    <cellStyle name="SAPBEXstdItemX 3 2 2" xfId="25545" xr:uid="{00000000-0005-0000-0000-00001C730000}"/>
    <cellStyle name="SAPBEXstdItemX 3 2 2 2" xfId="27698" xr:uid="{00000000-0005-0000-0000-00001D730000}"/>
    <cellStyle name="SAPBEXstdItemX 3 2 2 2 2" xfId="32285" xr:uid="{8BBA2E43-F3F8-4A4A-9B7E-D57AB4CD30DC}"/>
    <cellStyle name="SAPBEXstdItemX 3 2 2 3" xfId="28516" xr:uid="{00000000-0005-0000-0000-00001E730000}"/>
    <cellStyle name="SAPBEXstdItemX 3 2 2 3 2" xfId="33074" xr:uid="{DDA3E2BC-79A7-4051-B5F3-EDB911F1D5E9}"/>
    <cellStyle name="SAPBEXstdItemX 3 2 2 4" xfId="26382" xr:uid="{00000000-0005-0000-0000-00001F730000}"/>
    <cellStyle name="SAPBEXstdItemX 3 2 2 4 2" xfId="31170" xr:uid="{4C739ED3-4FBE-4EEC-A057-13BBAA17C82D}"/>
    <cellStyle name="SAPBEXstdItemX 3 2 2 5" xfId="30069" xr:uid="{00000000-0005-0000-0000-000020730000}"/>
    <cellStyle name="SAPBEXstdItemX 3 2 3" xfId="26652" xr:uid="{00000000-0005-0000-0000-000021730000}"/>
    <cellStyle name="SAPBEXstdItemX 3 2 3 2" xfId="31429" xr:uid="{80A8558D-9CD1-4C88-8B24-7B019C48ACE4}"/>
    <cellStyle name="SAPBEXstdItemX 3 2 4" xfId="28515" xr:uid="{00000000-0005-0000-0000-000022730000}"/>
    <cellStyle name="SAPBEXstdItemX 3 2 4 2" xfId="33073" xr:uid="{3DA91B19-0041-4F6D-AD00-9F022D097686}"/>
    <cellStyle name="SAPBEXstdItemX 3 2 5" xfId="26866" xr:uid="{00000000-0005-0000-0000-000023730000}"/>
    <cellStyle name="SAPBEXstdItemX 3 2 5 2" xfId="31627" xr:uid="{F4DF52B3-71E3-4964-B3D5-2C159709FBF7}"/>
    <cellStyle name="SAPBEXstdItemX 3 2 6" xfId="30068" xr:uid="{00000000-0005-0000-0000-000024730000}"/>
    <cellStyle name="SAPBEXstdItemX 3 2 7" xfId="30247" xr:uid="{7D145856-47CB-4BCF-839F-FE68AFABF04C}"/>
    <cellStyle name="SAPBEXstdItemX 3 3" xfId="25935" xr:uid="{00000000-0005-0000-0000-000025730000}"/>
    <cellStyle name="SAPBEXstdItemX 3 3 2" xfId="30824" xr:uid="{1AE69990-0467-4998-85D4-8056033595FC}"/>
    <cellStyle name="SAPBEXstdItemX 3 4" xfId="28514" xr:uid="{00000000-0005-0000-0000-000026730000}"/>
    <cellStyle name="SAPBEXstdItemX 3 4 2" xfId="33072" xr:uid="{017DA5A1-C96A-4258-AC38-9EE460AF55C8}"/>
    <cellStyle name="SAPBEXstdItemX 3 5" xfId="29221" xr:uid="{00000000-0005-0000-0000-000027730000}"/>
    <cellStyle name="SAPBEXstdItemX 3 5 2" xfId="33204" xr:uid="{771D8C86-ACE4-4150-A5EA-729288498D8B}"/>
    <cellStyle name="SAPBEXstdItemX 3 6" xfId="30067" xr:uid="{00000000-0005-0000-0000-000028730000}"/>
    <cellStyle name="SAPBEXstdItemX 4" xfId="271" xr:uid="{00000000-0005-0000-0000-000029730000}"/>
    <cellStyle name="SAPBEXstdItemX 4 2" xfId="13733" xr:uid="{00000000-0005-0000-0000-00002A730000}"/>
    <cellStyle name="SAPBEXstdItemX 4 2 2" xfId="25546" xr:uid="{00000000-0005-0000-0000-00002B730000}"/>
    <cellStyle name="SAPBEXstdItemX 4 2 2 2" xfId="27699" xr:uid="{00000000-0005-0000-0000-00002C730000}"/>
    <cellStyle name="SAPBEXstdItemX 4 2 2 2 2" xfId="32286" xr:uid="{FC528E10-79F8-47C9-A076-9DB4C710C98A}"/>
    <cellStyle name="SAPBEXstdItemX 4 2 2 3" xfId="28519" xr:uid="{00000000-0005-0000-0000-00002D730000}"/>
    <cellStyle name="SAPBEXstdItemX 4 2 2 3 2" xfId="33077" xr:uid="{9BA3EB99-56A3-4744-B4E1-2986FB88B5FE}"/>
    <cellStyle name="SAPBEXstdItemX 4 2 2 4" xfId="26059" xr:uid="{00000000-0005-0000-0000-00002E730000}"/>
    <cellStyle name="SAPBEXstdItemX 4 2 2 4 2" xfId="30849" xr:uid="{E5D060F9-0642-4671-B7CC-BDEC86259764}"/>
    <cellStyle name="SAPBEXstdItemX 4 2 2 5" xfId="30072" xr:uid="{00000000-0005-0000-0000-00002F730000}"/>
    <cellStyle name="SAPBEXstdItemX 4 2 3" xfId="26653" xr:uid="{00000000-0005-0000-0000-000030730000}"/>
    <cellStyle name="SAPBEXstdItemX 4 2 3 2" xfId="31430" xr:uid="{684137D4-AE1E-4736-9F2B-CD0B50A5F85F}"/>
    <cellStyle name="SAPBEXstdItemX 4 2 4" xfId="28518" xr:uid="{00000000-0005-0000-0000-000031730000}"/>
    <cellStyle name="SAPBEXstdItemX 4 2 4 2" xfId="33076" xr:uid="{E00A8E8E-3321-4449-94A1-34D279EE9074}"/>
    <cellStyle name="SAPBEXstdItemX 4 2 5" xfId="26252" xr:uid="{00000000-0005-0000-0000-000032730000}"/>
    <cellStyle name="SAPBEXstdItemX 4 2 5 2" xfId="31040" xr:uid="{7EE8F957-3FA4-4E4E-A440-E03B5883C4BF}"/>
    <cellStyle name="SAPBEXstdItemX 4 2 6" xfId="30071" xr:uid="{00000000-0005-0000-0000-000033730000}"/>
    <cellStyle name="SAPBEXstdItemX 4 2 7" xfId="30248" xr:uid="{AE0A61D7-07C0-4FDC-9CB4-1DC661638F62}"/>
    <cellStyle name="SAPBEXstdItemX 4 3" xfId="25936" xr:uid="{00000000-0005-0000-0000-000034730000}"/>
    <cellStyle name="SAPBEXstdItemX 4 3 2" xfId="30825" xr:uid="{D47DDF7E-67D7-4FB5-ACA9-5FB0377066D1}"/>
    <cellStyle name="SAPBEXstdItemX 4 4" xfId="28517" xr:uid="{00000000-0005-0000-0000-000035730000}"/>
    <cellStyle name="SAPBEXstdItemX 4 4 2" xfId="33075" xr:uid="{36FE4F9E-BECB-40EC-A9FD-C82DAD89DC74}"/>
    <cellStyle name="SAPBEXstdItemX 4 5" xfId="26433" xr:uid="{00000000-0005-0000-0000-000036730000}"/>
    <cellStyle name="SAPBEXstdItemX 4 5 2" xfId="31221" xr:uid="{6DDD48BE-46E8-4F80-8A5E-3ADF3EC97C15}"/>
    <cellStyle name="SAPBEXstdItemX 4 6" xfId="30070" xr:uid="{00000000-0005-0000-0000-000037730000}"/>
    <cellStyle name="SAPBEXstdItemX 5" xfId="272" xr:uid="{00000000-0005-0000-0000-000038730000}"/>
    <cellStyle name="SAPBEXstdItemX 5 2" xfId="13734" xr:uid="{00000000-0005-0000-0000-000039730000}"/>
    <cellStyle name="SAPBEXstdItemX 5 2 2" xfId="25547" xr:uid="{00000000-0005-0000-0000-00003A730000}"/>
    <cellStyle name="SAPBEXstdItemX 5 2 2 2" xfId="27700" xr:uid="{00000000-0005-0000-0000-00003B730000}"/>
    <cellStyle name="SAPBEXstdItemX 5 2 2 2 2" xfId="32287" xr:uid="{6EE99632-DF73-4094-BF31-9EEAE0FFEA12}"/>
    <cellStyle name="SAPBEXstdItemX 5 2 2 3" xfId="28522" xr:uid="{00000000-0005-0000-0000-00003C730000}"/>
    <cellStyle name="SAPBEXstdItemX 5 2 2 3 2" xfId="33080" xr:uid="{2B12378D-44AB-4067-B268-6BEB88A042D8}"/>
    <cellStyle name="SAPBEXstdItemX 5 2 2 4" xfId="26853" xr:uid="{00000000-0005-0000-0000-00003D730000}"/>
    <cellStyle name="SAPBEXstdItemX 5 2 2 4 2" xfId="31614" xr:uid="{E2C86D21-7F8A-4908-97A2-B5AF7A4DF18F}"/>
    <cellStyle name="SAPBEXstdItemX 5 2 2 5" xfId="30075" xr:uid="{00000000-0005-0000-0000-00003E730000}"/>
    <cellStyle name="SAPBEXstdItemX 5 2 3" xfId="26654" xr:uid="{00000000-0005-0000-0000-00003F730000}"/>
    <cellStyle name="SAPBEXstdItemX 5 2 3 2" xfId="31431" xr:uid="{B0FFD81B-6646-421B-B5EB-38EC0949E029}"/>
    <cellStyle name="SAPBEXstdItemX 5 2 4" xfId="28521" xr:uid="{00000000-0005-0000-0000-000040730000}"/>
    <cellStyle name="SAPBEXstdItemX 5 2 4 2" xfId="33079" xr:uid="{7F8870CD-6134-475E-A357-27B91ED208A5}"/>
    <cellStyle name="SAPBEXstdItemX 5 2 5" xfId="26907" xr:uid="{00000000-0005-0000-0000-000041730000}"/>
    <cellStyle name="SAPBEXstdItemX 5 2 5 2" xfId="31668" xr:uid="{0B28BC9F-A0EA-4FF5-A0FE-9B874C5E04F3}"/>
    <cellStyle name="SAPBEXstdItemX 5 2 6" xfId="30074" xr:uid="{00000000-0005-0000-0000-000042730000}"/>
    <cellStyle name="SAPBEXstdItemX 5 2 7" xfId="30249" xr:uid="{AC91DFF6-B9BB-479E-B800-1F1155984BF5}"/>
    <cellStyle name="SAPBEXstdItemX 5 3" xfId="25937" xr:uid="{00000000-0005-0000-0000-000043730000}"/>
    <cellStyle name="SAPBEXstdItemX 5 3 2" xfId="30826" xr:uid="{723BAB75-E70A-4700-B7BC-6E9D96072EEB}"/>
    <cellStyle name="SAPBEXstdItemX 5 4" xfId="28520" xr:uid="{00000000-0005-0000-0000-000044730000}"/>
    <cellStyle name="SAPBEXstdItemX 5 4 2" xfId="33078" xr:uid="{E807CC80-1593-4149-8695-00E1AFB2A1B4}"/>
    <cellStyle name="SAPBEXstdItemX 5 5" xfId="27930" xr:uid="{00000000-0005-0000-0000-000045730000}"/>
    <cellStyle name="SAPBEXstdItemX 5 5 2" xfId="32488" xr:uid="{096DDE8C-4754-4693-ABC9-F82FDE129BC1}"/>
    <cellStyle name="SAPBEXstdItemX 5 6" xfId="30073" xr:uid="{00000000-0005-0000-0000-000046730000}"/>
    <cellStyle name="SAPBEXstdItemX 6" xfId="273" xr:uid="{00000000-0005-0000-0000-000047730000}"/>
    <cellStyle name="SAPBEXstdItemX 6 2" xfId="13735" xr:uid="{00000000-0005-0000-0000-000048730000}"/>
    <cellStyle name="SAPBEXstdItemX 6 2 2" xfId="25548" xr:uid="{00000000-0005-0000-0000-000049730000}"/>
    <cellStyle name="SAPBEXstdItemX 6 2 2 2" xfId="27701" xr:uid="{00000000-0005-0000-0000-00004A730000}"/>
    <cellStyle name="SAPBEXstdItemX 6 2 2 2 2" xfId="32288" xr:uid="{11C3BCD7-324A-4C55-BE8E-21A4FA27A42F}"/>
    <cellStyle name="SAPBEXstdItemX 6 2 2 3" xfId="28525" xr:uid="{00000000-0005-0000-0000-00004B730000}"/>
    <cellStyle name="SAPBEXstdItemX 6 2 2 3 2" xfId="33083" xr:uid="{2800FA63-C15A-472C-B9CA-E1561B365FBB}"/>
    <cellStyle name="SAPBEXstdItemX 6 2 2 4" xfId="26784" xr:uid="{00000000-0005-0000-0000-00004C730000}"/>
    <cellStyle name="SAPBEXstdItemX 6 2 2 4 2" xfId="31545" xr:uid="{BD4EE693-716F-4ACD-93EE-9E9DBC3093ED}"/>
    <cellStyle name="SAPBEXstdItemX 6 2 2 5" xfId="30078" xr:uid="{00000000-0005-0000-0000-00004D730000}"/>
    <cellStyle name="SAPBEXstdItemX 6 2 3" xfId="26655" xr:uid="{00000000-0005-0000-0000-00004E730000}"/>
    <cellStyle name="SAPBEXstdItemX 6 2 3 2" xfId="31432" xr:uid="{F8A5FCA0-3BA1-43CD-AEF6-22B46B668D2E}"/>
    <cellStyle name="SAPBEXstdItemX 6 2 4" xfId="28524" xr:uid="{00000000-0005-0000-0000-00004F730000}"/>
    <cellStyle name="SAPBEXstdItemX 6 2 4 2" xfId="33082" xr:uid="{87E6B9E0-47F8-4F13-BC53-6A564ABD6FC8}"/>
    <cellStyle name="SAPBEXstdItemX 6 2 5" xfId="26344" xr:uid="{00000000-0005-0000-0000-000050730000}"/>
    <cellStyle name="SAPBEXstdItemX 6 2 5 2" xfId="31132" xr:uid="{EC09C0D6-16B6-439C-84E8-BA3D06180146}"/>
    <cellStyle name="SAPBEXstdItemX 6 2 6" xfId="30077" xr:uid="{00000000-0005-0000-0000-000051730000}"/>
    <cellStyle name="SAPBEXstdItemX 6 2 7" xfId="30250" xr:uid="{C680E9A1-59B9-4A19-8572-FA25172AF7AE}"/>
    <cellStyle name="SAPBEXstdItemX 6 3" xfId="25938" xr:uid="{00000000-0005-0000-0000-000052730000}"/>
    <cellStyle name="SAPBEXstdItemX 6 3 2" xfId="30827" xr:uid="{189D7F85-42C2-4F5C-8212-C933626A3831}"/>
    <cellStyle name="SAPBEXstdItemX 6 4" xfId="28523" xr:uid="{00000000-0005-0000-0000-000053730000}"/>
    <cellStyle name="SAPBEXstdItemX 6 4 2" xfId="33081" xr:uid="{E5419951-A691-4CFF-927B-563A17FA0816}"/>
    <cellStyle name="SAPBEXstdItemX 6 5" xfId="29220" xr:uid="{00000000-0005-0000-0000-000054730000}"/>
    <cellStyle name="SAPBEXstdItemX 6 5 2" xfId="33203" xr:uid="{F46F8C07-D52E-4095-A9C2-D716C9112FED}"/>
    <cellStyle name="SAPBEXstdItemX 6 6" xfId="30076" xr:uid="{00000000-0005-0000-0000-000055730000}"/>
    <cellStyle name="SAPBEXstdItemX 7" xfId="274" xr:uid="{00000000-0005-0000-0000-000056730000}"/>
    <cellStyle name="SAPBEXstdItemX 7 2" xfId="13736" xr:uid="{00000000-0005-0000-0000-000057730000}"/>
    <cellStyle name="SAPBEXstdItemX 7 2 2" xfId="25549" xr:uid="{00000000-0005-0000-0000-000058730000}"/>
    <cellStyle name="SAPBEXstdItemX 7 2 2 2" xfId="27702" xr:uid="{00000000-0005-0000-0000-000059730000}"/>
    <cellStyle name="SAPBEXstdItemX 7 2 2 2 2" xfId="32289" xr:uid="{B93ACB71-6D13-41FC-8697-CB5E7AD8341F}"/>
    <cellStyle name="SAPBEXstdItemX 7 2 2 3" xfId="28528" xr:uid="{00000000-0005-0000-0000-00005A730000}"/>
    <cellStyle name="SAPBEXstdItemX 7 2 2 3 2" xfId="33086" xr:uid="{D19F5BCA-A1AB-4875-BF6C-061B1003A3BD}"/>
    <cellStyle name="SAPBEXstdItemX 7 2 2 4" xfId="26260" xr:uid="{00000000-0005-0000-0000-00005B730000}"/>
    <cellStyle name="SAPBEXstdItemX 7 2 2 4 2" xfId="31048" xr:uid="{0B5CEE1A-6271-48FF-B334-390DE5EDC680}"/>
    <cellStyle name="SAPBEXstdItemX 7 2 2 5" xfId="30081" xr:uid="{00000000-0005-0000-0000-00005C730000}"/>
    <cellStyle name="SAPBEXstdItemX 7 2 3" xfId="26656" xr:uid="{00000000-0005-0000-0000-00005D730000}"/>
    <cellStyle name="SAPBEXstdItemX 7 2 3 2" xfId="31433" xr:uid="{0EA861F8-4675-4D92-AC03-4CBCBF3FE8D5}"/>
    <cellStyle name="SAPBEXstdItemX 7 2 4" xfId="28527" xr:uid="{00000000-0005-0000-0000-00005E730000}"/>
    <cellStyle name="SAPBEXstdItemX 7 2 4 2" xfId="33085" xr:uid="{FDA09D18-3BB8-4AB5-9976-4F51924ECF52}"/>
    <cellStyle name="SAPBEXstdItemX 7 2 5" xfId="26983" xr:uid="{00000000-0005-0000-0000-00005F730000}"/>
    <cellStyle name="SAPBEXstdItemX 7 2 5 2" xfId="31744" xr:uid="{336AEBD4-2B34-4CDA-8B36-8255DE691433}"/>
    <cellStyle name="SAPBEXstdItemX 7 2 6" xfId="30080" xr:uid="{00000000-0005-0000-0000-000060730000}"/>
    <cellStyle name="SAPBEXstdItemX 7 2 7" xfId="30251" xr:uid="{EBD6C858-9C96-47AB-B594-C49322D1F6AD}"/>
    <cellStyle name="SAPBEXstdItemX 7 3" xfId="25939" xr:uid="{00000000-0005-0000-0000-000061730000}"/>
    <cellStyle name="SAPBEXstdItemX 7 3 2" xfId="30828" xr:uid="{F33AFE55-1C43-4A7D-B5C9-B35B2B29CBB2}"/>
    <cellStyle name="SAPBEXstdItemX 7 4" xfId="28526" xr:uid="{00000000-0005-0000-0000-000062730000}"/>
    <cellStyle name="SAPBEXstdItemX 7 4 2" xfId="33084" xr:uid="{A96A4E1F-D61A-4512-8C00-69908C61CA73}"/>
    <cellStyle name="SAPBEXstdItemX 7 5" xfId="27019" xr:uid="{00000000-0005-0000-0000-000063730000}"/>
    <cellStyle name="SAPBEXstdItemX 7 5 2" xfId="31779" xr:uid="{51429CE8-F284-4A88-BCED-163B7FE73601}"/>
    <cellStyle name="SAPBEXstdItemX 7 6" xfId="30079" xr:uid="{00000000-0005-0000-0000-000064730000}"/>
    <cellStyle name="SAPBEXstdItemX 8" xfId="417" xr:uid="{00000000-0005-0000-0000-000065730000}"/>
    <cellStyle name="SAPBEXstdItemX 8 2" xfId="13796" xr:uid="{00000000-0005-0000-0000-000066730000}"/>
    <cellStyle name="SAPBEXstdItemX 8 2 2" xfId="25554" xr:uid="{00000000-0005-0000-0000-000067730000}"/>
    <cellStyle name="SAPBEXstdItemX 8 2 2 2" xfId="27707" xr:uid="{00000000-0005-0000-0000-000068730000}"/>
    <cellStyle name="SAPBEXstdItemX 8 2 2 2 2" xfId="32294" xr:uid="{58BAB257-47CA-41F4-A638-5AB553E69E49}"/>
    <cellStyle name="SAPBEXstdItemX 8 2 2 3" xfId="28531" xr:uid="{00000000-0005-0000-0000-000069730000}"/>
    <cellStyle name="SAPBEXstdItemX 8 2 2 3 2" xfId="33089" xr:uid="{9D9EBBFB-8916-40BE-8303-700E2577E6D7}"/>
    <cellStyle name="SAPBEXstdItemX 8 2 2 4" xfId="26424" xr:uid="{00000000-0005-0000-0000-00006A730000}"/>
    <cellStyle name="SAPBEXstdItemX 8 2 2 4 2" xfId="31212" xr:uid="{96890A57-9D45-4664-B0B7-BBB12C9EF8C1}"/>
    <cellStyle name="SAPBEXstdItemX 8 2 2 5" xfId="30084" xr:uid="{00000000-0005-0000-0000-00006B730000}"/>
    <cellStyle name="SAPBEXstdItemX 8 2 3" xfId="26671" xr:uid="{00000000-0005-0000-0000-00006C730000}"/>
    <cellStyle name="SAPBEXstdItemX 8 2 3 2" xfId="31439" xr:uid="{5CE92563-2449-4044-B909-85EE0048475C}"/>
    <cellStyle name="SAPBEXstdItemX 8 2 4" xfId="28530" xr:uid="{00000000-0005-0000-0000-00006D730000}"/>
    <cellStyle name="SAPBEXstdItemX 8 2 4 2" xfId="33088" xr:uid="{573E094E-4A84-4491-8613-66296BE5D821}"/>
    <cellStyle name="SAPBEXstdItemX 8 2 5" xfId="26921" xr:uid="{00000000-0005-0000-0000-00006E730000}"/>
    <cellStyle name="SAPBEXstdItemX 8 2 5 2" xfId="31682" xr:uid="{E505CF38-C793-44BA-9D78-59C540D7A720}"/>
    <cellStyle name="SAPBEXstdItemX 8 2 6" xfId="30083" xr:uid="{00000000-0005-0000-0000-00006F730000}"/>
    <cellStyle name="SAPBEXstdItemX 8 2 7" xfId="30256" xr:uid="{4A17123D-C2DB-4A5B-966D-50B84868ECCB}"/>
    <cellStyle name="SAPBEXstdItemX 8 3" xfId="26012" xr:uid="{00000000-0005-0000-0000-000070730000}"/>
    <cellStyle name="SAPBEXstdItemX 8 3 2" xfId="30833" xr:uid="{C9923C25-7610-4B2A-B5A7-FF1BE0CF6C11}"/>
    <cellStyle name="SAPBEXstdItemX 8 4" xfId="28529" xr:uid="{00000000-0005-0000-0000-000071730000}"/>
    <cellStyle name="SAPBEXstdItemX 8 4 2" xfId="33087" xr:uid="{A8765E78-CF8D-46E6-B842-21ADDD4B03E2}"/>
    <cellStyle name="SAPBEXstdItemX 8 5" xfId="29219" xr:uid="{00000000-0005-0000-0000-000072730000}"/>
    <cellStyle name="SAPBEXstdItemX 8 5 2" xfId="33202" xr:uid="{6EA610E5-23A9-4C02-9F2B-B4AD52413FEF}"/>
    <cellStyle name="SAPBEXstdItemX 8 6" xfId="30082" xr:uid="{00000000-0005-0000-0000-000073730000}"/>
    <cellStyle name="SAPBEXstdItemX 9" xfId="13678" xr:uid="{00000000-0005-0000-0000-000074730000}"/>
    <cellStyle name="SAPBEXstdItemX 9 2" xfId="25516" xr:uid="{00000000-0005-0000-0000-000075730000}"/>
    <cellStyle name="SAPBEXstdItemX 9 2 2" xfId="27669" xr:uid="{00000000-0005-0000-0000-000076730000}"/>
    <cellStyle name="SAPBEXstdItemX 9 2 2 2" xfId="32256" xr:uid="{DE638686-9821-45B1-AAAD-DBEE24AAEEA8}"/>
    <cellStyle name="SAPBEXstdItemX 9 2 3" xfId="28533" xr:uid="{00000000-0005-0000-0000-000077730000}"/>
    <cellStyle name="SAPBEXstdItemX 9 2 3 2" xfId="33091" xr:uid="{5839C20F-2F53-402C-9F6A-B1D65109CA61}"/>
    <cellStyle name="SAPBEXstdItemX 9 2 4" xfId="26099" xr:uid="{00000000-0005-0000-0000-000078730000}"/>
    <cellStyle name="SAPBEXstdItemX 9 2 4 2" xfId="30889" xr:uid="{4BC93D4B-9E82-4748-BE6B-B9619D28ACC5}"/>
    <cellStyle name="SAPBEXstdItemX 9 2 5" xfId="30086" xr:uid="{00000000-0005-0000-0000-000079730000}"/>
    <cellStyle name="SAPBEXstdItemX 9 3" xfId="26620" xr:uid="{00000000-0005-0000-0000-00007A730000}"/>
    <cellStyle name="SAPBEXstdItemX 9 3 2" xfId="31398" xr:uid="{D9A55871-18BE-4C06-A4E6-F4720AFA8253}"/>
    <cellStyle name="SAPBEXstdItemX 9 4" xfId="28532" xr:uid="{00000000-0005-0000-0000-00007B730000}"/>
    <cellStyle name="SAPBEXstdItemX 9 4 2" xfId="33090" xr:uid="{B25FF3D0-5845-4317-8882-6C775D83DD17}"/>
    <cellStyle name="SAPBEXstdItemX 9 5" xfId="26945" xr:uid="{00000000-0005-0000-0000-00007C730000}"/>
    <cellStyle name="SAPBEXstdItemX 9 5 2" xfId="31706" xr:uid="{9A171132-910B-4C9E-86AF-44B5E9D3C55D}"/>
    <cellStyle name="SAPBEXstdItemX 9 6" xfId="30085" xr:uid="{00000000-0005-0000-0000-00007D730000}"/>
    <cellStyle name="SAPBEXstdItemX 9 7" xfId="30218" xr:uid="{EECE3B27-50DE-4A5E-A24D-C56EFB1E434D}"/>
    <cellStyle name="SAPBEXstdItemX_Copy of xSAPtemp5457" xfId="275" xr:uid="{00000000-0005-0000-0000-00007E730000}"/>
    <cellStyle name="SAPBEXtitle" xfId="7" xr:uid="{00000000-0005-0000-0000-00007F730000}"/>
    <cellStyle name="SAPBEXtitle 2" xfId="146" xr:uid="{00000000-0005-0000-0000-000080730000}"/>
    <cellStyle name="SAPBEXtitle 3" xfId="147" xr:uid="{00000000-0005-0000-0000-000081730000}"/>
    <cellStyle name="SAPBEXtitle 4" xfId="148" xr:uid="{00000000-0005-0000-0000-000082730000}"/>
    <cellStyle name="SAPBEXtitle 5" xfId="276" xr:uid="{00000000-0005-0000-0000-000083730000}"/>
    <cellStyle name="SAPBEXtitle 6" xfId="277" xr:uid="{00000000-0005-0000-0000-000084730000}"/>
    <cellStyle name="SAPBEXtitle 7" xfId="278" xr:uid="{00000000-0005-0000-0000-000085730000}"/>
    <cellStyle name="SAPBEXtitle 8" xfId="279" xr:uid="{00000000-0005-0000-0000-000086730000}"/>
    <cellStyle name="SAPBEXtitle_Copy of xSAPtemp5457" xfId="280" xr:uid="{00000000-0005-0000-0000-000087730000}"/>
    <cellStyle name="SAPBEXundefined" xfId="149" xr:uid="{00000000-0005-0000-0000-000088730000}"/>
    <cellStyle name="SAPBEXundefined 2" xfId="13680" xr:uid="{00000000-0005-0000-0000-000089730000}"/>
    <cellStyle name="SAPBEXundefined 2 2" xfId="25518" xr:uid="{00000000-0005-0000-0000-00008A730000}"/>
    <cellStyle name="SAPBEXundefined 2 2 2" xfId="27671" xr:uid="{00000000-0005-0000-0000-00008B730000}"/>
    <cellStyle name="SAPBEXundefined 2 2 2 2" xfId="32258" xr:uid="{BDC55BF4-7204-43E1-9F0E-59DF6E1491DE}"/>
    <cellStyle name="SAPBEXundefined 2 2 3" xfId="28536" xr:uid="{00000000-0005-0000-0000-00008C730000}"/>
    <cellStyle name="SAPBEXundefined 2 2 3 2" xfId="33094" xr:uid="{F5B48F76-AB89-485B-89EB-B74E01320F1A}"/>
    <cellStyle name="SAPBEXundefined 2 2 4" xfId="26161" xr:uid="{00000000-0005-0000-0000-00008D730000}"/>
    <cellStyle name="SAPBEXundefined 2 2 4 2" xfId="30950" xr:uid="{62D84EDE-257F-4089-B99B-929D0EFBFF1C}"/>
    <cellStyle name="SAPBEXundefined 2 2 5" xfId="30089" xr:uid="{00000000-0005-0000-0000-00008E730000}"/>
    <cellStyle name="SAPBEXundefined 2 3" xfId="26622" xr:uid="{00000000-0005-0000-0000-00008F730000}"/>
    <cellStyle name="SAPBEXundefined 2 3 2" xfId="31400" xr:uid="{612E5BF1-7D78-407C-874D-41D1AE7F3678}"/>
    <cellStyle name="SAPBEXundefined 2 4" xfId="28535" xr:uid="{00000000-0005-0000-0000-000090730000}"/>
    <cellStyle name="SAPBEXundefined 2 4 2" xfId="33093" xr:uid="{F7132882-E4AA-458E-90B7-09833B19C24D}"/>
    <cellStyle name="SAPBEXundefined 2 5" xfId="26700" xr:uid="{00000000-0005-0000-0000-000091730000}"/>
    <cellStyle name="SAPBEXundefined 2 5 2" xfId="31462" xr:uid="{C7FC8AFA-0FD0-4F25-B21E-5642022C53F4}"/>
    <cellStyle name="SAPBEXundefined 2 6" xfId="30088" xr:uid="{00000000-0005-0000-0000-000092730000}"/>
    <cellStyle name="SAPBEXundefined 2 7" xfId="30220" xr:uid="{E9DC0663-EFBF-4B06-B157-9A2226886898}"/>
    <cellStyle name="SAPBEXundefined 3" xfId="24637" xr:uid="{00000000-0005-0000-0000-000093730000}"/>
    <cellStyle name="SAPBEXundefined 3 2" xfId="25290" xr:uid="{00000000-0005-0000-0000-000094730000}"/>
    <cellStyle name="SAPBEXundefined 3 2 2" xfId="27445" xr:uid="{00000000-0005-0000-0000-000095730000}"/>
    <cellStyle name="SAPBEXundefined 3 2 2 2" xfId="32040" xr:uid="{9DA453D4-9299-42E6-BC85-AAC24FDCFE2B}"/>
    <cellStyle name="SAPBEXundefined 3 2 3" xfId="28538" xr:uid="{00000000-0005-0000-0000-000096730000}"/>
    <cellStyle name="SAPBEXundefined 3 2 3 2" xfId="33096" xr:uid="{D9831055-EEA6-47E3-9CAE-0E6F8AEBFB13}"/>
    <cellStyle name="SAPBEXundefined 3 2 4" xfId="26819" xr:uid="{00000000-0005-0000-0000-000097730000}"/>
    <cellStyle name="SAPBEXundefined 3 2 4 2" xfId="31580" xr:uid="{5A5C041F-C078-4E48-AE0C-5DB434731E3A}"/>
    <cellStyle name="SAPBEXundefined 3 2 5" xfId="30091" xr:uid="{00000000-0005-0000-0000-000098730000}"/>
    <cellStyle name="SAPBEXundefined 3 2 6" xfId="30453" xr:uid="{FBD6A3B2-109A-4BBB-9236-1C6E178B9490}"/>
    <cellStyle name="SAPBEXundefined 3 3" xfId="25603" xr:uid="{00000000-0005-0000-0000-000099730000}"/>
    <cellStyle name="SAPBEXundefined 3 3 2" xfId="27756" xr:uid="{00000000-0005-0000-0000-00009A730000}"/>
    <cellStyle name="SAPBEXundefined 3 3 2 2" xfId="32343" xr:uid="{5D26A014-C50C-46AA-8A55-A1178A46A351}"/>
    <cellStyle name="SAPBEXundefined 3 3 3" xfId="28539" xr:uid="{00000000-0005-0000-0000-00009B730000}"/>
    <cellStyle name="SAPBEXundefined 3 3 3 2" xfId="33097" xr:uid="{8B10621F-339C-4A35-B3C1-C77C3A01A568}"/>
    <cellStyle name="SAPBEXundefined 3 3 4" xfId="26846" xr:uid="{00000000-0005-0000-0000-00009C730000}"/>
    <cellStyle name="SAPBEXundefined 3 3 4 2" xfId="31607" xr:uid="{20C1F85A-2827-44EE-AA74-4E54BD2D2DD2}"/>
    <cellStyle name="SAPBEXundefined 3 3 5" xfId="30092" xr:uid="{00000000-0005-0000-0000-00009D730000}"/>
    <cellStyle name="SAPBEXundefined 3 4" xfId="27230" xr:uid="{00000000-0005-0000-0000-00009E730000}"/>
    <cellStyle name="SAPBEXundefined 3 4 2" xfId="31865" xr:uid="{02982E18-B9C6-4B8A-B386-E8AF63731C13}"/>
    <cellStyle name="SAPBEXundefined 3 5" xfId="28537" xr:uid="{00000000-0005-0000-0000-00009F730000}"/>
    <cellStyle name="SAPBEXundefined 3 5 2" xfId="33095" xr:uid="{11D7B02E-52D6-43AE-B503-40FEE1D2555C}"/>
    <cellStyle name="SAPBEXundefined 3 6" xfId="27303" xr:uid="{00000000-0005-0000-0000-0000A0730000}"/>
    <cellStyle name="SAPBEXundefined 3 6 2" xfId="31932" xr:uid="{730DF74C-CC6B-4032-B2AE-1BE26E1B71F9}"/>
    <cellStyle name="SAPBEXundefined 3 7" xfId="30090" xr:uid="{00000000-0005-0000-0000-0000A1730000}"/>
    <cellStyle name="SAPBEXundefined 3 8" xfId="30305" xr:uid="{67B6F329-1088-4E68-A745-3D6961C43E10}"/>
    <cellStyle name="SAPBEXundefined 4" xfId="25136" xr:uid="{00000000-0005-0000-0000-0000A2730000}"/>
    <cellStyle name="SAPBEXundefined 4 2" xfId="25302" xr:uid="{00000000-0005-0000-0000-0000A3730000}"/>
    <cellStyle name="SAPBEXundefined 4 2 2" xfId="27456" xr:uid="{00000000-0005-0000-0000-0000A4730000}"/>
    <cellStyle name="SAPBEXundefined 4 2 2 2" xfId="32048" xr:uid="{2CF128D3-D9FC-4152-8E09-C81AA6AB47FA}"/>
    <cellStyle name="SAPBEXundefined 4 2 3" xfId="28541" xr:uid="{00000000-0005-0000-0000-0000A5730000}"/>
    <cellStyle name="SAPBEXundefined 4 2 3 2" xfId="33099" xr:uid="{D7D22DC2-C6A8-4B8D-A6C1-4FF4853F7251}"/>
    <cellStyle name="SAPBEXundefined 4 2 4" xfId="26109" xr:uid="{00000000-0005-0000-0000-0000A6730000}"/>
    <cellStyle name="SAPBEXundefined 4 2 4 2" xfId="30899" xr:uid="{19660AF1-8C1F-428D-82A4-D787F56D5985}"/>
    <cellStyle name="SAPBEXundefined 4 2 5" xfId="30094" xr:uid="{00000000-0005-0000-0000-0000A7730000}"/>
    <cellStyle name="SAPBEXundefined 4 2 6" xfId="30461" xr:uid="{0A01F62F-D495-4385-A9E6-EA570CF7E530}"/>
    <cellStyle name="SAPBEXundefined 4 3" xfId="25734" xr:uid="{00000000-0005-0000-0000-0000A8730000}"/>
    <cellStyle name="SAPBEXundefined 4 3 2" xfId="27887" xr:uid="{00000000-0005-0000-0000-0000A9730000}"/>
    <cellStyle name="SAPBEXundefined 4 3 2 2" xfId="32474" xr:uid="{360CCC03-6C0E-40FD-8357-7FC8C54C5A84}"/>
    <cellStyle name="SAPBEXundefined 4 3 3" xfId="28542" xr:uid="{00000000-0005-0000-0000-0000AA730000}"/>
    <cellStyle name="SAPBEXundefined 4 3 3 2" xfId="33100" xr:uid="{BF85F5D2-B6F8-4435-8E52-78FAE85D38B9}"/>
    <cellStyle name="SAPBEXundefined 4 3 4" xfId="26414" xr:uid="{00000000-0005-0000-0000-0000AB730000}"/>
    <cellStyle name="SAPBEXundefined 4 3 4 2" xfId="31202" xr:uid="{C4CB4795-BBD1-4A9B-840E-4F5C66F9ADC7}"/>
    <cellStyle name="SAPBEXundefined 4 3 5" xfId="30095" xr:uid="{00000000-0005-0000-0000-0000AC730000}"/>
    <cellStyle name="SAPBEXundefined 4 3 6" xfId="30728" xr:uid="{93F2A48A-243B-40C0-ABA9-07BCFDD330CF}"/>
    <cellStyle name="SAPBEXundefined 4 4" xfId="27421" xr:uid="{00000000-0005-0000-0000-0000AD730000}"/>
    <cellStyle name="SAPBEXundefined 4 4 2" xfId="32019" xr:uid="{6E514A2B-6693-49FA-8C82-6B556A3FA68A}"/>
    <cellStyle name="SAPBEXundefined 4 5" xfId="28540" xr:uid="{00000000-0005-0000-0000-0000AE730000}"/>
    <cellStyle name="SAPBEXundefined 4 5 2" xfId="33098" xr:uid="{9B91B373-E114-42BC-AE76-D06FA85C97F9}"/>
    <cellStyle name="SAPBEXundefined 4 6" xfId="26396" xr:uid="{00000000-0005-0000-0000-0000AF730000}"/>
    <cellStyle name="SAPBEXundefined 4 6 2" xfId="31184" xr:uid="{9A46F83B-EEA4-46C2-BADC-E1C413C67531}"/>
    <cellStyle name="SAPBEXundefined 4 7" xfId="30093" xr:uid="{00000000-0005-0000-0000-0000B0730000}"/>
    <cellStyle name="SAPBEXundefined 4 8" xfId="30436" xr:uid="{3D780699-2066-4027-80EE-10FA320F903F}"/>
    <cellStyle name="SAPBEXundefined 5" xfId="25877" xr:uid="{00000000-0005-0000-0000-0000B1730000}"/>
    <cellStyle name="SAPBEXundefined 5 2" xfId="30796" xr:uid="{7992197B-4F7D-40DB-BFAF-B2B6690295E2}"/>
    <cellStyle name="SAPBEXundefined 6" xfId="28534" xr:uid="{00000000-0005-0000-0000-0000B2730000}"/>
    <cellStyle name="SAPBEXundefined 6 2" xfId="33092" xr:uid="{521329CA-6D9F-4D30-9844-3E5135BA34B5}"/>
    <cellStyle name="SAPBEXundefined 7" xfId="26760" xr:uid="{00000000-0005-0000-0000-0000B3730000}"/>
    <cellStyle name="SAPBEXundefined 7 2" xfId="31521" xr:uid="{B362A1A0-73A4-4D62-A9FD-9CA06CBF605A}"/>
    <cellStyle name="SAPBEXundefined 8" xfId="30087" xr:uid="{00000000-0005-0000-0000-0000B4730000}"/>
    <cellStyle name="Shade" xfId="150" xr:uid="{00000000-0005-0000-0000-0000B5730000}"/>
    <cellStyle name="Shaded" xfId="615" xr:uid="{00000000-0005-0000-0000-0000B6730000}"/>
    <cellStyle name="Sheet Title" xfId="24273" xr:uid="{00000000-0005-0000-0000-0000B7730000}"/>
    <cellStyle name="Special" xfId="151" xr:uid="{00000000-0005-0000-0000-0000B8730000}"/>
    <cellStyle name="Special 2" xfId="25878" xr:uid="{00000000-0005-0000-0000-0000B9730000}"/>
    <cellStyle name="Special 3" xfId="28543" xr:uid="{00000000-0005-0000-0000-0000BA730000}"/>
    <cellStyle name="Special 3 2" xfId="33101" xr:uid="{588AE46A-41C9-47E8-BF6D-C8065FD2F889}"/>
    <cellStyle name="Special 4" xfId="30096" xr:uid="{00000000-0005-0000-0000-0000BB730000}"/>
    <cellStyle name="Special 4 2" xfId="33352" xr:uid="{B5DAA20B-90F2-4473-9E6B-1EA4BE6E2925}"/>
    <cellStyle name="Style 1" xfId="152" xr:uid="{00000000-0005-0000-0000-0000BC730000}"/>
    <cellStyle name="Style 1 2" xfId="24274" xr:uid="{00000000-0005-0000-0000-0000BD730000}"/>
    <cellStyle name="Style 1 2 2" xfId="27127" xr:uid="{00000000-0005-0000-0000-0000BE730000}"/>
    <cellStyle name="Style 1 3" xfId="23908" xr:uid="{00000000-0005-0000-0000-0000BF730000}"/>
    <cellStyle name="Style 1 4" xfId="25879" xr:uid="{00000000-0005-0000-0000-0000C0730000}"/>
    <cellStyle name="Style 1 5" xfId="29263" xr:uid="{00000000-0005-0000-0000-0000C1730000}"/>
    <cellStyle name="Style 2" xfId="29264" xr:uid="{00000000-0005-0000-0000-0000C2730000}"/>
    <cellStyle name="Style 27" xfId="153" xr:uid="{00000000-0005-0000-0000-0000C3730000}"/>
    <cellStyle name="Style 27 2" xfId="25880" xr:uid="{00000000-0005-0000-0000-0000C4730000}"/>
    <cellStyle name="Style 35" xfId="154" xr:uid="{00000000-0005-0000-0000-0000C5730000}"/>
    <cellStyle name="Style 36" xfId="155" xr:uid="{00000000-0005-0000-0000-0000C6730000}"/>
    <cellStyle name="Summary" xfId="616" xr:uid="{00000000-0005-0000-0000-0000C7730000}"/>
    <cellStyle name="System" xfId="617" xr:uid="{00000000-0005-0000-0000-0000C8730000}"/>
    <cellStyle name="Table Col Head" xfId="618" xr:uid="{00000000-0005-0000-0000-0000C9730000}"/>
    <cellStyle name="Table Sub Head" xfId="619" xr:uid="{00000000-0005-0000-0000-0000CA730000}"/>
    <cellStyle name="Table Title" xfId="620" xr:uid="{00000000-0005-0000-0000-0000CB730000}"/>
    <cellStyle name="Table Units" xfId="621" xr:uid="{00000000-0005-0000-0000-0000CC730000}"/>
    <cellStyle name="TableBase" xfId="622" xr:uid="{00000000-0005-0000-0000-0000CD730000}"/>
    <cellStyle name="TableBase 2" xfId="24528" xr:uid="{00000000-0005-0000-0000-0000CE730000}"/>
    <cellStyle name="TableBase 2 2" xfId="25352" xr:uid="{00000000-0005-0000-0000-0000CF730000}"/>
    <cellStyle name="TableBase 2 2 2" xfId="27506" xr:uid="{00000000-0005-0000-0000-0000D0730000}"/>
    <cellStyle name="TableBase 2 2 2 2" xfId="32097" xr:uid="{CE1D3B3D-01A0-4DDF-97FA-847A82D7A846}"/>
    <cellStyle name="TableBase 2 2 3" xfId="29197" xr:uid="{00000000-0005-0000-0000-0000D1730000}"/>
    <cellStyle name="TableBase 2 2 3 2" xfId="33180" xr:uid="{F71DBC97-94A3-45BC-A505-6F7B470C1533}"/>
    <cellStyle name="TableBase 2 2 4" xfId="27018" xr:uid="{00000000-0005-0000-0000-0000D2730000}"/>
    <cellStyle name="TableBase 2 2 4 2" xfId="31778" xr:uid="{0833D50F-7F5B-4921-B0D5-FFB91A9DAB25}"/>
    <cellStyle name="TableBase 2 2 5" xfId="29270" xr:uid="{00000000-0005-0000-0000-0000D3730000}"/>
    <cellStyle name="TableBase 2 2 6" xfId="29423" xr:uid="{00000000-0005-0000-0000-0000D4730000}"/>
    <cellStyle name="TableBase 2 2 7" xfId="30510" xr:uid="{65868625-B039-482E-96E9-C42A282F9469}"/>
    <cellStyle name="TableBase 2 3" xfId="25598" xr:uid="{00000000-0005-0000-0000-0000D5730000}"/>
    <cellStyle name="TableBase 2 3 2" xfId="27751" xr:uid="{00000000-0005-0000-0000-0000D6730000}"/>
    <cellStyle name="TableBase 2 3 2 2" xfId="32338" xr:uid="{F398C911-750B-4F76-8F5E-41D030D7EBFD}"/>
    <cellStyle name="TableBase 2 3 3" xfId="29234" xr:uid="{00000000-0005-0000-0000-0000D7730000}"/>
    <cellStyle name="TableBase 2 3 3 2" xfId="33217" xr:uid="{E54243C6-6F5D-4D40-BBB5-BBBD9E463CA6}"/>
    <cellStyle name="TableBase 2 3 4" xfId="26249" xr:uid="{00000000-0005-0000-0000-0000D8730000}"/>
    <cellStyle name="TableBase 2 3 4 2" xfId="31037" xr:uid="{8D9E6AC7-BD53-4928-92A4-37132158A0A7}"/>
    <cellStyle name="TableBase 2 3 5" xfId="29269" xr:uid="{00000000-0005-0000-0000-0000D9730000}"/>
    <cellStyle name="TableBase 2 3 6" xfId="29424" xr:uid="{00000000-0005-0000-0000-0000DA730000}"/>
    <cellStyle name="TableBase 2 3 7" xfId="30639" xr:uid="{B39F3AF0-8C6F-4B0B-AC55-965F0F5DAB48}"/>
    <cellStyle name="TableBase 2 4" xfId="27208" xr:uid="{00000000-0005-0000-0000-0000DB730000}"/>
    <cellStyle name="TableBase 2 4 2" xfId="31858" xr:uid="{045E42C3-D56B-4128-99FB-2ACA81DD8781}"/>
    <cellStyle name="TableBase 2 5" xfId="27038" xr:uid="{00000000-0005-0000-0000-0000DC730000}"/>
    <cellStyle name="TableBase 2 5 2" xfId="31789" xr:uid="{109C4FA2-84E0-4FA2-9037-BE4DEEED450D}"/>
    <cellStyle name="TableBase 2 6" xfId="26764" xr:uid="{00000000-0005-0000-0000-0000DD730000}"/>
    <cellStyle name="TableBase 2 6 2" xfId="31525" xr:uid="{794BC1CA-BB5D-4944-A82B-9F8B9D892063}"/>
    <cellStyle name="TableBase 2 7" xfId="29271" xr:uid="{00000000-0005-0000-0000-0000DE730000}"/>
    <cellStyle name="TableBase 2 8" xfId="29422" xr:uid="{00000000-0005-0000-0000-0000DF730000}"/>
    <cellStyle name="TableBase 2 9" xfId="30300" xr:uid="{D3820272-D3B7-415A-8FB7-AA84313CD6AB}"/>
    <cellStyle name="TableBase 3" xfId="24688" xr:uid="{00000000-0005-0000-0000-0000E0730000}"/>
    <cellStyle name="TableBase 3 2" xfId="25440" xr:uid="{00000000-0005-0000-0000-0000E1730000}"/>
    <cellStyle name="TableBase 3 2 2" xfId="27594" xr:uid="{00000000-0005-0000-0000-0000E2730000}"/>
    <cellStyle name="TableBase 3 2 2 2" xfId="32185" xr:uid="{925815FA-CA04-40E1-B188-E29CC1E0148D}"/>
    <cellStyle name="TableBase 3 2 3" xfId="29213" xr:uid="{00000000-0005-0000-0000-0000E3730000}"/>
    <cellStyle name="TableBase 3 2 3 2" xfId="33196" xr:uid="{7F5C0DE2-045E-4D25-BBFE-EA93089D0F5B}"/>
    <cellStyle name="TableBase 3 2 4" xfId="26338" xr:uid="{00000000-0005-0000-0000-0000E4730000}"/>
    <cellStyle name="TableBase 3 2 4 2" xfId="31126" xr:uid="{81E67D89-95C6-493B-9817-73B89208F7B1}"/>
    <cellStyle name="TableBase 3 2 5" xfId="29267" xr:uid="{00000000-0005-0000-0000-0000E5730000}"/>
    <cellStyle name="TableBase 3 2 6" xfId="29426" xr:uid="{00000000-0005-0000-0000-0000E6730000}"/>
    <cellStyle name="TableBase 3 2 7" xfId="30598" xr:uid="{ED54E79D-9107-41C5-850D-652AC3282B8B}"/>
    <cellStyle name="TableBase 3 3" xfId="25650" xr:uid="{00000000-0005-0000-0000-0000E7730000}"/>
    <cellStyle name="TableBase 3 3 2" xfId="27803" xr:uid="{00000000-0005-0000-0000-0000E8730000}"/>
    <cellStyle name="TableBase 3 3 2 2" xfId="32390" xr:uid="{10AE01FB-390D-4B97-ADE8-0265A1F1AE78}"/>
    <cellStyle name="TableBase 3 3 3" xfId="29236" xr:uid="{00000000-0005-0000-0000-0000E9730000}"/>
    <cellStyle name="TableBase 3 3 3 2" xfId="33218" xr:uid="{4E251EF7-D38E-4893-9208-93423C227400}"/>
    <cellStyle name="TableBase 3 3 4" xfId="26278" xr:uid="{00000000-0005-0000-0000-0000EA730000}"/>
    <cellStyle name="TableBase 3 3 4 2" xfId="31066" xr:uid="{7764611B-88DD-4EA7-A0FC-9B2C06FAB1B2}"/>
    <cellStyle name="TableBase 3 3 5" xfId="29266" xr:uid="{00000000-0005-0000-0000-0000EB730000}"/>
    <cellStyle name="TableBase 3 3 6" xfId="29427" xr:uid="{00000000-0005-0000-0000-0000EC730000}"/>
    <cellStyle name="TableBase 3 3 7" xfId="30644" xr:uid="{AEAB9BD3-6153-44FF-8BB6-D2FF88300096}"/>
    <cellStyle name="TableBase 3 4" xfId="27278" xr:uid="{00000000-0005-0000-0000-0000ED730000}"/>
    <cellStyle name="TableBase 3 4 2" xfId="31912" xr:uid="{BF207EEF-67E4-4B5A-B463-398417E61C5D}"/>
    <cellStyle name="TableBase 3 5" xfId="26036" xr:uid="{00000000-0005-0000-0000-0000EE730000}"/>
    <cellStyle name="TableBase 3 5 2" xfId="30837" xr:uid="{19E09015-F9D6-4EE7-99F9-D45E8C761AF3}"/>
    <cellStyle name="TableBase 3 6" xfId="26809" xr:uid="{00000000-0005-0000-0000-0000EF730000}"/>
    <cellStyle name="TableBase 3 6 2" xfId="31570" xr:uid="{FBC86008-14A9-4131-AF59-DFF704AF25C4}"/>
    <cellStyle name="TableBase 3 7" xfId="29268" xr:uid="{00000000-0005-0000-0000-0000F0730000}"/>
    <cellStyle name="TableBase 3 8" xfId="29425" xr:uid="{00000000-0005-0000-0000-0000F1730000}"/>
    <cellStyle name="TableBase 3 9" xfId="30352" xr:uid="{24F8F1CF-A606-4767-8929-F94F03D76C84}"/>
    <cellStyle name="TableBase 4" xfId="29272" xr:uid="{00000000-0005-0000-0000-0000F2730000}"/>
    <cellStyle name="TableHead" xfId="623" xr:uid="{00000000-0005-0000-0000-0000F3730000}"/>
    <cellStyle name="Task" xfId="33363" xr:uid="{CF4CC4C5-36A4-4158-8DF8-881AA65D0458}"/>
    <cellStyle name="Text" xfId="624" xr:uid="{00000000-0005-0000-0000-0000F4730000}"/>
    <cellStyle name="Time" xfId="625" xr:uid="{00000000-0005-0000-0000-0000F5730000}"/>
    <cellStyle name="Time 2" xfId="24275" xr:uid="{00000000-0005-0000-0000-0000F6730000}"/>
    <cellStyle name="Title - Underline" xfId="626" xr:uid="{00000000-0005-0000-0000-0000F7730000}"/>
    <cellStyle name="Title 2" xfId="24276" xr:uid="{00000000-0005-0000-0000-0000F8730000}"/>
    <cellStyle name="Title 7" xfId="33355" xr:uid="{616265CE-236B-4993-AD14-9335B909A29D}"/>
    <cellStyle name="Title: Major" xfId="33370" xr:uid="{3C80E7E4-7BD7-4167-B94B-61CA28190657}"/>
    <cellStyle name="Title: Minor" xfId="33371" xr:uid="{0BD1BAFA-EC48-4B6B-8350-3CAFF28C6C4F}"/>
    <cellStyle name="Title: Worksheet" xfId="33376" xr:uid="{8940911B-F0DB-4E24-8126-735D12FE7C5F}"/>
    <cellStyle name="Titles" xfId="156" xr:uid="{00000000-0005-0000-0000-0000F9730000}"/>
    <cellStyle name="Titles - Other" xfId="627" xr:uid="{00000000-0005-0000-0000-0000FA730000}"/>
    <cellStyle name="Titles - Other 2" xfId="24277" xr:uid="{00000000-0005-0000-0000-0000FB730000}"/>
    <cellStyle name="Titles 2" xfId="24929" xr:uid="{00000000-0005-0000-0000-0000FC730000}"/>
    <cellStyle name="Titles 3" xfId="25137" xr:uid="{00000000-0005-0000-0000-0000FD730000}"/>
    <cellStyle name="Total 10" xfId="3476" xr:uid="{00000000-0005-0000-0000-0000FE730000}"/>
    <cellStyle name="Total 11" xfId="3477" xr:uid="{00000000-0005-0000-0000-0000FF730000}"/>
    <cellStyle name="Total 12" xfId="3478" xr:uid="{00000000-0005-0000-0000-000000740000}"/>
    <cellStyle name="Total 13" xfId="3479" xr:uid="{00000000-0005-0000-0000-000001740000}"/>
    <cellStyle name="Total 14" xfId="3480" xr:uid="{00000000-0005-0000-0000-000002740000}"/>
    <cellStyle name="Total 15" xfId="3481" xr:uid="{00000000-0005-0000-0000-000003740000}"/>
    <cellStyle name="Total 16" xfId="3482" xr:uid="{00000000-0005-0000-0000-000004740000}"/>
    <cellStyle name="Total 17" xfId="3483" xr:uid="{00000000-0005-0000-0000-000005740000}"/>
    <cellStyle name="Total 18" xfId="3484" xr:uid="{00000000-0005-0000-0000-000006740000}"/>
    <cellStyle name="Total 19" xfId="3485" xr:uid="{00000000-0005-0000-0000-000007740000}"/>
    <cellStyle name="Total 2" xfId="157" xr:uid="{00000000-0005-0000-0000-000008740000}"/>
    <cellStyle name="Total 2 2" xfId="3486" xr:uid="{00000000-0005-0000-0000-000009740000}"/>
    <cellStyle name="Total 2 2 2" xfId="24279" xr:uid="{00000000-0005-0000-0000-00000A740000}"/>
    <cellStyle name="Total 2 2 2 2" xfId="25412" xr:uid="{00000000-0005-0000-0000-00000B740000}"/>
    <cellStyle name="Total 2 2 2 2 2" xfId="27566" xr:uid="{00000000-0005-0000-0000-00000C740000}"/>
    <cellStyle name="Total 2 2 2 2 2 2" xfId="32157" xr:uid="{09EE0226-7981-4556-ABDD-473779325ABA}"/>
    <cellStyle name="Total 2 2 2 2 3" xfId="28550" xr:uid="{00000000-0005-0000-0000-00000D740000}"/>
    <cellStyle name="Total 2 2 2 2 3 2" xfId="33108" xr:uid="{1BBE41D4-3DD4-481A-A5A2-B404CCD6B23E}"/>
    <cellStyle name="Total 2 2 2 2 4" xfId="26251" xr:uid="{00000000-0005-0000-0000-00000E740000}"/>
    <cellStyle name="Total 2 2 2 2 4 2" xfId="31039" xr:uid="{FBDB0E74-F8EE-486A-A488-1B681BD27872}"/>
    <cellStyle name="Total 2 2 2 2 5" xfId="30098" xr:uid="{00000000-0005-0000-0000-00000F740000}"/>
    <cellStyle name="Total 2 2 2 2 6" xfId="30570" xr:uid="{2F5991BB-6954-429F-A43E-A08D6DF600B2}"/>
    <cellStyle name="Total 2 2 2 3" xfId="25592" xr:uid="{00000000-0005-0000-0000-000010740000}"/>
    <cellStyle name="Total 2 2 2 3 2" xfId="27745" xr:uid="{00000000-0005-0000-0000-000011740000}"/>
    <cellStyle name="Total 2 2 2 3 2 2" xfId="32332" xr:uid="{73C33BD2-9DA0-430F-ADEF-4FFCEAFC1D37}"/>
    <cellStyle name="Total 2 2 2 3 3" xfId="28551" xr:uid="{00000000-0005-0000-0000-000012740000}"/>
    <cellStyle name="Total 2 2 2 3 3 2" xfId="33109" xr:uid="{A4D2341F-5110-447D-B0C7-2D4CC9AC0D9C}"/>
    <cellStyle name="Total 2 2 2 3 4" xfId="26940" xr:uid="{00000000-0005-0000-0000-000013740000}"/>
    <cellStyle name="Total 2 2 2 3 4 2" xfId="31701" xr:uid="{D59D3FB4-6BA5-4D9B-9E53-875239A95659}"/>
    <cellStyle name="Total 2 2 2 3 5" xfId="30099" xr:uid="{00000000-0005-0000-0000-000014740000}"/>
    <cellStyle name="Total 2 2 2 3 6" xfId="30633" xr:uid="{3E310DBB-8EE4-4B86-8311-31FE88E695A6}"/>
    <cellStyle name="Total 2 2 2 4" xfId="27129" xr:uid="{00000000-0005-0000-0000-000015740000}"/>
    <cellStyle name="Total 2 2 2 4 2" xfId="31843" xr:uid="{808641F3-A0E8-4B4C-B068-15D9048450E3}"/>
    <cellStyle name="Total 2 2 2 5" xfId="28549" xr:uid="{00000000-0005-0000-0000-000016740000}"/>
    <cellStyle name="Total 2 2 2 5 2" xfId="33107" xr:uid="{218E2E99-13BA-492F-B8C0-5406D954D2BB}"/>
    <cellStyle name="Total 2 2 2 6" xfId="26073" xr:uid="{00000000-0005-0000-0000-000017740000}"/>
    <cellStyle name="Total 2 2 2 6 2" xfId="30863" xr:uid="{4BC39723-DEC7-4040-9690-1A9B4422AD90}"/>
    <cellStyle name="Total 2 2 2 7" xfId="30097" xr:uid="{00000000-0005-0000-0000-000018740000}"/>
    <cellStyle name="Total 2 2 2 8" xfId="30294" xr:uid="{AB46E8A1-008E-467A-B1C7-0466D0555D6E}"/>
    <cellStyle name="Total 2 2 3" xfId="24633" xr:uid="{00000000-0005-0000-0000-000019740000}"/>
    <cellStyle name="Total 2 2 3 2" xfId="25351" xr:uid="{00000000-0005-0000-0000-00001A740000}"/>
    <cellStyle name="Total 2 2 3 2 2" xfId="27505" xr:uid="{00000000-0005-0000-0000-00001B740000}"/>
    <cellStyle name="Total 2 2 3 2 2 2" xfId="32096" xr:uid="{8CE9766B-FA3B-4102-B5BE-30685C1CC1CD}"/>
    <cellStyle name="Total 2 2 3 2 3" xfId="28553" xr:uid="{00000000-0005-0000-0000-00001C740000}"/>
    <cellStyle name="Total 2 2 3 2 3 2" xfId="33111" xr:uid="{37691D6E-4DD6-4C7E-92A2-AE1758642F79}"/>
    <cellStyle name="Total 2 2 3 2 4" xfId="26870" xr:uid="{00000000-0005-0000-0000-00001D740000}"/>
    <cellStyle name="Total 2 2 3 2 4 2" xfId="31631" xr:uid="{6C431A3A-870E-4ED3-BF7D-6D7051A71B19}"/>
    <cellStyle name="Total 2 2 3 2 5" xfId="30101" xr:uid="{00000000-0005-0000-0000-00001E740000}"/>
    <cellStyle name="Total 2 2 3 2 6" xfId="30509" xr:uid="{66047F43-BEBF-438A-A05F-357736EC2D0D}"/>
    <cellStyle name="Total 2 2 3 3" xfId="25601" xr:uid="{00000000-0005-0000-0000-00001F740000}"/>
    <cellStyle name="Total 2 2 3 3 2" xfId="27754" xr:uid="{00000000-0005-0000-0000-000020740000}"/>
    <cellStyle name="Total 2 2 3 3 2 2" xfId="32341" xr:uid="{4999E069-6BA1-4A3A-8B1D-0FD10F73517D}"/>
    <cellStyle name="Total 2 2 3 3 3" xfId="28554" xr:uid="{00000000-0005-0000-0000-000021740000}"/>
    <cellStyle name="Total 2 2 3 3 3 2" xfId="33112" xr:uid="{41B8A705-C68E-4DA0-A881-C6F9435FED47}"/>
    <cellStyle name="Total 2 2 3 3 4" xfId="26210" xr:uid="{00000000-0005-0000-0000-000022740000}"/>
    <cellStyle name="Total 2 2 3 3 4 2" xfId="30998" xr:uid="{5E132638-CBA1-4F5F-B625-E673A40A5889}"/>
    <cellStyle name="Total 2 2 3 3 5" xfId="30102" xr:uid="{00000000-0005-0000-0000-000023740000}"/>
    <cellStyle name="Total 2 2 3 3 6" xfId="30642" xr:uid="{21BC435D-8F8C-4718-91A3-E710F323BBE2}"/>
    <cellStyle name="Total 2 2 3 4" xfId="27227" xr:uid="{00000000-0005-0000-0000-000024740000}"/>
    <cellStyle name="Total 2 2 3 4 2" xfId="31863" xr:uid="{E84DC1B8-0F3C-461C-BF2D-41B18709A888}"/>
    <cellStyle name="Total 2 2 3 5" xfId="28552" xr:uid="{00000000-0005-0000-0000-000025740000}"/>
    <cellStyle name="Total 2 2 3 5 2" xfId="33110" xr:uid="{A9C3FC89-54DB-42AF-B554-1F053361BB99}"/>
    <cellStyle name="Total 2 2 3 6" xfId="26116" xr:uid="{00000000-0005-0000-0000-000026740000}"/>
    <cellStyle name="Total 2 2 3 6 2" xfId="30906" xr:uid="{3A269408-99D0-4BFD-B4A1-946D74B34F16}"/>
    <cellStyle name="Total 2 2 3 7" xfId="30100" xr:uid="{00000000-0005-0000-0000-000027740000}"/>
    <cellStyle name="Total 2 2 3 8" xfId="30303" xr:uid="{F7BBF354-E48E-481E-866B-F82FE1BD56AD}"/>
    <cellStyle name="Total 2 2 4" xfId="25139" xr:uid="{00000000-0005-0000-0000-000028740000}"/>
    <cellStyle name="Total 2 2 4 2" xfId="25422" xr:uid="{00000000-0005-0000-0000-000029740000}"/>
    <cellStyle name="Total 2 2 4 2 2" xfId="27576" xr:uid="{00000000-0005-0000-0000-00002A740000}"/>
    <cellStyle name="Total 2 2 4 2 2 2" xfId="32167" xr:uid="{F9B4F9C9-065F-442E-9131-25D6ACDF9486}"/>
    <cellStyle name="Total 2 2 4 2 3" xfId="28556" xr:uid="{00000000-0005-0000-0000-00002B740000}"/>
    <cellStyle name="Total 2 2 4 2 3 2" xfId="33114" xr:uid="{4DB5294B-F1B1-4949-B746-75FE3950104E}"/>
    <cellStyle name="Total 2 2 4 2 4" xfId="26737" xr:uid="{00000000-0005-0000-0000-00002C740000}"/>
    <cellStyle name="Total 2 2 4 2 4 2" xfId="31498" xr:uid="{A2DAAEB7-22D5-456E-9D4C-B31B5546C4EA}"/>
    <cellStyle name="Total 2 2 4 2 5" xfId="30104" xr:uid="{00000000-0005-0000-0000-00002D740000}"/>
    <cellStyle name="Total 2 2 4 2 6" xfId="30580" xr:uid="{056D6584-37B5-4993-B029-E86C1EFF9795}"/>
    <cellStyle name="Total 2 2 4 3" xfId="25736" xr:uid="{00000000-0005-0000-0000-00002E740000}"/>
    <cellStyle name="Total 2 2 4 3 2" xfId="27889" xr:uid="{00000000-0005-0000-0000-00002F740000}"/>
    <cellStyle name="Total 2 2 4 3 2 2" xfId="32476" xr:uid="{96345B05-03C4-475C-A748-7C0BE7E43064}"/>
    <cellStyle name="Total 2 2 4 3 3" xfId="28557" xr:uid="{00000000-0005-0000-0000-000030740000}"/>
    <cellStyle name="Total 2 2 4 3 3 2" xfId="33115" xr:uid="{7DA5D0EF-88CD-482F-8ADC-844AFF54633D}"/>
    <cellStyle name="Total 2 2 4 3 4" xfId="29258" xr:uid="{00000000-0005-0000-0000-000031740000}"/>
    <cellStyle name="Total 2 2 4 3 4 2" xfId="33240" xr:uid="{C47144C2-9CAE-44E0-A55E-794DA78DEC61}"/>
    <cellStyle name="Total 2 2 4 3 5" xfId="30105" xr:uid="{00000000-0005-0000-0000-000032740000}"/>
    <cellStyle name="Total 2 2 4 3 6" xfId="30730" xr:uid="{9DBCDA8A-FC7D-4AFC-BA5D-F6EC10DA1393}"/>
    <cellStyle name="Total 2 2 4 4" xfId="27423" xr:uid="{00000000-0005-0000-0000-000033740000}"/>
    <cellStyle name="Total 2 2 4 4 2" xfId="32021" xr:uid="{D0680DF0-A2A1-4C08-ACC4-2CD95E941120}"/>
    <cellStyle name="Total 2 2 4 5" xfId="28555" xr:uid="{00000000-0005-0000-0000-000034740000}"/>
    <cellStyle name="Total 2 2 4 5 2" xfId="33113" xr:uid="{EA5F274C-232A-42C0-B983-4A80478F2735}"/>
    <cellStyle name="Total 2 2 4 6" xfId="26941" xr:uid="{00000000-0005-0000-0000-000035740000}"/>
    <cellStyle name="Total 2 2 4 6 2" xfId="31702" xr:uid="{9E7AA0C8-C283-45AF-B706-BB146DAA2ACD}"/>
    <cellStyle name="Total 2 2 4 7" xfId="30103" xr:uid="{00000000-0005-0000-0000-000036740000}"/>
    <cellStyle name="Total 2 2 4 8" xfId="30438" xr:uid="{43DF1FEB-B7BD-4927-BE6C-8354B6B55455}"/>
    <cellStyle name="Total 2 3" xfId="13681" xr:uid="{00000000-0005-0000-0000-000037740000}"/>
    <cellStyle name="Total 2 4" xfId="24278" xr:uid="{00000000-0005-0000-0000-000038740000}"/>
    <cellStyle name="Total 2 4 2" xfId="25310" xr:uid="{00000000-0005-0000-0000-000039740000}"/>
    <cellStyle name="Total 2 4 2 2" xfId="27464" xr:uid="{00000000-0005-0000-0000-00003A740000}"/>
    <cellStyle name="Total 2 4 2 2 2" xfId="32056" xr:uid="{03F5C887-76CE-4993-9466-C641BF5BB254}"/>
    <cellStyle name="Total 2 4 2 3" xfId="28559" xr:uid="{00000000-0005-0000-0000-00003B740000}"/>
    <cellStyle name="Total 2 4 2 3 2" xfId="33117" xr:uid="{B75D1382-9045-465A-9195-285CC700B6FA}"/>
    <cellStyle name="Total 2 4 2 4" xfId="26951" xr:uid="{00000000-0005-0000-0000-00003C740000}"/>
    <cellStyle name="Total 2 4 2 4 2" xfId="31712" xr:uid="{C7848FA9-6DAC-482C-A883-56DA5C8D9AA7}"/>
    <cellStyle name="Total 2 4 2 5" xfId="30107" xr:uid="{00000000-0005-0000-0000-00003D740000}"/>
    <cellStyle name="Total 2 4 2 6" xfId="30469" xr:uid="{6D9C7339-1642-4E97-A734-58778A07D5A7}"/>
    <cellStyle name="Total 2 4 3" xfId="25591" xr:uid="{00000000-0005-0000-0000-00003E740000}"/>
    <cellStyle name="Total 2 4 3 2" xfId="27744" xr:uid="{00000000-0005-0000-0000-00003F740000}"/>
    <cellStyle name="Total 2 4 3 2 2" xfId="32331" xr:uid="{9BB08DDE-080D-4DC0-B10F-79263354C82F}"/>
    <cellStyle name="Total 2 4 3 3" xfId="28560" xr:uid="{00000000-0005-0000-0000-000040740000}"/>
    <cellStyle name="Total 2 4 3 3 2" xfId="33118" xr:uid="{8BE39DB1-FA93-450D-92B6-F7A7396F09E7}"/>
    <cellStyle name="Total 2 4 3 4" xfId="26333" xr:uid="{00000000-0005-0000-0000-000041740000}"/>
    <cellStyle name="Total 2 4 3 4 2" xfId="31121" xr:uid="{0BCAB065-DF40-4C2F-A5B1-32CE93710DEF}"/>
    <cellStyle name="Total 2 4 3 5" xfId="30108" xr:uid="{00000000-0005-0000-0000-000042740000}"/>
    <cellStyle name="Total 2 4 3 6" xfId="30632" xr:uid="{401B59A7-E822-4AE8-A985-FB9E80E66F05}"/>
    <cellStyle name="Total 2 4 4" xfId="27128" xr:uid="{00000000-0005-0000-0000-000043740000}"/>
    <cellStyle name="Total 2 4 4 2" xfId="31842" xr:uid="{433FFB42-A782-4AC9-970D-FFCFD7F553A5}"/>
    <cellStyle name="Total 2 4 5" xfId="28558" xr:uid="{00000000-0005-0000-0000-000044740000}"/>
    <cellStyle name="Total 2 4 5 2" xfId="33116" xr:uid="{EEE379A3-1B84-466C-81E1-E711F43C6523}"/>
    <cellStyle name="Total 2 4 6" xfId="26672" xr:uid="{00000000-0005-0000-0000-000045740000}"/>
    <cellStyle name="Total 2 4 6 2" xfId="31440" xr:uid="{5BE4EEEB-C8E3-428A-9404-F4CB154E2CEB}"/>
    <cellStyle name="Total 2 4 7" xfId="30106" xr:uid="{00000000-0005-0000-0000-000046740000}"/>
    <cellStyle name="Total 2 4 8" xfId="30293" xr:uid="{ED9E4BE2-6C6A-4EB4-9399-9C307C62DECA}"/>
    <cellStyle name="Total 2 5" xfId="24634" xr:uid="{00000000-0005-0000-0000-000047740000}"/>
    <cellStyle name="Total 2 5 2" xfId="25452" xr:uid="{00000000-0005-0000-0000-000048740000}"/>
    <cellStyle name="Total 2 5 2 2" xfId="27606" xr:uid="{00000000-0005-0000-0000-000049740000}"/>
    <cellStyle name="Total 2 5 2 2 2" xfId="32197" xr:uid="{0F29F80F-D7B2-41A5-8C8F-8E29FCADA158}"/>
    <cellStyle name="Total 2 5 2 3" xfId="28562" xr:uid="{00000000-0005-0000-0000-00004A740000}"/>
    <cellStyle name="Total 2 5 2 3 2" xfId="33120" xr:uid="{7FDE34CF-B069-40A9-A659-2199E86D2E70}"/>
    <cellStyle name="Total 2 5 2 4" xfId="26849" xr:uid="{00000000-0005-0000-0000-00004B740000}"/>
    <cellStyle name="Total 2 5 2 4 2" xfId="31610" xr:uid="{8ED164CA-52F5-44A0-B5E3-0D5AAF63E137}"/>
    <cellStyle name="Total 2 5 2 5" xfId="30110" xr:uid="{00000000-0005-0000-0000-00004C740000}"/>
    <cellStyle name="Total 2 5 2 6" xfId="30610" xr:uid="{3363A8E9-A061-4946-9450-F6D81FF76262}"/>
    <cellStyle name="Total 2 5 3" xfId="25602" xr:uid="{00000000-0005-0000-0000-00004D740000}"/>
    <cellStyle name="Total 2 5 3 2" xfId="27755" xr:uid="{00000000-0005-0000-0000-00004E740000}"/>
    <cellStyle name="Total 2 5 3 2 2" xfId="32342" xr:uid="{885EAF7E-09B2-405F-9861-BC64C9255ABC}"/>
    <cellStyle name="Total 2 5 3 3" xfId="28563" xr:uid="{00000000-0005-0000-0000-00004F740000}"/>
    <cellStyle name="Total 2 5 3 3 2" xfId="33121" xr:uid="{F2973C02-BE19-4E11-80B8-3465E5030BD2}"/>
    <cellStyle name="Total 2 5 3 4" xfId="26095" xr:uid="{00000000-0005-0000-0000-000050740000}"/>
    <cellStyle name="Total 2 5 3 4 2" xfId="30885" xr:uid="{5ACDE122-9DEF-4C0E-9E74-3FECC75EA94F}"/>
    <cellStyle name="Total 2 5 3 5" xfId="30111" xr:uid="{00000000-0005-0000-0000-000051740000}"/>
    <cellStyle name="Total 2 5 3 6" xfId="30643" xr:uid="{1C4566A9-F474-47D4-A093-DEDDCAC01134}"/>
    <cellStyle name="Total 2 5 4" xfId="27228" xr:uid="{00000000-0005-0000-0000-000052740000}"/>
    <cellStyle name="Total 2 5 4 2" xfId="31864" xr:uid="{E56FA133-FC66-455A-887A-09CE1755A737}"/>
    <cellStyle name="Total 2 5 5" xfId="28561" xr:uid="{00000000-0005-0000-0000-000053740000}"/>
    <cellStyle name="Total 2 5 5 2" xfId="33119" xr:uid="{C5714789-7AFD-41DC-A9E8-7AE849ABF029}"/>
    <cellStyle name="Total 2 5 6" xfId="26698" xr:uid="{00000000-0005-0000-0000-000054740000}"/>
    <cellStyle name="Total 2 5 6 2" xfId="31460" xr:uid="{13278DD0-2269-4D28-A109-FA6257B16C8D}"/>
    <cellStyle name="Total 2 5 7" xfId="30109" xr:uid="{00000000-0005-0000-0000-000055740000}"/>
    <cellStyle name="Total 2 5 8" xfId="30304" xr:uid="{5B0D063A-660A-4B00-9E50-C49A8411D7E4}"/>
    <cellStyle name="Total 2 6" xfId="25138" xr:uid="{00000000-0005-0000-0000-000056740000}"/>
    <cellStyle name="Total 2 6 2" xfId="25318" xr:uid="{00000000-0005-0000-0000-000057740000}"/>
    <cellStyle name="Total 2 6 2 2" xfId="27472" xr:uid="{00000000-0005-0000-0000-000058740000}"/>
    <cellStyle name="Total 2 6 2 2 2" xfId="32063" xr:uid="{58B035EB-303F-47DE-B3C3-0542415EF7E1}"/>
    <cellStyle name="Total 2 6 2 3" xfId="28565" xr:uid="{00000000-0005-0000-0000-000059740000}"/>
    <cellStyle name="Total 2 6 2 3 2" xfId="33123" xr:uid="{F0DEB96A-4045-4D03-9DFB-616A35F7D55B}"/>
    <cellStyle name="Total 2 6 2 4" xfId="26865" xr:uid="{00000000-0005-0000-0000-00005A740000}"/>
    <cellStyle name="Total 2 6 2 4 2" xfId="31626" xr:uid="{36713479-7827-493F-911A-333B0EEFEEAA}"/>
    <cellStyle name="Total 2 6 2 5" xfId="30113" xr:uid="{00000000-0005-0000-0000-00005B740000}"/>
    <cellStyle name="Total 2 6 2 6" xfId="30476" xr:uid="{3F7F02EA-F975-4789-BFD1-E030C6A5F965}"/>
    <cellStyle name="Total 2 6 3" xfId="25735" xr:uid="{00000000-0005-0000-0000-00005C740000}"/>
    <cellStyle name="Total 2 6 3 2" xfId="27888" xr:uid="{00000000-0005-0000-0000-00005D740000}"/>
    <cellStyle name="Total 2 6 3 2 2" xfId="32475" xr:uid="{AE556F90-C752-4782-94A2-6DEB72BE58B8}"/>
    <cellStyle name="Total 2 6 3 3" xfId="28566" xr:uid="{00000000-0005-0000-0000-00005E740000}"/>
    <cellStyle name="Total 2 6 3 3 2" xfId="33124" xr:uid="{44C4BC4A-3B2E-4F9B-91E3-EB79CCAC2AD5}"/>
    <cellStyle name="Total 2 6 3 4" xfId="26963" xr:uid="{00000000-0005-0000-0000-00005F740000}"/>
    <cellStyle name="Total 2 6 3 4 2" xfId="31724" xr:uid="{F66DD7EC-FD6D-4CAE-99DB-189DD484ACBB}"/>
    <cellStyle name="Total 2 6 3 5" xfId="30114" xr:uid="{00000000-0005-0000-0000-000060740000}"/>
    <cellStyle name="Total 2 6 3 6" xfId="30729" xr:uid="{5899EE3C-87ED-4965-A6D1-E429D4768DA0}"/>
    <cellStyle name="Total 2 6 4" xfId="27422" xr:uid="{00000000-0005-0000-0000-000061740000}"/>
    <cellStyle name="Total 2 6 4 2" xfId="32020" xr:uid="{CF2C2147-A49F-4CBE-93AC-F228ED8FBA0B}"/>
    <cellStyle name="Total 2 6 5" xfId="28564" xr:uid="{00000000-0005-0000-0000-000062740000}"/>
    <cellStyle name="Total 2 6 5 2" xfId="33122" xr:uid="{6629F2E5-E241-43F9-A01D-B55CE3ACF3C3}"/>
    <cellStyle name="Total 2 6 6" xfId="26334" xr:uid="{00000000-0005-0000-0000-000063740000}"/>
    <cellStyle name="Total 2 6 6 2" xfId="31122" xr:uid="{A4C0409F-E108-48BE-AB20-86C5B9744D7A}"/>
    <cellStyle name="Total 2 6 7" xfId="30112" xr:uid="{00000000-0005-0000-0000-000064740000}"/>
    <cellStyle name="Total 2 6 8" xfId="30437" xr:uid="{E4B59085-5DAF-4BE6-B1FA-83CF159D6D56}"/>
    <cellStyle name="Total 20" xfId="3487" xr:uid="{00000000-0005-0000-0000-000065740000}"/>
    <cellStyle name="Total 21" xfId="3488" xr:uid="{00000000-0005-0000-0000-000066740000}"/>
    <cellStyle name="Total 22" xfId="3489" xr:uid="{00000000-0005-0000-0000-000067740000}"/>
    <cellStyle name="Total 23" xfId="3490" xr:uid="{00000000-0005-0000-0000-000068740000}"/>
    <cellStyle name="Total 24" xfId="3491" xr:uid="{00000000-0005-0000-0000-000069740000}"/>
    <cellStyle name="Total 25" xfId="3492" xr:uid="{00000000-0005-0000-0000-00006A740000}"/>
    <cellStyle name="Total 26" xfId="3493" xr:uid="{00000000-0005-0000-0000-00006B740000}"/>
    <cellStyle name="Total 27" xfId="3494" xr:uid="{00000000-0005-0000-0000-00006C740000}"/>
    <cellStyle name="Total 28" xfId="3495" xr:uid="{00000000-0005-0000-0000-00006D740000}"/>
    <cellStyle name="Total 29" xfId="3496" xr:uid="{00000000-0005-0000-0000-00006E740000}"/>
    <cellStyle name="Total 3" xfId="3497" xr:uid="{00000000-0005-0000-0000-00006F740000}"/>
    <cellStyle name="Total 3 2" xfId="24281" xr:uid="{00000000-0005-0000-0000-000070740000}"/>
    <cellStyle name="Total 3 2 10" xfId="30296" xr:uid="{385E2AD9-841E-475A-A9B0-FBE4F1F5DE11}"/>
    <cellStyle name="Total 3 2 2" xfId="24631" xr:uid="{00000000-0005-0000-0000-000071740000}"/>
    <cellStyle name="Total 3 2 2 2" xfId="25334" xr:uid="{00000000-0005-0000-0000-000072740000}"/>
    <cellStyle name="Total 3 2 2 2 2" xfId="27488" xr:uid="{00000000-0005-0000-0000-000073740000}"/>
    <cellStyle name="Total 3 2 2 2 2 2" xfId="32079" xr:uid="{59DA73F7-1617-4740-81AB-4E2B53A7A73C}"/>
    <cellStyle name="Total 3 2 2 2 3" xfId="28572" xr:uid="{00000000-0005-0000-0000-000074740000}"/>
    <cellStyle name="Total 3 2 2 2 3 2" xfId="33130" xr:uid="{9889E3BB-2D4A-4E7D-BEA9-EED552A85663}"/>
    <cellStyle name="Total 3 2 2 2 4" xfId="26240" xr:uid="{00000000-0005-0000-0000-000075740000}"/>
    <cellStyle name="Total 3 2 2 2 4 2" xfId="31028" xr:uid="{9AAD0F01-4BC3-4587-97B6-C8749DB3B9F7}"/>
    <cellStyle name="Total 3 2 2 2 5" xfId="30117" xr:uid="{00000000-0005-0000-0000-000076740000}"/>
    <cellStyle name="Total 3 2 2 2 6" xfId="30492" xr:uid="{A6244883-4348-4D6B-B193-F21480213BDF}"/>
    <cellStyle name="Total 3 2 2 3" xfId="25599" xr:uid="{00000000-0005-0000-0000-000077740000}"/>
    <cellStyle name="Total 3 2 2 3 2" xfId="27752" xr:uid="{00000000-0005-0000-0000-000078740000}"/>
    <cellStyle name="Total 3 2 2 3 2 2" xfId="32339" xr:uid="{21AA8AE0-067C-4CCE-A45B-7B88A70F4583}"/>
    <cellStyle name="Total 3 2 2 3 3" xfId="28573" xr:uid="{00000000-0005-0000-0000-000079740000}"/>
    <cellStyle name="Total 3 2 2 3 3 2" xfId="33131" xr:uid="{932DF98C-50C0-4B2A-81BF-55DD0E469881}"/>
    <cellStyle name="Total 3 2 2 3 4" xfId="26294" xr:uid="{00000000-0005-0000-0000-00007A740000}"/>
    <cellStyle name="Total 3 2 2 3 4 2" xfId="31082" xr:uid="{968053EE-0A4C-4EFC-8568-6A77DAA0CC3A}"/>
    <cellStyle name="Total 3 2 2 3 5" xfId="30118" xr:uid="{00000000-0005-0000-0000-00007B740000}"/>
    <cellStyle name="Total 3 2 2 3 6" xfId="30640" xr:uid="{A656EE7B-1A51-4D43-8491-203272F4DC8B}"/>
    <cellStyle name="Total 3 2 2 4" xfId="27225" xr:uid="{00000000-0005-0000-0000-00007C740000}"/>
    <cellStyle name="Total 3 2 2 4 2" xfId="31861" xr:uid="{7C687B4E-3C4D-41C1-99F8-20496200970D}"/>
    <cellStyle name="Total 3 2 2 5" xfId="28571" xr:uid="{00000000-0005-0000-0000-00007D740000}"/>
    <cellStyle name="Total 3 2 2 5 2" xfId="33129" xr:uid="{6E4D43D8-CEA0-41FA-A915-B80FFB9DB486}"/>
    <cellStyle name="Total 3 2 2 6" xfId="26546" xr:uid="{00000000-0005-0000-0000-00007E740000}"/>
    <cellStyle name="Total 3 2 2 6 2" xfId="31333" xr:uid="{9B1C10EC-8EE4-4B6D-8AD8-4C8974A0AC5E}"/>
    <cellStyle name="Total 3 2 2 7" xfId="30116" xr:uid="{00000000-0005-0000-0000-00007F740000}"/>
    <cellStyle name="Total 3 2 2 8" xfId="30301" xr:uid="{9A3DAA71-1F8D-407D-B6EB-4FCEAF061A73}"/>
    <cellStyle name="Total 3 2 3" xfId="25141" xr:uid="{00000000-0005-0000-0000-000080740000}"/>
    <cellStyle name="Total 3 2 3 2" xfId="25436" xr:uid="{00000000-0005-0000-0000-000081740000}"/>
    <cellStyle name="Total 3 2 3 2 2" xfId="27590" xr:uid="{00000000-0005-0000-0000-000082740000}"/>
    <cellStyle name="Total 3 2 3 2 2 2" xfId="32181" xr:uid="{87FCEA46-A21E-40FB-AA21-24E7F7226370}"/>
    <cellStyle name="Total 3 2 3 2 3" xfId="28575" xr:uid="{00000000-0005-0000-0000-000083740000}"/>
    <cellStyle name="Total 3 2 3 2 3 2" xfId="33133" xr:uid="{A9A8045C-C8DD-4CB3-97C9-E1A66853327D}"/>
    <cellStyle name="Total 3 2 3 2 4" xfId="27044" xr:uid="{00000000-0005-0000-0000-000084740000}"/>
    <cellStyle name="Total 3 2 3 2 4 2" xfId="31792" xr:uid="{7E7C5CC4-6B06-49C2-9530-B36FA28014F6}"/>
    <cellStyle name="Total 3 2 3 2 5" xfId="30120" xr:uid="{00000000-0005-0000-0000-000085740000}"/>
    <cellStyle name="Total 3 2 3 2 6" xfId="30594" xr:uid="{0CF27471-32EE-40A6-A2FC-19F7D0A5CF3A}"/>
    <cellStyle name="Total 3 2 3 3" xfId="25738" xr:uid="{00000000-0005-0000-0000-000086740000}"/>
    <cellStyle name="Total 3 2 3 3 2" xfId="27891" xr:uid="{00000000-0005-0000-0000-000087740000}"/>
    <cellStyle name="Total 3 2 3 3 2 2" xfId="32478" xr:uid="{6F73D233-CFD9-4FEC-BCCB-74DB26BB1DD0}"/>
    <cellStyle name="Total 3 2 3 3 3" xfId="28576" xr:uid="{00000000-0005-0000-0000-000088740000}"/>
    <cellStyle name="Total 3 2 3 3 3 2" xfId="33134" xr:uid="{6CFC6D8C-FC42-4836-AE96-887967098842}"/>
    <cellStyle name="Total 3 2 3 3 4" xfId="29260" xr:uid="{00000000-0005-0000-0000-000089740000}"/>
    <cellStyle name="Total 3 2 3 3 4 2" xfId="33242" xr:uid="{31855C4D-AF09-44D6-9AA5-33D911E180BA}"/>
    <cellStyle name="Total 3 2 3 3 5" xfId="30121" xr:uid="{00000000-0005-0000-0000-00008A740000}"/>
    <cellStyle name="Total 3 2 3 3 6" xfId="30732" xr:uid="{4E9B4EB9-B82E-41DA-AF36-BEC1600B575A}"/>
    <cellStyle name="Total 3 2 3 4" xfId="27425" xr:uid="{00000000-0005-0000-0000-00008B740000}"/>
    <cellStyle name="Total 3 2 3 4 2" xfId="32023" xr:uid="{12BA33AF-16B2-499C-ACAE-69F781C3F78E}"/>
    <cellStyle name="Total 3 2 3 5" xfId="28574" xr:uid="{00000000-0005-0000-0000-00008C740000}"/>
    <cellStyle name="Total 3 2 3 5 2" xfId="33132" xr:uid="{9375B9B2-3863-4F43-899E-B274A240608F}"/>
    <cellStyle name="Total 3 2 3 6" xfId="26808" xr:uid="{00000000-0005-0000-0000-00008D740000}"/>
    <cellStyle name="Total 3 2 3 6 2" xfId="31569" xr:uid="{0C55BE48-ABF4-482C-AA08-C452AA64105B}"/>
    <cellStyle name="Total 3 2 3 7" xfId="30119" xr:uid="{00000000-0005-0000-0000-00008E740000}"/>
    <cellStyle name="Total 3 2 3 8" xfId="30440" xr:uid="{28DA7D18-07C8-4DD9-BB11-0E68365B1620}"/>
    <cellStyle name="Total 3 2 4" xfId="25426" xr:uid="{00000000-0005-0000-0000-00008F740000}"/>
    <cellStyle name="Total 3 2 4 2" xfId="27580" xr:uid="{00000000-0005-0000-0000-000090740000}"/>
    <cellStyle name="Total 3 2 4 2 2" xfId="32171" xr:uid="{FDD1E658-E151-47B2-8869-FC1B79F9A5E8}"/>
    <cellStyle name="Total 3 2 4 3" xfId="28577" xr:uid="{00000000-0005-0000-0000-000091740000}"/>
    <cellStyle name="Total 3 2 4 3 2" xfId="33135" xr:uid="{6E4371A4-873F-41A6-BF26-57CCB69BACDA}"/>
    <cellStyle name="Total 3 2 4 4" xfId="26824" xr:uid="{00000000-0005-0000-0000-000092740000}"/>
    <cellStyle name="Total 3 2 4 4 2" xfId="31585" xr:uid="{7B7C6254-C6DC-4526-A303-FA4B035B005A}"/>
    <cellStyle name="Total 3 2 4 5" xfId="30122" xr:uid="{00000000-0005-0000-0000-000093740000}"/>
    <cellStyle name="Total 3 2 4 6" xfId="30584" xr:uid="{972ACF2D-84D5-484A-9606-7788997CF651}"/>
    <cellStyle name="Total 3 2 5" xfId="25594" xr:uid="{00000000-0005-0000-0000-000094740000}"/>
    <cellStyle name="Total 3 2 5 2" xfId="27747" xr:uid="{00000000-0005-0000-0000-000095740000}"/>
    <cellStyle name="Total 3 2 5 2 2" xfId="32334" xr:uid="{75E9352B-BEBD-42A6-81E2-9B162E62794E}"/>
    <cellStyle name="Total 3 2 5 3" xfId="28578" xr:uid="{00000000-0005-0000-0000-000096740000}"/>
    <cellStyle name="Total 3 2 5 3 2" xfId="33136" xr:uid="{47C14431-BA95-4CA0-943B-A555C8101378}"/>
    <cellStyle name="Total 3 2 5 4" xfId="26807" xr:uid="{00000000-0005-0000-0000-000097740000}"/>
    <cellStyle name="Total 3 2 5 4 2" xfId="31568" xr:uid="{CEC5B46E-CDEE-4C48-B5AF-62B3E99954BF}"/>
    <cellStyle name="Total 3 2 5 5" xfId="30123" xr:uid="{00000000-0005-0000-0000-000098740000}"/>
    <cellStyle name="Total 3 2 5 6" xfId="30635" xr:uid="{DC2ADBC3-EDF7-4CE7-AE0E-219BF32EA32A}"/>
    <cellStyle name="Total 3 2 6" xfId="27131" xr:uid="{00000000-0005-0000-0000-000099740000}"/>
    <cellStyle name="Total 3 2 6 2" xfId="31845" xr:uid="{0CD25318-C880-41B1-BFFB-CCEC29345F48}"/>
    <cellStyle name="Total 3 2 7" xfId="28570" xr:uid="{00000000-0005-0000-0000-00009A740000}"/>
    <cellStyle name="Total 3 2 7 2" xfId="33128" xr:uid="{E95F106D-EB55-43EC-96D2-01EA9571FDD2}"/>
    <cellStyle name="Total 3 2 8" xfId="26917" xr:uid="{00000000-0005-0000-0000-00009B740000}"/>
    <cellStyle name="Total 3 2 8 2" xfId="31678" xr:uid="{A48B4EC0-D660-483A-BDB5-4D1732A78DC4}"/>
    <cellStyle name="Total 3 2 9" xfId="30115" xr:uid="{00000000-0005-0000-0000-00009C740000}"/>
    <cellStyle name="Total 3 3" xfId="24280" xr:uid="{00000000-0005-0000-0000-00009D740000}"/>
    <cellStyle name="Total 3 3 2" xfId="25325" xr:uid="{00000000-0005-0000-0000-00009E740000}"/>
    <cellStyle name="Total 3 3 2 2" xfId="27479" xr:uid="{00000000-0005-0000-0000-00009F740000}"/>
    <cellStyle name="Total 3 3 2 2 2" xfId="32070" xr:uid="{D4385871-11C2-4902-8002-BE751F37473B}"/>
    <cellStyle name="Total 3 3 2 3" xfId="28580" xr:uid="{00000000-0005-0000-0000-0000A0740000}"/>
    <cellStyle name="Total 3 3 2 3 2" xfId="33138" xr:uid="{DE052871-8847-4D23-82D3-FEE8A1109662}"/>
    <cellStyle name="Total 3 3 2 4" xfId="26170" xr:uid="{00000000-0005-0000-0000-0000A1740000}"/>
    <cellStyle name="Total 3 3 2 4 2" xfId="30959" xr:uid="{33CA7F80-6C6D-45C1-AA75-0DACCDDA1A1B}"/>
    <cellStyle name="Total 3 3 2 5" xfId="30125" xr:uid="{00000000-0005-0000-0000-0000A2740000}"/>
    <cellStyle name="Total 3 3 2 6" xfId="30483" xr:uid="{C443BAB3-CB26-46F2-A734-35C235ECC3AB}"/>
    <cellStyle name="Total 3 3 3" xfId="25593" xr:uid="{00000000-0005-0000-0000-0000A3740000}"/>
    <cellStyle name="Total 3 3 3 2" xfId="27746" xr:uid="{00000000-0005-0000-0000-0000A4740000}"/>
    <cellStyle name="Total 3 3 3 2 2" xfId="32333" xr:uid="{25D3C0E6-EAE0-45BC-AF1C-E265B76E9B3F}"/>
    <cellStyle name="Total 3 3 3 3" xfId="28581" xr:uid="{00000000-0005-0000-0000-0000A5740000}"/>
    <cellStyle name="Total 3 3 3 3 2" xfId="33139" xr:uid="{DFF0714C-2B9E-4B3D-85F6-67C045C0473F}"/>
    <cellStyle name="Total 3 3 3 4" xfId="26298" xr:uid="{00000000-0005-0000-0000-0000A6740000}"/>
    <cellStyle name="Total 3 3 3 4 2" xfId="31086" xr:uid="{1A64A809-93A6-48D1-BC39-84A66723CD86}"/>
    <cellStyle name="Total 3 3 3 5" xfId="30126" xr:uid="{00000000-0005-0000-0000-0000A7740000}"/>
    <cellStyle name="Total 3 3 3 6" xfId="30634" xr:uid="{0FFE2D68-50EE-491B-A851-6937403B1C30}"/>
    <cellStyle name="Total 3 3 4" xfId="27130" xr:uid="{00000000-0005-0000-0000-0000A8740000}"/>
    <cellStyle name="Total 3 3 4 2" xfId="31844" xr:uid="{86C2F497-C6A7-44D6-A49C-C5BB694F724F}"/>
    <cellStyle name="Total 3 3 5" xfId="28579" xr:uid="{00000000-0005-0000-0000-0000A9740000}"/>
    <cellStyle name="Total 3 3 5 2" xfId="33137" xr:uid="{9A5E4462-D476-4DD4-8A4E-394EDC107B58}"/>
    <cellStyle name="Total 3 3 6" xfId="26517" xr:uid="{00000000-0005-0000-0000-0000AA740000}"/>
    <cellStyle name="Total 3 3 6 2" xfId="31305" xr:uid="{1D62CE08-AD50-495E-AB2E-3322EC0AD491}"/>
    <cellStyle name="Total 3 3 7" xfId="30124" xr:uid="{00000000-0005-0000-0000-0000AB740000}"/>
    <cellStyle name="Total 3 3 8" xfId="30295" xr:uid="{7E583215-454A-4CCE-8F3E-2CCF039F5FA4}"/>
    <cellStyle name="Total 3 4" xfId="24632" xr:uid="{00000000-0005-0000-0000-0000AC740000}"/>
    <cellStyle name="Total 3 4 2" xfId="25435" xr:uid="{00000000-0005-0000-0000-0000AD740000}"/>
    <cellStyle name="Total 3 4 2 2" xfId="27589" xr:uid="{00000000-0005-0000-0000-0000AE740000}"/>
    <cellStyle name="Total 3 4 2 2 2" xfId="32180" xr:uid="{A2BDB1D8-7DD2-4173-A680-DC1EC64367B1}"/>
    <cellStyle name="Total 3 4 2 3" xfId="28583" xr:uid="{00000000-0005-0000-0000-0000AF740000}"/>
    <cellStyle name="Total 3 4 2 3 2" xfId="33141" xr:uid="{65A6898F-CF4A-4F6F-90FC-F54707BC3756}"/>
    <cellStyle name="Total 3 4 2 4" xfId="26993" xr:uid="{00000000-0005-0000-0000-0000B0740000}"/>
    <cellStyle name="Total 3 4 2 4 2" xfId="31754" xr:uid="{5B604051-A4EA-473B-9F8D-AEC9FC44DFC2}"/>
    <cellStyle name="Total 3 4 2 5" xfId="30128" xr:uid="{00000000-0005-0000-0000-0000B1740000}"/>
    <cellStyle name="Total 3 4 2 6" xfId="30593" xr:uid="{297BF418-CAF9-47A2-B3EF-DD9AAD8FDCDC}"/>
    <cellStyle name="Total 3 4 3" xfId="25600" xr:uid="{00000000-0005-0000-0000-0000B2740000}"/>
    <cellStyle name="Total 3 4 3 2" xfId="27753" xr:uid="{00000000-0005-0000-0000-0000B3740000}"/>
    <cellStyle name="Total 3 4 3 2 2" xfId="32340" xr:uid="{9937F65C-C050-41FF-9E90-A221999BC221}"/>
    <cellStyle name="Total 3 4 3 3" xfId="28584" xr:uid="{00000000-0005-0000-0000-0000B4740000}"/>
    <cellStyle name="Total 3 4 3 3 2" xfId="33142" xr:uid="{61B46CD8-40FB-4ABE-A068-E84356084486}"/>
    <cellStyle name="Total 3 4 3 4" xfId="26225" xr:uid="{00000000-0005-0000-0000-0000B5740000}"/>
    <cellStyle name="Total 3 4 3 4 2" xfId="31013" xr:uid="{D7E14494-F708-48F9-B3FC-4C4E5DDF860F}"/>
    <cellStyle name="Total 3 4 3 5" xfId="30129" xr:uid="{00000000-0005-0000-0000-0000B6740000}"/>
    <cellStyle name="Total 3 4 3 6" xfId="30641" xr:uid="{77B694A4-07D1-4484-B234-3731FC02F60B}"/>
    <cellStyle name="Total 3 4 4" xfId="27226" xr:uid="{00000000-0005-0000-0000-0000B7740000}"/>
    <cellStyle name="Total 3 4 4 2" xfId="31862" xr:uid="{09202994-A834-4AEB-B20A-931CDEA2AFF9}"/>
    <cellStyle name="Total 3 4 5" xfId="28582" xr:uid="{00000000-0005-0000-0000-0000B8740000}"/>
    <cellStyle name="Total 3 4 5 2" xfId="33140" xr:uid="{3A5CE6F9-C6F0-4A83-AE3F-0DED7180AC00}"/>
    <cellStyle name="Total 3 4 6" xfId="26421" xr:uid="{00000000-0005-0000-0000-0000B9740000}"/>
    <cellStyle name="Total 3 4 6 2" xfId="31209" xr:uid="{F514AB7B-36E9-4F4C-97E7-2553075C8CC0}"/>
    <cellStyle name="Total 3 4 7" xfId="30127" xr:uid="{00000000-0005-0000-0000-0000BA740000}"/>
    <cellStyle name="Total 3 4 8" xfId="30302" xr:uid="{DEFD5126-9A94-4AE1-AC42-929B70077E1C}"/>
    <cellStyle name="Total 3 5" xfId="25140" xr:uid="{00000000-0005-0000-0000-0000BB740000}"/>
    <cellStyle name="Total 3 5 2" xfId="25339" xr:uid="{00000000-0005-0000-0000-0000BC740000}"/>
    <cellStyle name="Total 3 5 2 2" xfId="27493" xr:uid="{00000000-0005-0000-0000-0000BD740000}"/>
    <cellStyle name="Total 3 5 2 2 2" xfId="32084" xr:uid="{60532C45-AFD9-4369-B8D3-C86DE7713B19}"/>
    <cellStyle name="Total 3 5 2 3" xfId="28586" xr:uid="{00000000-0005-0000-0000-0000BE740000}"/>
    <cellStyle name="Total 3 5 2 3 2" xfId="33144" xr:uid="{42C3C0B3-5574-4286-A9E7-1FDBE875ECF1}"/>
    <cellStyle name="Total 3 5 2 4" xfId="26339" xr:uid="{00000000-0005-0000-0000-0000BF740000}"/>
    <cellStyle name="Total 3 5 2 4 2" xfId="31127" xr:uid="{617C2EFD-9BD8-4E3D-8110-2967ED77E4DA}"/>
    <cellStyle name="Total 3 5 2 5" xfId="30131" xr:uid="{00000000-0005-0000-0000-0000C0740000}"/>
    <cellStyle name="Total 3 5 2 6" xfId="30497" xr:uid="{8CB14B0D-F9CD-4C73-8408-50AF7E0A485F}"/>
    <cellStyle name="Total 3 5 3" xfId="25737" xr:uid="{00000000-0005-0000-0000-0000C1740000}"/>
    <cellStyle name="Total 3 5 3 2" xfId="27890" xr:uid="{00000000-0005-0000-0000-0000C2740000}"/>
    <cellStyle name="Total 3 5 3 2 2" xfId="32477" xr:uid="{13222091-B404-4799-BAF5-9757ACC67C97}"/>
    <cellStyle name="Total 3 5 3 3" xfId="28587" xr:uid="{00000000-0005-0000-0000-0000C3740000}"/>
    <cellStyle name="Total 3 5 3 3 2" xfId="33145" xr:uid="{56A480DC-415B-4599-840F-1B86A9173F74}"/>
    <cellStyle name="Total 3 5 3 4" xfId="29259" xr:uid="{00000000-0005-0000-0000-0000C4740000}"/>
    <cellStyle name="Total 3 5 3 4 2" xfId="33241" xr:uid="{E9082A5F-C7D7-4375-8B8E-3007D3DF31D4}"/>
    <cellStyle name="Total 3 5 3 5" xfId="30132" xr:uid="{00000000-0005-0000-0000-0000C5740000}"/>
    <cellStyle name="Total 3 5 3 6" xfId="30731" xr:uid="{F3FB0EF9-E15F-4620-84A2-E3879B627515}"/>
    <cellStyle name="Total 3 5 4" xfId="27424" xr:uid="{00000000-0005-0000-0000-0000C6740000}"/>
    <cellStyle name="Total 3 5 4 2" xfId="32022" xr:uid="{9042B7DD-2832-4980-89BF-E90E227D488E}"/>
    <cellStyle name="Total 3 5 5" xfId="28585" xr:uid="{00000000-0005-0000-0000-0000C7740000}"/>
    <cellStyle name="Total 3 5 5 2" xfId="33143" xr:uid="{DBC7BA00-A685-4478-ABF2-84EF78868508}"/>
    <cellStyle name="Total 3 5 6" xfId="26299" xr:uid="{00000000-0005-0000-0000-0000C8740000}"/>
    <cellStyle name="Total 3 5 6 2" xfId="31087" xr:uid="{BEBE9579-1DEF-4EC8-8B97-E248E9586C23}"/>
    <cellStyle name="Total 3 5 7" xfId="30130" xr:uid="{00000000-0005-0000-0000-0000C9740000}"/>
    <cellStyle name="Total 3 5 8" xfId="30439" xr:uid="{298B25C6-2464-4FC2-A047-EE581E9EBB9C}"/>
    <cellStyle name="Total 30" xfId="3498" xr:uid="{00000000-0005-0000-0000-0000CA740000}"/>
    <cellStyle name="Total 31" xfId="3499" xr:uid="{00000000-0005-0000-0000-0000CB740000}"/>
    <cellStyle name="Total 32" xfId="3500" xr:uid="{00000000-0005-0000-0000-0000CC740000}"/>
    <cellStyle name="Total 33" xfId="3501" xr:uid="{00000000-0005-0000-0000-0000CD740000}"/>
    <cellStyle name="Total 34" xfId="3502" xr:uid="{00000000-0005-0000-0000-0000CE740000}"/>
    <cellStyle name="Total 35" xfId="3503" xr:uid="{00000000-0005-0000-0000-0000CF740000}"/>
    <cellStyle name="Total 36" xfId="3504" xr:uid="{00000000-0005-0000-0000-0000D0740000}"/>
    <cellStyle name="Total 37" xfId="3505" xr:uid="{00000000-0005-0000-0000-0000D1740000}"/>
    <cellStyle name="Total 38" xfId="3506" xr:uid="{00000000-0005-0000-0000-0000D2740000}"/>
    <cellStyle name="Total 39" xfId="3507" xr:uid="{00000000-0005-0000-0000-0000D3740000}"/>
    <cellStyle name="Total 4" xfId="3508" xr:uid="{00000000-0005-0000-0000-0000D4740000}"/>
    <cellStyle name="Total 4 2" xfId="24282" xr:uid="{00000000-0005-0000-0000-0000D5740000}"/>
    <cellStyle name="Total 4 2 2" xfId="25342" xr:uid="{00000000-0005-0000-0000-0000D6740000}"/>
    <cellStyle name="Total 4 2 2 2" xfId="27496" xr:uid="{00000000-0005-0000-0000-0000D7740000}"/>
    <cellStyle name="Total 4 2 2 2 2" xfId="32087" xr:uid="{4378C6B3-2DA9-474F-A647-C3CA09AFEC45}"/>
    <cellStyle name="Total 4 2 2 3" xfId="28589" xr:uid="{00000000-0005-0000-0000-0000D8740000}"/>
    <cellStyle name="Total 4 2 2 3 2" xfId="33147" xr:uid="{BB8D41DE-6671-4C6A-B244-D7BDDEA8C537}"/>
    <cellStyle name="Total 4 2 2 4" xfId="26403" xr:uid="{00000000-0005-0000-0000-0000D9740000}"/>
    <cellStyle name="Total 4 2 2 4 2" xfId="31191" xr:uid="{06FA5306-906D-4ACA-ACBA-CF8833D650F0}"/>
    <cellStyle name="Total 4 2 2 5" xfId="30134" xr:uid="{00000000-0005-0000-0000-0000DA740000}"/>
    <cellStyle name="Total 4 2 2 6" xfId="30500" xr:uid="{94C8C99B-1DD9-41F2-99AF-5448E8C931A7}"/>
    <cellStyle name="Total 4 2 3" xfId="25595" xr:uid="{00000000-0005-0000-0000-0000DB740000}"/>
    <cellStyle name="Total 4 2 3 2" xfId="27748" xr:uid="{00000000-0005-0000-0000-0000DC740000}"/>
    <cellStyle name="Total 4 2 3 2 2" xfId="32335" xr:uid="{85C4C2A5-C66F-49A1-BC57-4B2771D10C8B}"/>
    <cellStyle name="Total 4 2 3 3" xfId="28590" xr:uid="{00000000-0005-0000-0000-0000DD740000}"/>
    <cellStyle name="Total 4 2 3 3 2" xfId="33148" xr:uid="{B891C2B4-10D8-41F3-8312-28F63F7F3A20}"/>
    <cellStyle name="Total 4 2 3 4" xfId="26125" xr:uid="{00000000-0005-0000-0000-0000DE740000}"/>
    <cellStyle name="Total 4 2 3 4 2" xfId="30915" xr:uid="{0833D6C1-7CFA-4DF1-9782-8D07003D88E2}"/>
    <cellStyle name="Total 4 2 3 5" xfId="30135" xr:uid="{00000000-0005-0000-0000-0000DF740000}"/>
    <cellStyle name="Total 4 2 3 6" xfId="30636" xr:uid="{633D8663-1054-4EED-A030-814D93776AC8}"/>
    <cellStyle name="Total 4 2 4" xfId="27132" xr:uid="{00000000-0005-0000-0000-0000E0740000}"/>
    <cellStyle name="Total 4 2 4 2" xfId="31846" xr:uid="{7B71D4F2-F41A-4B45-97DE-60010697BFF7}"/>
    <cellStyle name="Total 4 2 5" xfId="28588" xr:uid="{00000000-0005-0000-0000-0000E1740000}"/>
    <cellStyle name="Total 4 2 5 2" xfId="33146" xr:uid="{16A73471-B493-4D5E-93DE-743BB0476318}"/>
    <cellStyle name="Total 4 2 6" xfId="26084" xr:uid="{00000000-0005-0000-0000-0000E2740000}"/>
    <cellStyle name="Total 4 2 6 2" xfId="30874" xr:uid="{CC9A10D6-1D0B-4AC0-A0CE-A52BE0B212FA}"/>
    <cellStyle name="Total 4 2 7" xfId="30133" xr:uid="{00000000-0005-0000-0000-0000E3740000}"/>
    <cellStyle name="Total 4 2 8" xfId="30297" xr:uid="{22AB453E-1F3E-4C84-8EDE-D41A5226AF77}"/>
    <cellStyle name="Total 4 3" xfId="24919" xr:uid="{00000000-0005-0000-0000-0000E4740000}"/>
    <cellStyle name="Total 4 3 2" xfId="25398" xr:uid="{00000000-0005-0000-0000-0000E5740000}"/>
    <cellStyle name="Total 4 3 2 2" xfId="27552" xr:uid="{00000000-0005-0000-0000-0000E6740000}"/>
    <cellStyle name="Total 4 3 2 2 2" xfId="32143" xr:uid="{54D0D36D-D38A-48EA-8F9F-12929664FC29}"/>
    <cellStyle name="Total 4 3 2 3" xfId="28592" xr:uid="{00000000-0005-0000-0000-0000E7740000}"/>
    <cellStyle name="Total 4 3 2 3 2" xfId="33150" xr:uid="{A23ECFBC-7E32-4834-A929-03A01C36286D}"/>
    <cellStyle name="Total 4 3 2 4" xfId="26267" xr:uid="{00000000-0005-0000-0000-0000E8740000}"/>
    <cellStyle name="Total 4 3 2 4 2" xfId="31055" xr:uid="{E620B1FD-F492-4409-96F2-9F0FCC8A5754}"/>
    <cellStyle name="Total 4 3 2 5" xfId="30137" xr:uid="{00000000-0005-0000-0000-0000E9740000}"/>
    <cellStyle name="Total 4 3 2 6" xfId="30556" xr:uid="{274C8E83-2BAF-42F9-9960-12767F2A3B03}"/>
    <cellStyle name="Total 4 3 3" xfId="25666" xr:uid="{00000000-0005-0000-0000-0000EA740000}"/>
    <cellStyle name="Total 4 3 3 2" xfId="27819" xr:uid="{00000000-0005-0000-0000-0000EB740000}"/>
    <cellStyle name="Total 4 3 3 2 2" xfId="32406" xr:uid="{65D3F2E4-7BB4-4281-ACA6-E60E12B1D4DB}"/>
    <cellStyle name="Total 4 3 3 3" xfId="28593" xr:uid="{00000000-0005-0000-0000-0000EC740000}"/>
    <cellStyle name="Total 4 3 3 3 2" xfId="33151" xr:uid="{4E0E1F52-E922-4562-B145-9D61CE70DF1F}"/>
    <cellStyle name="Total 4 3 3 4" xfId="26388" xr:uid="{00000000-0005-0000-0000-0000ED740000}"/>
    <cellStyle name="Total 4 3 3 4 2" xfId="31176" xr:uid="{3CAB2FCC-F2E0-4BDB-A841-12D9D04BAF9F}"/>
    <cellStyle name="Total 4 3 3 5" xfId="30138" xr:uid="{00000000-0005-0000-0000-0000EE740000}"/>
    <cellStyle name="Total 4 3 3 6" xfId="30660" xr:uid="{790C6D1E-DF37-4DCD-9EC8-900A78DCE377}"/>
    <cellStyle name="Total 4 3 4" xfId="27328" xr:uid="{00000000-0005-0000-0000-0000EF740000}"/>
    <cellStyle name="Total 4 3 4 2" xfId="31944" xr:uid="{98248B7B-8F55-4195-AA4F-E85B2CA4FEE5}"/>
    <cellStyle name="Total 4 3 5" xfId="28591" xr:uid="{00000000-0005-0000-0000-0000F0740000}"/>
    <cellStyle name="Total 4 3 5 2" xfId="33149" xr:uid="{719FC50C-2925-4713-9C24-ECA6FA9D3B66}"/>
    <cellStyle name="Total 4 3 6" xfId="26486" xr:uid="{00000000-0005-0000-0000-0000F1740000}"/>
    <cellStyle name="Total 4 3 6 2" xfId="31274" xr:uid="{9E428137-BA87-4A98-B509-36FC34EACE8A}"/>
    <cellStyle name="Total 4 3 7" xfId="30136" xr:uid="{00000000-0005-0000-0000-0000F2740000}"/>
    <cellStyle name="Total 4 3 8" xfId="30368" xr:uid="{4B374924-25EA-483F-8E15-64CC10DA2880}"/>
    <cellStyle name="Total 4 4" xfId="25142" xr:uid="{00000000-0005-0000-0000-0000F3740000}"/>
    <cellStyle name="Total 4 4 2" xfId="25353" xr:uid="{00000000-0005-0000-0000-0000F4740000}"/>
    <cellStyle name="Total 4 4 2 2" xfId="27507" xr:uid="{00000000-0005-0000-0000-0000F5740000}"/>
    <cellStyle name="Total 4 4 2 2 2" xfId="32098" xr:uid="{48E2DFAC-9E19-46B6-A672-AA24C70FD3F4}"/>
    <cellStyle name="Total 4 4 2 3" xfId="28595" xr:uid="{00000000-0005-0000-0000-0000F6740000}"/>
    <cellStyle name="Total 4 4 2 3 2" xfId="33153" xr:uid="{2BD78EBB-DF9A-4B00-B320-34FD1A0C67C2}"/>
    <cellStyle name="Total 4 4 2 4" xfId="26361" xr:uid="{00000000-0005-0000-0000-0000F7740000}"/>
    <cellStyle name="Total 4 4 2 4 2" xfId="31149" xr:uid="{9DDD0831-4314-47DA-AD44-61B64DD6E563}"/>
    <cellStyle name="Total 4 4 2 5" xfId="30140" xr:uid="{00000000-0005-0000-0000-0000F8740000}"/>
    <cellStyle name="Total 4 4 2 6" xfId="30511" xr:uid="{54DB8FF2-E2DC-4873-822C-DE6A7A7A6DBF}"/>
    <cellStyle name="Total 4 4 3" xfId="25739" xr:uid="{00000000-0005-0000-0000-0000F9740000}"/>
    <cellStyle name="Total 4 4 3 2" xfId="27892" xr:uid="{00000000-0005-0000-0000-0000FA740000}"/>
    <cellStyle name="Total 4 4 3 2 2" xfId="32479" xr:uid="{6F7AA709-90E0-4E39-94DB-9A06C4DC19BD}"/>
    <cellStyle name="Total 4 4 3 3" xfId="28596" xr:uid="{00000000-0005-0000-0000-0000FB740000}"/>
    <cellStyle name="Total 4 4 3 3 2" xfId="33154" xr:uid="{63508A8A-AA8E-4271-A08F-6E8229F49EE4}"/>
    <cellStyle name="Total 4 4 3 4" xfId="29261" xr:uid="{00000000-0005-0000-0000-0000FC740000}"/>
    <cellStyle name="Total 4 4 3 4 2" xfId="33243" xr:uid="{223558E1-C7F3-4532-B769-B31B96400F07}"/>
    <cellStyle name="Total 4 4 3 5" xfId="30141" xr:uid="{00000000-0005-0000-0000-0000FD740000}"/>
    <cellStyle name="Total 4 4 3 6" xfId="30733" xr:uid="{86F6F288-E04E-4796-9995-7EF0A0200931}"/>
    <cellStyle name="Total 4 4 4" xfId="27426" xr:uid="{00000000-0005-0000-0000-0000FE740000}"/>
    <cellStyle name="Total 4 4 4 2" xfId="32024" xr:uid="{9EAC94FF-9547-4198-A634-ED1886989857}"/>
    <cellStyle name="Total 4 4 5" xfId="28594" xr:uid="{00000000-0005-0000-0000-0000FF740000}"/>
    <cellStyle name="Total 4 4 5 2" xfId="33152" xr:uid="{CB6FE6EE-EFF1-4214-97C2-6D3C099ABB87}"/>
    <cellStyle name="Total 4 4 6" xfId="26140" xr:uid="{00000000-0005-0000-0000-000000750000}"/>
    <cellStyle name="Total 4 4 6 2" xfId="30930" xr:uid="{BE8099BB-5C21-44A0-9E6D-608F862F7BA3}"/>
    <cellStyle name="Total 4 4 7" xfId="30139" xr:uid="{00000000-0005-0000-0000-000001750000}"/>
    <cellStyle name="Total 4 4 8" xfId="30441" xr:uid="{571703F0-F760-4DEB-834D-F8CC05FDB234}"/>
    <cellStyle name="Total 40" xfId="3509" xr:uid="{00000000-0005-0000-0000-000002750000}"/>
    <cellStyle name="Total 41" xfId="3510" xr:uid="{00000000-0005-0000-0000-000003750000}"/>
    <cellStyle name="Total 42" xfId="3511" xr:uid="{00000000-0005-0000-0000-000004750000}"/>
    <cellStyle name="Total 43" xfId="3512" xr:uid="{00000000-0005-0000-0000-000005750000}"/>
    <cellStyle name="Total 44" xfId="3513" xr:uid="{00000000-0005-0000-0000-000006750000}"/>
    <cellStyle name="Total 45" xfId="3514" xr:uid="{00000000-0005-0000-0000-000007750000}"/>
    <cellStyle name="Total 46" xfId="3515" xr:uid="{00000000-0005-0000-0000-000008750000}"/>
    <cellStyle name="Total 47" xfId="3516" xr:uid="{00000000-0005-0000-0000-000009750000}"/>
    <cellStyle name="Total 48" xfId="3517" xr:uid="{00000000-0005-0000-0000-00000A750000}"/>
    <cellStyle name="Total 49" xfId="3518" xr:uid="{00000000-0005-0000-0000-00000B750000}"/>
    <cellStyle name="Total 5" xfId="3519" xr:uid="{00000000-0005-0000-0000-00000C750000}"/>
    <cellStyle name="Total 5 2" xfId="24283" xr:uid="{00000000-0005-0000-0000-00000D750000}"/>
    <cellStyle name="Total 5 2 2" xfId="25443" xr:uid="{00000000-0005-0000-0000-00000E750000}"/>
    <cellStyle name="Total 5 2 2 2" xfId="27597" xr:uid="{00000000-0005-0000-0000-00000F750000}"/>
    <cellStyle name="Total 5 2 2 2 2" xfId="32188" xr:uid="{1A01EE37-E5FB-4D5F-B501-61FCBC1B5FC1}"/>
    <cellStyle name="Total 5 2 2 3" xfId="28598" xr:uid="{00000000-0005-0000-0000-000010750000}"/>
    <cellStyle name="Total 5 2 2 3 2" xfId="33156" xr:uid="{FAEED872-5722-49A8-B50C-6D623D92AACB}"/>
    <cellStyle name="Total 5 2 2 4" xfId="26811" xr:uid="{00000000-0005-0000-0000-000011750000}"/>
    <cellStyle name="Total 5 2 2 4 2" xfId="31572" xr:uid="{85056974-46FB-4BD2-9997-A72E569750F2}"/>
    <cellStyle name="Total 5 2 2 5" xfId="30143" xr:uid="{00000000-0005-0000-0000-000012750000}"/>
    <cellStyle name="Total 5 2 2 6" xfId="30601" xr:uid="{0E6F7E58-40F1-4547-9584-A423349B45FD}"/>
    <cellStyle name="Total 5 2 3" xfId="25596" xr:uid="{00000000-0005-0000-0000-000013750000}"/>
    <cellStyle name="Total 5 2 3 2" xfId="27749" xr:uid="{00000000-0005-0000-0000-000014750000}"/>
    <cellStyle name="Total 5 2 3 2 2" xfId="32336" xr:uid="{E4BB1665-5941-405A-92B1-7623F824D543}"/>
    <cellStyle name="Total 5 2 3 3" xfId="28599" xr:uid="{00000000-0005-0000-0000-000015750000}"/>
    <cellStyle name="Total 5 2 3 3 2" xfId="33157" xr:uid="{0B7F333A-09FB-4988-9956-925D5D7A87EA}"/>
    <cellStyle name="Total 5 2 3 4" xfId="26072" xr:uid="{00000000-0005-0000-0000-000016750000}"/>
    <cellStyle name="Total 5 2 3 4 2" xfId="30862" xr:uid="{E033AB36-09E1-46FA-AE2C-4A7B1C24EC53}"/>
    <cellStyle name="Total 5 2 3 5" xfId="30144" xr:uid="{00000000-0005-0000-0000-000017750000}"/>
    <cellStyle name="Total 5 2 3 6" xfId="30637" xr:uid="{76ACCD91-D6E0-4875-8BBD-0A2C4B297263}"/>
    <cellStyle name="Total 5 2 4" xfId="27133" xr:uid="{00000000-0005-0000-0000-000018750000}"/>
    <cellStyle name="Total 5 2 4 2" xfId="31847" xr:uid="{F21D570B-EB8C-4CD4-94DA-9A1EBA8F5904}"/>
    <cellStyle name="Total 5 2 5" xfId="28597" xr:uid="{00000000-0005-0000-0000-000019750000}"/>
    <cellStyle name="Total 5 2 5 2" xfId="33155" xr:uid="{F1DB78CE-759B-4265-A60F-E10226159B3C}"/>
    <cellStyle name="Total 5 2 6" xfId="26931" xr:uid="{00000000-0005-0000-0000-00001A750000}"/>
    <cellStyle name="Total 5 2 6 2" xfId="31692" xr:uid="{123F0A2A-567E-4F1F-A89D-E7C951991C9D}"/>
    <cellStyle name="Total 5 2 7" xfId="30142" xr:uid="{00000000-0005-0000-0000-00001B750000}"/>
    <cellStyle name="Total 5 2 8" xfId="30298" xr:uid="{5F65EC68-8286-45EE-A89E-0C21A3079FAB}"/>
    <cellStyle name="Total 5 3" xfId="24920" xr:uid="{00000000-0005-0000-0000-00001C750000}"/>
    <cellStyle name="Total 5 3 2" xfId="25306" xr:uid="{00000000-0005-0000-0000-00001D750000}"/>
    <cellStyle name="Total 5 3 2 2" xfId="27460" xr:uid="{00000000-0005-0000-0000-00001E750000}"/>
    <cellStyle name="Total 5 3 2 2 2" xfId="32052" xr:uid="{CF4FB559-6B06-4D86-9F52-4081997E7A2D}"/>
    <cellStyle name="Total 5 3 2 3" xfId="28601" xr:uid="{00000000-0005-0000-0000-00001F750000}"/>
    <cellStyle name="Total 5 3 2 3 2" xfId="33159" xr:uid="{4C6A5994-8188-40CD-97CE-F157044AB362}"/>
    <cellStyle name="Total 5 3 2 4" xfId="27300" xr:uid="{00000000-0005-0000-0000-000020750000}"/>
    <cellStyle name="Total 5 3 2 4 2" xfId="31929" xr:uid="{EC9E496B-C1B7-433F-B501-7281817D5566}"/>
    <cellStyle name="Total 5 3 2 5" xfId="30146" xr:uid="{00000000-0005-0000-0000-000021750000}"/>
    <cellStyle name="Total 5 3 2 6" xfId="30465" xr:uid="{21EAE05D-F815-4308-8C74-68FFAA9511AB}"/>
    <cellStyle name="Total 5 3 3" xfId="25667" xr:uid="{00000000-0005-0000-0000-000022750000}"/>
    <cellStyle name="Total 5 3 3 2" xfId="27820" xr:uid="{00000000-0005-0000-0000-000023750000}"/>
    <cellStyle name="Total 5 3 3 2 2" xfId="32407" xr:uid="{9474D353-DE2F-4581-B8B8-3603CFAFDEA1}"/>
    <cellStyle name="Total 5 3 3 3" xfId="28602" xr:uid="{00000000-0005-0000-0000-000024750000}"/>
    <cellStyle name="Total 5 3 3 3 2" xfId="33160" xr:uid="{5C47D7FD-0052-4F73-845A-DE60E448E2E0}"/>
    <cellStyle name="Total 5 3 3 4" xfId="26154" xr:uid="{00000000-0005-0000-0000-000025750000}"/>
    <cellStyle name="Total 5 3 3 4 2" xfId="30943" xr:uid="{E1D73A66-2E7C-4EF2-A995-A3EB03087788}"/>
    <cellStyle name="Total 5 3 3 5" xfId="30147" xr:uid="{00000000-0005-0000-0000-000026750000}"/>
    <cellStyle name="Total 5 3 3 6" xfId="30661" xr:uid="{EC622344-C1E2-4C46-A0BB-3449E4C0DA9F}"/>
    <cellStyle name="Total 5 3 4" xfId="27329" xr:uid="{00000000-0005-0000-0000-000027750000}"/>
    <cellStyle name="Total 5 3 4 2" xfId="31945" xr:uid="{939B9C63-19BB-4437-B801-11B491A6BA9A}"/>
    <cellStyle name="Total 5 3 5" xfId="28600" xr:uid="{00000000-0005-0000-0000-000028750000}"/>
    <cellStyle name="Total 5 3 5 2" xfId="33158" xr:uid="{D982A6EF-C445-4861-AEEA-769905690067}"/>
    <cellStyle name="Total 5 3 6" xfId="26506" xr:uid="{00000000-0005-0000-0000-000029750000}"/>
    <cellStyle name="Total 5 3 6 2" xfId="31294" xr:uid="{B61A439A-4AE3-4E86-A6F9-DB221DA44F24}"/>
    <cellStyle name="Total 5 3 7" xfId="30145" xr:uid="{00000000-0005-0000-0000-00002A750000}"/>
    <cellStyle name="Total 5 3 8" xfId="30369" xr:uid="{A21F8164-8F15-4AA3-8340-904BD57D9AE3}"/>
    <cellStyle name="Total 5 4" xfId="25143" xr:uid="{00000000-0005-0000-0000-00002B750000}"/>
    <cellStyle name="Total 5 4 2" xfId="25387" xr:uid="{00000000-0005-0000-0000-00002C750000}"/>
    <cellStyle name="Total 5 4 2 2" xfId="27541" xr:uid="{00000000-0005-0000-0000-00002D750000}"/>
    <cellStyle name="Total 5 4 2 2 2" xfId="32132" xr:uid="{C09A800A-9F4B-4F15-B088-673EA64C0818}"/>
    <cellStyle name="Total 5 4 2 3" xfId="28604" xr:uid="{00000000-0005-0000-0000-00002E750000}"/>
    <cellStyle name="Total 5 4 2 3 2" xfId="33162" xr:uid="{5CC72DBA-655D-4417-BA0C-00A0AC5704E0}"/>
    <cellStyle name="Total 5 4 2 4" xfId="26946" xr:uid="{00000000-0005-0000-0000-00002F750000}"/>
    <cellStyle name="Total 5 4 2 4 2" xfId="31707" xr:uid="{B27BEE8D-3D5F-405A-AC8C-2FB611591DD3}"/>
    <cellStyle name="Total 5 4 2 5" xfId="30149" xr:uid="{00000000-0005-0000-0000-000030750000}"/>
    <cellStyle name="Total 5 4 2 6" xfId="30545" xr:uid="{AB83CD1D-3767-49BD-90E8-FDED0C653E28}"/>
    <cellStyle name="Total 5 4 3" xfId="25740" xr:uid="{00000000-0005-0000-0000-000031750000}"/>
    <cellStyle name="Total 5 4 3 2" xfId="27893" xr:uid="{00000000-0005-0000-0000-000032750000}"/>
    <cellStyle name="Total 5 4 3 2 2" xfId="32480" xr:uid="{70D1F87F-92C2-4634-9950-15391789CD5C}"/>
    <cellStyle name="Total 5 4 3 3" xfId="28605" xr:uid="{00000000-0005-0000-0000-000033750000}"/>
    <cellStyle name="Total 5 4 3 3 2" xfId="33163" xr:uid="{1592B783-BA75-4FFD-8345-F22111F870AF}"/>
    <cellStyle name="Total 5 4 3 4" xfId="29262" xr:uid="{00000000-0005-0000-0000-000034750000}"/>
    <cellStyle name="Total 5 4 3 4 2" xfId="33244" xr:uid="{D27FBA5E-96B8-45AF-8329-5312102AE377}"/>
    <cellStyle name="Total 5 4 3 5" xfId="30150" xr:uid="{00000000-0005-0000-0000-000035750000}"/>
    <cellStyle name="Total 5 4 3 6" xfId="30734" xr:uid="{F2B97EC6-FE1B-42C0-A0D1-EF201A6CC8D7}"/>
    <cellStyle name="Total 5 4 4" xfId="27427" xr:uid="{00000000-0005-0000-0000-000036750000}"/>
    <cellStyle name="Total 5 4 4 2" xfId="32025" xr:uid="{6D38578B-548C-42A8-8C39-834BA18D03AC}"/>
    <cellStyle name="Total 5 4 5" xfId="28603" xr:uid="{00000000-0005-0000-0000-000037750000}"/>
    <cellStyle name="Total 5 4 5 2" xfId="33161" xr:uid="{76046E16-1B43-40D5-A231-BF5B9483B287}"/>
    <cellStyle name="Total 5 4 6" xfId="26500" xr:uid="{00000000-0005-0000-0000-000038750000}"/>
    <cellStyle name="Total 5 4 6 2" xfId="31288" xr:uid="{EB843CE7-4408-42DC-A1FF-58F1A1BDA695}"/>
    <cellStyle name="Total 5 4 7" xfId="30148" xr:uid="{00000000-0005-0000-0000-000039750000}"/>
    <cellStyle name="Total 5 4 8" xfId="30442" xr:uid="{58C69EA8-9FA2-4BC2-80F8-63264066A1D4}"/>
    <cellStyle name="Total 50" xfId="3520" xr:uid="{00000000-0005-0000-0000-00003A750000}"/>
    <cellStyle name="Total 51" xfId="3521" xr:uid="{00000000-0005-0000-0000-00003B750000}"/>
    <cellStyle name="Total 52" xfId="3522" xr:uid="{00000000-0005-0000-0000-00003C750000}"/>
    <cellStyle name="Total 53" xfId="3523" xr:uid="{00000000-0005-0000-0000-00003D750000}"/>
    <cellStyle name="Total 54" xfId="3524" xr:uid="{00000000-0005-0000-0000-00003E750000}"/>
    <cellStyle name="Total 55" xfId="3525" xr:uid="{00000000-0005-0000-0000-00003F750000}"/>
    <cellStyle name="Total 56" xfId="3526" xr:uid="{00000000-0005-0000-0000-000040750000}"/>
    <cellStyle name="Total 57" xfId="3527" xr:uid="{00000000-0005-0000-0000-000041750000}"/>
    <cellStyle name="Total 58" xfId="3528" xr:uid="{00000000-0005-0000-0000-000042750000}"/>
    <cellStyle name="Total 59" xfId="3529" xr:uid="{00000000-0005-0000-0000-000043750000}"/>
    <cellStyle name="Total 6" xfId="3530" xr:uid="{00000000-0005-0000-0000-000044750000}"/>
    <cellStyle name="Total 60" xfId="3531" xr:uid="{00000000-0005-0000-0000-000045750000}"/>
    <cellStyle name="Total 61" xfId="3532" xr:uid="{00000000-0005-0000-0000-000046750000}"/>
    <cellStyle name="Total 62" xfId="3533" xr:uid="{00000000-0005-0000-0000-000047750000}"/>
    <cellStyle name="Total 63" xfId="3534" xr:uid="{00000000-0005-0000-0000-000048750000}"/>
    <cellStyle name="Total 64" xfId="3535" xr:uid="{00000000-0005-0000-0000-000049750000}"/>
    <cellStyle name="Total 65" xfId="3536" xr:uid="{00000000-0005-0000-0000-00004A750000}"/>
    <cellStyle name="Total 66" xfId="3537" xr:uid="{00000000-0005-0000-0000-00004B750000}"/>
    <cellStyle name="Total 67" xfId="3538" xr:uid="{00000000-0005-0000-0000-00004C750000}"/>
    <cellStyle name="Total 68" xfId="3539" xr:uid="{00000000-0005-0000-0000-00004D750000}"/>
    <cellStyle name="Total 69" xfId="3540" xr:uid="{00000000-0005-0000-0000-00004E750000}"/>
    <cellStyle name="Total 7" xfId="3541" xr:uid="{00000000-0005-0000-0000-00004F750000}"/>
    <cellStyle name="Total 70" xfId="3542" xr:uid="{00000000-0005-0000-0000-000050750000}"/>
    <cellStyle name="Total 71" xfId="3543" xr:uid="{00000000-0005-0000-0000-000051750000}"/>
    <cellStyle name="Total 72" xfId="3544" xr:uid="{00000000-0005-0000-0000-000052750000}"/>
    <cellStyle name="Total 73" xfId="23927" xr:uid="{00000000-0005-0000-0000-000053750000}"/>
    <cellStyle name="Total 73 2" xfId="27041" xr:uid="{00000000-0005-0000-0000-000054750000}"/>
    <cellStyle name="Total 8" xfId="3545" xr:uid="{00000000-0005-0000-0000-000055750000}"/>
    <cellStyle name="Total 9" xfId="3546" xr:uid="{00000000-0005-0000-0000-000056750000}"/>
    <cellStyle name="Total2 - Style2" xfId="158" xr:uid="{00000000-0005-0000-0000-000057750000}"/>
    <cellStyle name="TRANSMISSION RELIABILITY PORTION OF PROJECT" xfId="159" xr:uid="{00000000-0005-0000-0000-000058750000}"/>
    <cellStyle name="Underl - Style4" xfId="160" xr:uid="{00000000-0005-0000-0000-000059750000}"/>
    <cellStyle name="Underl - Style4 2" xfId="30151" xr:uid="{00000000-0005-0000-0000-00005A750000}"/>
    <cellStyle name="Underl - Style4 2 2" xfId="33353" xr:uid="{0F704DC6-C2B6-487A-B63B-F599903011A2}"/>
    <cellStyle name="UNLocked" xfId="628" xr:uid="{00000000-0005-0000-0000-00005B750000}"/>
    <cellStyle name="UNLocked 2" xfId="24284" xr:uid="{00000000-0005-0000-0000-00005C750000}"/>
    <cellStyle name="Unprot" xfId="161" xr:uid="{00000000-0005-0000-0000-00005D750000}"/>
    <cellStyle name="Unprot$" xfId="162" xr:uid="{00000000-0005-0000-0000-00005E750000}"/>
    <cellStyle name="Unprotect" xfId="163" xr:uid="{00000000-0005-0000-0000-00005F750000}"/>
    <cellStyle name="UploadThisRowValue" xfId="3547" xr:uid="{00000000-0005-0000-0000-000060750000}"/>
    <cellStyle name="Warning Text 10" xfId="3548" xr:uid="{00000000-0005-0000-0000-000061750000}"/>
    <cellStyle name="Warning Text 11" xfId="3549" xr:uid="{00000000-0005-0000-0000-000062750000}"/>
    <cellStyle name="Warning Text 12" xfId="3550" xr:uid="{00000000-0005-0000-0000-000063750000}"/>
    <cellStyle name="Warning Text 13" xfId="3551" xr:uid="{00000000-0005-0000-0000-000064750000}"/>
    <cellStyle name="Warning Text 14" xfId="3552" xr:uid="{00000000-0005-0000-0000-000065750000}"/>
    <cellStyle name="Warning Text 15" xfId="3553" xr:uid="{00000000-0005-0000-0000-000066750000}"/>
    <cellStyle name="Warning Text 16" xfId="3554" xr:uid="{00000000-0005-0000-0000-000067750000}"/>
    <cellStyle name="Warning Text 17" xfId="3555" xr:uid="{00000000-0005-0000-0000-000068750000}"/>
    <cellStyle name="Warning Text 18" xfId="3556" xr:uid="{00000000-0005-0000-0000-000069750000}"/>
    <cellStyle name="Warning Text 19" xfId="3557" xr:uid="{00000000-0005-0000-0000-00006A750000}"/>
    <cellStyle name="Warning Text 2" xfId="3558" xr:uid="{00000000-0005-0000-0000-00006B750000}"/>
    <cellStyle name="Warning Text 2 2" xfId="24287" xr:uid="{00000000-0005-0000-0000-00006C750000}"/>
    <cellStyle name="Warning Text 2 3" xfId="24286" xr:uid="{00000000-0005-0000-0000-00006D750000}"/>
    <cellStyle name="Warning Text 20" xfId="3559" xr:uid="{00000000-0005-0000-0000-00006E750000}"/>
    <cellStyle name="Warning Text 21" xfId="3560" xr:uid="{00000000-0005-0000-0000-00006F750000}"/>
    <cellStyle name="Warning Text 22" xfId="3561" xr:uid="{00000000-0005-0000-0000-000070750000}"/>
    <cellStyle name="Warning Text 23" xfId="3562" xr:uid="{00000000-0005-0000-0000-000071750000}"/>
    <cellStyle name="Warning Text 24" xfId="3563" xr:uid="{00000000-0005-0000-0000-000072750000}"/>
    <cellStyle name="Warning Text 25" xfId="3564" xr:uid="{00000000-0005-0000-0000-000073750000}"/>
    <cellStyle name="Warning Text 26" xfId="3565" xr:uid="{00000000-0005-0000-0000-000074750000}"/>
    <cellStyle name="Warning Text 27" xfId="3566" xr:uid="{00000000-0005-0000-0000-000075750000}"/>
    <cellStyle name="Warning Text 28" xfId="3567" xr:uid="{00000000-0005-0000-0000-000076750000}"/>
    <cellStyle name="Warning Text 29" xfId="3568" xr:uid="{00000000-0005-0000-0000-000077750000}"/>
    <cellStyle name="Warning Text 3" xfId="3569" xr:uid="{00000000-0005-0000-0000-000078750000}"/>
    <cellStyle name="Warning Text 3 2" xfId="24289" xr:uid="{00000000-0005-0000-0000-000079750000}"/>
    <cellStyle name="Warning Text 3 3" xfId="24288" xr:uid="{00000000-0005-0000-0000-00007A750000}"/>
    <cellStyle name="Warning Text 30" xfId="3570" xr:uid="{00000000-0005-0000-0000-00007B750000}"/>
    <cellStyle name="Warning Text 31" xfId="3571" xr:uid="{00000000-0005-0000-0000-00007C750000}"/>
    <cellStyle name="Warning Text 32" xfId="3572" xr:uid="{00000000-0005-0000-0000-00007D750000}"/>
    <cellStyle name="Warning Text 33" xfId="3573" xr:uid="{00000000-0005-0000-0000-00007E750000}"/>
    <cellStyle name="Warning Text 34" xfId="3574" xr:uid="{00000000-0005-0000-0000-00007F750000}"/>
    <cellStyle name="Warning Text 35" xfId="3575" xr:uid="{00000000-0005-0000-0000-000080750000}"/>
    <cellStyle name="Warning Text 36" xfId="3576" xr:uid="{00000000-0005-0000-0000-000081750000}"/>
    <cellStyle name="Warning Text 37" xfId="3577" xr:uid="{00000000-0005-0000-0000-000082750000}"/>
    <cellStyle name="Warning Text 38" xfId="3578" xr:uid="{00000000-0005-0000-0000-000083750000}"/>
    <cellStyle name="Warning Text 39" xfId="3579" xr:uid="{00000000-0005-0000-0000-000084750000}"/>
    <cellStyle name="Warning Text 4" xfId="3580" xr:uid="{00000000-0005-0000-0000-000085750000}"/>
    <cellStyle name="Warning Text 4 2" xfId="24290" xr:uid="{00000000-0005-0000-0000-000086750000}"/>
    <cellStyle name="Warning Text 40" xfId="3581" xr:uid="{00000000-0005-0000-0000-000087750000}"/>
    <cellStyle name="Warning Text 41" xfId="3582" xr:uid="{00000000-0005-0000-0000-000088750000}"/>
    <cellStyle name="Warning Text 42" xfId="3583" xr:uid="{00000000-0005-0000-0000-000089750000}"/>
    <cellStyle name="Warning Text 43" xfId="3584" xr:uid="{00000000-0005-0000-0000-00008A750000}"/>
    <cellStyle name="Warning Text 44" xfId="3585" xr:uid="{00000000-0005-0000-0000-00008B750000}"/>
    <cellStyle name="Warning Text 45" xfId="3586" xr:uid="{00000000-0005-0000-0000-00008C750000}"/>
    <cellStyle name="Warning Text 46" xfId="3587" xr:uid="{00000000-0005-0000-0000-00008D750000}"/>
    <cellStyle name="Warning Text 47" xfId="3588" xr:uid="{00000000-0005-0000-0000-00008E750000}"/>
    <cellStyle name="Warning Text 48" xfId="3589" xr:uid="{00000000-0005-0000-0000-00008F750000}"/>
    <cellStyle name="Warning Text 49" xfId="3590" xr:uid="{00000000-0005-0000-0000-000090750000}"/>
    <cellStyle name="Warning Text 5" xfId="3591" xr:uid="{00000000-0005-0000-0000-000091750000}"/>
    <cellStyle name="Warning Text 5 2" xfId="24291" xr:uid="{00000000-0005-0000-0000-000092750000}"/>
    <cellStyle name="Warning Text 50" xfId="3592" xr:uid="{00000000-0005-0000-0000-000093750000}"/>
    <cellStyle name="Warning Text 51" xfId="3593" xr:uid="{00000000-0005-0000-0000-000094750000}"/>
    <cellStyle name="Warning Text 52" xfId="3594" xr:uid="{00000000-0005-0000-0000-000095750000}"/>
    <cellStyle name="Warning Text 53" xfId="3595" xr:uid="{00000000-0005-0000-0000-000096750000}"/>
    <cellStyle name="Warning Text 54" xfId="3596" xr:uid="{00000000-0005-0000-0000-000097750000}"/>
    <cellStyle name="Warning Text 55" xfId="3597" xr:uid="{00000000-0005-0000-0000-000098750000}"/>
    <cellStyle name="Warning Text 56" xfId="3598" xr:uid="{00000000-0005-0000-0000-000099750000}"/>
    <cellStyle name="Warning Text 57" xfId="3599" xr:uid="{00000000-0005-0000-0000-00009A750000}"/>
    <cellStyle name="Warning Text 58" xfId="3600" xr:uid="{00000000-0005-0000-0000-00009B750000}"/>
    <cellStyle name="Warning Text 59" xfId="3601" xr:uid="{00000000-0005-0000-0000-00009C750000}"/>
    <cellStyle name="Warning Text 6" xfId="3602" xr:uid="{00000000-0005-0000-0000-00009D750000}"/>
    <cellStyle name="Warning Text 60" xfId="3603" xr:uid="{00000000-0005-0000-0000-00009E750000}"/>
    <cellStyle name="Warning Text 61" xfId="3604" xr:uid="{00000000-0005-0000-0000-00009F750000}"/>
    <cellStyle name="Warning Text 62" xfId="3605" xr:uid="{00000000-0005-0000-0000-0000A0750000}"/>
    <cellStyle name="Warning Text 63" xfId="3606" xr:uid="{00000000-0005-0000-0000-0000A1750000}"/>
    <cellStyle name="Warning Text 64" xfId="3607" xr:uid="{00000000-0005-0000-0000-0000A2750000}"/>
    <cellStyle name="Warning Text 65" xfId="3608" xr:uid="{00000000-0005-0000-0000-0000A3750000}"/>
    <cellStyle name="Warning Text 66" xfId="3609" xr:uid="{00000000-0005-0000-0000-0000A4750000}"/>
    <cellStyle name="Warning Text 67" xfId="3610" xr:uid="{00000000-0005-0000-0000-0000A5750000}"/>
    <cellStyle name="Warning Text 68" xfId="3611" xr:uid="{00000000-0005-0000-0000-0000A6750000}"/>
    <cellStyle name="Warning Text 69" xfId="3612" xr:uid="{00000000-0005-0000-0000-0000A7750000}"/>
    <cellStyle name="Warning Text 7" xfId="3613" xr:uid="{00000000-0005-0000-0000-0000A8750000}"/>
    <cellStyle name="Warning Text 70" xfId="3614" xr:uid="{00000000-0005-0000-0000-0000A9750000}"/>
    <cellStyle name="Warning Text 71" xfId="3615" xr:uid="{00000000-0005-0000-0000-0000AA750000}"/>
    <cellStyle name="Warning Text 72" xfId="3616" xr:uid="{00000000-0005-0000-0000-0000AB750000}"/>
    <cellStyle name="Warning Text 8" xfId="3617" xr:uid="{00000000-0005-0000-0000-0000AC750000}"/>
    <cellStyle name="Warning Text 9" xfId="3618" xr:uid="{00000000-0005-0000-0000-0000AD750000}"/>
    <cellStyle name="WhitePattern" xfId="629" xr:uid="{00000000-0005-0000-0000-0000AE750000}"/>
    <cellStyle name="WhitePattern1" xfId="630" xr:uid="{00000000-0005-0000-0000-0000AF750000}"/>
    <cellStyle name="WhitePattern1 2" xfId="24526" xr:uid="{00000000-0005-0000-0000-0000B0750000}"/>
    <cellStyle name="WhitePattern1 2 2" xfId="25335" xr:uid="{00000000-0005-0000-0000-0000B1750000}"/>
    <cellStyle name="WhitePattern1 2 2 2" xfId="27489" xr:uid="{00000000-0005-0000-0000-0000B2750000}"/>
    <cellStyle name="WhitePattern1 2 2 2 2" xfId="32080" xr:uid="{3D7F4097-1613-4242-9EB3-38E8E0B0D100}"/>
    <cellStyle name="WhitePattern1 2 2 3" xfId="28607" xr:uid="{00000000-0005-0000-0000-0000B3750000}"/>
    <cellStyle name="WhitePattern1 2 2 4" xfId="29194" xr:uid="{00000000-0005-0000-0000-0000B4750000}"/>
    <cellStyle name="WhitePattern1 2 2 4 2" xfId="33177" xr:uid="{987C6AE6-E2DD-4418-8E04-302731C07A72}"/>
    <cellStyle name="WhitePattern1 2 2 5" xfId="26548" xr:uid="{00000000-0005-0000-0000-0000B5750000}"/>
    <cellStyle name="WhitePattern1 2 2 5 2" xfId="31335" xr:uid="{8211B196-BB97-4FA9-A6A3-4CD24162809B}"/>
    <cellStyle name="WhitePattern1 2 2 6" xfId="30493" xr:uid="{9E93F7AB-2649-4819-BE1D-4E50729CED18}"/>
    <cellStyle name="WhitePattern1 2 3" xfId="25597" xr:uid="{00000000-0005-0000-0000-0000B6750000}"/>
    <cellStyle name="WhitePattern1 2 3 2" xfId="27750" xr:uid="{00000000-0005-0000-0000-0000B7750000}"/>
    <cellStyle name="WhitePattern1 2 3 2 2" xfId="32337" xr:uid="{A66D0E0A-2CA6-4FF8-89BB-C84C17B6F8E7}"/>
    <cellStyle name="WhitePattern1 2 3 3" xfId="28608" xr:uid="{00000000-0005-0000-0000-0000B8750000}"/>
    <cellStyle name="WhitePattern1 2 3 4" xfId="29233" xr:uid="{00000000-0005-0000-0000-0000B9750000}"/>
    <cellStyle name="WhitePattern1 2 3 4 2" xfId="33216" xr:uid="{1A0DAAC5-6B55-472A-853A-8C6E4F897558}"/>
    <cellStyle name="WhitePattern1 2 3 5" xfId="27026" xr:uid="{00000000-0005-0000-0000-0000BA750000}"/>
    <cellStyle name="WhitePattern1 2 3 5 2" xfId="31786" xr:uid="{06BC4E06-0171-4472-A0CF-069DA41E695D}"/>
    <cellStyle name="WhitePattern1 2 3 6" xfId="30638" xr:uid="{371C4DE1-05A7-48C3-9A1D-B86F84C4BD78}"/>
    <cellStyle name="WhitePattern1 2 4" xfId="27206" xr:uid="{00000000-0005-0000-0000-0000BB750000}"/>
    <cellStyle name="WhitePattern1 2 4 2" xfId="31857" xr:uid="{E9ADB847-31CD-443E-AA95-7AA671B227CD}"/>
    <cellStyle name="WhitePattern1 2 5" xfId="28606" xr:uid="{00000000-0005-0000-0000-0000BC750000}"/>
    <cellStyle name="WhitePattern1 2 6" xfId="25813" xr:uid="{00000000-0005-0000-0000-0000BD750000}"/>
    <cellStyle name="WhitePattern1 2 6 2" xfId="30735" xr:uid="{8F4CD6E2-A2AD-4359-A907-72F9D9D90E1A}"/>
    <cellStyle name="WhitePattern1 2 7" xfId="27322" xr:uid="{00000000-0005-0000-0000-0000BE750000}"/>
    <cellStyle name="WhitePattern1 2 7 2" xfId="31941" xr:uid="{64893512-7A36-483D-B9E6-E77C10839FF0}"/>
    <cellStyle name="WhitePattern1 2 8" xfId="30299" xr:uid="{28B441C0-B556-4105-BE08-54B9621BE9DC}"/>
    <cellStyle name="WhitePattern1 3" xfId="24769" xr:uid="{00000000-0005-0000-0000-0000BF750000}"/>
    <cellStyle name="WhitePattern1 3 2" xfId="25286" xr:uid="{00000000-0005-0000-0000-0000C0750000}"/>
    <cellStyle name="WhitePattern1 3 2 2" xfId="27441" xr:uid="{00000000-0005-0000-0000-0000C1750000}"/>
    <cellStyle name="WhitePattern1 3 2 2 2" xfId="32036" xr:uid="{C6CE3513-29F6-4FDB-9D57-1729BB92C432}"/>
    <cellStyle name="WhitePattern1 3 2 3" xfId="28610" xr:uid="{00000000-0005-0000-0000-0000C2750000}"/>
    <cellStyle name="WhitePattern1 3 2 4" xfId="29188" xr:uid="{00000000-0005-0000-0000-0000C3750000}"/>
    <cellStyle name="WhitePattern1 3 2 4 2" xfId="33171" xr:uid="{0B94CD2E-41B2-44F1-9623-4B5BF85E69EC}"/>
    <cellStyle name="WhitePattern1 3 2 5" xfId="26187" xr:uid="{00000000-0005-0000-0000-0000C4750000}"/>
    <cellStyle name="WhitePattern1 3 2 5 2" xfId="30975" xr:uid="{8D53C3B0-45C8-4525-82F2-F5352406E767}"/>
    <cellStyle name="WhitePattern1 3 2 6" xfId="30449" xr:uid="{6ECED2A9-EFFE-4828-8000-6BCC2FC33046}"/>
    <cellStyle name="WhitePattern1 3 3" xfId="25665" xr:uid="{00000000-0005-0000-0000-0000C5750000}"/>
    <cellStyle name="WhitePattern1 3 3 2" xfId="27818" xr:uid="{00000000-0005-0000-0000-0000C6750000}"/>
    <cellStyle name="WhitePattern1 3 3 2 2" xfId="32405" xr:uid="{AF3E3D5D-0E06-4C65-9354-AF80E12493CE}"/>
    <cellStyle name="WhitePattern1 3 3 3" xfId="28611" xr:uid="{00000000-0005-0000-0000-0000C7750000}"/>
    <cellStyle name="WhitePattern1 3 3 4" xfId="29245" xr:uid="{00000000-0005-0000-0000-0000C8750000}"/>
    <cellStyle name="WhitePattern1 3 3 4 2" xfId="33227" xr:uid="{F4A4B164-C3D6-4BDD-A45F-DD2A6BF9496D}"/>
    <cellStyle name="WhitePattern1 3 3 5" xfId="26092" xr:uid="{00000000-0005-0000-0000-0000C9750000}"/>
    <cellStyle name="WhitePattern1 3 3 5 2" xfId="30882" xr:uid="{64215532-3F6A-480D-96EF-4984DFB0DCD6}"/>
    <cellStyle name="WhitePattern1 3 3 6" xfId="30659" xr:uid="{3720EFBA-7F7F-44F2-B225-40EE135C6323}"/>
    <cellStyle name="WhitePattern1 3 4" xfId="27311" xr:uid="{00000000-0005-0000-0000-0000CA750000}"/>
    <cellStyle name="WhitePattern1 3 4 2" xfId="31934" xr:uid="{9267BEF5-6B1E-4DC3-9403-0A643820597D}"/>
    <cellStyle name="WhitePattern1 3 5" xfId="28609" xr:uid="{00000000-0005-0000-0000-0000CB750000}"/>
    <cellStyle name="WhitePattern1 3 6" xfId="27315" xr:uid="{00000000-0005-0000-0000-0000CC750000}"/>
    <cellStyle name="WhitePattern1 3 6 2" xfId="31935" xr:uid="{A06184E5-0197-463D-B461-695BDED431E6}"/>
    <cellStyle name="WhitePattern1 3 7" xfId="26477" xr:uid="{00000000-0005-0000-0000-0000CD750000}"/>
    <cellStyle name="WhitePattern1 3 7 2" xfId="31265" xr:uid="{358A1C1A-007F-4290-9D0F-EF38D2905B17}"/>
    <cellStyle name="WhitePattern1 3 8" xfId="30367" xr:uid="{E87AC47D-952D-49F6-9FF4-B2C968B208A8}"/>
    <cellStyle name="WhiteText" xfId="631" xr:uid="{00000000-0005-0000-0000-0000CE750000}"/>
    <cellStyle name="Year" xfId="632" xr:uid="{00000000-0005-0000-0000-0000CF750000}"/>
    <cellStyle name="zHiddenText" xfId="33356" xr:uid="{E2621430-6FD2-41C0-9786-745230CA986A}"/>
  </cellStyles>
  <dxfs count="0"/>
  <tableStyles count="1" defaultTableStyle="TableStyleMedium2" defaultPivotStyle="PivotStyleLight16">
    <tableStyle name="Invisible" pivot="0" table="0" count="0" xr9:uid="{90C8794B-AD58-41F5-9BDF-0BB114D835E9}"/>
  </tableStyles>
  <colors>
    <mruColors>
      <color rgb="FFF6E8FA"/>
      <color rgb="FF0000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10.xml"/><Relationship Id="rId6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5.xml"/><Relationship Id="rId66" Type="http://schemas.openxmlformats.org/officeDocument/2006/relationships/theme" Target="theme/theme1.xml"/><Relationship Id="rId7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3.xml"/><Relationship Id="rId64" Type="http://schemas.openxmlformats.org/officeDocument/2006/relationships/externalLink" Target="externalLinks/externalLink11.xml"/><Relationship Id="rId69" Type="http://schemas.microsoft.com/office/2017/10/relationships/person" Target="persons/perso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6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.xml"/><Relationship Id="rId62" Type="http://schemas.openxmlformats.org/officeDocument/2006/relationships/externalLink" Target="externalLinks/externalLink9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7.xml"/><Relationship Id="rId65" Type="http://schemas.openxmlformats.org/officeDocument/2006/relationships/externalLink" Target="externalLinks/externalLink12.xml"/><Relationship Id="rId73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4</xdr:row>
      <xdr:rowOff>121920</xdr:rowOff>
    </xdr:from>
    <xdr:to>
      <xdr:col>10</xdr:col>
      <xdr:colOff>222885</xdr:colOff>
      <xdr:row>21</xdr:row>
      <xdr:rowOff>176186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DB5EEC-CE60-4F7C-8F38-D200191F6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036320"/>
          <a:ext cx="7690485" cy="31632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150</xdr:row>
      <xdr:rowOff>28576</xdr:rowOff>
    </xdr:from>
    <xdr:to>
      <xdr:col>2</xdr:col>
      <xdr:colOff>3790949</xdr:colOff>
      <xdr:row>155</xdr:row>
      <xdr:rowOff>180975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5C7AFBA-FDE3-4E76-9E59-71FDA8785694}"/>
            </a:ext>
          </a:extLst>
        </xdr:cNvPr>
        <xdr:cNvSpPr txBox="1"/>
      </xdr:nvSpPr>
      <xdr:spPr>
        <a:xfrm>
          <a:off x="129540" y="25288876"/>
          <a:ext cx="3790949" cy="1142999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r>
            <a:rPr lang="en-US" sz="1125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47WA.1862.20477</a:t>
          </a:r>
          <a:r>
            <a:rPr lang="en-US" sz="1125"/>
            <a:t> - WA Decoupling variance deferral</a:t>
          </a:r>
        </a:p>
        <a:p>
          <a:r>
            <a:rPr lang="en-US" sz="1125"/>
            <a:t>47WA.4002.4800CP - </a:t>
          </a:r>
          <a:r>
            <a:rPr lang="en-US" sz="1125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Residential CAP</a:t>
          </a:r>
          <a:r>
            <a:rPr lang="en-US" sz="1125"/>
            <a:t> </a:t>
          </a:r>
        </a:p>
        <a:p>
          <a:r>
            <a:rPr lang="en-US" sz="1125"/>
            <a:t>47WA.4002.4809CP - </a:t>
          </a:r>
          <a:r>
            <a:rPr lang="en-US" sz="1125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Industrial CAP</a:t>
          </a:r>
          <a:r>
            <a:rPr lang="en-US" sz="1125"/>
            <a:t> </a:t>
          </a:r>
        </a:p>
        <a:p>
          <a:r>
            <a:rPr lang="en-US" sz="1125"/>
            <a:t>47WA.4002.4810CP - </a:t>
          </a:r>
          <a:r>
            <a:rPr lang="en-US" sz="1125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Commerical CAP</a:t>
          </a:r>
          <a:r>
            <a:rPr lang="en-US" sz="1125"/>
            <a:t> </a:t>
          </a:r>
        </a:p>
        <a:p>
          <a:r>
            <a:rPr lang="en-US" sz="1125"/>
            <a:t>47WA.4002.4811CP - </a:t>
          </a:r>
          <a:r>
            <a:rPr lang="en-US" sz="1125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Small Commerical CAP</a:t>
          </a:r>
          <a:r>
            <a:rPr lang="en-US" sz="1125"/>
            <a:t> </a:t>
          </a:r>
        </a:p>
        <a:p>
          <a:r>
            <a:rPr lang="en-US" sz="1125"/>
            <a:t>47WA.4002.4813CP - Small Industrial CAP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duresources-my.sharepoint.com/REGULATN/PA&amp;D/DSMRecov/2001/RECOV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tility\Energy%20Rates%20Finance%20and%20Audit\Moya's%20files\Pacificorp%20LT%20debt\PAC%20LT%20Debt%20-%20working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PUC-FILEPRINT\Agency\Utility\Energy%20Rates%20Finance%20and%20Audit\Moya's%20files\Pacificorp%20LT%20debt\PAC%20LT%20Debt%20-%20working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shrn102\SHR02\Documents%20and%20Settings\p04092.000\Local%20Settings\Temporary%20Internet%20Files\OLK1AC\RECOV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duresources-my.sharepoint.com/Documents%20and%20Settings/p70596/Local%20Settings/Temporary%20Internet%20Files/OLK3B/ORA%20Workpaper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duresources-my.sharepoint.com/personal/christopher_mickelson_cngc_com/Documents/GRCs/UG-210755%20(LIRC)/Testimony/500%20Archer/2019%20OR%20COSS/CTM%20COS-RD/OR%20UG%20390%20LRIC%20Model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duresources-my.sharepoint.com/personal/christopher_mickelson_cngc_com/Documents/GRCs/UG-210755%20(LIRC)/UG%20390/UG%20390%20Full%20Settlement%20Summary%208.28.2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eweb/office/FINANCIALS/WHITE%20SWAN/2000/JAN_ELECTRONIC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duresources-my.sharepoint.com/personal/christopher_mickelson_cngc_com/Documents/GRCs/UG-210755%20(LIRC)/CNG%20UG%20390%20Exh%20XXXX%20pg%201-3%20Cost%20LT%20Debt%20Muldoon-Enright%20CONF%20-%2005.21.202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duresources-my.sharepoint.com/personal/christopher_mickelson_cngc_com/Documents/GRCs/UG-210755%20(LIRC)/UG%20390/Rebuttal/Wage/UG%20390%20Wage%20and%20Salary%20Mode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\Data-Departmental\1active\PROJECTS\STOWE\stowhote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duresources-my.sharepoint.com/REGULATN/PA&amp;D/CASES/Wy0902/EAST%20Blocking%209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  <sheetName val="Jan"/>
      <sheetName val="2021"/>
    </sheetNames>
    <sheetDataSet>
      <sheetData sheetId="0"/>
      <sheetData sheetId="1"/>
      <sheetData sheetId="2"/>
      <sheetData sheetId="3"/>
      <sheetData sheetId="4"/>
      <sheetData sheetId="5" refreshError="1">
        <row r="21">
          <cell r="B21" t="str">
            <v>26</v>
          </cell>
          <cell r="G21">
            <v>83871482</v>
          </cell>
        </row>
        <row r="22">
          <cell r="G22">
            <v>1931963666</v>
          </cell>
        </row>
        <row r="23">
          <cell r="G23">
            <v>70121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ns"/>
      <sheetName val="Municipals"/>
      <sheetName val="Summary wformulas"/>
      <sheetName val="Summary wvalues"/>
      <sheetName val="Debt maturity profile"/>
      <sheetName val="Summary wBBforms"/>
      <sheetName val="BB values"/>
      <sheetName val="BB values (2)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ns"/>
      <sheetName val="Municipals"/>
      <sheetName val="Summary wformulas"/>
      <sheetName val="Summary wvalues"/>
      <sheetName val="Debt maturity profile"/>
      <sheetName val="Summary wBBforms"/>
      <sheetName val="BB values"/>
      <sheetName val="BB values (2)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Input"/>
      <sheetName val="Voltage"/>
      <sheetName val="Process"/>
      <sheetName val="Codes"/>
      <sheetName val="SCRInput2"/>
      <sheetName val="Inputs"/>
      <sheetName val="Centralia Credit"/>
      <sheetName val="Y2K"/>
      <sheetName val="Deferred Acct."/>
      <sheetName val="Trail Mtn."/>
      <sheetName val="Halsey"/>
      <sheetName val="Adjustment 10"/>
      <sheetName val="WA SBC"/>
      <sheetName val="0103 Proration (191)"/>
      <sheetName val="WA Centralia"/>
      <sheetName val="WA SBC - Class 48T"/>
      <sheetName val="Utah DSM"/>
      <sheetName val="Summary"/>
      <sheetName val="DSM Output"/>
      <sheetName val="Adjustment 08"/>
      <sheetName val="Adjustment 07"/>
      <sheetName val="DSM Dollars"/>
      <sheetName val="Module2"/>
      <sheetName val="Adjustment 11"/>
      <sheetName val="CA Pub Purp"/>
      <sheetName val="No Longer Used --&gt;"/>
      <sheetName val="Adjustment 12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A Workpapers"/>
      <sheetName val="Price Change"/>
      <sheetName val="Inpu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/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lement Summary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NT"/>
      <sheetName val="AR"/>
    </sheetNames>
    <sheetDataSet>
      <sheetData sheetId="0"/>
      <sheetData sheetId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ff XXXX, pg 2"/>
      <sheetName val="Staff XXXX, pg 3"/>
    </sheet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C Misc. Labor"/>
      <sheetName val="PUC 3-year W&amp;S "/>
      <sheetName val="PUC 3-year Incentives"/>
      <sheetName val="PUC 3-year OT"/>
      <sheetName val="PUC FTE"/>
      <sheetName val="PUC Depreciation"/>
      <sheetName val="PUC Payroll Tax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elopment"/>
      <sheetName val="#REF"/>
    </sheetNames>
    <sheetDataSet>
      <sheetData sheetId="0" refreshError="1">
        <row r="3">
          <cell r="C3" t="str">
            <v>Base Assumptions</v>
          </cell>
        </row>
        <row r="16">
          <cell r="B16" t="str">
            <v>Other Consultants</v>
          </cell>
          <cell r="E16">
            <v>40296.682871109319</v>
          </cell>
          <cell r="F16">
            <v>0</v>
          </cell>
          <cell r="G16">
            <v>0</v>
          </cell>
          <cell r="H16">
            <v>40296.682871109319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S16">
            <v>40296.682871109319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40296.682871109319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</row>
        <row r="21">
          <cell r="B21" t="str">
            <v>Insurance (% direct construction)</v>
          </cell>
          <cell r="D21">
            <v>8.9999999999999993E-3</v>
          </cell>
          <cell r="E21">
            <v>85383.376030864485</v>
          </cell>
          <cell r="F21">
            <v>0</v>
          </cell>
          <cell r="G21">
            <v>16506</v>
          </cell>
          <cell r="H21">
            <v>68877.376030864485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85383.376030864485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8253</v>
          </cell>
          <cell r="AB21">
            <v>8253</v>
          </cell>
          <cell r="AC21">
            <v>18248.426186763256</v>
          </cell>
          <cell r="AD21">
            <v>16751.760417341211</v>
          </cell>
          <cell r="AE21">
            <v>16876.009426760018</v>
          </cell>
          <cell r="AF21">
            <v>17001.179999999989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</row>
        <row r="36">
          <cell r="B36" t="str">
            <v>Other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</row>
        <row r="46">
          <cell r="B46" t="str">
            <v>Spa and Fitness</v>
          </cell>
          <cell r="C46">
            <v>5100</v>
          </cell>
          <cell r="D46">
            <v>45</v>
          </cell>
          <cell r="E46">
            <v>238138.28451217926</v>
          </cell>
          <cell r="F46">
            <v>0</v>
          </cell>
          <cell r="G46">
            <v>0</v>
          </cell>
          <cell r="H46">
            <v>0</v>
          </cell>
          <cell r="I46">
            <v>238138.28451217926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S46">
            <v>238138.28451217926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238138.28451217926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</row>
        <row r="85">
          <cell r="B85" t="str">
            <v>Hotel Development Cost</v>
          </cell>
          <cell r="E85">
            <v>-16878685.151613597</v>
          </cell>
          <cell r="F85">
            <v>-179400</v>
          </cell>
          <cell r="G85">
            <v>-3680748.3397686705</v>
          </cell>
          <cell r="H85">
            <v>-10268133.01329181</v>
          </cell>
          <cell r="I85">
            <v>-2750403.7985531162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-16878685.151613597</v>
          </cell>
          <cell r="U85">
            <v>0</v>
          </cell>
          <cell r="V85">
            <v>-35880</v>
          </cell>
          <cell r="W85">
            <v>-71760</v>
          </cell>
          <cell r="X85">
            <v>-71760</v>
          </cell>
          <cell r="Y85">
            <v>-71760</v>
          </cell>
          <cell r="Z85">
            <v>-71760</v>
          </cell>
          <cell r="AA85">
            <v>-1211264.6078000001</v>
          </cell>
          <cell r="AB85">
            <v>-2325963.7319686706</v>
          </cell>
          <cell r="AC85">
            <v>-3277714.7933725528</v>
          </cell>
          <cell r="AD85">
            <v>-2312941.7387162838</v>
          </cell>
          <cell r="AE85">
            <v>-2330096.9927229751</v>
          </cell>
          <cell r="AF85">
            <v>-2347379.4884799989</v>
          </cell>
          <cell r="AG85">
            <v>-2750403.7985531162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</row>
        <row r="89">
          <cell r="B89" t="str">
            <v>Selling Costs</v>
          </cell>
          <cell r="C89">
            <v>2.5000000000000001E-2</v>
          </cell>
          <cell r="E89">
            <v>-376100.18403468747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-376100.18403468747</v>
          </cell>
          <cell r="R89">
            <v>0</v>
          </cell>
          <cell r="S89">
            <v>-376100.18403468747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-376100.18403468747</v>
          </cell>
        </row>
        <row r="91">
          <cell r="A91" t="str">
            <v>Cumulative Cash Flow</v>
          </cell>
          <cell r="F91">
            <v>-179400</v>
          </cell>
          <cell r="G91">
            <v>-3860148.3397686705</v>
          </cell>
          <cell r="H91">
            <v>-14128281.35306048</v>
          </cell>
          <cell r="I91">
            <v>-16523543.829363404</v>
          </cell>
          <cell r="J91">
            <v>-15468369.525907626</v>
          </cell>
          <cell r="K91">
            <v>-14241253.574376589</v>
          </cell>
          <cell r="L91">
            <v>-12930255.245524464</v>
          </cell>
          <cell r="M91">
            <v>-11573371.975162519</v>
          </cell>
          <cell r="N91">
            <v>-10158300.642819315</v>
          </cell>
          <cell r="O91">
            <v>-8704773.3615258411</v>
          </cell>
          <cell r="P91">
            <v>7467534.55196572</v>
          </cell>
          <cell r="U91">
            <v>0</v>
          </cell>
          <cell r="V91">
            <v>-35880</v>
          </cell>
          <cell r="W91">
            <v>-107640</v>
          </cell>
          <cell r="X91">
            <v>-179400</v>
          </cell>
          <cell r="Y91">
            <v>-251160</v>
          </cell>
          <cell r="Z91">
            <v>-322920</v>
          </cell>
          <cell r="AA91">
            <v>-1534184.6078000001</v>
          </cell>
          <cell r="AB91">
            <v>-3860148.3397686705</v>
          </cell>
          <cell r="AC91">
            <v>-7137863.1331412233</v>
          </cell>
          <cell r="AD91">
            <v>-9450804.8718575072</v>
          </cell>
          <cell r="AE91">
            <v>-11780901.864580482</v>
          </cell>
          <cell r="AF91">
            <v>-14128281.35306048</v>
          </cell>
          <cell r="AG91">
            <v>-16789899.82105105</v>
          </cell>
          <cell r="AH91">
            <v>-16701114.490488501</v>
          </cell>
          <cell r="AI91">
            <v>-16612329.159925953</v>
          </cell>
          <cell r="AJ91">
            <v>-16523543.829363404</v>
          </cell>
          <cell r="AK91">
            <v>-16259750.253499459</v>
          </cell>
          <cell r="AL91">
            <v>-15995956.677635515</v>
          </cell>
          <cell r="AM91">
            <v>-15732163.101771571</v>
          </cell>
          <cell r="AN91">
            <v>-15468369.525907626</v>
          </cell>
          <cell r="AO91">
            <v>-15161590.538024867</v>
          </cell>
          <cell r="AP91">
            <v>-14854811.550142108</v>
          </cell>
          <cell r="AQ91">
            <v>-14548032.562259348</v>
          </cell>
          <cell r="AR91">
            <v>-14241253.574376589</v>
          </cell>
          <cell r="AS91">
            <v>-13913503.992163558</v>
          </cell>
          <cell r="AT91">
            <v>-13585754.409950526</v>
          </cell>
          <cell r="AU91">
            <v>-13258004.827737495</v>
          </cell>
          <cell r="AV91">
            <v>-12930255.245524464</v>
          </cell>
          <cell r="AW91">
            <v>-12591034.427933978</v>
          </cell>
          <cell r="AX91">
            <v>-12251813.610343492</v>
          </cell>
          <cell r="AY91">
            <v>-11912592.792753005</v>
          </cell>
          <cell r="AZ91">
            <v>-11573371.975162519</v>
          </cell>
          <cell r="BA91">
            <v>-11219604.14207672</v>
          </cell>
          <cell r="BB91">
            <v>-10865836.308990918</v>
          </cell>
          <cell r="BC91">
            <v>-10512068.475905117</v>
          </cell>
          <cell r="BD91">
            <v>-10158300.642819315</v>
          </cell>
          <cell r="BE91">
            <v>-9794918.8224959467</v>
          </cell>
          <cell r="BF91">
            <v>-9431537.0021725781</v>
          </cell>
          <cell r="BG91">
            <v>-9068155.1818492096</v>
          </cell>
          <cell r="BH91">
            <v>-8704773.3615258411</v>
          </cell>
          <cell r="BI91">
            <v>-8328673.1774911536</v>
          </cell>
          <cell r="BJ91">
            <v>-7952572.9934564661</v>
          </cell>
          <cell r="BK91">
            <v>-7576472.8094217787</v>
          </cell>
          <cell r="BL91">
            <v>7467534.55196572</v>
          </cell>
        </row>
      </sheetData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3 "/>
      <sheetName val="Table A base change"/>
      <sheetName val="Sch 2"/>
      <sheetName val="Sch 3"/>
      <sheetName val="Sch 15"/>
      <sheetName val="Sch 25-Secondary"/>
      <sheetName val="Sch 25-Primary"/>
      <sheetName val="Sch 40"/>
      <sheetName val="Sch 45-Secondary"/>
      <sheetName val="Sch 45-Primary"/>
      <sheetName val="Sch 46-Secondary"/>
      <sheetName val="Sch 46-Primary"/>
      <sheetName val="Sch 48T"/>
      <sheetName val="Sch 51"/>
      <sheetName val="Sch 53"/>
      <sheetName val="Sch 54"/>
      <sheetName val="Sch 57"/>
      <sheetName val="Sch 58"/>
      <sheetName val="Exhibit 4"/>
      <sheetName val="Blocking-901East"/>
      <sheetName val="Exhibit 5"/>
      <sheetName val="Table A Defer Surcharge summ"/>
      <sheetName val="Table A Hunter surcharge summ "/>
      <sheetName val="Filed Defer Exc PCS Rev detail"/>
      <sheetName val="Filed Hunter PCS Rev detail"/>
      <sheetName val="Filed Power Cost kWh"/>
      <sheetName val="Table 1 - Semi"/>
      <sheetName val="Table 1 - MWh"/>
      <sheetName val="Table 2 - Unbilled Spread"/>
      <sheetName val="Table 3 - Unbilled Spread"/>
      <sheetName val="Table 4"/>
      <sheetName val="Actual-901East"/>
      <sheetName val="Actual-Lighting Surcharge"/>
      <sheetName val="tolerance sheet"/>
      <sheetName val="Net Billed Cheaper Adj"/>
      <sheetName val="Billed Cheaper"/>
      <sheetName val="Before Billed Cheaper"/>
      <sheetName val="33SF Phos 6024200100010001"/>
      <sheetName val="Inputs"/>
      <sheetName val="Table 2"/>
      <sheetName val="Table 3"/>
      <sheetName val="Type I adjustments -kwh"/>
      <sheetName val="Table 4 - Contracts"/>
      <sheetName val="Contract Summary"/>
      <sheetName val="UWy Billing"/>
      <sheetName val="UWy Schedule 2 &amp; 15"/>
      <sheetName val="UWy Schedule 25"/>
      <sheetName val="UWy Sch 48 not used"/>
      <sheetName val="UWy Sch 46"/>
      <sheetName val="Recon U of Wy"/>
      <sheetName val="UWy Sheet2"/>
      <sheetName val="Weather 901 East"/>
      <sheetName val="Temperature"/>
      <sheetName val="KN ENERGY"/>
      <sheetName val="T. A - East Com-Ind"/>
      <sheetName val="T.A - All WY com-ind"/>
      <sheetName val=" Table A"/>
      <sheetName val="Hunter Surcharge Worksheet"/>
      <sheetName val="Reclassifications"/>
      <sheetName val="Sch 25-Secondary old"/>
      <sheetName val="Sch 25-Primary old"/>
      <sheetName val="Sch 45-Secondary old"/>
      <sheetName val="Sch 45-Primary old"/>
      <sheetName val="Sch 46-Secondary old"/>
      <sheetName val="Sch 46-Primary old"/>
      <sheetName val="Sch 48T old"/>
      <sheetName val="Table A Combined surcharge 4 y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Mickelson, Christopher" id="{D0F0A533-FA4B-41C7-AD20-71CF6F2138A2}" userId="Christopher.Mickelson@cngc.com" providerId="PeoplePicker"/>
  <person displayName="Myhrum, Isaac" id="{2607184A-91D3-4E24-BDEC-492CBAD15DDA}" userId="S::Isaac.Myhrum@cngc.com::e363f7e5-b5ec-4eac-9ee7-dc4b3bd07799" providerId="AD"/>
  <person displayName="Myhrum, Isaac" id="{681AB73C-C692-4209-9D26-0ECF068E3CBD}" userId="S::isaac.myhrum@cngc.com::e363f7e5-b5ec-4eac-9ee7-dc4b3bd07799" providerId="AD"/>
  <person displayName="Gresham, Maryalice" id="{B61310E7-2A5B-4B79-8CB7-0172262595B2}" userId="S::maryalice.gresham@cngc.com::66164146-dffa-4faa-8ccc-12dafdb70213" providerId="AD"/>
  <person displayName="Mickelson, Christopher" id="{789D8210-EB8C-43FE-BC70-212FA175EED1}" userId="S::christopher.mickelson@cngc.com::e1b87c1c-0cc3-46c8-9222-e27a31fd20c2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162" dT="2021-06-10T17:42:47.24" personId="{2607184A-91D3-4E24-BDEC-492CBAD15DDA}" id="{6536311D-6BD7-44D8-8FA9-038EF2ED888D}">
    <text>Deficiencies and adjustments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F11" dT="2021-08-02T21:34:45.26" personId="{681AB73C-C692-4209-9D26-0ECF068E3CBD}" id="{0CF587C3-6B5A-4447-86D5-558C032073AB}">
    <text>Need to check the page lengths in acual Excel format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K76" dT="2021-06-24T19:18:50.61" personId="{2607184A-91D3-4E24-BDEC-492CBAD15DDA}" id="{4FC3DF78-F477-41D7-AC9D-069AF3500093}">
    <text>These are allocated estimates.  The 1501 report has consolidated the 200 blocks from Aug-Dec.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K7" dT="2021-07-19T18:55:10.09" personId="{789D8210-EB8C-43FE-BC70-212FA175EED1}" id="{80938E0D-8ECE-4067-80F0-22C08A1B8469}">
    <text>2020 CRM Revenues, Expenses, and RB were incorporated within UG-200568, effective July 1, 2021.</text>
  </threadedComment>
  <threadedComment ref="F10" dT="2021-07-29T18:54:26.63" personId="{789D8210-EB8C-43FE-BC70-212FA175EED1}" id="{63815DF1-3A19-4D08-8AF6-C1C955721C4A}">
    <text>Unbilled adjustment (RES 628,357 therms * 0.43466 + COM 1,936,947 therms * 0.43204) = $1,109,959.11</text>
  </threadedComment>
  <threadedComment ref="G10" dT="2021-07-29T18:57:31.86" personId="{789D8210-EB8C-43FE-BC70-212FA175EED1}" id="{01A36211-8DBC-433D-B1F3-4625069F5296}">
    <text>Unbilled adjustment (RES 628,357 therms + COM 1,936,947 therms * 0.14931) = $383,025.54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S16" dT="2021-09-21T17:48:47.24" personId="{789D8210-EB8C-43FE-BC70-212FA175EED1}" id="{7A876A57-9B73-4303-B655-42C0D6C569D3}">
    <text>Payroll Tax Percentage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D25" dT="2021-06-22T17:52:10.79" personId="{B61310E7-2A5B-4B79-8CB7-0172262595B2}" id="{85451A24-6738-4321-A7D1-584D394164D6}">
    <text>@Mickelson, Christopher updated</text>
    <mentions>
      <mention mentionpersonId="{D0F0A533-FA4B-41C7-AD20-71CF6F2138A2}" mentionId="{BEAB11E0-679F-4FFE-A989-3DF1D069A9EC}" startIndex="0" length="23"/>
    </mentions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Relationship Id="rId4" Type="http://schemas.microsoft.com/office/2017/10/relationships/threadedComment" Target="../threadedComments/threadedComment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s://www.ferc.gov/enforcement-legal/enforcement/interest-rates" TargetMode="External"/><Relationship Id="rId1" Type="http://schemas.openxmlformats.org/officeDocument/2006/relationships/hyperlink" Target="https://www.ferc.gov/enforcement/acct-matts/interest-rates.asp" TargetMode="External"/><Relationship Id="rId6" Type="http://schemas.openxmlformats.org/officeDocument/2006/relationships/comments" Target="../comments4.xml"/><Relationship Id="rId5" Type="http://schemas.openxmlformats.org/officeDocument/2006/relationships/vmlDrawing" Target="../drawings/vmlDrawing4.vml"/><Relationship Id="rId4" Type="http://schemas.openxmlformats.org/officeDocument/2006/relationships/drawing" Target="../drawings/drawing2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4.bin"/><Relationship Id="rId4" Type="http://schemas.microsoft.com/office/2017/10/relationships/threadedComment" Target="../threadedComments/threadedComment4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33.bin"/><Relationship Id="rId4" Type="http://schemas.microsoft.com/office/2017/10/relationships/threadedComment" Target="../threadedComments/threadedComment5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1.bin"/><Relationship Id="rId4" Type="http://schemas.microsoft.com/office/2017/10/relationships/threadedComment" Target="../threadedComments/threadedComment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C0820-5FC2-41B2-B094-130364AAABE1}">
  <sheetPr codeName="Sheet38">
    <tabColor theme="2"/>
  </sheetPr>
  <dimension ref="A1:B4"/>
  <sheetViews>
    <sheetView showGridLines="0" zoomScale="80" zoomScaleNormal="80" workbookViewId="0">
      <selection activeCell="B28" sqref="B28"/>
    </sheetView>
  </sheetViews>
  <sheetFormatPr defaultColWidth="8.85546875" defaultRowHeight="15"/>
  <cols>
    <col min="1" max="1" width="6" style="113" bestFit="1" customWidth="1"/>
    <col min="2" max="2" width="37.85546875" style="113" bestFit="1" customWidth="1"/>
    <col min="3" max="16384" width="8.85546875" style="113"/>
  </cols>
  <sheetData>
    <row r="1" spans="1:2">
      <c r="A1" s="15" t="str">
        <f ca="1">MID(CELL("filename",A1),FIND("]",CELL("filename",A1))+1,255)</f>
        <v>Cover</v>
      </c>
      <c r="B1" s="15"/>
    </row>
    <row r="2" spans="1:2">
      <c r="B2" s="113" t="str">
        <f>Company</f>
        <v>Cascade Natural Gas Corp.</v>
      </c>
    </row>
    <row r="3" spans="1:2">
      <c r="B3" s="113" t="s">
        <v>7</v>
      </c>
    </row>
    <row r="4" spans="1:2">
      <c r="B4" s="113" t="str">
        <f>Title3</f>
        <v>Limited Issues Rate Case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2EDEB-53D6-4301-BEB3-AADF47645BC9}">
  <sheetPr codeName="Sheet3">
    <tabColor theme="8" tint="0.79998168889431442"/>
  </sheetPr>
  <dimension ref="B2:G22"/>
  <sheetViews>
    <sheetView workbookViewId="0">
      <selection activeCell="G16" sqref="G16"/>
    </sheetView>
  </sheetViews>
  <sheetFormatPr defaultRowHeight="15"/>
  <cols>
    <col min="4" max="4" width="27.7109375" customWidth="1"/>
    <col min="5" max="5" width="20.42578125" customWidth="1"/>
    <col min="6" max="6" width="9.5703125" customWidth="1"/>
  </cols>
  <sheetData>
    <row r="2" spans="2:7" ht="15.75">
      <c r="B2" s="1011"/>
      <c r="C2" s="1011"/>
      <c r="D2" s="1011"/>
      <c r="E2" s="1011"/>
      <c r="F2" s="1011"/>
      <c r="G2" s="1012"/>
    </row>
    <row r="3" spans="2:7" ht="14.45" customHeight="1">
      <c r="B3" s="1493" t="s">
        <v>348</v>
      </c>
      <c r="C3" s="1493"/>
      <c r="D3" s="1493"/>
      <c r="E3" s="1493"/>
      <c r="F3" s="1493"/>
      <c r="G3" s="1493"/>
    </row>
    <row r="4" spans="2:7" ht="15.75">
      <c r="B4" s="1493" t="s">
        <v>349</v>
      </c>
      <c r="C4" s="1493"/>
      <c r="D4" s="1493"/>
      <c r="E4" s="1493"/>
      <c r="F4" s="1493"/>
      <c r="G4" s="1493"/>
    </row>
    <row r="5" spans="2:7" ht="15.75">
      <c r="B5" s="1493" t="s">
        <v>350</v>
      </c>
      <c r="C5" s="1493"/>
      <c r="D5" s="1493"/>
      <c r="E5" s="1493"/>
      <c r="F5" s="1493"/>
      <c r="G5" s="1493"/>
    </row>
    <row r="6" spans="2:7" ht="15.75">
      <c r="B6" s="1493" t="s">
        <v>351</v>
      </c>
      <c r="C6" s="1493"/>
      <c r="D6" s="1493"/>
      <c r="E6" s="1493"/>
      <c r="F6" s="1493"/>
      <c r="G6" s="1493"/>
    </row>
    <row r="7" spans="2:7" ht="15.75">
      <c r="B7" s="1493" t="s">
        <v>352</v>
      </c>
      <c r="C7" s="1493"/>
      <c r="D7" s="1493"/>
      <c r="E7" s="1493"/>
      <c r="F7" s="1493"/>
      <c r="G7" s="1493"/>
    </row>
    <row r="8" spans="2:7" ht="15.75">
      <c r="B8" s="1011"/>
      <c r="C8" s="1019"/>
      <c r="D8" s="1019"/>
      <c r="E8" s="1019"/>
      <c r="F8" s="1019"/>
      <c r="G8" s="1019"/>
    </row>
    <row r="9" spans="2:7" ht="15.75">
      <c r="B9" s="1011"/>
      <c r="C9" s="1011" t="s">
        <v>353</v>
      </c>
      <c r="D9" s="1011"/>
      <c r="E9" s="1011" t="s">
        <v>3</v>
      </c>
      <c r="F9" s="1012" t="s">
        <v>4</v>
      </c>
    </row>
    <row r="10" spans="2:7" ht="15.75">
      <c r="B10" s="1011"/>
      <c r="C10" s="1013"/>
      <c r="D10" s="1013"/>
      <c r="E10" s="1013"/>
      <c r="F10" s="1013"/>
      <c r="G10" s="1019"/>
    </row>
    <row r="11" spans="2:7" ht="15.75">
      <c r="B11" s="1014" t="s">
        <v>354</v>
      </c>
      <c r="C11" s="1014" t="s">
        <v>355</v>
      </c>
      <c r="D11" s="1011"/>
      <c r="E11" s="1014" t="s">
        <v>356</v>
      </c>
      <c r="F11" s="1015" t="s">
        <v>357</v>
      </c>
    </row>
    <row r="12" spans="2:7" ht="15.75">
      <c r="B12" s="1014"/>
      <c r="C12" s="1011" t="s">
        <v>358</v>
      </c>
      <c r="D12" s="1011"/>
      <c r="E12" s="1014"/>
      <c r="F12" s="1014"/>
      <c r="G12" s="1015"/>
    </row>
    <row r="13" spans="2:7" ht="15.75">
      <c r="B13" s="1011">
        <v>1</v>
      </c>
      <c r="C13" s="1011" t="s">
        <v>351</v>
      </c>
      <c r="D13" s="1011"/>
      <c r="E13" s="1011" t="s">
        <v>350</v>
      </c>
      <c r="F13" s="983">
        <v>1</v>
      </c>
    </row>
    <row r="14" spans="2:7" ht="15.75">
      <c r="B14" s="1011">
        <v>2</v>
      </c>
      <c r="C14" s="1011" t="s">
        <v>359</v>
      </c>
      <c r="D14" s="1011"/>
      <c r="E14" s="1011" t="s">
        <v>360</v>
      </c>
      <c r="F14" s="991" t="s">
        <v>3241</v>
      </c>
    </row>
    <row r="15" spans="2:7" ht="15.75">
      <c r="B15" s="1011">
        <v>3</v>
      </c>
      <c r="C15" s="1011" t="s">
        <v>361</v>
      </c>
      <c r="D15" s="1011"/>
      <c r="E15" s="1011" t="s">
        <v>362</v>
      </c>
      <c r="F15" s="991" t="s">
        <v>3242</v>
      </c>
    </row>
    <row r="16" spans="2:7" ht="15.75">
      <c r="B16" s="1011">
        <v>4</v>
      </c>
      <c r="C16" s="1011" t="s">
        <v>363</v>
      </c>
      <c r="D16" s="1011"/>
      <c r="E16" s="1011" t="s">
        <v>364</v>
      </c>
      <c r="F16" s="983" t="s">
        <v>3240</v>
      </c>
    </row>
    <row r="17" spans="2:6" ht="15.75">
      <c r="B17" s="1011">
        <v>5</v>
      </c>
      <c r="C17" s="1017" t="s">
        <v>365</v>
      </c>
      <c r="D17" s="1012"/>
      <c r="E17" s="1011" t="s">
        <v>366</v>
      </c>
      <c r="F17" s="983">
        <v>19</v>
      </c>
    </row>
    <row r="18" spans="2:6" ht="15.75">
      <c r="B18" s="1011">
        <v>6</v>
      </c>
      <c r="C18" s="1011" t="s">
        <v>367</v>
      </c>
      <c r="D18" s="1011"/>
      <c r="E18" s="1011" t="s">
        <v>368</v>
      </c>
      <c r="F18" s="983">
        <v>20</v>
      </c>
    </row>
    <row r="19" spans="2:6" ht="15.75">
      <c r="B19" s="1011">
        <v>7</v>
      </c>
      <c r="C19" s="1012" t="s">
        <v>369</v>
      </c>
      <c r="D19" s="1011"/>
      <c r="E19" s="1011" t="s">
        <v>370</v>
      </c>
      <c r="F19" s="983">
        <v>21</v>
      </c>
    </row>
    <row r="20" spans="2:6" ht="15.75">
      <c r="B20" s="1011">
        <v>8</v>
      </c>
      <c r="C20" s="1012" t="s">
        <v>371</v>
      </c>
      <c r="D20" s="1011"/>
      <c r="E20" s="1011" t="s">
        <v>372</v>
      </c>
      <c r="F20" s="983">
        <v>22</v>
      </c>
    </row>
    <row r="21" spans="2:6" ht="15.75">
      <c r="B21" s="1011"/>
      <c r="C21" s="1011"/>
      <c r="D21" s="1011"/>
      <c r="E21" s="1011"/>
      <c r="F21" s="1016"/>
    </row>
    <row r="22" spans="2:6" ht="15.75">
      <c r="C22" s="1011"/>
    </row>
  </sheetData>
  <mergeCells count="5">
    <mergeCell ref="B3:G3"/>
    <mergeCell ref="B4:G4"/>
    <mergeCell ref="B5:G5"/>
    <mergeCell ref="B6:G6"/>
    <mergeCell ref="B7:G7"/>
  </mergeCell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33614-A398-4E42-84C8-C275402C0C36}">
  <sheetPr codeName="Sheet11">
    <tabColor theme="8" tint="0.79998168889431442"/>
  </sheetPr>
  <dimension ref="A2:AG454"/>
  <sheetViews>
    <sheetView zoomScale="80" zoomScaleNormal="80" workbookViewId="0">
      <pane xSplit="3" ySplit="3" topLeftCell="D4" activePane="bottomRight" state="frozen"/>
      <selection pane="topRight"/>
      <selection pane="bottomLeft"/>
      <selection pane="bottomRight" activeCell="B20" sqref="B20"/>
    </sheetView>
  </sheetViews>
  <sheetFormatPr defaultColWidth="8.7109375" defaultRowHeight="15"/>
  <cols>
    <col min="1" max="1" width="12.85546875" style="873" customWidth="1"/>
    <col min="2" max="2" width="11.42578125" style="873" customWidth="1"/>
    <col min="3" max="3" width="53.85546875" style="873" customWidth="1"/>
    <col min="4" max="4" width="19.5703125" style="873" customWidth="1"/>
    <col min="5" max="5" width="18.85546875" style="873" customWidth="1"/>
    <col min="6" max="6" width="19.85546875" style="873" customWidth="1"/>
    <col min="7" max="7" width="19.5703125" style="873" customWidth="1"/>
    <col min="8" max="8" width="17.28515625" style="873" customWidth="1"/>
    <col min="9" max="9" width="17.85546875" style="873" customWidth="1"/>
    <col min="10" max="10" width="17.140625" style="873" customWidth="1"/>
    <col min="11" max="11" width="16.28515625" style="873" customWidth="1"/>
    <col min="12" max="12" width="16.85546875" style="873" customWidth="1"/>
    <col min="13" max="13" width="17.5703125" style="873" customWidth="1"/>
    <col min="14" max="14" width="19.5703125" style="873" customWidth="1"/>
    <col min="15" max="15" width="20" style="873" customWidth="1"/>
    <col min="16" max="16" width="20.140625" style="873" customWidth="1"/>
    <col min="17" max="17" width="8.7109375" style="873"/>
    <col min="18" max="18" width="16" style="873" customWidth="1"/>
    <col min="19" max="19" width="11.5703125" style="873" bestFit="1" customWidth="1"/>
    <col min="20" max="20" width="7.7109375" style="873" bestFit="1" customWidth="1"/>
    <col min="21" max="21" width="13" style="873" bestFit="1" customWidth="1"/>
    <col min="22" max="22" width="10.85546875" style="873" bestFit="1" customWidth="1"/>
    <col min="23" max="23" width="8" style="873" bestFit="1" customWidth="1"/>
    <col min="24" max="29" width="7.7109375" style="873" bestFit="1" customWidth="1"/>
    <col min="30" max="30" width="8.7109375" style="873"/>
    <col min="31" max="31" width="12.7109375" style="873" bestFit="1" customWidth="1"/>
    <col min="32" max="32" width="12.42578125" style="873" bestFit="1" customWidth="1"/>
    <col min="33" max="16384" width="8.7109375" style="873"/>
  </cols>
  <sheetData>
    <row r="2" spans="2:33">
      <c r="C2" s="873" t="s">
        <v>373</v>
      </c>
      <c r="D2" s="873" t="s">
        <v>374</v>
      </c>
    </row>
    <row r="3" spans="2:33">
      <c r="C3" s="873" t="s">
        <v>375</v>
      </c>
      <c r="D3" s="874" t="s">
        <v>376</v>
      </c>
      <c r="E3" s="874" t="s">
        <v>377</v>
      </c>
      <c r="F3" s="874" t="s">
        <v>378</v>
      </c>
      <c r="G3" s="874" t="s">
        <v>379</v>
      </c>
      <c r="H3" s="874" t="s">
        <v>380</v>
      </c>
      <c r="I3" s="874" t="s">
        <v>381</v>
      </c>
      <c r="J3" s="874" t="s">
        <v>382</v>
      </c>
      <c r="K3" s="874" t="s">
        <v>383</v>
      </c>
      <c r="L3" s="874" t="s">
        <v>384</v>
      </c>
      <c r="M3" s="874" t="s">
        <v>385</v>
      </c>
      <c r="N3" s="874" t="s">
        <v>386</v>
      </c>
      <c r="O3" s="874" t="s">
        <v>387</v>
      </c>
      <c r="P3" s="873" t="s">
        <v>388</v>
      </c>
      <c r="R3" s="813"/>
      <c r="S3" s="902">
        <v>43831</v>
      </c>
      <c r="T3" s="902">
        <v>43862</v>
      </c>
      <c r="U3" s="902">
        <v>43891</v>
      </c>
      <c r="V3" s="902">
        <v>43922</v>
      </c>
      <c r="W3" s="902">
        <v>43952</v>
      </c>
      <c r="X3" s="902">
        <v>43983</v>
      </c>
      <c r="Y3" s="902">
        <v>44013</v>
      </c>
      <c r="Z3" s="902">
        <v>44044</v>
      </c>
      <c r="AA3" s="902">
        <v>44075</v>
      </c>
      <c r="AB3" s="902">
        <v>44105</v>
      </c>
      <c r="AC3" s="902">
        <v>44136</v>
      </c>
      <c r="AD3" s="902">
        <v>44166</v>
      </c>
      <c r="AE3" s="903" t="s">
        <v>388</v>
      </c>
    </row>
    <row r="4" spans="2:33">
      <c r="C4" s="873" t="s">
        <v>172</v>
      </c>
      <c r="R4" s="813"/>
      <c r="S4" s="813"/>
      <c r="T4" s="813"/>
      <c r="U4" s="813"/>
      <c r="V4" s="813"/>
      <c r="W4" s="813"/>
      <c r="X4" s="813"/>
      <c r="Y4" s="813"/>
      <c r="Z4" s="813"/>
      <c r="AA4" s="813"/>
      <c r="AB4" s="813"/>
      <c r="AC4" s="813"/>
      <c r="AD4" s="813"/>
      <c r="AE4" s="813"/>
    </row>
    <row r="5" spans="2:33">
      <c r="B5" s="873" t="str">
        <f>$C$4</f>
        <v>CNGW04LV</v>
      </c>
      <c r="C5" s="873" t="s">
        <v>389</v>
      </c>
      <c r="D5" s="811">
        <v>1982.76</v>
      </c>
      <c r="E5" s="812">
        <v>2128.6799999999998</v>
      </c>
      <c r="F5" s="812">
        <v>2025.45</v>
      </c>
      <c r="G5" s="812">
        <v>2135.65</v>
      </c>
      <c r="H5" s="812">
        <v>1693.97</v>
      </c>
      <c r="I5" s="812">
        <v>966.55</v>
      </c>
      <c r="J5" s="812">
        <v>914.28</v>
      </c>
      <c r="K5" s="812">
        <v>410.75</v>
      </c>
      <c r="L5" s="812">
        <v>355.43</v>
      </c>
      <c r="M5" s="812">
        <v>280.08</v>
      </c>
      <c r="N5" s="812">
        <v>1433.06</v>
      </c>
      <c r="O5" s="812">
        <v>2444.48</v>
      </c>
      <c r="P5" s="811">
        <f>SUM(D5:O5)</f>
        <v>16771.14</v>
      </c>
      <c r="R5" s="813"/>
      <c r="S5" s="813"/>
      <c r="T5" s="813"/>
      <c r="U5" s="813"/>
      <c r="V5" s="813"/>
      <c r="W5" s="813"/>
      <c r="X5" s="813"/>
      <c r="Y5" s="813"/>
      <c r="Z5" s="813"/>
      <c r="AA5" s="813"/>
      <c r="AB5" s="813"/>
      <c r="AC5" s="813"/>
      <c r="AD5" s="813"/>
      <c r="AE5" s="813"/>
    </row>
    <row r="6" spans="2:33">
      <c r="B6" s="873" t="str">
        <f t="shared" ref="B6:B16" si="0">$C$4</f>
        <v>CNGW04LV</v>
      </c>
      <c r="C6" s="873" t="s">
        <v>390</v>
      </c>
      <c r="D6" s="811">
        <v>13</v>
      </c>
      <c r="E6" s="812">
        <v>13</v>
      </c>
      <c r="F6" s="812">
        <v>13</v>
      </c>
      <c r="G6" s="812">
        <v>13</v>
      </c>
      <c r="H6" s="812">
        <v>13</v>
      </c>
      <c r="I6" s="812">
        <v>13</v>
      </c>
      <c r="J6" s="812">
        <v>13</v>
      </c>
      <c r="K6" s="812">
        <v>13</v>
      </c>
      <c r="L6" s="812">
        <v>13</v>
      </c>
      <c r="M6" s="812">
        <v>13</v>
      </c>
      <c r="N6" s="812">
        <v>13</v>
      </c>
      <c r="O6" s="812">
        <v>13</v>
      </c>
      <c r="P6" s="811">
        <f t="shared" ref="P6:P18" si="1">SUM(D6:O6)</f>
        <v>156</v>
      </c>
      <c r="R6" s="813"/>
      <c r="S6" s="813" t="s">
        <v>391</v>
      </c>
      <c r="T6" s="813"/>
      <c r="U6" s="813"/>
      <c r="V6" s="813"/>
      <c r="W6" s="813"/>
      <c r="X6" s="813"/>
      <c r="Y6" s="813"/>
      <c r="Z6" s="813"/>
      <c r="AA6" s="813"/>
      <c r="AB6" s="813"/>
      <c r="AC6" s="813"/>
      <c r="AD6" s="813"/>
      <c r="AE6" s="813"/>
    </row>
    <row r="7" spans="2:33">
      <c r="B7" s="873" t="str">
        <f t="shared" si="0"/>
        <v>CNGW04LV</v>
      </c>
      <c r="C7" s="873" t="s">
        <v>392</v>
      </c>
      <c r="D7" s="811">
        <v>228.5</v>
      </c>
      <c r="E7" s="812">
        <v>245.26</v>
      </c>
      <c r="F7" s="812">
        <v>233.4</v>
      </c>
      <c r="G7" s="812">
        <v>252.67</v>
      </c>
      <c r="H7" s="812">
        <v>200.58</v>
      </c>
      <c r="I7" s="812">
        <v>114.78</v>
      </c>
      <c r="J7" s="812">
        <v>108.62</v>
      </c>
      <c r="K7" s="812">
        <v>49.23</v>
      </c>
      <c r="L7" s="812">
        <v>42.7</v>
      </c>
      <c r="M7" s="812">
        <v>33.81</v>
      </c>
      <c r="N7" s="812">
        <v>169.8</v>
      </c>
      <c r="O7" s="812">
        <v>287.52</v>
      </c>
      <c r="P7" s="811">
        <f t="shared" si="1"/>
        <v>1966.87</v>
      </c>
      <c r="R7" s="873" t="s">
        <v>123</v>
      </c>
      <c r="S7" s="813">
        <f t="shared" ref="S7:AC7" si="2">SUM(D191:D192)/$S$21</f>
        <v>195639</v>
      </c>
      <c r="T7" s="813">
        <f t="shared" si="2"/>
        <v>195670</v>
      </c>
      <c r="U7" s="813">
        <f t="shared" si="2"/>
        <v>196565</v>
      </c>
      <c r="V7" s="813">
        <f t="shared" si="2"/>
        <v>196329.24</v>
      </c>
      <c r="W7" s="813">
        <f t="shared" si="2"/>
        <v>196059</v>
      </c>
      <c r="X7" s="813">
        <f t="shared" si="2"/>
        <v>196598</v>
      </c>
      <c r="Y7" s="813">
        <f t="shared" si="2"/>
        <v>197113</v>
      </c>
      <c r="Z7" s="813">
        <f t="shared" si="2"/>
        <v>196990</v>
      </c>
      <c r="AA7" s="813">
        <f t="shared" si="2"/>
        <v>197273</v>
      </c>
      <c r="AB7" s="813">
        <f t="shared" si="2"/>
        <v>197537</v>
      </c>
      <c r="AC7" s="813">
        <f t="shared" si="2"/>
        <v>198190</v>
      </c>
      <c r="AD7" s="813">
        <f>SUM(O191:O192)/$S$21</f>
        <v>198885</v>
      </c>
      <c r="AE7" s="102">
        <f>SUM(S7:AD7)</f>
        <v>2362848.2400000002</v>
      </c>
      <c r="AG7" s="1413">
        <f>AD7/S7-1</f>
        <v>1.6591783846779062E-2</v>
      </c>
    </row>
    <row r="8" spans="2:33">
      <c r="B8" s="873" t="str">
        <f t="shared" si="0"/>
        <v>CNGW04LV</v>
      </c>
      <c r="C8" s="873" t="s">
        <v>393</v>
      </c>
      <c r="D8" s="811">
        <v>119.72</v>
      </c>
      <c r="E8" s="812">
        <v>128.53</v>
      </c>
      <c r="F8" s="812">
        <v>122.3</v>
      </c>
      <c r="G8" s="812">
        <v>128.94999999999999</v>
      </c>
      <c r="H8" s="812">
        <v>102.28</v>
      </c>
      <c r="I8" s="812">
        <v>58.36</v>
      </c>
      <c r="J8" s="812">
        <v>55.2</v>
      </c>
      <c r="K8" s="812">
        <v>24.8</v>
      </c>
      <c r="L8" s="812">
        <v>21.46</v>
      </c>
      <c r="M8" s="812">
        <v>16.91</v>
      </c>
      <c r="N8" s="812">
        <v>86.53</v>
      </c>
      <c r="O8" s="812">
        <v>148.69</v>
      </c>
      <c r="P8" s="811">
        <f t="shared" si="1"/>
        <v>1013.73</v>
      </c>
      <c r="R8" s="873" t="s">
        <v>150</v>
      </c>
      <c r="S8" s="813">
        <f t="shared" ref="S8:AD8" si="3">SUM(D230:D231)/$S$22</f>
        <v>26964</v>
      </c>
      <c r="T8" s="813">
        <f t="shared" si="3"/>
        <v>26964</v>
      </c>
      <c r="U8" s="813">
        <f t="shared" si="3"/>
        <v>27033.206153846153</v>
      </c>
      <c r="V8" s="813">
        <f t="shared" si="3"/>
        <v>26999</v>
      </c>
      <c r="W8" s="813">
        <f t="shared" si="3"/>
        <v>26837</v>
      </c>
      <c r="X8" s="813">
        <f t="shared" si="3"/>
        <v>26828</v>
      </c>
      <c r="Y8" s="813">
        <f t="shared" si="3"/>
        <v>26773</v>
      </c>
      <c r="Z8" s="813">
        <f t="shared" si="3"/>
        <v>26710</v>
      </c>
      <c r="AA8" s="813">
        <f t="shared" si="3"/>
        <v>26702</v>
      </c>
      <c r="AB8" s="813">
        <f t="shared" si="3"/>
        <v>26746</v>
      </c>
      <c r="AC8" s="813">
        <f t="shared" si="3"/>
        <v>26877</v>
      </c>
      <c r="AD8" s="813">
        <f t="shared" si="3"/>
        <v>27031</v>
      </c>
      <c r="AE8" s="102">
        <f t="shared" ref="AE8:AE15" si="4">SUM(S8:AD8)</f>
        <v>322464.20615384617</v>
      </c>
      <c r="AG8" s="875"/>
    </row>
    <row r="9" spans="2:33">
      <c r="B9" s="873" t="str">
        <f t="shared" si="0"/>
        <v>CNGW04LV</v>
      </c>
      <c r="C9" s="873" t="s">
        <v>394</v>
      </c>
      <c r="D9" s="811">
        <v>3.69</v>
      </c>
      <c r="E9" s="811">
        <v>3.96</v>
      </c>
      <c r="F9" s="811">
        <v>3.77</v>
      </c>
      <c r="G9" s="811">
        <v>3.97</v>
      </c>
      <c r="H9" s="811">
        <v>3.15</v>
      </c>
      <c r="I9" s="811">
        <v>1.8</v>
      </c>
      <c r="J9" s="811">
        <v>1.7</v>
      </c>
      <c r="K9" s="811">
        <v>0.76</v>
      </c>
      <c r="L9" s="811">
        <v>0.66</v>
      </c>
      <c r="M9" s="811">
        <v>0.52</v>
      </c>
      <c r="N9" s="811">
        <v>2.66</v>
      </c>
      <c r="O9" s="811">
        <v>-136.58000000000001</v>
      </c>
      <c r="P9" s="811">
        <f t="shared" si="1"/>
        <v>-109.94000000000001</v>
      </c>
      <c r="R9" s="873" t="s">
        <v>153</v>
      </c>
      <c r="S9" s="813">
        <f t="shared" ref="S9:AD9" si="5">SUM(D265,D22)/$S$23</f>
        <v>482</v>
      </c>
      <c r="T9" s="813">
        <f t="shared" si="5"/>
        <v>481</v>
      </c>
      <c r="U9" s="813">
        <f t="shared" si="5"/>
        <v>483</v>
      </c>
      <c r="V9" s="813">
        <f t="shared" si="5"/>
        <v>477</v>
      </c>
      <c r="W9" s="813">
        <f t="shared" si="5"/>
        <v>480</v>
      </c>
      <c r="X9" s="813">
        <f t="shared" si="5"/>
        <v>480</v>
      </c>
      <c r="Y9" s="813">
        <f t="shared" si="5"/>
        <v>480</v>
      </c>
      <c r="Z9" s="813">
        <f t="shared" si="5"/>
        <v>481</v>
      </c>
      <c r="AA9" s="813">
        <f t="shared" si="5"/>
        <v>482</v>
      </c>
      <c r="AB9" s="813">
        <f t="shared" si="5"/>
        <v>484</v>
      </c>
      <c r="AC9" s="813">
        <f t="shared" si="5"/>
        <v>488</v>
      </c>
      <c r="AD9" s="813">
        <f t="shared" si="5"/>
        <v>488</v>
      </c>
      <c r="AE9" s="128">
        <f t="shared" si="4"/>
        <v>5786</v>
      </c>
      <c r="AG9" s="875"/>
    </row>
    <row r="10" spans="2:33">
      <c r="B10" s="873" t="str">
        <f t="shared" si="0"/>
        <v>CNGW04LV</v>
      </c>
      <c r="C10" s="873" t="s">
        <v>395</v>
      </c>
      <c r="D10" s="811">
        <v>12.24</v>
      </c>
      <c r="E10" s="811">
        <v>13.15</v>
      </c>
      <c r="F10" s="811">
        <v>12.51</v>
      </c>
      <c r="G10" s="811">
        <v>13.19</v>
      </c>
      <c r="H10" s="811">
        <v>10.46</v>
      </c>
      <c r="I10" s="811">
        <v>5.97</v>
      </c>
      <c r="J10" s="811">
        <v>5.65</v>
      </c>
      <c r="K10" s="811">
        <v>2.54</v>
      </c>
      <c r="L10" s="811">
        <v>2.2000000000000002</v>
      </c>
      <c r="M10" s="811">
        <v>1.73</v>
      </c>
      <c r="N10" s="811">
        <v>8.85</v>
      </c>
      <c r="O10" s="811">
        <v>15.22</v>
      </c>
      <c r="P10" s="811">
        <f t="shared" si="1"/>
        <v>103.71000000000001</v>
      </c>
      <c r="R10" s="873" t="s">
        <v>161</v>
      </c>
      <c r="S10" s="813">
        <f>SUM(D292:D293,D43)/$S$24</f>
        <v>100</v>
      </c>
      <c r="T10" s="813">
        <f t="shared" ref="T10:AD10" si="6">SUM(E292:E293,E43)/$S$24</f>
        <v>97</v>
      </c>
      <c r="U10" s="813">
        <f t="shared" si="6"/>
        <v>97</v>
      </c>
      <c r="V10" s="813">
        <f t="shared" si="6"/>
        <v>99</v>
      </c>
      <c r="W10" s="813">
        <f t="shared" si="6"/>
        <v>96</v>
      </c>
      <c r="X10" s="813">
        <f t="shared" si="6"/>
        <v>98</v>
      </c>
      <c r="Y10" s="813">
        <f t="shared" si="6"/>
        <v>100</v>
      </c>
      <c r="Z10" s="813">
        <f t="shared" si="6"/>
        <v>97</v>
      </c>
      <c r="AA10" s="813">
        <f t="shared" si="6"/>
        <v>98</v>
      </c>
      <c r="AB10" s="813">
        <f t="shared" si="6"/>
        <v>99</v>
      </c>
      <c r="AC10" s="813">
        <f t="shared" si="6"/>
        <v>92</v>
      </c>
      <c r="AD10" s="813">
        <f t="shared" si="6"/>
        <v>91</v>
      </c>
      <c r="AE10" s="128">
        <f t="shared" si="4"/>
        <v>1164</v>
      </c>
      <c r="AG10" s="875"/>
    </row>
    <row r="11" spans="2:33">
      <c r="B11" s="873" t="str">
        <f t="shared" si="0"/>
        <v>CNGW04LV</v>
      </c>
      <c r="C11" s="873" t="s">
        <v>125</v>
      </c>
      <c r="D11" s="811">
        <v>1053.42</v>
      </c>
      <c r="E11" s="811">
        <v>1130.95</v>
      </c>
      <c r="P11" s="811">
        <f t="shared" si="1"/>
        <v>2184.37</v>
      </c>
      <c r="R11" s="873" t="s">
        <v>186</v>
      </c>
      <c r="S11" s="813">
        <f t="shared" ref="S11:AD11" si="7">SUM(D331:D332)/$S$25</f>
        <v>8</v>
      </c>
      <c r="T11" s="813">
        <f t="shared" si="7"/>
        <v>8</v>
      </c>
      <c r="U11" s="813">
        <f t="shared" si="7"/>
        <v>8</v>
      </c>
      <c r="V11" s="813">
        <f t="shared" si="7"/>
        <v>8</v>
      </c>
      <c r="W11" s="814">
        <f t="shared" si="7"/>
        <v>8</v>
      </c>
      <c r="X11" s="814">
        <f t="shared" si="7"/>
        <v>7.6119631901840492</v>
      </c>
      <c r="Y11" s="813">
        <f t="shared" si="7"/>
        <v>7</v>
      </c>
      <c r="Z11" s="813">
        <f t="shared" si="7"/>
        <v>7</v>
      </c>
      <c r="AA11" s="813">
        <f t="shared" si="7"/>
        <v>7</v>
      </c>
      <c r="AB11" s="813">
        <f t="shared" si="7"/>
        <v>7</v>
      </c>
      <c r="AC11" s="813">
        <f t="shared" si="7"/>
        <v>7</v>
      </c>
      <c r="AD11" s="813">
        <f t="shared" si="7"/>
        <v>7</v>
      </c>
      <c r="AE11" s="128">
        <f t="shared" si="4"/>
        <v>89.611963190184042</v>
      </c>
      <c r="AG11" s="875"/>
    </row>
    <row r="12" spans="2:33">
      <c r="B12" s="873" t="str">
        <f t="shared" si="0"/>
        <v>CNGW04LV</v>
      </c>
      <c r="C12" s="873" t="s">
        <v>126</v>
      </c>
      <c r="D12" s="811"/>
      <c r="E12" s="811"/>
      <c r="F12" s="811">
        <v>1076.0999999999999</v>
      </c>
      <c r="G12" s="811">
        <v>1283.6099999999999</v>
      </c>
      <c r="H12" s="811">
        <v>1018.14</v>
      </c>
      <c r="I12" s="811">
        <v>580.92999999999995</v>
      </c>
      <c r="J12" s="811">
        <v>549.52</v>
      </c>
      <c r="K12" s="811">
        <v>246.88</v>
      </c>
      <c r="L12" s="811">
        <v>213.63</v>
      </c>
      <c r="M12" s="811">
        <v>168.34</v>
      </c>
      <c r="N12" s="811">
        <v>861.32</v>
      </c>
      <c r="O12" s="811">
        <v>1481.26</v>
      </c>
      <c r="P12" s="811">
        <f t="shared" si="1"/>
        <v>7479.73</v>
      </c>
      <c r="R12" s="873" t="s">
        <v>194</v>
      </c>
      <c r="S12" s="978">
        <f>SUM(D84,D118,D144,D170, '663 - 511 Transfer'!B4)/$S$26</f>
        <v>189</v>
      </c>
      <c r="T12" s="978">
        <f>SUM(E84,E118,E144,E170, '663 - 511 Transfer'!C4)/$S$26</f>
        <v>188</v>
      </c>
      <c r="U12" s="978">
        <f>SUM(F84,F118,F144,F170, '663 - 511 Transfer'!D4)/$S$26</f>
        <v>188</v>
      </c>
      <c r="V12" s="978">
        <f>SUM(G84,G118,G144,G170, '663 - 511 Transfer'!E4)/$S$26</f>
        <v>187</v>
      </c>
      <c r="W12" s="978">
        <f>SUM(H84,H118,H144,H170, '663 - 511 Transfer'!F4)/$S$26</f>
        <v>187</v>
      </c>
      <c r="X12" s="978">
        <f>SUM(I84,I118,I144,I170, '663 - 511 Transfer'!G4)/$S$26</f>
        <v>188</v>
      </c>
      <c r="Y12" s="978">
        <f>SUM(J84,J118,J144,J170, '663 - 511 Transfer'!H4)/$S$26</f>
        <v>188</v>
      </c>
      <c r="Z12" s="978">
        <f>SUM(K84,K118,K144,K170, '663 - 511 Transfer'!I4)/$S$26</f>
        <v>188</v>
      </c>
      <c r="AA12" s="978">
        <f>SUM(L84,L118,L144,L170, '663 - 511 Transfer'!J4)/$S$26</f>
        <v>188</v>
      </c>
      <c r="AB12" s="978">
        <f>SUM(M84,M118,M144,M170, '663 - 511 Transfer'!K4)/$S$26</f>
        <v>187</v>
      </c>
      <c r="AC12" s="814">
        <f>SUM(N84,N118,N144,N170)/$S$26</f>
        <v>194</v>
      </c>
      <c r="AD12" s="814">
        <f>SUM(O84,O118,O144,O170)/$S$26</f>
        <v>195</v>
      </c>
      <c r="AE12" s="128">
        <f t="shared" si="4"/>
        <v>2267</v>
      </c>
      <c r="AF12" s="999"/>
      <c r="AG12" s="875"/>
    </row>
    <row r="13" spans="2:33">
      <c r="B13" s="873" t="str">
        <f t="shared" si="0"/>
        <v>CNGW04LV</v>
      </c>
      <c r="C13" s="873" t="s">
        <v>396</v>
      </c>
      <c r="D13" s="811">
        <v>-28.18</v>
      </c>
      <c r="E13" s="811">
        <v>-30.25</v>
      </c>
      <c r="F13" s="811">
        <v>-28.78</v>
      </c>
      <c r="G13" s="811">
        <v>-30.35</v>
      </c>
      <c r="H13" s="811">
        <v>-24.07</v>
      </c>
      <c r="I13" s="811">
        <v>-13.74</v>
      </c>
      <c r="J13" s="811">
        <v>-12.99</v>
      </c>
      <c r="K13" s="811">
        <v>-5.84</v>
      </c>
      <c r="L13" s="811">
        <v>-5.05</v>
      </c>
      <c r="M13" s="811">
        <v>-3.98</v>
      </c>
      <c r="N13" s="811">
        <v>-20.37</v>
      </c>
      <c r="O13" s="811">
        <v>-31.23</v>
      </c>
      <c r="P13" s="811">
        <f t="shared" si="1"/>
        <v>-234.83</v>
      </c>
      <c r="R13" s="873" t="s">
        <v>226</v>
      </c>
      <c r="S13" s="873">
        <f t="shared" ref="S13:AD13" si="8">D118/$S$26</f>
        <v>0</v>
      </c>
      <c r="T13" s="873">
        <f t="shared" si="8"/>
        <v>0</v>
      </c>
      <c r="U13" s="873">
        <f t="shared" si="8"/>
        <v>0</v>
      </c>
      <c r="V13" s="873">
        <f t="shared" si="8"/>
        <v>0</v>
      </c>
      <c r="W13" s="873">
        <f t="shared" si="8"/>
        <v>0</v>
      </c>
      <c r="X13" s="873">
        <f t="shared" si="8"/>
        <v>0</v>
      </c>
      <c r="Y13" s="873">
        <f t="shared" si="8"/>
        <v>0</v>
      </c>
      <c r="Z13" s="873">
        <f t="shared" si="8"/>
        <v>0</v>
      </c>
      <c r="AA13" s="873">
        <f t="shared" si="8"/>
        <v>0</v>
      </c>
      <c r="AB13" s="873">
        <f t="shared" si="8"/>
        <v>0</v>
      </c>
      <c r="AC13" s="873">
        <f t="shared" si="8"/>
        <v>1</v>
      </c>
      <c r="AD13" s="873">
        <f t="shared" si="8"/>
        <v>1</v>
      </c>
      <c r="AE13" s="128">
        <f t="shared" si="4"/>
        <v>2</v>
      </c>
    </row>
    <row r="14" spans="2:33" s="754" customFormat="1">
      <c r="B14" s="754" t="str">
        <f t="shared" si="0"/>
        <v>CNGW04LV</v>
      </c>
      <c r="C14" s="754" t="s">
        <v>397</v>
      </c>
      <c r="D14" s="3">
        <v>46.29</v>
      </c>
      <c r="E14" s="3">
        <v>49.7</v>
      </c>
      <c r="F14" s="3">
        <v>47.29</v>
      </c>
      <c r="G14" s="3">
        <v>11.08</v>
      </c>
      <c r="H14" s="3">
        <v>8.7899999999999991</v>
      </c>
      <c r="I14" s="3">
        <v>5.01</v>
      </c>
      <c r="J14" s="3">
        <v>4.74</v>
      </c>
      <c r="K14" s="3">
        <v>2.13</v>
      </c>
      <c r="L14" s="3">
        <v>1.84</v>
      </c>
      <c r="M14" s="3">
        <v>1.45</v>
      </c>
      <c r="N14" s="3">
        <v>7.44</v>
      </c>
      <c r="O14" s="3">
        <v>28.52</v>
      </c>
      <c r="P14" s="3">
        <f t="shared" si="1"/>
        <v>214.28</v>
      </c>
      <c r="R14" s="754" t="s">
        <v>223</v>
      </c>
      <c r="S14" s="754">
        <f t="shared" ref="S14:AD14" si="9">D144/$S$26</f>
        <v>1</v>
      </c>
      <c r="T14" s="754">
        <f t="shared" si="9"/>
        <v>1</v>
      </c>
      <c r="U14" s="754">
        <f t="shared" si="9"/>
        <v>1</v>
      </c>
      <c r="V14" s="754">
        <f t="shared" si="9"/>
        <v>1</v>
      </c>
      <c r="W14" s="754">
        <f t="shared" si="9"/>
        <v>1</v>
      </c>
      <c r="X14" s="754">
        <f t="shared" si="9"/>
        <v>1</v>
      </c>
      <c r="Y14" s="754">
        <f t="shared" si="9"/>
        <v>1</v>
      </c>
      <c r="Z14" s="754">
        <f t="shared" si="9"/>
        <v>1</v>
      </c>
      <c r="AA14" s="754">
        <f t="shared" si="9"/>
        <v>1</v>
      </c>
      <c r="AB14" s="754">
        <f t="shared" si="9"/>
        <v>1</v>
      </c>
      <c r="AC14" s="754">
        <f t="shared" si="9"/>
        <v>1</v>
      </c>
      <c r="AD14" s="754">
        <f t="shared" si="9"/>
        <v>1</v>
      </c>
      <c r="AE14" s="128">
        <f t="shared" si="4"/>
        <v>12</v>
      </c>
      <c r="AF14" s="873"/>
    </row>
    <row r="15" spans="2:33">
      <c r="B15" s="873" t="str">
        <f t="shared" si="0"/>
        <v>CNGW04LV</v>
      </c>
      <c r="C15" s="873" t="s">
        <v>398</v>
      </c>
      <c r="D15" s="811">
        <v>615.89</v>
      </c>
      <c r="E15" s="811">
        <v>661.21</v>
      </c>
      <c r="F15" s="811">
        <v>629.15</v>
      </c>
      <c r="G15" s="811">
        <v>663.38</v>
      </c>
      <c r="H15" s="811">
        <v>526.17999999999995</v>
      </c>
      <c r="I15" s="811">
        <v>300.23</v>
      </c>
      <c r="J15" s="811">
        <v>283.99</v>
      </c>
      <c r="K15" s="811">
        <v>127.59</v>
      </c>
      <c r="L15" s="811">
        <v>110.4</v>
      </c>
      <c r="M15" s="811">
        <v>87</v>
      </c>
      <c r="N15" s="811">
        <v>445.14</v>
      </c>
      <c r="O15" s="811">
        <v>844.8</v>
      </c>
      <c r="P15" s="811">
        <f t="shared" si="1"/>
        <v>5294.96</v>
      </c>
      <c r="R15" s="873" t="s">
        <v>228</v>
      </c>
      <c r="S15" s="873">
        <f t="shared" ref="S15:AD15" si="10">D170/$S$26</f>
        <v>1</v>
      </c>
      <c r="T15" s="873">
        <f t="shared" si="10"/>
        <v>1</v>
      </c>
      <c r="U15" s="873">
        <f t="shared" si="10"/>
        <v>1</v>
      </c>
      <c r="V15" s="873">
        <f t="shared" si="10"/>
        <v>1</v>
      </c>
      <c r="W15" s="873">
        <f t="shared" si="10"/>
        <v>1</v>
      </c>
      <c r="X15" s="873">
        <f t="shared" si="10"/>
        <v>1</v>
      </c>
      <c r="Y15" s="873">
        <f t="shared" si="10"/>
        <v>1</v>
      </c>
      <c r="Z15" s="873">
        <f t="shared" si="10"/>
        <v>1</v>
      </c>
      <c r="AA15" s="873">
        <f t="shared" si="10"/>
        <v>1</v>
      </c>
      <c r="AB15" s="873">
        <f t="shared" si="10"/>
        <v>1</v>
      </c>
      <c r="AC15" s="873">
        <f t="shared" si="10"/>
        <v>1</v>
      </c>
      <c r="AD15" s="873">
        <f t="shared" si="10"/>
        <v>1</v>
      </c>
      <c r="AE15" s="128">
        <f t="shared" si="4"/>
        <v>12</v>
      </c>
    </row>
    <row r="16" spans="2:33">
      <c r="B16" s="873" t="str">
        <f t="shared" si="0"/>
        <v>CNGW04LV</v>
      </c>
      <c r="C16" s="873" t="s">
        <v>399</v>
      </c>
      <c r="D16" s="811">
        <v>-10.48</v>
      </c>
      <c r="E16" s="811">
        <v>-11.25</v>
      </c>
      <c r="F16" s="811">
        <v>-10.71</v>
      </c>
      <c r="G16" s="811">
        <v>-11.29</v>
      </c>
      <c r="H16" s="811">
        <v>-8.9600000000000009</v>
      </c>
      <c r="I16" s="811">
        <v>-5.1100000000000003</v>
      </c>
      <c r="J16" s="811">
        <v>-4.83</v>
      </c>
      <c r="K16" s="811">
        <v>-2.17</v>
      </c>
      <c r="L16" s="811">
        <v>-1.88</v>
      </c>
      <c r="M16" s="811">
        <v>-1.48</v>
      </c>
      <c r="N16" s="811">
        <v>-7.58</v>
      </c>
      <c r="O16" s="811">
        <v>-16.239999999999998</v>
      </c>
      <c r="P16" s="811">
        <f t="shared" si="1"/>
        <v>-91.97999999999999</v>
      </c>
      <c r="R16" s="873" t="s">
        <v>172</v>
      </c>
      <c r="S16" s="873">
        <f t="shared" ref="S16:AD16" si="11">D6/$S$22</f>
        <v>1</v>
      </c>
      <c r="T16" s="873">
        <f t="shared" si="11"/>
        <v>1</v>
      </c>
      <c r="U16" s="873">
        <f t="shared" si="11"/>
        <v>1</v>
      </c>
      <c r="V16" s="873">
        <f t="shared" si="11"/>
        <v>1</v>
      </c>
      <c r="W16" s="873">
        <f t="shared" si="11"/>
        <v>1</v>
      </c>
      <c r="X16" s="873">
        <f t="shared" si="11"/>
        <v>1</v>
      </c>
      <c r="Y16" s="873">
        <f t="shared" si="11"/>
        <v>1</v>
      </c>
      <c r="Z16" s="873">
        <f t="shared" si="11"/>
        <v>1</v>
      </c>
      <c r="AA16" s="873">
        <f t="shared" si="11"/>
        <v>1</v>
      </c>
      <c r="AB16" s="873">
        <f t="shared" si="11"/>
        <v>1</v>
      </c>
      <c r="AC16" s="873">
        <f t="shared" si="11"/>
        <v>1</v>
      </c>
      <c r="AD16" s="873">
        <f t="shared" si="11"/>
        <v>1</v>
      </c>
      <c r="AE16" s="128">
        <f>SUM(S16:AD16)</f>
        <v>12</v>
      </c>
    </row>
    <row r="17" spans="2:32">
      <c r="C17" s="952" t="s">
        <v>400</v>
      </c>
      <c r="D17" s="958">
        <f t="shared" ref="D17:O17" si="12">SUM(D5:D16)</f>
        <v>4036.85</v>
      </c>
      <c r="E17" s="958">
        <f t="shared" si="12"/>
        <v>4332.9399999999996</v>
      </c>
      <c r="F17" s="958">
        <f t="shared" si="12"/>
        <v>4123.4799999999996</v>
      </c>
      <c r="G17" s="958">
        <f t="shared" si="12"/>
        <v>4463.8599999999997</v>
      </c>
      <c r="H17" s="958">
        <f t="shared" si="12"/>
        <v>3543.5199999999995</v>
      </c>
      <c r="I17" s="958">
        <f t="shared" si="12"/>
        <v>2027.78</v>
      </c>
      <c r="J17" s="958">
        <f t="shared" si="12"/>
        <v>1918.8800000000003</v>
      </c>
      <c r="K17" s="958">
        <f t="shared" si="12"/>
        <v>869.67000000000007</v>
      </c>
      <c r="L17" s="958">
        <f t="shared" si="12"/>
        <v>754.39</v>
      </c>
      <c r="M17" s="958">
        <f t="shared" si="12"/>
        <v>597.37999999999988</v>
      </c>
      <c r="N17" s="958">
        <f t="shared" si="12"/>
        <v>2999.85</v>
      </c>
      <c r="O17" s="958">
        <f t="shared" si="12"/>
        <v>5079.4400000000014</v>
      </c>
      <c r="P17" s="811">
        <f t="shared" si="1"/>
        <v>34748.039999999994</v>
      </c>
      <c r="R17" s="873" t="s">
        <v>178</v>
      </c>
      <c r="S17" s="873">
        <f t="shared" ref="S17:AD17" si="13">D22/$S$23</f>
        <v>1</v>
      </c>
      <c r="T17" s="873">
        <f t="shared" si="13"/>
        <v>1</v>
      </c>
      <c r="U17" s="873">
        <f t="shared" si="13"/>
        <v>1</v>
      </c>
      <c r="V17" s="873">
        <f t="shared" si="13"/>
        <v>1</v>
      </c>
      <c r="W17" s="873">
        <f t="shared" si="13"/>
        <v>1</v>
      </c>
      <c r="X17" s="873">
        <f t="shared" si="13"/>
        <v>1</v>
      </c>
      <c r="Y17" s="873">
        <f t="shared" si="13"/>
        <v>1</v>
      </c>
      <c r="Z17" s="873">
        <f t="shared" si="13"/>
        <v>1</v>
      </c>
      <c r="AA17" s="873">
        <f t="shared" si="13"/>
        <v>1</v>
      </c>
      <c r="AB17" s="873">
        <f t="shared" si="13"/>
        <v>1</v>
      </c>
      <c r="AC17" s="873">
        <f t="shared" si="13"/>
        <v>1</v>
      </c>
      <c r="AD17" s="873">
        <f t="shared" si="13"/>
        <v>1</v>
      </c>
      <c r="AE17" s="128">
        <f>SUM(S17:AD17)</f>
        <v>12</v>
      </c>
    </row>
    <row r="18" spans="2:32">
      <c r="C18" s="952" t="s">
        <v>401</v>
      </c>
      <c r="D18" s="955">
        <v>4552</v>
      </c>
      <c r="E18" s="955">
        <v>4887</v>
      </c>
      <c r="F18" s="955">
        <v>4650</v>
      </c>
      <c r="G18" s="955">
        <v>4903</v>
      </c>
      <c r="H18" s="955">
        <v>3889</v>
      </c>
      <c r="I18" s="955">
        <v>2219</v>
      </c>
      <c r="J18" s="955">
        <v>2099</v>
      </c>
      <c r="K18" s="955">
        <v>943</v>
      </c>
      <c r="L18" s="955">
        <v>816</v>
      </c>
      <c r="M18" s="955">
        <v>643</v>
      </c>
      <c r="N18" s="955">
        <v>3290</v>
      </c>
      <c r="O18" s="955">
        <v>5658</v>
      </c>
      <c r="P18" s="815">
        <f t="shared" si="1"/>
        <v>38549</v>
      </c>
      <c r="R18" s="873" t="s">
        <v>182</v>
      </c>
      <c r="S18" s="978">
        <f>(D43-'663 - 511 Transfer'!B4)/$S$24</f>
        <v>2</v>
      </c>
      <c r="T18" s="978">
        <f>(E43-'663 - 511 Transfer'!C4)/$S$24</f>
        <v>2</v>
      </c>
      <c r="U18" s="978">
        <f>(F43-'663 - 511 Transfer'!D4)/$S$24</f>
        <v>2</v>
      </c>
      <c r="V18" s="978">
        <f>(G43-'663 - 511 Transfer'!E4)/$S$24</f>
        <v>2</v>
      </c>
      <c r="W18" s="978">
        <f>(H43-'663 - 511 Transfer'!F4)/$S$24</f>
        <v>2</v>
      </c>
      <c r="X18" s="978">
        <f>(I43-'663 - 511 Transfer'!G4)/$S$24</f>
        <v>2</v>
      </c>
      <c r="Y18" s="978">
        <f>(J43-'663 - 511 Transfer'!H4)/$S$24</f>
        <v>2</v>
      </c>
      <c r="Z18" s="978">
        <f>(K43-'663 - 511 Transfer'!I4)/$S$24</f>
        <v>2</v>
      </c>
      <c r="AA18" s="978">
        <f>(L43-'663 - 511 Transfer'!J4)/$S$24</f>
        <v>2</v>
      </c>
      <c r="AB18" s="978">
        <f>(M43-'663 - 511 Transfer'!K4)/$S$24</f>
        <v>2</v>
      </c>
      <c r="AC18" s="873">
        <f>N43/$S$24</f>
        <v>2</v>
      </c>
      <c r="AD18" s="873">
        <f>O43/$S$24</f>
        <v>2</v>
      </c>
      <c r="AE18" s="715">
        <f>SUM(S18:AD18)</f>
        <v>24</v>
      </c>
    </row>
    <row r="19" spans="2:32" ht="15.75" thickBot="1">
      <c r="D19" s="811"/>
      <c r="E19" s="811"/>
      <c r="F19" s="811"/>
      <c r="G19" s="811"/>
      <c r="H19" s="811"/>
      <c r="I19" s="811"/>
      <c r="J19" s="811"/>
      <c r="K19" s="811"/>
      <c r="L19" s="811"/>
      <c r="M19" s="811"/>
      <c r="N19" s="811"/>
      <c r="O19" s="811"/>
      <c r="P19" s="811"/>
      <c r="AE19" s="875">
        <f>SUM(AE7:AE18)</f>
        <v>2694693.0581170367</v>
      </c>
      <c r="AF19" s="999"/>
    </row>
    <row r="20" spans="2:32" ht="15.75" thickBot="1">
      <c r="C20" s="873" t="s">
        <v>178</v>
      </c>
      <c r="D20" s="811"/>
      <c r="E20" s="811"/>
      <c r="F20" s="811"/>
      <c r="G20" s="811"/>
      <c r="H20" s="811"/>
      <c r="I20" s="811"/>
      <c r="J20" s="811"/>
      <c r="K20" s="811"/>
      <c r="L20" s="811"/>
      <c r="M20" s="811"/>
      <c r="N20" s="811"/>
      <c r="O20" s="811"/>
      <c r="P20" s="811"/>
      <c r="R20" s="816" t="s">
        <v>402</v>
      </c>
      <c r="S20" s="817"/>
    </row>
    <row r="21" spans="2:32">
      <c r="B21" s="873" t="str">
        <f>$C$20</f>
        <v>CNGW05LV</v>
      </c>
      <c r="C21" s="873" t="s">
        <v>389</v>
      </c>
      <c r="D21" s="811">
        <v>110.13</v>
      </c>
      <c r="E21" s="811">
        <v>35.869999999999997</v>
      </c>
      <c r="F21" s="811">
        <v>143.88999999999999</v>
      </c>
      <c r="G21" s="811">
        <v>76.8</v>
      </c>
      <c r="H21" s="811">
        <v>81.44</v>
      </c>
      <c r="I21" s="811">
        <v>0</v>
      </c>
      <c r="J21" s="811">
        <v>0</v>
      </c>
      <c r="K21" s="811">
        <v>0</v>
      </c>
      <c r="L21" s="811">
        <v>0</v>
      </c>
      <c r="M21" s="811">
        <v>0</v>
      </c>
      <c r="N21" s="811">
        <v>0</v>
      </c>
      <c r="O21" s="811">
        <v>0</v>
      </c>
      <c r="P21" s="811">
        <f t="shared" ref="P21:P38" si="14">SUM(D21:O21)</f>
        <v>448.13</v>
      </c>
      <c r="R21" s="876" t="s">
        <v>123</v>
      </c>
      <c r="S21" s="818">
        <v>5</v>
      </c>
      <c r="T21" s="813"/>
      <c r="U21" s="813"/>
      <c r="V21" s="813"/>
      <c r="W21" s="813"/>
      <c r="X21" s="813"/>
      <c r="Y21" s="813"/>
      <c r="Z21" s="813"/>
      <c r="AA21" s="813"/>
      <c r="AB21" s="813"/>
      <c r="AC21" s="813"/>
      <c r="AD21" s="813"/>
      <c r="AE21" s="819">
        <f>AE19/12</f>
        <v>224557.75484308638</v>
      </c>
      <c r="AF21" s="877"/>
    </row>
    <row r="22" spans="2:32">
      <c r="B22" s="873" t="str">
        <f t="shared" ref="B22:B35" si="15">$C$20</f>
        <v>CNGW05LV</v>
      </c>
      <c r="C22" s="873" t="s">
        <v>403</v>
      </c>
      <c r="D22" s="811">
        <v>60</v>
      </c>
      <c r="E22" s="811">
        <v>60</v>
      </c>
      <c r="F22" s="811">
        <v>60</v>
      </c>
      <c r="G22" s="811">
        <v>60</v>
      </c>
      <c r="H22" s="811">
        <v>60</v>
      </c>
      <c r="I22" s="811">
        <v>60</v>
      </c>
      <c r="J22" s="811">
        <v>60</v>
      </c>
      <c r="K22" s="811">
        <v>60</v>
      </c>
      <c r="L22" s="811">
        <v>60</v>
      </c>
      <c r="M22" s="811">
        <v>60</v>
      </c>
      <c r="N22" s="811">
        <v>60</v>
      </c>
      <c r="O22" s="811">
        <v>60</v>
      </c>
      <c r="P22" s="811">
        <f t="shared" si="14"/>
        <v>720</v>
      </c>
      <c r="R22" s="876" t="s">
        <v>150</v>
      </c>
      <c r="S22" s="820">
        <v>13</v>
      </c>
      <c r="T22" s="813"/>
      <c r="U22" s="813"/>
      <c r="V22" s="813"/>
      <c r="W22" s="813"/>
      <c r="X22" s="813"/>
      <c r="Y22" s="813"/>
      <c r="Z22" s="813"/>
      <c r="AA22" s="813"/>
      <c r="AB22" s="813"/>
      <c r="AC22" s="813"/>
      <c r="AD22" s="813"/>
      <c r="AE22" s="128"/>
      <c r="AF22" s="875"/>
    </row>
    <row r="23" spans="2:32">
      <c r="B23" s="873" t="str">
        <f t="shared" si="15"/>
        <v>CNGW05LV</v>
      </c>
      <c r="C23" s="873" t="s">
        <v>404</v>
      </c>
      <c r="D23" s="811">
        <v>6.86</v>
      </c>
      <c r="E23" s="811">
        <v>2.2400000000000002</v>
      </c>
      <c r="F23" s="811">
        <v>8.9700000000000006</v>
      </c>
      <c r="G23" s="811">
        <v>4.79</v>
      </c>
      <c r="H23" s="811">
        <v>5.08</v>
      </c>
      <c r="I23" s="811">
        <v>0</v>
      </c>
      <c r="J23" s="811">
        <v>0</v>
      </c>
      <c r="K23" s="811">
        <v>0</v>
      </c>
      <c r="L23" s="811">
        <v>0</v>
      </c>
      <c r="M23" s="811">
        <v>0</v>
      </c>
      <c r="N23" s="811">
        <v>0</v>
      </c>
      <c r="O23" s="811">
        <v>0</v>
      </c>
      <c r="P23" s="811">
        <f t="shared" si="14"/>
        <v>27.939999999999998</v>
      </c>
      <c r="R23" s="876" t="s">
        <v>153</v>
      </c>
      <c r="S23" s="820">
        <v>60</v>
      </c>
      <c r="T23" s="813"/>
      <c r="U23" s="813"/>
      <c r="V23" s="813"/>
      <c r="W23" s="813"/>
      <c r="X23" s="813"/>
      <c r="Y23" s="813"/>
      <c r="Z23" s="813"/>
      <c r="AA23" s="813"/>
      <c r="AB23" s="813"/>
      <c r="AC23" s="813"/>
      <c r="AD23" s="813"/>
      <c r="AE23" s="128"/>
      <c r="AF23" s="875"/>
    </row>
    <row r="24" spans="2:32">
      <c r="B24" s="873" t="str">
        <f t="shared" si="15"/>
        <v>CNGW05LV</v>
      </c>
      <c r="C24" s="873" t="s">
        <v>394</v>
      </c>
      <c r="D24" s="811">
        <v>-1.53</v>
      </c>
      <c r="E24" s="811">
        <v>-0.5</v>
      </c>
      <c r="F24" s="811">
        <v>-1.99</v>
      </c>
      <c r="G24" s="811">
        <v>-1.06</v>
      </c>
      <c r="H24" s="811">
        <v>-1.1299999999999999</v>
      </c>
      <c r="I24" s="811">
        <v>0</v>
      </c>
      <c r="J24" s="811">
        <v>0</v>
      </c>
      <c r="K24" s="811">
        <v>0</v>
      </c>
      <c r="L24" s="811">
        <v>0</v>
      </c>
      <c r="M24" s="811">
        <v>0</v>
      </c>
      <c r="N24" s="811">
        <v>0</v>
      </c>
      <c r="O24" s="811">
        <v>0</v>
      </c>
      <c r="P24" s="811">
        <f t="shared" si="14"/>
        <v>-6.21</v>
      </c>
      <c r="R24" s="876" t="s">
        <v>161</v>
      </c>
      <c r="S24" s="820">
        <v>125</v>
      </c>
      <c r="T24" s="813"/>
      <c r="U24" s="813"/>
      <c r="V24" s="813"/>
      <c r="W24" s="813"/>
      <c r="X24" s="813"/>
      <c r="Y24" s="813"/>
      <c r="Z24" s="813"/>
      <c r="AA24" s="813"/>
      <c r="AB24" s="813"/>
      <c r="AC24" s="813"/>
      <c r="AD24" s="813"/>
      <c r="AE24" s="128"/>
      <c r="AF24" s="875"/>
    </row>
    <row r="25" spans="2:32">
      <c r="B25" s="873" t="str">
        <f t="shared" si="15"/>
        <v>CNGW05LV</v>
      </c>
      <c r="C25" s="873" t="s">
        <v>395</v>
      </c>
      <c r="D25" s="811">
        <v>0.44</v>
      </c>
      <c r="E25" s="811">
        <v>0.14000000000000001</v>
      </c>
      <c r="F25" s="811">
        <v>0.56999999999999995</v>
      </c>
      <c r="G25" s="811">
        <v>0.3</v>
      </c>
      <c r="H25" s="811">
        <v>0.32</v>
      </c>
      <c r="I25" s="811">
        <v>0</v>
      </c>
      <c r="J25" s="811">
        <v>0</v>
      </c>
      <c r="K25" s="811">
        <v>0</v>
      </c>
      <c r="L25" s="811">
        <v>0</v>
      </c>
      <c r="M25" s="811">
        <v>0</v>
      </c>
      <c r="N25" s="811">
        <v>0</v>
      </c>
      <c r="O25" s="811">
        <v>0</v>
      </c>
      <c r="P25" s="811">
        <f t="shared" si="14"/>
        <v>1.77</v>
      </c>
      <c r="R25" s="876" t="s">
        <v>186</v>
      </c>
      <c r="S25" s="820">
        <v>163</v>
      </c>
      <c r="T25" s="813"/>
      <c r="U25" s="813"/>
      <c r="V25" s="813"/>
      <c r="W25" s="813"/>
      <c r="X25" s="813"/>
      <c r="Y25" s="813"/>
      <c r="Z25" s="813"/>
      <c r="AA25" s="813"/>
      <c r="AB25" s="813"/>
      <c r="AC25" s="813"/>
      <c r="AD25" s="813"/>
      <c r="AE25" s="128"/>
      <c r="AF25" s="875"/>
    </row>
    <row r="26" spans="2:32" ht="15.75" thickBot="1">
      <c r="B26" s="873" t="str">
        <f t="shared" si="15"/>
        <v>CNGW05LV</v>
      </c>
      <c r="C26" s="811" t="s">
        <v>155</v>
      </c>
      <c r="D26" s="811">
        <v>46.59</v>
      </c>
      <c r="E26" s="811">
        <v>15.17</v>
      </c>
      <c r="F26" s="811">
        <v>0</v>
      </c>
      <c r="G26" s="811">
        <v>0</v>
      </c>
      <c r="H26" s="811">
        <v>0</v>
      </c>
      <c r="I26" s="811">
        <v>0</v>
      </c>
      <c r="J26" s="811">
        <v>0</v>
      </c>
      <c r="K26" s="811">
        <v>0</v>
      </c>
      <c r="L26" s="811">
        <v>0</v>
      </c>
      <c r="M26" s="811">
        <v>0</v>
      </c>
      <c r="N26" s="811">
        <v>0</v>
      </c>
      <c r="O26" s="811">
        <v>0</v>
      </c>
      <c r="P26" s="811">
        <f t="shared" si="14"/>
        <v>61.760000000000005</v>
      </c>
      <c r="R26" s="878" t="s">
        <v>405</v>
      </c>
      <c r="S26" s="821">
        <v>625</v>
      </c>
      <c r="T26" s="813"/>
      <c r="U26" s="813"/>
      <c r="V26" s="813"/>
      <c r="W26" s="813"/>
      <c r="X26" s="813"/>
      <c r="Y26" s="813"/>
      <c r="Z26" s="813"/>
      <c r="AA26" s="813"/>
      <c r="AB26" s="813"/>
      <c r="AC26" s="813"/>
      <c r="AD26" s="813"/>
      <c r="AE26" s="128"/>
      <c r="AF26" s="875"/>
    </row>
    <row r="27" spans="2:32">
      <c r="B27" s="873" t="str">
        <f t="shared" si="15"/>
        <v>CNGW05LV</v>
      </c>
      <c r="C27" s="811" t="s">
        <v>156</v>
      </c>
      <c r="D27" s="811">
        <v>0</v>
      </c>
      <c r="E27" s="811">
        <v>0</v>
      </c>
      <c r="F27" s="811">
        <v>60.87</v>
      </c>
      <c r="G27" s="811">
        <v>36.72</v>
      </c>
      <c r="H27" s="811">
        <v>38.94</v>
      </c>
      <c r="I27" s="811">
        <v>0</v>
      </c>
      <c r="J27" s="811">
        <v>0</v>
      </c>
      <c r="K27" s="811">
        <v>0</v>
      </c>
      <c r="L27" s="811">
        <v>0</v>
      </c>
      <c r="M27" s="811">
        <v>0</v>
      </c>
      <c r="N27" s="811">
        <v>0</v>
      </c>
      <c r="O27" s="811">
        <v>0</v>
      </c>
      <c r="P27" s="811">
        <f>SUM(D27:O27)</f>
        <v>136.53</v>
      </c>
      <c r="T27" s="813"/>
      <c r="U27" s="813"/>
      <c r="V27" s="813"/>
      <c r="W27" s="813"/>
      <c r="X27" s="813"/>
      <c r="Y27" s="813"/>
      <c r="Z27" s="813"/>
      <c r="AA27" s="813"/>
      <c r="AB27" s="813"/>
      <c r="AC27" s="813"/>
      <c r="AD27" s="813"/>
      <c r="AE27" s="128"/>
      <c r="AF27" s="875"/>
    </row>
    <row r="28" spans="2:32">
      <c r="B28" s="873" t="str">
        <f t="shared" si="15"/>
        <v>CNGW05LV</v>
      </c>
      <c r="C28" s="811" t="s">
        <v>157</v>
      </c>
      <c r="D28" s="811">
        <v>0</v>
      </c>
      <c r="E28" s="811">
        <v>0</v>
      </c>
      <c r="F28" s="811">
        <v>0</v>
      </c>
      <c r="G28" s="811">
        <v>0</v>
      </c>
      <c r="H28" s="811">
        <v>0</v>
      </c>
      <c r="I28" s="811">
        <v>0</v>
      </c>
      <c r="J28" s="811">
        <v>0</v>
      </c>
      <c r="K28" s="811">
        <v>0</v>
      </c>
      <c r="L28" s="811">
        <v>0</v>
      </c>
      <c r="M28" s="811">
        <v>0</v>
      </c>
      <c r="N28" s="811">
        <v>0</v>
      </c>
      <c r="O28" s="811">
        <v>0</v>
      </c>
      <c r="P28" s="811">
        <f t="shared" si="14"/>
        <v>0</v>
      </c>
      <c r="AE28" s="128"/>
      <c r="AF28" s="875"/>
    </row>
    <row r="29" spans="2:32">
      <c r="B29" s="873" t="str">
        <f t="shared" si="15"/>
        <v>CNGW05LV</v>
      </c>
      <c r="C29" s="811" t="s">
        <v>158</v>
      </c>
      <c r="D29" s="811">
        <v>0</v>
      </c>
      <c r="E29" s="811">
        <v>0</v>
      </c>
      <c r="F29" s="811">
        <v>0</v>
      </c>
      <c r="G29" s="811">
        <v>0</v>
      </c>
      <c r="H29" s="811">
        <v>0</v>
      </c>
      <c r="I29" s="811">
        <v>0</v>
      </c>
      <c r="J29" s="811">
        <v>0</v>
      </c>
      <c r="K29" s="811">
        <v>0</v>
      </c>
      <c r="L29" s="811">
        <v>0</v>
      </c>
      <c r="M29" s="811">
        <v>0</v>
      </c>
      <c r="N29" s="811">
        <v>0</v>
      </c>
      <c r="O29" s="811">
        <v>0</v>
      </c>
      <c r="P29" s="811">
        <f t="shared" si="14"/>
        <v>0</v>
      </c>
      <c r="S29" s="566"/>
      <c r="T29" s="566"/>
      <c r="U29" s="566"/>
      <c r="V29" s="566"/>
      <c r="W29" s="566"/>
      <c r="X29" s="566"/>
      <c r="Y29" s="566"/>
      <c r="Z29" s="566"/>
      <c r="AA29" s="942"/>
      <c r="AB29" s="942"/>
      <c r="AC29" s="942"/>
      <c r="AE29" s="128"/>
      <c r="AF29" s="875"/>
    </row>
    <row r="30" spans="2:32">
      <c r="B30" s="873" t="str">
        <f t="shared" si="15"/>
        <v>CNGW05LV</v>
      </c>
      <c r="C30" s="811" t="s">
        <v>159</v>
      </c>
      <c r="D30" s="811">
        <v>0</v>
      </c>
      <c r="E30" s="811">
        <v>0</v>
      </c>
      <c r="F30" s="811">
        <v>0</v>
      </c>
      <c r="G30" s="811">
        <v>0</v>
      </c>
      <c r="H30" s="811">
        <v>0</v>
      </c>
      <c r="I30" s="811">
        <v>0</v>
      </c>
      <c r="J30" s="811">
        <v>0</v>
      </c>
      <c r="K30" s="811">
        <v>0</v>
      </c>
      <c r="L30" s="811">
        <v>0</v>
      </c>
      <c r="M30" s="811">
        <v>0</v>
      </c>
      <c r="N30" s="811">
        <v>0</v>
      </c>
      <c r="O30" s="811">
        <v>0</v>
      </c>
      <c r="P30" s="811">
        <f t="shared" si="14"/>
        <v>0</v>
      </c>
      <c r="Z30" s="1005"/>
      <c r="AA30" s="1006"/>
      <c r="AE30" s="128"/>
      <c r="AF30" s="875"/>
    </row>
    <row r="31" spans="2:32">
      <c r="B31" s="873" t="str">
        <f t="shared" si="15"/>
        <v>CNGW05LV</v>
      </c>
      <c r="C31" s="812" t="s">
        <v>160</v>
      </c>
      <c r="D31" s="811">
        <v>0</v>
      </c>
      <c r="E31" s="811">
        <v>0</v>
      </c>
      <c r="F31" s="811">
        <v>0</v>
      </c>
      <c r="G31" s="811">
        <v>0</v>
      </c>
      <c r="H31" s="811">
        <v>0</v>
      </c>
      <c r="I31" s="811">
        <v>0</v>
      </c>
      <c r="J31" s="811">
        <v>0</v>
      </c>
      <c r="K31" s="811">
        <v>0</v>
      </c>
      <c r="L31" s="811">
        <v>0</v>
      </c>
      <c r="M31" s="811">
        <v>0</v>
      </c>
      <c r="N31" s="811">
        <v>0</v>
      </c>
      <c r="O31" s="811">
        <v>0</v>
      </c>
      <c r="P31" s="811">
        <f t="shared" si="14"/>
        <v>0</v>
      </c>
      <c r="U31" s="813"/>
      <c r="W31" s="813"/>
      <c r="X31" s="813"/>
      <c r="Z31" s="1005"/>
      <c r="AA31" s="1007"/>
      <c r="AB31" s="813"/>
      <c r="AC31" s="813"/>
      <c r="AD31" s="813"/>
      <c r="AE31" s="102"/>
      <c r="AF31" s="875"/>
    </row>
    <row r="32" spans="2:32">
      <c r="B32" s="873" t="str">
        <f t="shared" si="15"/>
        <v>CNGW05LV</v>
      </c>
      <c r="C32" s="873" t="s">
        <v>396</v>
      </c>
      <c r="D32" s="811">
        <v>-1.02</v>
      </c>
      <c r="E32" s="812">
        <v>-0.33</v>
      </c>
      <c r="F32" s="812">
        <v>-1.34</v>
      </c>
      <c r="G32" s="812">
        <v>-0.71</v>
      </c>
      <c r="H32" s="812">
        <v>-0.76</v>
      </c>
      <c r="I32" s="812">
        <v>0</v>
      </c>
      <c r="J32" s="812">
        <v>0</v>
      </c>
      <c r="K32" s="812">
        <v>0</v>
      </c>
      <c r="L32" s="812">
        <v>0</v>
      </c>
      <c r="M32" s="812">
        <v>0</v>
      </c>
      <c r="N32" s="812">
        <v>0</v>
      </c>
      <c r="O32" s="812">
        <v>0</v>
      </c>
      <c r="P32" s="811">
        <f t="shared" si="14"/>
        <v>-4.16</v>
      </c>
      <c r="Z32" s="1005"/>
      <c r="AA32" s="1006"/>
      <c r="AC32" s="882"/>
      <c r="AE32" s="102"/>
      <c r="AF32" s="875"/>
    </row>
    <row r="33" spans="2:32">
      <c r="B33" s="873" t="str">
        <f t="shared" si="15"/>
        <v>CNGW05LV</v>
      </c>
      <c r="C33" s="873" t="s">
        <v>397</v>
      </c>
      <c r="D33" s="811">
        <v>2.23</v>
      </c>
      <c r="E33" s="812">
        <v>0.73</v>
      </c>
      <c r="F33" s="812">
        <v>2.91</v>
      </c>
      <c r="G33" s="812">
        <v>0.35</v>
      </c>
      <c r="H33" s="812">
        <v>0.37</v>
      </c>
      <c r="I33" s="812">
        <v>0</v>
      </c>
      <c r="J33" s="812">
        <v>0</v>
      </c>
      <c r="K33" s="812">
        <v>0</v>
      </c>
      <c r="L33" s="812">
        <v>0</v>
      </c>
      <c r="M33" s="812">
        <v>0</v>
      </c>
      <c r="N33" s="812">
        <v>0</v>
      </c>
      <c r="O33" s="812">
        <v>0</v>
      </c>
      <c r="P33" s="811">
        <f t="shared" si="14"/>
        <v>6.59</v>
      </c>
      <c r="Z33" s="1005"/>
      <c r="AA33" s="1006"/>
      <c r="AE33" s="102"/>
      <c r="AF33" s="875"/>
    </row>
    <row r="34" spans="2:32">
      <c r="B34" s="873" t="str">
        <f t="shared" si="15"/>
        <v>CNGW05LV</v>
      </c>
      <c r="C34" s="873" t="s">
        <v>398</v>
      </c>
      <c r="D34" s="811">
        <v>35.31</v>
      </c>
      <c r="E34" s="812">
        <v>11.5</v>
      </c>
      <c r="F34" s="812">
        <v>46.14</v>
      </c>
      <c r="G34" s="812">
        <v>24.62</v>
      </c>
      <c r="H34" s="812">
        <v>26.11</v>
      </c>
      <c r="I34" s="812">
        <v>0</v>
      </c>
      <c r="J34" s="812">
        <v>0</v>
      </c>
      <c r="K34" s="812">
        <v>0</v>
      </c>
      <c r="L34" s="812">
        <v>0</v>
      </c>
      <c r="M34" s="812">
        <v>0</v>
      </c>
      <c r="N34" s="812">
        <v>0</v>
      </c>
      <c r="O34" s="812">
        <v>0</v>
      </c>
      <c r="P34" s="811">
        <f t="shared" si="14"/>
        <v>143.68</v>
      </c>
      <c r="Z34" s="1005"/>
      <c r="AA34" s="1006"/>
      <c r="AC34" s="882"/>
    </row>
    <row r="35" spans="2:32">
      <c r="B35" s="873" t="str">
        <f t="shared" si="15"/>
        <v>CNGW05LV</v>
      </c>
      <c r="C35" s="873" t="s">
        <v>399</v>
      </c>
      <c r="D35" s="811">
        <v>-0.38</v>
      </c>
      <c r="E35" s="812">
        <v>-0.12</v>
      </c>
      <c r="F35" s="812">
        <v>-0.5</v>
      </c>
      <c r="G35" s="812">
        <v>-0.27</v>
      </c>
      <c r="H35" s="812">
        <v>-0.28000000000000003</v>
      </c>
      <c r="I35" s="812">
        <v>0</v>
      </c>
      <c r="J35" s="812">
        <v>0</v>
      </c>
      <c r="K35" s="812">
        <v>0</v>
      </c>
      <c r="L35" s="812">
        <v>0</v>
      </c>
      <c r="M35" s="812">
        <v>0</v>
      </c>
      <c r="N35" s="812">
        <v>0</v>
      </c>
      <c r="O35" s="812">
        <v>0</v>
      </c>
      <c r="P35" s="811">
        <f t="shared" si="14"/>
        <v>-1.55</v>
      </c>
    </row>
    <row r="36" spans="2:32">
      <c r="C36" s="481" t="s">
        <v>400</v>
      </c>
      <c r="D36" s="811">
        <f t="shared" ref="D36:O36" si="16">SUM(D21:D35)</f>
        <v>258.63</v>
      </c>
      <c r="E36" s="812">
        <f t="shared" si="16"/>
        <v>124.7</v>
      </c>
      <c r="F36" s="812">
        <f t="shared" si="16"/>
        <v>319.52</v>
      </c>
      <c r="G36" s="812">
        <f t="shared" si="16"/>
        <v>201.54</v>
      </c>
      <c r="H36" s="812">
        <f t="shared" si="16"/>
        <v>210.09</v>
      </c>
      <c r="I36" s="812">
        <f t="shared" si="16"/>
        <v>60</v>
      </c>
      <c r="J36" s="812">
        <f t="shared" si="16"/>
        <v>60</v>
      </c>
      <c r="K36" s="812">
        <f t="shared" si="16"/>
        <v>60</v>
      </c>
      <c r="L36" s="812">
        <f t="shared" si="16"/>
        <v>60</v>
      </c>
      <c r="M36" s="812">
        <f t="shared" si="16"/>
        <v>60</v>
      </c>
      <c r="N36" s="812">
        <f t="shared" si="16"/>
        <v>60</v>
      </c>
      <c r="O36" s="812">
        <f t="shared" si="16"/>
        <v>60</v>
      </c>
      <c r="P36" s="811">
        <f t="shared" si="14"/>
        <v>1534.4799999999998</v>
      </c>
    </row>
    <row r="37" spans="2:32">
      <c r="C37" s="481" t="s">
        <v>401</v>
      </c>
      <c r="D37" s="341">
        <v>261</v>
      </c>
      <c r="E37" s="452">
        <v>85</v>
      </c>
      <c r="F37" s="452">
        <v>341</v>
      </c>
      <c r="G37" s="452">
        <v>182</v>
      </c>
      <c r="H37" s="452">
        <v>193</v>
      </c>
      <c r="I37" s="452">
        <v>0</v>
      </c>
      <c r="J37" s="452">
        <v>0</v>
      </c>
      <c r="K37" s="452">
        <v>0</v>
      </c>
      <c r="L37" s="452">
        <v>0</v>
      </c>
      <c r="M37" s="452">
        <v>0</v>
      </c>
      <c r="N37" s="452">
        <v>0</v>
      </c>
      <c r="O37" s="452">
        <v>0</v>
      </c>
      <c r="P37" s="815">
        <f t="shared" si="14"/>
        <v>1062</v>
      </c>
      <c r="R37" s="754"/>
    </row>
    <row r="38" spans="2:32">
      <c r="C38" s="957" t="s">
        <v>406</v>
      </c>
      <c r="D38" s="955">
        <v>261</v>
      </c>
      <c r="E38" s="955">
        <v>85</v>
      </c>
      <c r="F38" s="955">
        <v>341</v>
      </c>
      <c r="G38" s="955">
        <v>182</v>
      </c>
      <c r="H38" s="955">
        <v>193</v>
      </c>
      <c r="I38" s="955">
        <v>0</v>
      </c>
      <c r="J38" s="955">
        <v>0</v>
      </c>
      <c r="K38" s="955">
        <v>0</v>
      </c>
      <c r="L38" s="955">
        <v>0</v>
      </c>
      <c r="M38" s="955">
        <v>0</v>
      </c>
      <c r="N38" s="955">
        <v>0</v>
      </c>
      <c r="O38" s="955">
        <v>0</v>
      </c>
      <c r="P38" s="815">
        <f t="shared" si="14"/>
        <v>1062</v>
      </c>
      <c r="V38" s="813"/>
      <c r="W38" s="813"/>
      <c r="X38" s="813"/>
      <c r="Y38" s="813"/>
      <c r="Z38" s="813"/>
      <c r="AA38" s="813"/>
      <c r="AB38" s="813"/>
      <c r="AC38" s="813"/>
      <c r="AD38" s="813"/>
      <c r="AE38" s="813"/>
    </row>
    <row r="39" spans="2:32">
      <c r="C39" s="957" t="s">
        <v>407</v>
      </c>
      <c r="D39" s="955">
        <v>0</v>
      </c>
      <c r="E39" s="956">
        <v>0</v>
      </c>
      <c r="F39" s="956">
        <v>0</v>
      </c>
      <c r="G39" s="956">
        <v>0</v>
      </c>
      <c r="H39" s="956">
        <v>0</v>
      </c>
      <c r="I39" s="956">
        <v>0</v>
      </c>
      <c r="J39" s="956">
        <v>0</v>
      </c>
      <c r="K39" s="956">
        <v>0</v>
      </c>
      <c r="L39" s="956">
        <v>0</v>
      </c>
      <c r="M39" s="956">
        <v>0</v>
      </c>
      <c r="N39" s="956">
        <v>0</v>
      </c>
      <c r="O39" s="956">
        <v>0</v>
      </c>
      <c r="P39" s="815"/>
      <c r="S39" s="813"/>
      <c r="U39" s="813"/>
      <c r="W39" s="813"/>
      <c r="X39" s="813"/>
      <c r="Y39" s="813"/>
      <c r="Z39" s="1008"/>
      <c r="AA39" s="1008"/>
      <c r="AB39" s="1008"/>
      <c r="AC39" s="1008"/>
      <c r="AD39" s="813"/>
      <c r="AE39" s="813"/>
    </row>
    <row r="40" spans="2:32">
      <c r="D40" s="811"/>
      <c r="E40" s="812"/>
      <c r="F40" s="812"/>
      <c r="G40" s="812"/>
      <c r="H40" s="812"/>
      <c r="I40" s="812"/>
      <c r="J40" s="812"/>
      <c r="K40" s="812"/>
      <c r="L40" s="812"/>
      <c r="M40" s="812"/>
      <c r="N40" s="812"/>
      <c r="O40" s="812"/>
      <c r="P40" s="811"/>
      <c r="Z40" s="1009"/>
      <c r="AA40" s="1009"/>
      <c r="AB40" s="1009"/>
      <c r="AC40" s="1009"/>
    </row>
    <row r="41" spans="2:32">
      <c r="C41" s="873" t="s">
        <v>182</v>
      </c>
      <c r="D41" s="811"/>
      <c r="E41" s="812"/>
      <c r="F41" s="812"/>
      <c r="G41" s="812"/>
      <c r="H41" s="812"/>
      <c r="I41" s="812"/>
      <c r="J41" s="812"/>
      <c r="K41" s="812"/>
      <c r="L41" s="812"/>
      <c r="M41" s="812"/>
      <c r="N41" s="812"/>
      <c r="O41" s="812"/>
      <c r="P41" s="811"/>
      <c r="Z41" s="1009"/>
      <c r="AA41" s="1009"/>
      <c r="AB41" s="1009"/>
      <c r="AC41" s="1009"/>
    </row>
    <row r="42" spans="2:32">
      <c r="B42" s="873" t="str">
        <f t="shared" ref="B42:B57" si="17">$C$41</f>
        <v>CNGW11LV</v>
      </c>
      <c r="C42" s="873" t="s">
        <v>389</v>
      </c>
      <c r="D42" s="811">
        <v>712706.89</v>
      </c>
      <c r="E42" s="811">
        <v>752434.13</v>
      </c>
      <c r="F42" s="811">
        <v>701220.46</v>
      </c>
      <c r="G42" s="811">
        <v>717375.6</v>
      </c>
      <c r="H42" s="811">
        <v>575409.27</v>
      </c>
      <c r="I42" s="811">
        <v>400330.54000000004</v>
      </c>
      <c r="J42" s="811">
        <v>299635</v>
      </c>
      <c r="K42" s="811">
        <v>282343.5</v>
      </c>
      <c r="L42" s="811">
        <v>265427.13999999996</v>
      </c>
      <c r="M42" s="811">
        <v>258881.97</v>
      </c>
      <c r="N42" s="812">
        <v>14322.92</v>
      </c>
      <c r="O42" s="812">
        <v>30581.089999999997</v>
      </c>
      <c r="P42" s="811">
        <f t="shared" ref="P42:P63" si="18">SUM(D42:O42)</f>
        <v>5010668.51</v>
      </c>
    </row>
    <row r="43" spans="2:32">
      <c r="B43" s="873" t="str">
        <f t="shared" si="17"/>
        <v>CNGW11LV</v>
      </c>
      <c r="C43" s="873" t="s">
        <v>403</v>
      </c>
      <c r="D43" s="811">
        <v>875</v>
      </c>
      <c r="E43" s="811">
        <v>875</v>
      </c>
      <c r="F43" s="811">
        <v>875</v>
      </c>
      <c r="G43" s="811">
        <v>875</v>
      </c>
      <c r="H43" s="811">
        <v>875</v>
      </c>
      <c r="I43" s="811">
        <v>875</v>
      </c>
      <c r="J43" s="811">
        <v>875</v>
      </c>
      <c r="K43" s="811">
        <v>875</v>
      </c>
      <c r="L43" s="811">
        <v>875</v>
      </c>
      <c r="M43" s="811">
        <v>875</v>
      </c>
      <c r="N43" s="812">
        <v>250</v>
      </c>
      <c r="O43" s="812">
        <v>250</v>
      </c>
      <c r="P43" s="811">
        <f t="shared" si="18"/>
        <v>9250</v>
      </c>
    </row>
    <row r="44" spans="2:32">
      <c r="B44" s="873" t="str">
        <f t="shared" si="17"/>
        <v>CNGW11LV</v>
      </c>
      <c r="C44" s="873" t="s">
        <v>392</v>
      </c>
      <c r="D44" s="811">
        <v>41394.050000000003</v>
      </c>
      <c r="E44" s="811">
        <v>43672.13</v>
      </c>
      <c r="F44" s="811">
        <v>40434.639999999999</v>
      </c>
      <c r="G44" s="811">
        <v>42672.189999999995</v>
      </c>
      <c r="H44" s="811">
        <v>34615.65</v>
      </c>
      <c r="I44" s="811">
        <v>24968.15</v>
      </c>
      <c r="J44" s="811">
        <v>18599.530000000006</v>
      </c>
      <c r="K44" s="811">
        <v>17527.03</v>
      </c>
      <c r="L44" s="811">
        <v>16214.69</v>
      </c>
      <c r="M44" s="811">
        <v>15431.769999999999</v>
      </c>
      <c r="N44" s="812">
        <v>2097.5700000000002</v>
      </c>
      <c r="O44" s="812">
        <v>4005.67</v>
      </c>
      <c r="P44" s="811">
        <f t="shared" si="18"/>
        <v>301633.07</v>
      </c>
      <c r="S44" s="947"/>
      <c r="T44" s="947"/>
      <c r="U44" s="947"/>
      <c r="V44" s="948"/>
      <c r="W44" s="947"/>
      <c r="X44" s="947"/>
    </row>
    <row r="45" spans="2:32">
      <c r="B45" s="873" t="str">
        <f t="shared" si="17"/>
        <v>CNGW11LV</v>
      </c>
      <c r="C45" s="873" t="s">
        <v>393</v>
      </c>
      <c r="D45" s="811">
        <v>44420.67</v>
      </c>
      <c r="E45" s="811">
        <v>46896.74</v>
      </c>
      <c r="F45" s="811">
        <v>43704.770000000004</v>
      </c>
      <c r="G45" s="811">
        <v>44711.66</v>
      </c>
      <c r="H45" s="811">
        <v>35863.350000000006</v>
      </c>
      <c r="I45" s="811">
        <v>24951.29</v>
      </c>
      <c r="J45" s="811">
        <v>18675.260000000002</v>
      </c>
      <c r="K45" s="811">
        <v>17597.55</v>
      </c>
      <c r="L45" s="811">
        <v>16543.189999999999</v>
      </c>
      <c r="M45" s="811">
        <v>16135.27</v>
      </c>
      <c r="N45" s="812">
        <v>892.69999999999993</v>
      </c>
      <c r="O45" s="812">
        <v>1917.52</v>
      </c>
      <c r="P45" s="811">
        <f t="shared" si="18"/>
        <v>312309.97000000009</v>
      </c>
      <c r="S45" s="951"/>
      <c r="T45" s="951"/>
      <c r="U45" s="951"/>
    </row>
    <row r="46" spans="2:32">
      <c r="B46" s="873" t="str">
        <f t="shared" si="17"/>
        <v>CNGW11LV</v>
      </c>
      <c r="C46" s="873" t="s">
        <v>394</v>
      </c>
      <c r="D46" s="811">
        <v>-33003.050000000003</v>
      </c>
      <c r="E46" s="811">
        <v>-34842.67</v>
      </c>
      <c r="F46" s="811">
        <v>-32471.14</v>
      </c>
      <c r="G46" s="811">
        <v>-33219.24</v>
      </c>
      <c r="H46" s="811">
        <v>-26645.26</v>
      </c>
      <c r="I46" s="811">
        <v>-18537.96</v>
      </c>
      <c r="J46" s="811">
        <v>-13875.080000000002</v>
      </c>
      <c r="K46" s="811">
        <v>-13074.36</v>
      </c>
      <c r="L46" s="811">
        <v>-12291.04</v>
      </c>
      <c r="M46" s="811">
        <v>-11987.960000000001</v>
      </c>
      <c r="N46" s="812">
        <v>-663.25</v>
      </c>
      <c r="O46" s="812">
        <v>-1392.17</v>
      </c>
      <c r="P46" s="811">
        <f t="shared" si="18"/>
        <v>-232003.18000000002</v>
      </c>
      <c r="S46" s="949"/>
      <c r="T46" s="949"/>
      <c r="U46" s="949"/>
      <c r="W46" s="949"/>
    </row>
    <row r="47" spans="2:32">
      <c r="B47" s="873" t="str">
        <f t="shared" si="17"/>
        <v>CNGW11LV</v>
      </c>
      <c r="C47" s="873" t="s">
        <v>395</v>
      </c>
      <c r="D47" s="811">
        <v>2381.4899999999998</v>
      </c>
      <c r="E47" s="811">
        <v>2514.2400000000002</v>
      </c>
      <c r="F47" s="811">
        <v>2343.1000000000004</v>
      </c>
      <c r="G47" s="811">
        <v>2397.08</v>
      </c>
      <c r="H47" s="811">
        <v>1922.7100000000003</v>
      </c>
      <c r="I47" s="811">
        <v>1337.69</v>
      </c>
      <c r="J47" s="811">
        <v>1001.2099999999999</v>
      </c>
      <c r="K47" s="811">
        <v>943.45</v>
      </c>
      <c r="L47" s="811">
        <v>886.92000000000007</v>
      </c>
      <c r="M47" s="811">
        <v>865.04999999999984</v>
      </c>
      <c r="N47" s="812">
        <v>47.86</v>
      </c>
      <c r="O47" s="812">
        <v>102.89000000000001</v>
      </c>
      <c r="P47" s="811">
        <f t="shared" si="18"/>
        <v>16743.690000000002</v>
      </c>
      <c r="S47" s="947"/>
      <c r="T47" s="947"/>
      <c r="U47" s="950"/>
      <c r="V47" s="947"/>
      <c r="W47" s="947"/>
      <c r="X47" s="947"/>
      <c r="Y47" s="947"/>
      <c r="AA47" s="947"/>
      <c r="AB47" s="950"/>
      <c r="AC47" s="950"/>
    </row>
    <row r="48" spans="2:32">
      <c r="B48" s="873" t="str">
        <f t="shared" si="17"/>
        <v>CNGW11LV</v>
      </c>
      <c r="C48" s="1" t="s">
        <v>163</v>
      </c>
      <c r="D48" s="811">
        <v>19935.75</v>
      </c>
      <c r="E48" s="811">
        <v>19499.55</v>
      </c>
      <c r="F48" s="811">
        <v>0</v>
      </c>
      <c r="G48" s="811">
        <v>0</v>
      </c>
      <c r="H48" s="811">
        <v>0</v>
      </c>
      <c r="I48" s="811">
        <v>0</v>
      </c>
      <c r="J48" s="811">
        <v>0</v>
      </c>
      <c r="K48" s="811">
        <v>0</v>
      </c>
      <c r="L48" s="811">
        <v>0</v>
      </c>
      <c r="M48" s="811">
        <v>0</v>
      </c>
      <c r="N48" s="812">
        <v>0</v>
      </c>
      <c r="O48" s="812">
        <v>0</v>
      </c>
      <c r="P48" s="811">
        <f t="shared" si="18"/>
        <v>39435.300000000003</v>
      </c>
      <c r="S48" s="947"/>
      <c r="T48" s="947"/>
      <c r="U48" s="950"/>
      <c r="V48" s="947"/>
      <c r="W48" s="947"/>
      <c r="X48" s="947"/>
      <c r="Y48" s="947"/>
      <c r="AA48" s="947"/>
      <c r="AB48" s="950"/>
      <c r="AC48" s="950"/>
    </row>
    <row r="49" spans="1:29">
      <c r="B49" s="873" t="str">
        <f t="shared" si="17"/>
        <v>CNGW11LV</v>
      </c>
      <c r="C49" s="1" t="s">
        <v>164</v>
      </c>
      <c r="D49" s="811">
        <v>0</v>
      </c>
      <c r="E49" s="811">
        <v>0</v>
      </c>
      <c r="F49" s="811">
        <v>19032.68</v>
      </c>
      <c r="G49" s="811">
        <v>21164.26</v>
      </c>
      <c r="H49" s="811">
        <v>20485.259999999998</v>
      </c>
      <c r="I49" s="811">
        <v>19295.150000000001</v>
      </c>
      <c r="J49" s="811">
        <v>14918.06</v>
      </c>
      <c r="K49" s="811">
        <v>12426.16</v>
      </c>
      <c r="L49" s="811">
        <v>11223.95</v>
      </c>
      <c r="M49" s="811">
        <v>10743.46</v>
      </c>
      <c r="N49" s="812">
        <v>4903.67</v>
      </c>
      <c r="O49" s="812">
        <v>5690.47</v>
      </c>
      <c r="P49" s="811">
        <f t="shared" si="18"/>
        <v>139883.12000000002</v>
      </c>
      <c r="S49" s="947"/>
      <c r="T49" s="947"/>
      <c r="U49" s="950"/>
      <c r="V49" s="947"/>
      <c r="W49" s="947"/>
      <c r="X49" s="947"/>
      <c r="Y49" s="947"/>
      <c r="AA49" s="947"/>
      <c r="AB49" s="950"/>
      <c r="AC49" s="950"/>
    </row>
    <row r="50" spans="1:29">
      <c r="B50" s="873" t="str">
        <f t="shared" si="17"/>
        <v>CNGW11LV</v>
      </c>
      <c r="C50" s="1" t="s">
        <v>165</v>
      </c>
      <c r="D50" s="811">
        <v>41795.550000000003</v>
      </c>
      <c r="E50" s="811">
        <v>41337.629999999997</v>
      </c>
      <c r="F50" s="811">
        <v>0</v>
      </c>
      <c r="G50" s="811">
        <v>0</v>
      </c>
      <c r="H50" s="811">
        <v>0</v>
      </c>
      <c r="I50" s="811">
        <v>0</v>
      </c>
      <c r="J50" s="811">
        <v>0</v>
      </c>
      <c r="K50" s="811">
        <v>0</v>
      </c>
      <c r="L50" s="811">
        <v>0</v>
      </c>
      <c r="M50" s="811">
        <v>0</v>
      </c>
      <c r="N50" s="812">
        <v>0</v>
      </c>
      <c r="O50" s="812">
        <v>0</v>
      </c>
      <c r="P50" s="811">
        <f t="shared" si="18"/>
        <v>83133.179999999993</v>
      </c>
      <c r="S50" s="947"/>
      <c r="T50" s="947"/>
      <c r="U50" s="950"/>
      <c r="V50" s="947"/>
      <c r="W50" s="947"/>
      <c r="X50" s="947"/>
      <c r="Y50" s="947"/>
      <c r="AA50" s="947"/>
      <c r="AB50" s="950"/>
      <c r="AC50" s="950"/>
    </row>
    <row r="51" spans="1:29">
      <c r="B51" s="873" t="str">
        <f t="shared" si="17"/>
        <v>CNGW11LV</v>
      </c>
      <c r="C51" s="1" t="s">
        <v>166</v>
      </c>
      <c r="D51" s="811">
        <v>0</v>
      </c>
      <c r="E51" s="811">
        <v>0</v>
      </c>
      <c r="F51" s="811">
        <v>40111.26</v>
      </c>
      <c r="G51" s="811">
        <v>44241.38</v>
      </c>
      <c r="H51" s="811">
        <v>37030.639999999999</v>
      </c>
      <c r="I51" s="811">
        <v>31635.93</v>
      </c>
      <c r="J51" s="811">
        <v>27763.06</v>
      </c>
      <c r="K51" s="811">
        <v>14182.49</v>
      </c>
      <c r="L51" s="811">
        <v>13834.62</v>
      </c>
      <c r="M51" s="811">
        <v>13931.46</v>
      </c>
      <c r="N51" s="812">
        <v>437.73</v>
      </c>
      <c r="O51" s="812">
        <v>4695.21</v>
      </c>
      <c r="P51" s="811">
        <f t="shared" si="18"/>
        <v>227863.77999999997</v>
      </c>
      <c r="S51" s="947"/>
      <c r="T51" s="947"/>
      <c r="U51" s="950"/>
      <c r="V51" s="947"/>
      <c r="W51" s="947"/>
      <c r="X51" s="947"/>
      <c r="Y51" s="947"/>
      <c r="AA51" s="947"/>
      <c r="AB51" s="950"/>
      <c r="AC51" s="950"/>
    </row>
    <row r="52" spans="1:29">
      <c r="B52" s="873" t="str">
        <f t="shared" si="17"/>
        <v>CNGW11LV</v>
      </c>
      <c r="C52" s="1" t="s">
        <v>167</v>
      </c>
      <c r="D52" s="811">
        <v>31678.16</v>
      </c>
      <c r="E52" s="811">
        <v>34423.99</v>
      </c>
      <c r="F52" s="811">
        <v>0</v>
      </c>
      <c r="G52" s="811">
        <v>0</v>
      </c>
      <c r="H52" s="811">
        <v>0</v>
      </c>
      <c r="I52" s="811">
        <v>0</v>
      </c>
      <c r="J52" s="811">
        <v>0</v>
      </c>
      <c r="K52" s="811">
        <v>0</v>
      </c>
      <c r="L52" s="811">
        <v>0</v>
      </c>
      <c r="M52" s="811">
        <v>0</v>
      </c>
      <c r="N52" s="812">
        <v>0</v>
      </c>
      <c r="O52" s="812">
        <v>0</v>
      </c>
      <c r="P52" s="811">
        <f>SUM(D52:O52)</f>
        <v>66102.149999999994</v>
      </c>
      <c r="S52" s="947"/>
      <c r="T52" s="947"/>
      <c r="U52" s="950"/>
      <c r="V52" s="947"/>
      <c r="W52" s="947"/>
      <c r="X52" s="947"/>
      <c r="Y52" s="947"/>
      <c r="AA52" s="947"/>
      <c r="AB52" s="950"/>
      <c r="AC52" s="950"/>
    </row>
    <row r="53" spans="1:29">
      <c r="B53" s="873" t="str">
        <f t="shared" si="17"/>
        <v>CNGW11LV</v>
      </c>
      <c r="C53" s="1" t="s">
        <v>168</v>
      </c>
      <c r="D53" s="811">
        <v>0</v>
      </c>
      <c r="E53" s="811">
        <v>0</v>
      </c>
      <c r="F53" s="811">
        <v>31526.86</v>
      </c>
      <c r="G53" s="811">
        <v>42051.57</v>
      </c>
      <c r="H53" s="811">
        <v>32546.26</v>
      </c>
      <c r="I53" s="811">
        <v>19928.150000000001</v>
      </c>
      <c r="J53" s="811">
        <v>13678.68</v>
      </c>
      <c r="K53" s="811">
        <v>27731.27</v>
      </c>
      <c r="L53" s="811">
        <v>27329.200000000001</v>
      </c>
      <c r="M53" s="811">
        <v>27049.73</v>
      </c>
      <c r="N53" s="812">
        <v>0</v>
      </c>
      <c r="O53" s="812"/>
      <c r="P53" s="811">
        <f>SUM(D53:O53)</f>
        <v>221841.72</v>
      </c>
      <c r="S53" s="947"/>
      <c r="T53" s="947"/>
      <c r="U53" s="950"/>
      <c r="V53" s="947"/>
      <c r="W53" s="947"/>
      <c r="X53" s="947"/>
      <c r="Y53" s="947"/>
      <c r="AA53" s="947"/>
      <c r="AB53" s="950"/>
      <c r="AC53" s="950"/>
    </row>
    <row r="54" spans="1:29">
      <c r="B54" s="873" t="str">
        <f t="shared" si="17"/>
        <v>CNGW11LV</v>
      </c>
      <c r="C54" s="873" t="s">
        <v>396</v>
      </c>
      <c r="D54" s="811">
        <v>-5421.6900000000005</v>
      </c>
      <c r="E54" s="811">
        <v>-5723.89</v>
      </c>
      <c r="F54" s="811">
        <v>-5334.29</v>
      </c>
      <c r="G54" s="811">
        <v>-5457.2</v>
      </c>
      <c r="H54" s="811">
        <v>-4377.24</v>
      </c>
      <c r="I54" s="811">
        <v>-3045.38</v>
      </c>
      <c r="J54" s="811">
        <v>-2279.3599999999997</v>
      </c>
      <c r="K54" s="811">
        <v>-2147.85</v>
      </c>
      <c r="L54" s="811">
        <v>-2019.1499999999999</v>
      </c>
      <c r="M54" s="811">
        <v>-1969.35</v>
      </c>
      <c r="N54" s="812">
        <v>-108.96000000000001</v>
      </c>
      <c r="O54" s="812">
        <v>-209.41</v>
      </c>
      <c r="P54" s="811">
        <f t="shared" si="18"/>
        <v>-38093.770000000011</v>
      </c>
      <c r="S54" s="947"/>
      <c r="T54" s="947"/>
      <c r="U54" s="950"/>
      <c r="V54" s="947"/>
      <c r="W54" s="947"/>
      <c r="X54" s="947"/>
      <c r="Y54" s="947"/>
      <c r="AA54" s="947"/>
      <c r="AB54" s="950"/>
      <c r="AC54" s="950"/>
    </row>
    <row r="55" spans="1:29">
      <c r="B55" s="873" t="str">
        <f t="shared" si="17"/>
        <v>CNGW11LV</v>
      </c>
      <c r="C55" s="873" t="s">
        <v>397</v>
      </c>
      <c r="D55" s="811">
        <v>9593.52</v>
      </c>
      <c r="E55" s="811">
        <v>10128.27</v>
      </c>
      <c r="F55" s="811">
        <v>9438.91</v>
      </c>
      <c r="G55" s="811">
        <v>2142.08</v>
      </c>
      <c r="H55" s="811">
        <v>1718.1599999999999</v>
      </c>
      <c r="I55" s="811">
        <v>1195.3899999999999</v>
      </c>
      <c r="J55" s="811">
        <v>894.72</v>
      </c>
      <c r="K55" s="811">
        <v>843.08</v>
      </c>
      <c r="L55" s="811">
        <v>792.56</v>
      </c>
      <c r="M55" s="811">
        <v>773.02</v>
      </c>
      <c r="N55" s="812">
        <v>42.77</v>
      </c>
      <c r="O55" s="812">
        <v>161.98000000000002</v>
      </c>
      <c r="P55" s="811">
        <f t="shared" si="18"/>
        <v>37724.46</v>
      </c>
      <c r="S55" s="947"/>
      <c r="T55" s="947"/>
      <c r="U55" s="950"/>
      <c r="V55" s="947"/>
      <c r="W55" s="947"/>
      <c r="X55" s="947"/>
      <c r="Y55" s="947"/>
      <c r="AA55" s="947"/>
      <c r="AB55" s="950"/>
      <c r="AC55" s="950"/>
    </row>
    <row r="56" spans="1:29">
      <c r="B56" s="873" t="str">
        <f t="shared" si="17"/>
        <v>CNGW11LV</v>
      </c>
      <c r="C56" s="873" t="s">
        <v>398</v>
      </c>
      <c r="D56" s="811">
        <v>228521.58</v>
      </c>
      <c r="E56" s="811">
        <v>241259.67</v>
      </c>
      <c r="F56" s="811">
        <v>224838.56000000003</v>
      </c>
      <c r="G56" s="811">
        <v>230018.52</v>
      </c>
      <c r="H56" s="811">
        <v>184498.6</v>
      </c>
      <c r="I56" s="811">
        <v>128361.54000000001</v>
      </c>
      <c r="J56" s="811">
        <v>96074.64</v>
      </c>
      <c r="K56" s="811">
        <v>90530.31</v>
      </c>
      <c r="L56" s="811">
        <v>85106.26999999999</v>
      </c>
      <c r="M56" s="811">
        <v>83007.640000000014</v>
      </c>
      <c r="N56" s="812">
        <v>4592.4799999999996</v>
      </c>
      <c r="O56" s="812">
        <v>10894.4</v>
      </c>
      <c r="P56" s="811">
        <f t="shared" si="18"/>
        <v>1607704.21</v>
      </c>
      <c r="S56" s="947"/>
      <c r="T56" s="947"/>
      <c r="U56" s="950"/>
      <c r="V56" s="947"/>
      <c r="W56" s="947"/>
      <c r="X56" s="947"/>
      <c r="Y56" s="947"/>
      <c r="AA56" s="947"/>
      <c r="AB56" s="950"/>
      <c r="AC56" s="950"/>
    </row>
    <row r="57" spans="1:29">
      <c r="B57" s="873" t="str">
        <f t="shared" si="17"/>
        <v>CNGW11LV</v>
      </c>
      <c r="C57" s="873" t="s">
        <v>399</v>
      </c>
      <c r="D57" s="811">
        <v>-2021.73</v>
      </c>
      <c r="E57" s="811">
        <v>-2134.4399999999996</v>
      </c>
      <c r="F57" s="811">
        <v>-1989.1499999999999</v>
      </c>
      <c r="G57" s="811">
        <v>-2034.96</v>
      </c>
      <c r="H57" s="811">
        <v>-1632.26</v>
      </c>
      <c r="I57" s="811">
        <v>-1135.6199999999999</v>
      </c>
      <c r="J57" s="811">
        <v>-849.98</v>
      </c>
      <c r="K57" s="811">
        <v>-800.93000000000006</v>
      </c>
      <c r="L57" s="811">
        <v>-752.95</v>
      </c>
      <c r="M57" s="811">
        <v>-734.37999999999988</v>
      </c>
      <c r="N57" s="812">
        <v>-40.630000000000003</v>
      </c>
      <c r="O57" s="812">
        <v>-109.44</v>
      </c>
      <c r="P57" s="811">
        <f t="shared" si="18"/>
        <v>-14236.47</v>
      </c>
      <c r="S57" s="947"/>
      <c r="T57" s="947"/>
      <c r="U57" s="950"/>
      <c r="V57" s="947"/>
      <c r="W57" s="947"/>
      <c r="X57" s="947"/>
      <c r="Y57" s="947"/>
      <c r="AA57" s="947"/>
      <c r="AB57" s="950"/>
      <c r="AC57" s="950"/>
    </row>
    <row r="58" spans="1:29">
      <c r="C58" s="481" t="s">
        <v>400</v>
      </c>
      <c r="D58" s="811">
        <f t="shared" ref="D58:O58" si="19">SUM(D42:D53,D54:D57)</f>
        <v>1092856.1900000002</v>
      </c>
      <c r="E58" s="811">
        <f t="shared" si="19"/>
        <v>1150340.3500000001</v>
      </c>
      <c r="F58" s="811">
        <f t="shared" si="19"/>
        <v>1073731.6600000001</v>
      </c>
      <c r="G58" s="811">
        <f t="shared" si="19"/>
        <v>1106937.94</v>
      </c>
      <c r="H58" s="811">
        <f t="shared" si="19"/>
        <v>892310.14</v>
      </c>
      <c r="I58" s="811">
        <f t="shared" si="19"/>
        <v>630159.87000000011</v>
      </c>
      <c r="J58" s="811">
        <f t="shared" si="19"/>
        <v>475110.74000000005</v>
      </c>
      <c r="K58" s="811">
        <f t="shared" si="19"/>
        <v>448976.70000000007</v>
      </c>
      <c r="L58" s="811">
        <f t="shared" si="19"/>
        <v>423170.39999999997</v>
      </c>
      <c r="M58" s="811">
        <f t="shared" si="19"/>
        <v>413002.68000000005</v>
      </c>
      <c r="N58" s="811">
        <f t="shared" si="19"/>
        <v>26774.86</v>
      </c>
      <c r="O58" s="811">
        <f t="shared" si="19"/>
        <v>56588.209999999992</v>
      </c>
      <c r="P58" s="811">
        <f t="shared" si="18"/>
        <v>7789959.7400000012</v>
      </c>
      <c r="S58" s="947"/>
      <c r="T58" s="947"/>
      <c r="U58" s="950"/>
      <c r="V58" s="947"/>
      <c r="W58" s="947"/>
      <c r="X58" s="947"/>
      <c r="Y58" s="947"/>
      <c r="AA58" s="947"/>
      <c r="AB58" s="950"/>
      <c r="AC58" s="950"/>
    </row>
    <row r="59" spans="1:29">
      <c r="C59" s="481" t="s">
        <v>401</v>
      </c>
      <c r="D59" s="341">
        <v>1688999</v>
      </c>
      <c r="E59" s="341">
        <v>1783146</v>
      </c>
      <c r="F59" s="341">
        <v>1661778</v>
      </c>
      <c r="G59" s="341">
        <v>1700063</v>
      </c>
      <c r="H59" s="341">
        <v>1363626</v>
      </c>
      <c r="I59" s="341">
        <v>948718</v>
      </c>
      <c r="J59" s="341">
        <v>710086</v>
      </c>
      <c r="K59" s="341">
        <v>669108</v>
      </c>
      <c r="L59" s="341">
        <v>629019</v>
      </c>
      <c r="M59" s="341">
        <v>613508</v>
      </c>
      <c r="N59" s="452">
        <v>33943</v>
      </c>
      <c r="O59" s="452">
        <v>72965</v>
      </c>
      <c r="P59" s="815">
        <f t="shared" si="18"/>
        <v>11874959</v>
      </c>
      <c r="S59" s="947"/>
      <c r="T59" s="947"/>
      <c r="U59" s="950"/>
      <c r="V59" s="947"/>
      <c r="W59" s="947"/>
      <c r="X59" s="947"/>
      <c r="Y59" s="947"/>
      <c r="AA59" s="947"/>
      <c r="AB59" s="950"/>
      <c r="AC59" s="950"/>
    </row>
    <row r="60" spans="1:29">
      <c r="C60" s="481"/>
      <c r="D60" s="341"/>
      <c r="E60" s="341"/>
      <c r="F60" s="341"/>
      <c r="G60" s="341"/>
      <c r="H60" s="341"/>
      <c r="I60" s="341"/>
      <c r="J60" s="341"/>
      <c r="K60" s="341"/>
      <c r="L60" s="341"/>
      <c r="M60" s="341"/>
      <c r="N60" s="452"/>
      <c r="O60" s="452"/>
      <c r="P60" s="815"/>
      <c r="S60" s="947"/>
      <c r="T60" s="947"/>
      <c r="U60" s="950"/>
      <c r="V60" s="947"/>
      <c r="W60" s="947"/>
      <c r="X60" s="947"/>
      <c r="Y60" s="947"/>
      <c r="AA60" s="947"/>
      <c r="AB60" s="950"/>
      <c r="AC60" s="950"/>
    </row>
    <row r="61" spans="1:29">
      <c r="A61" s="882"/>
      <c r="C61" s="952" t="s">
        <v>408</v>
      </c>
      <c r="D61" s="1041">
        <v>139118.98115840892</v>
      </c>
      <c r="E61" s="879">
        <v>136075.01744591765</v>
      </c>
      <c r="F61" s="879">
        <v>132817.02721563153</v>
      </c>
      <c r="G61" s="879">
        <v>131348.97287904177</v>
      </c>
      <c r="H61" s="879">
        <v>127134.98417426922</v>
      </c>
      <c r="I61" s="879">
        <v>119748.96046670391</v>
      </c>
      <c r="J61" s="879">
        <v>92584.000496493507</v>
      </c>
      <c r="K61" s="879">
        <v>88019</v>
      </c>
      <c r="L61" s="879">
        <v>85860</v>
      </c>
      <c r="M61" s="879">
        <v>86461</v>
      </c>
      <c r="N61" s="879">
        <v>30433.004406379943</v>
      </c>
      <c r="O61" s="879">
        <v>35316.018122013287</v>
      </c>
      <c r="P61" s="815">
        <f t="shared" si="18"/>
        <v>1204916.9663648596</v>
      </c>
      <c r="S61" s="947"/>
      <c r="T61" s="947"/>
      <c r="U61" s="947"/>
      <c r="V61" s="947"/>
      <c r="W61" s="947"/>
      <c r="X61" s="947"/>
      <c r="Y61" s="947"/>
      <c r="AA61" s="947"/>
      <c r="AB61" s="950"/>
      <c r="AC61" s="950"/>
    </row>
    <row r="62" spans="1:29">
      <c r="A62" s="882"/>
      <c r="C62" s="952" t="s">
        <v>409</v>
      </c>
      <c r="D62" s="1041">
        <v>380513.01893663517</v>
      </c>
      <c r="E62" s="879">
        <v>376344.04588492354</v>
      </c>
      <c r="F62" s="879">
        <v>365178.98761835403</v>
      </c>
      <c r="G62" s="879">
        <v>354754.06944110332</v>
      </c>
      <c r="H62" s="879">
        <v>296934.00689599873</v>
      </c>
      <c r="I62" s="879">
        <v>253675.9682463315</v>
      </c>
      <c r="J62" s="879">
        <v>222620.9606286585</v>
      </c>
      <c r="K62" s="879">
        <v>222366</v>
      </c>
      <c r="L62" s="879">
        <v>219142</v>
      </c>
      <c r="M62" s="879">
        <v>216901</v>
      </c>
      <c r="N62" s="879">
        <v>3509.9831609333655</v>
      </c>
      <c r="O62" s="879">
        <v>37649.02573971614</v>
      </c>
      <c r="P62" s="815">
        <f t="shared" si="18"/>
        <v>2949589.0665526544</v>
      </c>
      <c r="V62" s="947"/>
      <c r="W62" s="947"/>
      <c r="X62" s="947"/>
      <c r="Y62" s="947"/>
      <c r="AA62" s="947"/>
      <c r="AB62" s="950"/>
      <c r="AC62" s="950"/>
    </row>
    <row r="63" spans="1:29">
      <c r="A63" s="882"/>
      <c r="C63" s="952" t="s">
        <v>410</v>
      </c>
      <c r="D63" s="1041">
        <v>1169367.2942045035</v>
      </c>
      <c r="E63" s="879">
        <v>1270726.8364710226</v>
      </c>
      <c r="F63" s="879">
        <v>1163782.207456626</v>
      </c>
      <c r="G63" s="879">
        <v>1213959.8729792149</v>
      </c>
      <c r="H63" s="879">
        <v>939557.15935334878</v>
      </c>
      <c r="I63" s="879">
        <v>575293.01385681308</v>
      </c>
      <c r="J63" s="879">
        <v>394881.06235565821</v>
      </c>
      <c r="K63" s="879">
        <v>358723</v>
      </c>
      <c r="L63" s="879">
        <v>324017</v>
      </c>
      <c r="M63" s="879">
        <v>310146</v>
      </c>
      <c r="N63" s="879">
        <v>0</v>
      </c>
      <c r="O63" s="879">
        <v>0</v>
      </c>
      <c r="P63" s="815">
        <f t="shared" si="18"/>
        <v>7720453.4466771865</v>
      </c>
      <c r="S63" s="947"/>
      <c r="T63" s="950"/>
      <c r="U63" s="950"/>
      <c r="V63" s="947"/>
      <c r="W63" s="947"/>
      <c r="X63" s="947"/>
      <c r="Y63" s="947"/>
      <c r="AA63" s="947"/>
      <c r="AB63" s="950"/>
      <c r="AC63" s="950"/>
    </row>
    <row r="64" spans="1:29">
      <c r="D64" s="823"/>
      <c r="E64" s="823"/>
      <c r="F64" s="823"/>
      <c r="G64" s="823"/>
      <c r="H64" s="823"/>
      <c r="I64" s="823"/>
      <c r="J64" s="823"/>
      <c r="K64" s="823"/>
      <c r="L64" s="823"/>
      <c r="M64" s="823"/>
      <c r="N64" s="823"/>
      <c r="O64" s="823"/>
      <c r="P64" s="811"/>
      <c r="S64" s="947"/>
      <c r="T64" s="950"/>
      <c r="U64" s="950"/>
      <c r="V64" s="947"/>
      <c r="W64" s="947"/>
      <c r="X64" s="947"/>
      <c r="Y64" s="947"/>
      <c r="AA64" s="947"/>
      <c r="AB64" s="950"/>
      <c r="AC64" s="950"/>
    </row>
    <row r="65" spans="2:29">
      <c r="D65" s="811"/>
      <c r="E65" s="812"/>
      <c r="F65" s="812"/>
      <c r="G65" s="812"/>
      <c r="H65" s="812"/>
      <c r="I65" s="812"/>
      <c r="J65" s="812"/>
      <c r="K65" s="812"/>
      <c r="L65" s="812"/>
      <c r="M65" s="812"/>
      <c r="N65" s="812"/>
      <c r="O65" s="812"/>
      <c r="P65" s="811"/>
      <c r="S65" s="947"/>
      <c r="V65" s="947"/>
      <c r="W65" s="947"/>
      <c r="X65" s="947"/>
      <c r="Y65" s="947"/>
      <c r="AA65" s="947"/>
      <c r="AB65" s="950"/>
      <c r="AC65" s="950"/>
    </row>
    <row r="66" spans="2:29">
      <c r="C66" s="873" t="s">
        <v>193</v>
      </c>
      <c r="D66" s="811"/>
      <c r="E66" s="812"/>
      <c r="F66" s="812"/>
      <c r="G66" s="812"/>
      <c r="H66" s="812"/>
      <c r="I66" s="812"/>
      <c r="J66" s="812"/>
      <c r="K66" s="812"/>
      <c r="L66" s="812"/>
      <c r="M66" s="812"/>
      <c r="N66" s="812"/>
      <c r="O66" s="812"/>
      <c r="P66" s="811"/>
      <c r="S66" s="947"/>
      <c r="V66" s="947"/>
      <c r="W66" s="947"/>
      <c r="X66" s="947"/>
      <c r="Y66" s="947"/>
      <c r="AA66" s="947"/>
      <c r="AB66" s="950"/>
      <c r="AC66" s="950"/>
    </row>
    <row r="67" spans="2:29">
      <c r="B67" s="873" t="str">
        <f>$C$66</f>
        <v>CNGWA6631-COMBINED</v>
      </c>
      <c r="C67" s="873" t="s">
        <v>411</v>
      </c>
      <c r="D67" s="811">
        <v>0</v>
      </c>
      <c r="E67" s="812"/>
      <c r="F67" s="812"/>
      <c r="G67" s="812"/>
      <c r="H67" s="812"/>
      <c r="I67" s="812"/>
      <c r="J67" s="812"/>
      <c r="K67" s="812"/>
      <c r="L67" s="812"/>
      <c r="M67" s="812"/>
      <c r="N67" s="812"/>
      <c r="O67" s="812"/>
      <c r="P67" s="811">
        <f t="shared" ref="P67:P99" si="20">SUM(D67:O67)</f>
        <v>0</v>
      </c>
      <c r="S67" s="947"/>
      <c r="V67" s="947"/>
      <c r="W67" s="947"/>
      <c r="X67" s="947"/>
      <c r="Y67" s="947"/>
      <c r="AA67" s="947"/>
      <c r="AB67" s="950"/>
      <c r="AC67" s="950"/>
    </row>
    <row r="68" spans="2:29">
      <c r="B68" s="754" t="str">
        <f t="shared" ref="B68:B97" si="21">$C$66</f>
        <v>CNGWA6631-COMBINED</v>
      </c>
      <c r="C68" s="754" t="s">
        <v>412</v>
      </c>
      <c r="D68" s="3">
        <v>34701.35</v>
      </c>
      <c r="E68" s="36">
        <v>36595.74</v>
      </c>
      <c r="F68" s="36">
        <v>35405.82</v>
      </c>
      <c r="G68" s="36">
        <v>37796.04</v>
      </c>
      <c r="H68" s="36">
        <v>32694.979999999996</v>
      </c>
      <c r="I68" s="36">
        <v>32763.47</v>
      </c>
      <c r="J68" s="36">
        <v>33593.19</v>
      </c>
      <c r="K68" s="36">
        <v>32995.870000000003</v>
      </c>
      <c r="L68" s="36">
        <v>34647.650000000009</v>
      </c>
      <c r="M68" s="36">
        <v>36946.97</v>
      </c>
      <c r="N68" s="36">
        <v>40857.960000000006</v>
      </c>
      <c r="O68" s="36">
        <v>39851.900000000009</v>
      </c>
      <c r="P68" s="3">
        <f t="shared" si="20"/>
        <v>428850.94000000012</v>
      </c>
      <c r="Q68" s="754"/>
      <c r="R68" s="754"/>
      <c r="S68" s="947"/>
      <c r="V68" s="947"/>
      <c r="W68" s="947"/>
      <c r="X68" s="947"/>
      <c r="Y68" s="947"/>
      <c r="AA68" s="947"/>
      <c r="AB68" s="950"/>
      <c r="AC68" s="950"/>
    </row>
    <row r="69" spans="2:29">
      <c r="B69" s="754" t="str">
        <f t="shared" si="21"/>
        <v>CNGWA6631-COMBINED</v>
      </c>
      <c r="C69" s="754" t="s">
        <v>413</v>
      </c>
      <c r="D69" s="3">
        <v>-40.5</v>
      </c>
      <c r="E69" s="36"/>
      <c r="F69" s="36"/>
      <c r="G69" s="36"/>
      <c r="H69" s="36">
        <v>0.89</v>
      </c>
      <c r="I69" s="36"/>
      <c r="J69" s="36"/>
      <c r="K69" s="36"/>
      <c r="L69" s="36">
        <v>108.47</v>
      </c>
      <c r="M69" s="36"/>
      <c r="N69" s="36"/>
      <c r="O69" s="36">
        <v>-2265.88</v>
      </c>
      <c r="P69" s="3">
        <f t="shared" si="20"/>
        <v>-2197.02</v>
      </c>
      <c r="Q69" s="754"/>
      <c r="R69" s="754"/>
      <c r="S69" s="947"/>
      <c r="T69" s="947"/>
      <c r="U69" s="947"/>
      <c r="V69" s="947"/>
      <c r="W69" s="947"/>
      <c r="X69" s="947"/>
      <c r="Y69" s="947"/>
      <c r="AA69" s="947"/>
      <c r="AB69" s="950"/>
      <c r="AC69" s="950"/>
    </row>
    <row r="70" spans="2:29">
      <c r="B70" s="754" t="str">
        <f t="shared" si="21"/>
        <v>CNGWA6631-COMBINED</v>
      </c>
      <c r="C70" s="754" t="s">
        <v>414</v>
      </c>
      <c r="D70" s="3">
        <v>1875</v>
      </c>
      <c r="E70" s="36">
        <v>1875</v>
      </c>
      <c r="F70" s="36">
        <v>1875</v>
      </c>
      <c r="G70" s="36">
        <v>1875</v>
      </c>
      <c r="H70" s="36">
        <v>1875</v>
      </c>
      <c r="I70" s="36">
        <v>1875</v>
      </c>
      <c r="J70" s="36">
        <v>1875</v>
      </c>
      <c r="K70" s="36">
        <v>1875</v>
      </c>
      <c r="L70" s="36">
        <v>1875</v>
      </c>
      <c r="M70" s="36">
        <v>1875</v>
      </c>
      <c r="N70" s="36">
        <v>1875</v>
      </c>
      <c r="O70" s="36">
        <v>1875</v>
      </c>
      <c r="P70" s="3">
        <f t="shared" si="20"/>
        <v>22500</v>
      </c>
      <c r="Q70" s="754"/>
      <c r="R70" s="754"/>
      <c r="S70" s="947"/>
      <c r="T70" s="947"/>
      <c r="U70" s="947"/>
      <c r="V70" s="947"/>
      <c r="W70" s="947"/>
      <c r="X70" s="947"/>
      <c r="Y70" s="947"/>
      <c r="AA70" s="947"/>
      <c r="AB70" s="950"/>
      <c r="AC70" s="950"/>
    </row>
    <row r="71" spans="2:29">
      <c r="B71" s="754" t="str">
        <f t="shared" si="21"/>
        <v>CNGWA6631-COMBINED</v>
      </c>
      <c r="C71" s="754" t="s">
        <v>415</v>
      </c>
      <c r="D71" s="3">
        <v>388017</v>
      </c>
      <c r="E71" s="36">
        <v>387017</v>
      </c>
      <c r="F71" s="36">
        <v>387017</v>
      </c>
      <c r="G71" s="36">
        <v>385717</v>
      </c>
      <c r="H71" s="36">
        <v>385717</v>
      </c>
      <c r="I71" s="36">
        <v>405717</v>
      </c>
      <c r="J71" s="36">
        <v>405717</v>
      </c>
      <c r="K71" s="36">
        <v>405717</v>
      </c>
      <c r="L71" s="36">
        <v>405717</v>
      </c>
      <c r="M71" s="36">
        <v>405517</v>
      </c>
      <c r="N71" s="36">
        <v>415357</v>
      </c>
      <c r="O71" s="36">
        <v>419857</v>
      </c>
      <c r="P71" s="3">
        <f t="shared" si="20"/>
        <v>4797084</v>
      </c>
      <c r="Q71" s="754"/>
      <c r="R71" s="754"/>
      <c r="S71" s="947"/>
      <c r="T71" s="947"/>
      <c r="U71" s="947"/>
      <c r="V71" s="947"/>
      <c r="W71" s="947"/>
      <c r="X71" s="947"/>
      <c r="Y71" s="947"/>
      <c r="AA71" s="947"/>
      <c r="AB71" s="950"/>
      <c r="AC71" s="950"/>
    </row>
    <row r="72" spans="2:29">
      <c r="B72" s="754" t="str">
        <f t="shared" si="21"/>
        <v>CNGWA6631-COMBINED</v>
      </c>
      <c r="C72" s="754" t="s">
        <v>416</v>
      </c>
      <c r="D72" s="3">
        <v>-456.26</v>
      </c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">
        <f t="shared" si="20"/>
        <v>-456.26</v>
      </c>
      <c r="Q72" s="754"/>
      <c r="R72" s="754"/>
      <c r="S72" s="947"/>
      <c r="T72" s="947"/>
      <c r="U72" s="947"/>
      <c r="V72" s="947"/>
      <c r="W72" s="947"/>
      <c r="X72" s="947"/>
      <c r="Y72" s="947"/>
      <c r="AA72" s="947"/>
      <c r="AB72" s="950"/>
      <c r="AC72" s="950"/>
    </row>
    <row r="73" spans="2:29" s="824" customFormat="1">
      <c r="B73" s="754" t="str">
        <f t="shared" si="21"/>
        <v>CNGWA6631-COMBINED</v>
      </c>
      <c r="C73" s="754" t="s">
        <v>207</v>
      </c>
      <c r="D73" s="3"/>
      <c r="E73" s="36"/>
      <c r="F73" s="36"/>
      <c r="G73" s="36"/>
      <c r="H73" s="36">
        <v>14.07</v>
      </c>
      <c r="I73" s="36"/>
      <c r="J73" s="36"/>
      <c r="K73" s="36"/>
      <c r="L73" s="36">
        <v>1728.42</v>
      </c>
      <c r="M73" s="36"/>
      <c r="N73" s="36"/>
      <c r="O73" s="36"/>
      <c r="P73" s="3">
        <f t="shared" si="20"/>
        <v>1742.49</v>
      </c>
      <c r="Q73" s="754"/>
      <c r="R73" s="754"/>
      <c r="S73" s="873"/>
      <c r="T73" s="873"/>
      <c r="U73" s="873"/>
      <c r="V73" s="873"/>
      <c r="W73" s="873"/>
    </row>
    <row r="74" spans="2:29" s="824" customFormat="1">
      <c r="B74" s="754" t="str">
        <f t="shared" si="21"/>
        <v>CNGWA6631-COMBINED</v>
      </c>
      <c r="C74" s="1026" t="s">
        <v>199</v>
      </c>
      <c r="D74" s="3">
        <f>417845.84+5331</f>
        <v>423176.84</v>
      </c>
      <c r="E74" s="36">
        <f>422162.73+5331</f>
        <v>427493.73</v>
      </c>
      <c r="F74" s="36"/>
      <c r="G74" s="36"/>
      <c r="H74" s="36"/>
      <c r="I74" s="36"/>
      <c r="J74" s="36"/>
      <c r="K74" s="754"/>
      <c r="L74" s="36"/>
      <c r="M74" s="36"/>
      <c r="N74" s="36"/>
      <c r="O74" s="36"/>
      <c r="P74" s="3">
        <f t="shared" si="20"/>
        <v>850670.57000000007</v>
      </c>
      <c r="Q74" s="754"/>
      <c r="R74" s="754"/>
      <c r="S74" s="874"/>
      <c r="T74" s="874"/>
      <c r="U74" s="874"/>
      <c r="V74" s="874"/>
      <c r="W74" s="874"/>
    </row>
    <row r="75" spans="2:29" s="824" customFormat="1">
      <c r="B75" s="754" t="str">
        <f t="shared" si="21"/>
        <v>CNGWA6631-COMBINED</v>
      </c>
      <c r="C75" s="1026" t="s">
        <v>200</v>
      </c>
      <c r="D75" s="3"/>
      <c r="E75" s="36"/>
      <c r="F75" s="36">
        <f>414663.3+5331</f>
        <v>419994.3</v>
      </c>
      <c r="G75" s="36">
        <f>467144.77+5989</f>
        <v>473133.77</v>
      </c>
      <c r="H75" s="36">
        <f>402411.5+5989</f>
        <v>408400.5</v>
      </c>
      <c r="I75" s="36">
        <f>392458.81+5989</f>
        <v>398447.81</v>
      </c>
      <c r="J75" s="36">
        <f>411622.27+5989</f>
        <v>417611.27</v>
      </c>
      <c r="K75" s="3">
        <f>396116.98+5989</f>
        <v>402105.98</v>
      </c>
      <c r="L75" s="36">
        <f>411646.52+5989</f>
        <v>417635.52</v>
      </c>
      <c r="M75" s="3">
        <f>472382.38+5989</f>
        <v>478371.38</v>
      </c>
      <c r="N75" s="3">
        <f>524774.7+5989</f>
        <v>530763.69999999995</v>
      </c>
      <c r="O75" s="3">
        <f>512848.38+5989</f>
        <v>518837.38</v>
      </c>
      <c r="P75" s="3">
        <f t="shared" si="20"/>
        <v>4465301.6100000003</v>
      </c>
      <c r="Q75" s="754"/>
      <c r="R75" s="754"/>
    </row>
    <row r="76" spans="2:29" s="824" customFormat="1">
      <c r="B76" s="754" t="str">
        <f t="shared" si="21"/>
        <v>CNGWA6631-COMBINED</v>
      </c>
      <c r="C76" s="1026" t="s">
        <v>201</v>
      </c>
      <c r="D76" s="3">
        <f>99137.64+3890</f>
        <v>103027.64</v>
      </c>
      <c r="E76" s="36">
        <f>101175.17+3890</f>
        <v>105065.17</v>
      </c>
      <c r="F76" s="36"/>
      <c r="G76" s="36"/>
      <c r="H76" s="36"/>
      <c r="I76" s="36"/>
      <c r="J76" s="36"/>
      <c r="K76" s="754"/>
      <c r="L76" s="3"/>
      <c r="M76" s="3"/>
      <c r="N76" s="3"/>
      <c r="O76" s="3"/>
      <c r="P76" s="3">
        <f t="shared" si="20"/>
        <v>208092.81</v>
      </c>
      <c r="Q76" s="754"/>
      <c r="R76" s="754"/>
      <c r="S76" s="997"/>
      <c r="T76" s="997"/>
      <c r="U76" s="997"/>
      <c r="V76" s="997"/>
      <c r="W76" s="997"/>
    </row>
    <row r="77" spans="2:29" s="824" customFormat="1">
      <c r="B77" s="754" t="str">
        <f t="shared" si="21"/>
        <v>CNGWA6631-COMBINED</v>
      </c>
      <c r="C77" s="1026" t="s">
        <v>202</v>
      </c>
      <c r="D77" s="3"/>
      <c r="E77" s="36"/>
      <c r="F77" s="36">
        <f>98867.25+3890</f>
        <v>102757.25</v>
      </c>
      <c r="G77" s="36">
        <f>121696.52+4606</f>
        <v>126302.52</v>
      </c>
      <c r="H77" s="36">
        <f>101134.75+4606</f>
        <v>105740.75</v>
      </c>
      <c r="I77" s="36">
        <f>101677.99+4606</f>
        <v>106283.99</v>
      </c>
      <c r="J77" s="36">
        <f>112334.89+4606</f>
        <v>116940.89</v>
      </c>
      <c r="K77" s="953">
        <v>114847.69</v>
      </c>
      <c r="L77" s="953">
        <v>124863.99</v>
      </c>
      <c r="M77" s="953">
        <v>128585.67</v>
      </c>
      <c r="N77" s="953">
        <v>142965.87</v>
      </c>
      <c r="O77" s="953">
        <v>134390.31</v>
      </c>
      <c r="P77" s="3">
        <f t="shared" si="20"/>
        <v>1203678.9300000002</v>
      </c>
      <c r="Q77" s="754"/>
      <c r="R77" s="754"/>
      <c r="S77" s="998"/>
      <c r="T77" s="998"/>
      <c r="U77" s="998"/>
      <c r="V77" s="998"/>
      <c r="W77" s="998"/>
    </row>
    <row r="78" spans="2:29" s="824" customFormat="1">
      <c r="B78" s="754" t="str">
        <f t="shared" si="21"/>
        <v>CNGWA6631-COMBINED</v>
      </c>
      <c r="C78" s="1026" t="s">
        <v>203</v>
      </c>
      <c r="D78" s="3">
        <f>28968.77+2364</f>
        <v>31332.77</v>
      </c>
      <c r="E78" s="36">
        <f>31737.57+2364</f>
        <v>34101.57</v>
      </c>
      <c r="F78" s="36"/>
      <c r="G78" s="36"/>
      <c r="H78" s="36"/>
      <c r="I78" s="36"/>
      <c r="J78" s="36"/>
      <c r="K78" s="3"/>
      <c r="L78" s="3"/>
      <c r="M78" s="3"/>
      <c r="N78" s="3"/>
      <c r="O78" s="3"/>
      <c r="P78" s="3">
        <f t="shared" si="20"/>
        <v>65434.34</v>
      </c>
      <c r="Q78" s="754"/>
      <c r="R78" s="754"/>
    </row>
    <row r="79" spans="2:29" s="824" customFormat="1">
      <c r="B79" s="754" t="str">
        <f t="shared" si="21"/>
        <v>CNGWA6631-COMBINED</v>
      </c>
      <c r="C79" s="1026" t="s">
        <v>204</v>
      </c>
      <c r="D79" s="3"/>
      <c r="E79" s="36"/>
      <c r="F79" s="36">
        <f>27809.6+2364</f>
        <v>30173.599999999999</v>
      </c>
      <c r="G79" s="36">
        <f>38059.28+2946</f>
        <v>41005.279999999999</v>
      </c>
      <c r="H79" s="36">
        <f>24788.83+2946</f>
        <v>27734.83</v>
      </c>
      <c r="I79" s="36">
        <f>30192.12+2946</f>
        <v>33138.119999999995</v>
      </c>
      <c r="J79" s="36">
        <f>34438.98+2946</f>
        <v>37384.980000000003</v>
      </c>
      <c r="K79" s="3">
        <v>39156.5</v>
      </c>
      <c r="L79" s="3">
        <v>40612.15</v>
      </c>
      <c r="M79" s="3">
        <v>38380.480000000003</v>
      </c>
      <c r="N79" s="3">
        <v>43909.37</v>
      </c>
      <c r="O79" s="3">
        <v>42126.58</v>
      </c>
      <c r="P79" s="3">
        <f t="shared" si="20"/>
        <v>373621.89</v>
      </c>
      <c r="Q79" s="754"/>
    </row>
    <row r="80" spans="2:29" s="824" customFormat="1">
      <c r="B80" s="754" t="str">
        <f t="shared" si="21"/>
        <v>CNGWA6631-COMBINED</v>
      </c>
      <c r="C80" s="1026" t="s">
        <v>205</v>
      </c>
      <c r="D80" s="3">
        <f>91114.04+76847.58</f>
        <v>167961.62</v>
      </c>
      <c r="E80" s="36">
        <f>93593.85+65868.44</f>
        <v>159462.29</v>
      </c>
      <c r="F80" s="36"/>
      <c r="G80" s="36"/>
      <c r="H80" s="36"/>
      <c r="I80" s="36"/>
      <c r="J80" s="36"/>
      <c r="K80" s="36"/>
      <c r="L80" s="3"/>
      <c r="M80" s="3"/>
      <c r="N80" s="36"/>
      <c r="O80" s="3"/>
      <c r="P80" s="3">
        <f t="shared" si="20"/>
        <v>327423.91000000003</v>
      </c>
      <c r="Q80" s="754"/>
      <c r="R80" s="754"/>
    </row>
    <row r="81" spans="2:23" s="824" customFormat="1">
      <c r="B81" s="754" t="str">
        <f t="shared" si="21"/>
        <v>CNGWA6631-COMBINED</v>
      </c>
      <c r="C81" s="1026" t="s">
        <v>206</v>
      </c>
      <c r="D81" s="3"/>
      <c r="E81" s="36"/>
      <c r="F81" s="36">
        <f>85094.98+64053.43</f>
        <v>149148.41</v>
      </c>
      <c r="G81" s="36">
        <f>135169.37+121063.26</f>
        <v>256232.63</v>
      </c>
      <c r="H81" s="36">
        <f>114593.8+104296.51</f>
        <v>218890.31</v>
      </c>
      <c r="I81" s="36">
        <f>129298.96+13557.37</f>
        <v>142856.33000000002</v>
      </c>
      <c r="J81" s="36">
        <f>99245.86+20076.88</f>
        <v>119322.74</v>
      </c>
      <c r="K81" s="3">
        <f>132504.68+74805.4</f>
        <v>207310.07999999999</v>
      </c>
      <c r="L81" s="3">
        <f>141153.68+101004.03</f>
        <v>242157.71</v>
      </c>
      <c r="M81" s="36">
        <f>148274.94+108222.41</f>
        <v>256497.35</v>
      </c>
      <c r="N81" s="36">
        <f>149523.48+71493.29</f>
        <v>221016.77000000002</v>
      </c>
      <c r="O81" s="3">
        <f>161007.09+55991.5</f>
        <v>216998.59</v>
      </c>
      <c r="P81" s="3">
        <f t="shared" si="20"/>
        <v>2030430.9200000004</v>
      </c>
      <c r="Q81" s="754"/>
      <c r="R81" s="873"/>
    </row>
    <row r="82" spans="2:23">
      <c r="B82" s="754" t="str">
        <f t="shared" si="21"/>
        <v>CNGWA6631-COMBINED</v>
      </c>
      <c r="C82" s="754" t="s">
        <v>417</v>
      </c>
      <c r="D82" s="3">
        <v>18308.899999999998</v>
      </c>
      <c r="E82" s="36">
        <v>17872.070000000003</v>
      </c>
      <c r="F82" s="36">
        <v>16901.259999999998</v>
      </c>
      <c r="G82" s="36">
        <v>19310.980000000003</v>
      </c>
      <c r="H82" s="36">
        <v>16289.36</v>
      </c>
      <c r="I82" s="36">
        <v>12567.82</v>
      </c>
      <c r="J82" s="36">
        <v>11672.300000000003</v>
      </c>
      <c r="K82" s="36">
        <v>16135.100000000002</v>
      </c>
      <c r="L82" s="36">
        <v>18199.07</v>
      </c>
      <c r="M82" s="36">
        <v>19327.590000000004</v>
      </c>
      <c r="N82" s="36">
        <v>18298.96</v>
      </c>
      <c r="O82" s="36">
        <v>17820.550000000003</v>
      </c>
      <c r="P82" s="3">
        <f t="shared" si="20"/>
        <v>202703.95999999996</v>
      </c>
      <c r="Q82" s="754"/>
    </row>
    <row r="83" spans="2:23">
      <c r="B83" s="873" t="str">
        <f t="shared" si="21"/>
        <v>CNGWA6631-COMBINED</v>
      </c>
      <c r="C83" s="873" t="s">
        <v>418</v>
      </c>
      <c r="D83" s="811"/>
      <c r="E83" s="812"/>
      <c r="F83" s="812"/>
      <c r="G83" s="812"/>
      <c r="H83" s="812">
        <v>0.09</v>
      </c>
      <c r="I83" s="812"/>
      <c r="J83" s="812"/>
      <c r="K83" s="812"/>
      <c r="L83" s="812">
        <v>11.55</v>
      </c>
      <c r="M83" s="812"/>
      <c r="N83" s="812"/>
      <c r="O83" s="812"/>
      <c r="P83" s="811">
        <f t="shared" si="20"/>
        <v>11.64</v>
      </c>
      <c r="S83" s="999"/>
      <c r="T83" s="999"/>
      <c r="U83" s="999"/>
      <c r="V83" s="999"/>
      <c r="W83" s="999"/>
    </row>
    <row r="84" spans="2:23">
      <c r="B84" s="873" t="str">
        <f t="shared" si="21"/>
        <v>CNGWA6631-COMBINED</v>
      </c>
      <c r="C84" s="873" t="s">
        <v>419</v>
      </c>
      <c r="D84" s="811">
        <v>116250</v>
      </c>
      <c r="E84" s="812">
        <v>115625</v>
      </c>
      <c r="F84" s="812">
        <v>115625</v>
      </c>
      <c r="G84" s="812">
        <v>115000</v>
      </c>
      <c r="H84" s="812">
        <v>115000</v>
      </c>
      <c r="I84" s="812">
        <v>115625</v>
      </c>
      <c r="J84" s="812">
        <v>115625</v>
      </c>
      <c r="K84" s="812">
        <v>115625</v>
      </c>
      <c r="L84" s="812">
        <v>115625</v>
      </c>
      <c r="M84" s="812">
        <v>115000</v>
      </c>
      <c r="N84" s="812">
        <v>119375</v>
      </c>
      <c r="O84" s="812">
        <v>120000</v>
      </c>
      <c r="P84" s="811">
        <f t="shared" si="20"/>
        <v>1394375</v>
      </c>
    </row>
    <row r="85" spans="2:23">
      <c r="B85" s="873" t="str">
        <f t="shared" si="21"/>
        <v>CNGWA6631-COMBINED</v>
      </c>
      <c r="C85" s="873" t="s">
        <v>420</v>
      </c>
      <c r="D85" s="811">
        <v>13731.68</v>
      </c>
      <c r="E85" s="812">
        <v>13403.94</v>
      </c>
      <c r="F85" s="812">
        <v>12675.929999999998</v>
      </c>
      <c r="G85" s="812">
        <v>14483.220000000001</v>
      </c>
      <c r="H85" s="812">
        <v>12217.080000000002</v>
      </c>
      <c r="I85" s="812">
        <v>9425.9299999999985</v>
      </c>
      <c r="J85" s="812">
        <v>8745.93</v>
      </c>
      <c r="K85" s="812">
        <v>12101.339999999997</v>
      </c>
      <c r="L85" s="812">
        <v>13649.329999999998</v>
      </c>
      <c r="M85" s="812">
        <v>14495.7</v>
      </c>
      <c r="N85" s="812">
        <v>13724.24</v>
      </c>
      <c r="O85" s="812">
        <v>13365.41</v>
      </c>
      <c r="P85" s="811">
        <f t="shared" si="20"/>
        <v>152019.72999999998</v>
      </c>
    </row>
    <row r="86" spans="2:23" ht="30">
      <c r="B86" s="873" t="str">
        <f t="shared" si="21"/>
        <v>CNGWA6631-COMBINED</v>
      </c>
      <c r="C86" s="881" t="s">
        <v>421</v>
      </c>
      <c r="D86" s="811"/>
      <c r="E86" s="812"/>
      <c r="F86" s="812"/>
      <c r="G86" s="812"/>
      <c r="H86" s="812">
        <v>7.0000000000000007E-2</v>
      </c>
      <c r="I86" s="812"/>
      <c r="J86" s="812"/>
      <c r="K86" s="812"/>
      <c r="L86" s="812">
        <v>8.65</v>
      </c>
      <c r="M86" s="812"/>
      <c r="N86" s="812"/>
      <c r="O86" s="812"/>
      <c r="P86" s="811">
        <f t="shared" si="20"/>
        <v>8.7200000000000006</v>
      </c>
      <c r="R86" s="754"/>
      <c r="S86" s="1000"/>
      <c r="T86" s="1000"/>
      <c r="U86" s="1000"/>
      <c r="V86" s="1000"/>
      <c r="W86" s="1000"/>
    </row>
    <row r="87" spans="2:23">
      <c r="B87" s="873" t="str">
        <f t="shared" si="21"/>
        <v>CNGWA6631-COMBINED</v>
      </c>
      <c r="C87" s="873" t="s">
        <v>422</v>
      </c>
      <c r="D87" s="811">
        <v>55385.22</v>
      </c>
      <c r="E87" s="812">
        <v>55321.490000000005</v>
      </c>
      <c r="F87" s="812">
        <v>54212.829999999987</v>
      </c>
      <c r="G87" s="812">
        <v>61878.30000000001</v>
      </c>
      <c r="H87" s="812">
        <v>55818.159999999996</v>
      </c>
      <c r="I87" s="812">
        <v>53064.19</v>
      </c>
      <c r="J87" s="812">
        <v>53479.57</v>
      </c>
      <c r="K87" s="812">
        <v>56826.909999976982</v>
      </c>
      <c r="L87" s="812">
        <v>59614.79</v>
      </c>
      <c r="M87" s="812">
        <v>62967.87</v>
      </c>
      <c r="N87" s="812">
        <v>65149.14</v>
      </c>
      <c r="O87" s="812">
        <v>64204.479999999996</v>
      </c>
      <c r="P87" s="811">
        <f t="shared" si="20"/>
        <v>697922.94999997702</v>
      </c>
    </row>
    <row r="88" spans="2:23">
      <c r="B88" s="873" t="str">
        <f t="shared" si="21"/>
        <v>CNGWA6631-COMBINED</v>
      </c>
      <c r="C88" s="873" t="s">
        <v>423</v>
      </c>
      <c r="D88" s="811">
        <v>-20.22</v>
      </c>
      <c r="E88" s="812"/>
      <c r="F88" s="812"/>
      <c r="G88" s="812"/>
      <c r="H88" s="812">
        <v>0.61</v>
      </c>
      <c r="I88" s="812"/>
      <c r="J88" s="812"/>
      <c r="K88" s="812"/>
      <c r="L88" s="812">
        <v>75.900000000000006</v>
      </c>
      <c r="M88" s="812"/>
      <c r="N88" s="812"/>
      <c r="O88" s="812"/>
      <c r="P88" s="811">
        <f t="shared" si="20"/>
        <v>56.290000000000006</v>
      </c>
    </row>
    <row r="89" spans="2:23">
      <c r="B89" s="873" t="str">
        <f t="shared" si="21"/>
        <v>CNGWA6631-COMBINED</v>
      </c>
      <c r="C89" s="873" t="s">
        <v>424</v>
      </c>
      <c r="D89" s="811">
        <v>-32498.329999999998</v>
      </c>
      <c r="E89" s="812">
        <v>-31722.799999999996</v>
      </c>
      <c r="F89" s="812">
        <v>-29999.75</v>
      </c>
      <c r="G89" s="812">
        <v>-34277</v>
      </c>
      <c r="H89" s="812">
        <v>-28913.609999999997</v>
      </c>
      <c r="I89" s="812">
        <v>-22307.910000000003</v>
      </c>
      <c r="J89" s="812">
        <v>-20785.099999999999</v>
      </c>
      <c r="K89" s="812">
        <v>-28639.949999999997</v>
      </c>
      <c r="L89" s="812">
        <v>-32303.480000000003</v>
      </c>
      <c r="M89" s="812">
        <v>-34306.580000000009</v>
      </c>
      <c r="N89" s="812">
        <v>-32480.659999999996</v>
      </c>
      <c r="O89" s="812">
        <v>-28067.360000000001</v>
      </c>
      <c r="P89" s="811">
        <f t="shared" si="20"/>
        <v>-356302.52999999997</v>
      </c>
    </row>
    <row r="90" spans="2:23" ht="30">
      <c r="B90" s="873" t="str">
        <f t="shared" si="21"/>
        <v>CNGWA6631-COMBINED</v>
      </c>
      <c r="C90" s="881" t="s">
        <v>425</v>
      </c>
      <c r="D90" s="811"/>
      <c r="E90" s="812"/>
      <c r="F90" s="812"/>
      <c r="G90" s="812"/>
      <c r="H90" s="812">
        <v>-0.17</v>
      </c>
      <c r="I90" s="812"/>
      <c r="J90" s="812"/>
      <c r="K90" s="812"/>
      <c r="L90" s="812">
        <v>-20.49</v>
      </c>
      <c r="M90" s="812"/>
      <c r="N90" s="812"/>
      <c r="O90" s="812"/>
      <c r="P90" s="811">
        <f t="shared" si="20"/>
        <v>-20.66</v>
      </c>
    </row>
    <row r="91" spans="2:23">
      <c r="B91" s="873" t="str">
        <f t="shared" si="21"/>
        <v>CNGWA6631-COMBINED</v>
      </c>
      <c r="C91" s="873" t="s">
        <v>426</v>
      </c>
      <c r="D91" s="811">
        <v>79643.929999999978</v>
      </c>
      <c r="E91" s="812">
        <v>77743.100000000006</v>
      </c>
      <c r="F91" s="812">
        <v>73520.399999999994</v>
      </c>
      <c r="G91" s="812">
        <v>18828.23</v>
      </c>
      <c r="H91" s="812">
        <v>15882.130000000001</v>
      </c>
      <c r="I91" s="812">
        <v>12253.689999999999</v>
      </c>
      <c r="J91" s="812">
        <v>9759.8399999999983</v>
      </c>
      <c r="K91" s="812">
        <v>15731.8</v>
      </c>
      <c r="L91" s="812">
        <v>17744.11</v>
      </c>
      <c r="M91" s="812">
        <v>18844.349999999999</v>
      </c>
      <c r="N91" s="812">
        <v>17841.490000000002</v>
      </c>
      <c r="O91" s="812">
        <v>32967.979999999996</v>
      </c>
      <c r="P91" s="811">
        <f t="shared" si="20"/>
        <v>390761.04999999993</v>
      </c>
    </row>
    <row r="92" spans="2:23" ht="30">
      <c r="B92" s="873" t="str">
        <f t="shared" si="21"/>
        <v>CNGWA6631-COMBINED</v>
      </c>
      <c r="C92" s="881" t="s">
        <v>427</v>
      </c>
      <c r="D92" s="811"/>
      <c r="E92" s="812"/>
      <c r="F92" s="812"/>
      <c r="G92" s="812"/>
      <c r="H92" s="812">
        <v>0.09</v>
      </c>
      <c r="I92" s="812"/>
      <c r="J92" s="812"/>
      <c r="K92" s="812"/>
      <c r="L92" s="812">
        <v>11.26</v>
      </c>
      <c r="M92" s="812"/>
      <c r="N92" s="812"/>
      <c r="O92" s="812"/>
      <c r="P92" s="811">
        <f t="shared" si="20"/>
        <v>11.35</v>
      </c>
    </row>
    <row r="93" spans="2:23">
      <c r="B93" s="873" t="str">
        <f t="shared" si="21"/>
        <v>CNGWA6631-COMBINED</v>
      </c>
      <c r="C93" s="873" t="s">
        <v>428</v>
      </c>
      <c r="D93" s="811">
        <v>-126.58000000000001</v>
      </c>
      <c r="E93" s="812">
        <v>-127.69</v>
      </c>
      <c r="F93" s="812">
        <v>-123.36</v>
      </c>
      <c r="G93" s="812">
        <v>-128.80000000000001</v>
      </c>
      <c r="H93" s="812">
        <v>-117.30000000000001</v>
      </c>
      <c r="I93" s="812">
        <v>-110.47</v>
      </c>
      <c r="J93" s="812">
        <v>-114.66</v>
      </c>
      <c r="K93" s="812"/>
      <c r="L93" s="812">
        <v>-224.42000000000002</v>
      </c>
      <c r="M93" s="812">
        <v>-117.31</v>
      </c>
      <c r="N93" s="812">
        <v>-430.76000000000005</v>
      </c>
      <c r="O93" s="812">
        <v>-413.72</v>
      </c>
      <c r="P93" s="811">
        <f t="shared" si="20"/>
        <v>-2035.07</v>
      </c>
    </row>
    <row r="94" spans="2:23" ht="30">
      <c r="B94" s="873" t="str">
        <f t="shared" si="21"/>
        <v>CNGWA6631-COMBINED</v>
      </c>
      <c r="C94" s="881" t="s">
        <v>429</v>
      </c>
      <c r="D94" s="811"/>
      <c r="E94" s="812"/>
      <c r="F94" s="812"/>
      <c r="G94" s="812"/>
      <c r="H94" s="812"/>
      <c r="I94" s="812"/>
      <c r="J94" s="812">
        <v>449.84000000000009</v>
      </c>
      <c r="K94" s="812"/>
      <c r="L94" s="812"/>
      <c r="M94" s="812"/>
      <c r="N94" s="812"/>
      <c r="O94" s="812"/>
      <c r="P94" s="811">
        <f t="shared" si="20"/>
        <v>449.84000000000009</v>
      </c>
    </row>
    <row r="95" spans="2:23">
      <c r="B95" s="873" t="str">
        <f t="shared" si="21"/>
        <v>CNGWA6631-COMBINED</v>
      </c>
      <c r="C95" s="873" t="s">
        <v>430</v>
      </c>
      <c r="D95" s="811">
        <v>-11946.55</v>
      </c>
      <c r="E95" s="812">
        <v>-11661.470000000001</v>
      </c>
      <c r="F95" s="812">
        <v>-11028.06</v>
      </c>
      <c r="G95" s="812">
        <v>-12600.390000000001</v>
      </c>
      <c r="H95" s="812">
        <v>-10628.819999999998</v>
      </c>
      <c r="I95" s="812">
        <v>-8200.5600000000013</v>
      </c>
      <c r="J95" s="812">
        <v>-7592.0400000000018</v>
      </c>
      <c r="K95" s="812">
        <v>-10528.23</v>
      </c>
      <c r="L95" s="812">
        <v>-11875.010000000002</v>
      </c>
      <c r="M95" s="812">
        <v>-12611.220000000001</v>
      </c>
      <c r="N95" s="812">
        <v>-11940.07</v>
      </c>
      <c r="O95" s="812">
        <v>-14256.4</v>
      </c>
      <c r="P95" s="811">
        <f t="shared" si="20"/>
        <v>-134868.82</v>
      </c>
    </row>
    <row r="96" spans="2:23" ht="30">
      <c r="B96" s="873" t="str">
        <f t="shared" si="21"/>
        <v>CNGWA6631-COMBINED</v>
      </c>
      <c r="C96" s="881" t="s">
        <v>431</v>
      </c>
      <c r="D96" s="811"/>
      <c r="E96" s="812"/>
      <c r="F96" s="812"/>
      <c r="G96" s="811"/>
      <c r="H96" s="811">
        <v>-0.06</v>
      </c>
      <c r="I96" s="811"/>
      <c r="J96" s="811"/>
      <c r="K96" s="811"/>
      <c r="L96" s="811">
        <v>-7.54</v>
      </c>
      <c r="M96" s="811"/>
      <c r="N96" s="812"/>
      <c r="O96" s="812"/>
      <c r="P96" s="811">
        <f t="shared" si="20"/>
        <v>-7.6</v>
      </c>
    </row>
    <row r="97" spans="1:27">
      <c r="B97" s="873" t="str">
        <f t="shared" si="21"/>
        <v>CNGWA6631-COMBINED</v>
      </c>
      <c r="C97" s="873" t="s">
        <v>432</v>
      </c>
      <c r="D97" s="811">
        <v>749.29</v>
      </c>
      <c r="E97" s="812">
        <v>755.43000000000006</v>
      </c>
      <c r="F97" s="812">
        <v>715.94</v>
      </c>
      <c r="G97" s="811">
        <v>750.02</v>
      </c>
      <c r="H97" s="811">
        <v>723.84</v>
      </c>
      <c r="I97" s="811">
        <v>702.96</v>
      </c>
      <c r="J97" s="811">
        <v>810.79</v>
      </c>
      <c r="K97" s="811">
        <v>808.18000000000006</v>
      </c>
      <c r="L97" s="811">
        <v>944.06000000000017</v>
      </c>
      <c r="M97" s="811">
        <v>962.89</v>
      </c>
      <c r="N97" s="812">
        <v>865.31</v>
      </c>
      <c r="O97" s="812">
        <v>839.1</v>
      </c>
      <c r="P97" s="811">
        <f t="shared" si="20"/>
        <v>9627.8100000000013</v>
      </c>
    </row>
    <row r="98" spans="1:27">
      <c r="C98" s="481" t="s">
        <v>400</v>
      </c>
      <c r="D98" s="811">
        <f t="shared" ref="D98:O98" si="22">SUM(D67:D97)</f>
        <v>1389072.7999999996</v>
      </c>
      <c r="E98" s="812">
        <f t="shared" si="22"/>
        <v>1388819.57</v>
      </c>
      <c r="F98" s="812">
        <f t="shared" si="22"/>
        <v>1358871.5699999996</v>
      </c>
      <c r="G98" s="811">
        <f t="shared" si="22"/>
        <v>1505306.8000000003</v>
      </c>
      <c r="H98" s="811">
        <f t="shared" si="22"/>
        <v>1357339.8</v>
      </c>
      <c r="I98" s="811">
        <f t="shared" si="22"/>
        <v>1294102.3699999999</v>
      </c>
      <c r="J98" s="811">
        <f t="shared" si="22"/>
        <v>1304496.5400000003</v>
      </c>
      <c r="K98" s="811">
        <f t="shared" si="22"/>
        <v>1382068.2699999774</v>
      </c>
      <c r="L98" s="811">
        <f t="shared" si="22"/>
        <v>1450798.6900000004</v>
      </c>
      <c r="M98" s="811">
        <f t="shared" si="22"/>
        <v>1530737.1400000001</v>
      </c>
      <c r="N98" s="812">
        <f t="shared" si="22"/>
        <v>1587148.3199999998</v>
      </c>
      <c r="O98" s="812">
        <f t="shared" si="22"/>
        <v>1578130.9200000002</v>
      </c>
      <c r="P98" s="811">
        <f t="shared" si="20"/>
        <v>17126892.78999998</v>
      </c>
    </row>
    <row r="99" spans="1:27">
      <c r="C99" s="481" t="s">
        <v>401</v>
      </c>
      <c r="D99" s="341">
        <v>45772327</v>
      </c>
      <c r="E99" s="452">
        <v>44679970</v>
      </c>
      <c r="F99" s="452">
        <v>42253111</v>
      </c>
      <c r="G99" s="341">
        <v>48277452</v>
      </c>
      <c r="H99" s="341">
        <v>40723354</v>
      </c>
      <c r="I99" s="341">
        <v>31419517</v>
      </c>
      <c r="J99" s="341">
        <v>29180957</v>
      </c>
      <c r="K99" s="341">
        <v>40337937</v>
      </c>
      <c r="L99" s="961">
        <v>45497854</v>
      </c>
      <c r="M99" s="341">
        <v>48319019</v>
      </c>
      <c r="N99" s="452">
        <v>45747406</v>
      </c>
      <c r="O99" s="452">
        <v>44551343</v>
      </c>
      <c r="P99" s="815">
        <f t="shared" si="20"/>
        <v>506760247</v>
      </c>
    </row>
    <row r="100" spans="1:27">
      <c r="D100" s="811"/>
      <c r="E100" s="812"/>
      <c r="F100" s="812"/>
      <c r="G100" s="811"/>
      <c r="H100" s="811"/>
      <c r="I100" s="811"/>
      <c r="J100" s="811"/>
      <c r="K100" s="811"/>
      <c r="L100" s="811"/>
      <c r="M100" s="811"/>
      <c r="N100" s="812"/>
      <c r="O100" s="812"/>
      <c r="P100" s="815"/>
      <c r="R100" s="1001"/>
    </row>
    <row r="101" spans="1:27">
      <c r="A101" s="882"/>
      <c r="C101" s="1027" t="s">
        <v>433</v>
      </c>
      <c r="D101" s="954">
        <v>7938038.641905834</v>
      </c>
      <c r="E101" s="954">
        <v>8019015.7568936404</v>
      </c>
      <c r="F101" s="954">
        <v>7878339.8987056827</v>
      </c>
      <c r="G101" s="954">
        <v>7900046.2514610123</v>
      </c>
      <c r="H101" s="954">
        <v>6819176.8241776591</v>
      </c>
      <c r="I101" s="954">
        <v>6652993.9889797959</v>
      </c>
      <c r="J101" s="954">
        <v>6972971</v>
      </c>
      <c r="K101" s="954">
        <v>6714075.4716981128</v>
      </c>
      <c r="L101" s="954">
        <v>6973376</v>
      </c>
      <c r="M101" s="954">
        <v>7987500.0834863922</v>
      </c>
      <c r="N101" s="954">
        <v>8862309.2335949242</v>
      </c>
      <c r="O101" s="954">
        <v>8663172.1489397231</v>
      </c>
      <c r="P101" s="954">
        <v>91381015.299842775</v>
      </c>
    </row>
    <row r="102" spans="1:27">
      <c r="A102" s="882"/>
      <c r="C102" s="1027" t="s">
        <v>434</v>
      </c>
      <c r="D102" s="954">
        <v>5297050.8997429311</v>
      </c>
      <c r="E102" s="954">
        <v>5401808.2262210799</v>
      </c>
      <c r="F102" s="954">
        <v>5283149.1002570698</v>
      </c>
      <c r="G102" s="954">
        <v>5484260.529743813</v>
      </c>
      <c r="H102" s="954">
        <v>4591435.084672167</v>
      </c>
      <c r="I102" s="954">
        <v>4615023.4476769436</v>
      </c>
      <c r="J102" s="954">
        <v>5077763</v>
      </c>
      <c r="K102" s="954">
        <v>4986873.2088580113</v>
      </c>
      <c r="L102" s="954">
        <v>5421797.2210160661</v>
      </c>
      <c r="M102" s="954">
        <v>5583397</v>
      </c>
      <c r="N102" s="954">
        <v>6207810.2475032564</v>
      </c>
      <c r="O102" s="954">
        <v>5835445</v>
      </c>
      <c r="P102" s="954">
        <v>63785812.965691343</v>
      </c>
      <c r="S102" s="1002"/>
      <c r="T102" s="1002"/>
      <c r="U102" s="1002"/>
      <c r="V102" s="1002"/>
      <c r="W102" s="1002"/>
      <c r="X102" s="1002"/>
      <c r="Y102" s="1002"/>
      <c r="Z102" s="1003"/>
      <c r="AA102" s="1003"/>
    </row>
    <row r="103" spans="1:27">
      <c r="A103" s="882"/>
      <c r="C103" s="1027" t="s">
        <v>434</v>
      </c>
      <c r="D103" s="954">
        <v>2650826.5651438241</v>
      </c>
      <c r="E103" s="954">
        <v>2885073.6040609134</v>
      </c>
      <c r="F103" s="954">
        <v>2552758.037225042</v>
      </c>
      <c r="G103" s="954">
        <v>2783793.618465716</v>
      </c>
      <c r="H103" s="954">
        <v>1882880</v>
      </c>
      <c r="I103" s="954">
        <v>2249702.647657841</v>
      </c>
      <c r="J103" s="954">
        <v>2538017</v>
      </c>
      <c r="K103" s="954">
        <v>2658282.4168363884</v>
      </c>
      <c r="L103" s="954">
        <v>2757104</v>
      </c>
      <c r="M103" s="954">
        <v>2605599.4568906995</v>
      </c>
      <c r="N103" s="954">
        <v>2980948.404616429</v>
      </c>
      <c r="O103" s="954">
        <v>2859918</v>
      </c>
      <c r="P103" s="954">
        <v>31404903.750896852</v>
      </c>
      <c r="S103" s="1002"/>
      <c r="T103" s="1002"/>
      <c r="U103" s="1002"/>
      <c r="V103" s="1002"/>
      <c r="W103" s="1002"/>
      <c r="X103" s="1002"/>
      <c r="Y103" s="1002"/>
      <c r="Z103" s="1003"/>
      <c r="AA103" s="1003"/>
    </row>
    <row r="104" spans="1:27">
      <c r="A104" s="882"/>
      <c r="C104" s="1027" t="s">
        <v>435</v>
      </c>
      <c r="D104" s="954">
        <v>29886409.25266904</v>
      </c>
      <c r="E104" s="954">
        <v>28374072.953736655</v>
      </c>
      <c r="F104" s="954">
        <v>26538862.989323843</v>
      </c>
      <c r="G104" s="954">
        <v>32109352.130325817</v>
      </c>
      <c r="H104" s="954">
        <v>27429862</v>
      </c>
      <c r="I104" s="954">
        <v>17901795.739348374</v>
      </c>
      <c r="J104" s="954">
        <v>14592206</v>
      </c>
      <c r="K104" s="954">
        <v>25978706.766917296</v>
      </c>
      <c r="L104" s="954">
        <v>30345577</v>
      </c>
      <c r="M104" s="954">
        <v>32142523</v>
      </c>
      <c r="N104" s="954">
        <v>27696337.092731833</v>
      </c>
      <c r="O104" s="954">
        <v>27192808</v>
      </c>
      <c r="P104" s="954">
        <v>320188512.92505288</v>
      </c>
      <c r="Z104" s="1003"/>
    </row>
    <row r="105" spans="1:27">
      <c r="D105" s="825"/>
      <c r="E105" s="825"/>
      <c r="F105" s="825"/>
      <c r="G105" s="825"/>
      <c r="H105" s="825"/>
      <c r="I105" s="825"/>
      <c r="J105" s="825"/>
      <c r="K105" s="825"/>
      <c r="L105" s="825"/>
      <c r="M105" s="825"/>
      <c r="N105" s="825"/>
      <c r="O105" s="825"/>
      <c r="P105" s="815"/>
    </row>
    <row r="106" spans="1:27">
      <c r="D106" s="811"/>
      <c r="E106" s="812"/>
      <c r="F106" s="812"/>
      <c r="G106" s="812"/>
      <c r="H106" s="812"/>
      <c r="I106" s="812"/>
      <c r="J106" s="812"/>
      <c r="K106" s="812"/>
      <c r="L106" s="812"/>
      <c r="M106" s="812"/>
      <c r="N106" s="812"/>
      <c r="O106" s="812"/>
      <c r="P106" s="811"/>
    </row>
    <row r="107" spans="1:27">
      <c r="C107" s="873" t="s">
        <v>226</v>
      </c>
      <c r="D107" s="811"/>
      <c r="E107" s="812"/>
      <c r="F107" s="812"/>
      <c r="G107" s="812"/>
      <c r="H107" s="812"/>
      <c r="I107" s="812"/>
      <c r="J107" s="812"/>
      <c r="K107" s="812"/>
      <c r="L107" s="812"/>
      <c r="M107" s="812"/>
      <c r="N107" s="812"/>
      <c r="O107" s="812"/>
      <c r="P107" s="811"/>
    </row>
    <row r="108" spans="1:27">
      <c r="B108" s="873" t="str">
        <f>$C$107</f>
        <v>CNGWA6632</v>
      </c>
      <c r="C108" s="873" t="s">
        <v>412</v>
      </c>
      <c r="D108" s="811"/>
      <c r="E108" s="811"/>
      <c r="F108" s="811"/>
      <c r="G108" s="811"/>
      <c r="H108" s="811"/>
      <c r="I108" s="811"/>
      <c r="J108" s="811"/>
      <c r="K108" s="811"/>
      <c r="L108" s="811"/>
      <c r="M108" s="811"/>
      <c r="N108" s="812">
        <v>955.15</v>
      </c>
      <c r="O108" s="812">
        <v>1117.25</v>
      </c>
      <c r="P108" s="811">
        <f t="shared" ref="P108:P125" si="23">SUM(D108:O108)</f>
        <v>2072.4</v>
      </c>
      <c r="T108" s="1004"/>
      <c r="U108" s="1004"/>
      <c r="V108" s="1004"/>
      <c r="W108" s="1004"/>
      <c r="X108" s="1004"/>
    </row>
    <row r="109" spans="1:27">
      <c r="B109" s="873" t="str">
        <f t="shared" ref="B109:B123" si="24">$C$107</f>
        <v>CNGWA6632</v>
      </c>
      <c r="C109" s="1026" t="s">
        <v>199</v>
      </c>
      <c r="D109" s="811"/>
      <c r="E109" s="811"/>
      <c r="F109" s="811"/>
      <c r="G109" s="811"/>
      <c r="H109" s="811"/>
      <c r="I109" s="811"/>
      <c r="J109" s="811"/>
      <c r="K109" s="811"/>
      <c r="L109" s="811"/>
      <c r="M109" s="811"/>
      <c r="N109" s="812"/>
      <c r="O109" s="812"/>
      <c r="P109" s="811">
        <f t="shared" si="23"/>
        <v>0</v>
      </c>
    </row>
    <row r="110" spans="1:27">
      <c r="B110" s="873" t="str">
        <f t="shared" si="24"/>
        <v>CNGWA6632</v>
      </c>
      <c r="C110" s="1026" t="s">
        <v>200</v>
      </c>
      <c r="D110" s="811"/>
      <c r="E110" s="811"/>
      <c r="F110" s="811"/>
      <c r="G110" s="811"/>
      <c r="H110" s="811"/>
      <c r="I110" s="811"/>
      <c r="J110" s="811"/>
      <c r="K110" s="811"/>
      <c r="L110" s="811"/>
      <c r="M110" s="811"/>
      <c r="N110" s="812">
        <v>5989</v>
      </c>
      <c r="O110" s="812">
        <v>5989</v>
      </c>
      <c r="P110" s="811">
        <f t="shared" si="23"/>
        <v>11978</v>
      </c>
      <c r="T110" s="999"/>
      <c r="U110" s="999"/>
      <c r="V110" s="999"/>
      <c r="W110" s="999"/>
      <c r="X110" s="999"/>
    </row>
    <row r="111" spans="1:27">
      <c r="B111" s="873" t="str">
        <f t="shared" si="24"/>
        <v>CNGWA6632</v>
      </c>
      <c r="C111" s="1026" t="s">
        <v>203</v>
      </c>
      <c r="D111" s="811"/>
      <c r="E111" s="811"/>
      <c r="F111" s="811"/>
      <c r="G111" s="811"/>
      <c r="H111" s="811"/>
      <c r="I111" s="811"/>
      <c r="J111" s="811"/>
      <c r="K111" s="811"/>
      <c r="L111" s="811"/>
      <c r="M111" s="811"/>
      <c r="N111" s="812"/>
      <c r="O111" s="812"/>
      <c r="P111" s="811">
        <f t="shared" si="23"/>
        <v>0</v>
      </c>
      <c r="T111" s="999"/>
      <c r="U111" s="999"/>
      <c r="V111" s="999"/>
      <c r="W111" s="999"/>
      <c r="X111" s="999"/>
    </row>
    <row r="112" spans="1:27">
      <c r="B112" s="873" t="str">
        <f t="shared" si="24"/>
        <v>CNGWA6632</v>
      </c>
      <c r="C112" s="1026" t="s">
        <v>204</v>
      </c>
      <c r="D112" s="811"/>
      <c r="E112" s="811"/>
      <c r="F112" s="811"/>
      <c r="G112" s="811"/>
      <c r="H112" s="811"/>
      <c r="I112" s="811"/>
      <c r="J112" s="811"/>
      <c r="K112" s="811"/>
      <c r="L112" s="811"/>
      <c r="M112" s="811"/>
      <c r="N112" s="812">
        <v>4606</v>
      </c>
      <c r="O112" s="812">
        <v>4606</v>
      </c>
      <c r="P112" s="811">
        <f t="shared" si="23"/>
        <v>9212</v>
      </c>
    </row>
    <row r="113" spans="1:16">
      <c r="B113" s="873" t="str">
        <f t="shared" si="24"/>
        <v>CNGWA6632</v>
      </c>
      <c r="C113" s="1026" t="s">
        <v>201</v>
      </c>
      <c r="D113" s="811"/>
      <c r="E113" s="811"/>
      <c r="F113" s="811"/>
      <c r="G113" s="811"/>
      <c r="H113" s="811"/>
      <c r="I113" s="811"/>
      <c r="J113" s="811"/>
      <c r="K113" s="811"/>
      <c r="L113" s="811"/>
      <c r="M113" s="811"/>
      <c r="N113" s="812"/>
      <c r="O113" s="812"/>
      <c r="P113" s="811">
        <f t="shared" si="23"/>
        <v>0</v>
      </c>
    </row>
    <row r="114" spans="1:16">
      <c r="B114" s="873" t="str">
        <f t="shared" si="24"/>
        <v>CNGWA6632</v>
      </c>
      <c r="C114" s="1026" t="s">
        <v>202</v>
      </c>
      <c r="D114" s="811"/>
      <c r="E114" s="811"/>
      <c r="F114" s="811"/>
      <c r="G114" s="811"/>
      <c r="H114" s="811"/>
      <c r="I114" s="811"/>
      <c r="J114" s="811"/>
      <c r="K114" s="811"/>
      <c r="L114" s="811"/>
      <c r="M114" s="811"/>
      <c r="N114" s="812">
        <v>2946</v>
      </c>
      <c r="O114" s="812">
        <v>2946</v>
      </c>
      <c r="P114" s="811">
        <f t="shared" si="23"/>
        <v>5892</v>
      </c>
    </row>
    <row r="115" spans="1:16">
      <c r="B115" s="873" t="str">
        <f t="shared" si="24"/>
        <v>CNGWA6632</v>
      </c>
      <c r="C115" s="1026" t="s">
        <v>205</v>
      </c>
      <c r="D115" s="811"/>
      <c r="E115" s="811"/>
      <c r="F115" s="811"/>
      <c r="G115" s="811"/>
      <c r="H115" s="811"/>
      <c r="I115" s="811"/>
      <c r="J115" s="811"/>
      <c r="K115" s="811"/>
      <c r="L115" s="811"/>
      <c r="M115" s="811"/>
      <c r="N115" s="812"/>
      <c r="O115" s="812"/>
      <c r="P115" s="811">
        <f t="shared" si="23"/>
        <v>0</v>
      </c>
    </row>
    <row r="116" spans="1:16">
      <c r="B116" s="873" t="str">
        <f t="shared" si="24"/>
        <v>CNGWA6632</v>
      </c>
      <c r="C116" s="1026" t="s">
        <v>206</v>
      </c>
      <c r="D116" s="811"/>
      <c r="E116" s="811"/>
      <c r="F116" s="811"/>
      <c r="G116" s="811"/>
      <c r="H116" s="811"/>
      <c r="I116" s="811"/>
      <c r="J116" s="811"/>
      <c r="K116" s="811"/>
      <c r="L116" s="811"/>
      <c r="M116" s="811"/>
      <c r="N116" s="812">
        <v>105.38</v>
      </c>
      <c r="O116" s="812">
        <v>2227.1</v>
      </c>
      <c r="P116" s="811">
        <f t="shared" si="23"/>
        <v>2332.48</v>
      </c>
    </row>
    <row r="117" spans="1:16">
      <c r="B117" s="873" t="str">
        <f t="shared" si="24"/>
        <v>CNGWA6632</v>
      </c>
      <c r="C117" s="873" t="s">
        <v>417</v>
      </c>
      <c r="D117" s="811"/>
      <c r="E117" s="811"/>
      <c r="F117" s="811"/>
      <c r="G117" s="811"/>
      <c r="H117" s="811"/>
      <c r="I117" s="811"/>
      <c r="J117" s="811"/>
      <c r="K117" s="811"/>
      <c r="L117" s="811"/>
      <c r="M117" s="811"/>
      <c r="N117" s="812">
        <v>205.28</v>
      </c>
      <c r="O117" s="812">
        <v>311.63</v>
      </c>
      <c r="P117" s="811">
        <f t="shared" si="23"/>
        <v>516.91</v>
      </c>
    </row>
    <row r="118" spans="1:16">
      <c r="B118" s="873" t="str">
        <f t="shared" si="24"/>
        <v>CNGWA6632</v>
      </c>
      <c r="C118" s="873" t="s">
        <v>419</v>
      </c>
      <c r="D118" s="811"/>
      <c r="E118" s="811"/>
      <c r="F118" s="811"/>
      <c r="G118" s="811"/>
      <c r="H118" s="811"/>
      <c r="I118" s="811"/>
      <c r="J118" s="811"/>
      <c r="K118" s="811"/>
      <c r="L118" s="811"/>
      <c r="M118" s="811"/>
      <c r="N118" s="812">
        <v>625</v>
      </c>
      <c r="O118" s="812">
        <v>625</v>
      </c>
      <c r="P118" s="811">
        <f t="shared" si="23"/>
        <v>1250</v>
      </c>
    </row>
    <row r="119" spans="1:16" ht="30">
      <c r="B119" s="873" t="str">
        <f t="shared" si="24"/>
        <v>CNGWA6632</v>
      </c>
      <c r="C119" s="881" t="s">
        <v>420</v>
      </c>
      <c r="D119" s="811"/>
      <c r="E119" s="811"/>
      <c r="F119" s="811"/>
      <c r="G119" s="811"/>
      <c r="H119" s="811"/>
      <c r="I119" s="811"/>
      <c r="J119" s="811"/>
      <c r="K119" s="811"/>
      <c r="L119" s="811"/>
      <c r="M119" s="811"/>
      <c r="N119" s="812">
        <v>153.96</v>
      </c>
      <c r="O119" s="812">
        <v>233.73</v>
      </c>
      <c r="P119" s="811">
        <f t="shared" si="23"/>
        <v>387.69</v>
      </c>
    </row>
    <row r="120" spans="1:16">
      <c r="B120" s="873" t="str">
        <f t="shared" si="24"/>
        <v>CNGWA6632</v>
      </c>
      <c r="C120" s="873" t="s">
        <v>422</v>
      </c>
      <c r="D120" s="811"/>
      <c r="E120" s="811"/>
      <c r="F120" s="811"/>
      <c r="G120" s="811"/>
      <c r="H120" s="811"/>
      <c r="I120" s="811"/>
      <c r="J120" s="811"/>
      <c r="K120" s="811"/>
      <c r="L120" s="811"/>
      <c r="M120" s="811"/>
      <c r="N120" s="812">
        <v>631.47</v>
      </c>
      <c r="O120" s="812">
        <v>728.66</v>
      </c>
      <c r="P120" s="811">
        <f t="shared" si="23"/>
        <v>1360.13</v>
      </c>
    </row>
    <row r="121" spans="1:16" ht="30">
      <c r="B121" s="873" t="str">
        <f t="shared" si="24"/>
        <v>CNGWA6632</v>
      </c>
      <c r="C121" s="881" t="s">
        <v>424</v>
      </c>
      <c r="D121" s="811"/>
      <c r="E121" s="811"/>
      <c r="F121" s="811"/>
      <c r="G121" s="811"/>
      <c r="H121" s="811"/>
      <c r="I121" s="811"/>
      <c r="J121" s="811"/>
      <c r="K121" s="811"/>
      <c r="L121" s="811"/>
      <c r="M121" s="811"/>
      <c r="N121" s="812">
        <v>-364.38</v>
      </c>
      <c r="O121" s="812">
        <v>-490.82</v>
      </c>
      <c r="P121" s="811">
        <f t="shared" si="23"/>
        <v>-855.2</v>
      </c>
    </row>
    <row r="122" spans="1:16" ht="30">
      <c r="B122" s="873" t="str">
        <f t="shared" si="24"/>
        <v>CNGWA6632</v>
      </c>
      <c r="C122" s="881" t="s">
        <v>426</v>
      </c>
      <c r="D122" s="811"/>
      <c r="E122" s="811"/>
      <c r="F122" s="811"/>
      <c r="G122" s="811"/>
      <c r="H122" s="811"/>
      <c r="I122" s="811"/>
      <c r="J122" s="811"/>
      <c r="K122" s="811"/>
      <c r="L122" s="811"/>
      <c r="M122" s="811"/>
      <c r="N122" s="812">
        <v>200.15</v>
      </c>
      <c r="O122" s="812">
        <v>576.52</v>
      </c>
      <c r="P122" s="811">
        <f t="shared" si="23"/>
        <v>776.67</v>
      </c>
    </row>
    <row r="123" spans="1:16" ht="30">
      <c r="B123" s="873" t="str">
        <f t="shared" si="24"/>
        <v>CNGWA6632</v>
      </c>
      <c r="C123" s="881" t="s">
        <v>430</v>
      </c>
      <c r="D123" s="811"/>
      <c r="E123" s="811"/>
      <c r="F123" s="811"/>
      <c r="G123" s="811"/>
      <c r="H123" s="811"/>
      <c r="I123" s="811"/>
      <c r="J123" s="811"/>
      <c r="K123" s="811"/>
      <c r="L123" s="811"/>
      <c r="M123" s="811"/>
      <c r="N123" s="812">
        <v>-133.94999999999999</v>
      </c>
      <c r="O123" s="812">
        <v>-249.31</v>
      </c>
      <c r="P123" s="811">
        <f t="shared" si="23"/>
        <v>-383.26</v>
      </c>
    </row>
    <row r="124" spans="1:16">
      <c r="C124" s="481" t="s">
        <v>400</v>
      </c>
      <c r="D124" s="811">
        <f t="shared" ref="D124:O124" si="25">SUM(D108:D123)</f>
        <v>0</v>
      </c>
      <c r="E124" s="811">
        <f t="shared" si="25"/>
        <v>0</v>
      </c>
      <c r="F124" s="811">
        <f t="shared" si="25"/>
        <v>0</v>
      </c>
      <c r="G124" s="811">
        <f t="shared" si="25"/>
        <v>0</v>
      </c>
      <c r="H124" s="811">
        <f t="shared" si="25"/>
        <v>0</v>
      </c>
      <c r="I124" s="811">
        <f t="shared" si="25"/>
        <v>0</v>
      </c>
      <c r="J124" s="811">
        <f t="shared" si="25"/>
        <v>0</v>
      </c>
      <c r="K124" s="811">
        <f t="shared" si="25"/>
        <v>0</v>
      </c>
      <c r="L124" s="811">
        <f t="shared" si="25"/>
        <v>0</v>
      </c>
      <c r="M124" s="811">
        <f t="shared" si="25"/>
        <v>0</v>
      </c>
      <c r="N124" s="812">
        <f t="shared" si="25"/>
        <v>15919.059999999998</v>
      </c>
      <c r="O124" s="812">
        <f t="shared" si="25"/>
        <v>18620.759999999998</v>
      </c>
      <c r="P124" s="811">
        <f t="shared" si="23"/>
        <v>34539.819999999992</v>
      </c>
    </row>
    <row r="125" spans="1:16">
      <c r="C125" s="481" t="s">
        <v>401</v>
      </c>
      <c r="D125" s="341"/>
      <c r="E125" s="341"/>
      <c r="F125" s="341"/>
      <c r="G125" s="341"/>
      <c r="H125" s="341"/>
      <c r="I125" s="341"/>
      <c r="J125" s="341"/>
      <c r="K125" s="341"/>
      <c r="L125" s="341"/>
      <c r="M125" s="341"/>
      <c r="N125" s="452">
        <v>513206</v>
      </c>
      <c r="O125" s="452">
        <v>779085</v>
      </c>
      <c r="P125" s="815">
        <f t="shared" si="23"/>
        <v>1292291</v>
      </c>
    </row>
    <row r="126" spans="1:16">
      <c r="C126" s="481"/>
      <c r="D126" s="341"/>
      <c r="E126" s="341"/>
      <c r="F126" s="341"/>
      <c r="G126" s="341"/>
      <c r="H126" s="341"/>
      <c r="I126" s="341"/>
      <c r="J126" s="341"/>
      <c r="K126" s="341"/>
      <c r="L126" s="341"/>
      <c r="M126" s="341"/>
      <c r="N126" s="452"/>
      <c r="O126" s="452"/>
      <c r="P126" s="815"/>
    </row>
    <row r="127" spans="1:16">
      <c r="A127" s="882"/>
      <c r="C127" s="1027" t="s">
        <v>433</v>
      </c>
      <c r="D127" s="955"/>
      <c r="E127" s="955"/>
      <c r="F127" s="955"/>
      <c r="G127" s="955"/>
      <c r="H127" s="955"/>
      <c r="I127" s="955"/>
      <c r="J127" s="955"/>
      <c r="K127" s="955"/>
      <c r="L127" s="955"/>
      <c r="M127" s="955"/>
      <c r="N127" s="956">
        <v>100000</v>
      </c>
      <c r="O127" s="956">
        <v>100000</v>
      </c>
      <c r="P127" s="954">
        <v>200000</v>
      </c>
    </row>
    <row r="128" spans="1:16">
      <c r="A128" s="882"/>
      <c r="C128" s="1027" t="s">
        <v>434</v>
      </c>
      <c r="D128" s="955"/>
      <c r="E128" s="955"/>
      <c r="F128" s="955"/>
      <c r="G128" s="955"/>
      <c r="H128" s="955"/>
      <c r="I128" s="955"/>
      <c r="J128" s="955"/>
      <c r="K128" s="955"/>
      <c r="L128" s="955"/>
      <c r="M128" s="955"/>
      <c r="N128" s="956">
        <v>200000</v>
      </c>
      <c r="O128" s="956">
        <v>200000</v>
      </c>
      <c r="P128" s="954">
        <v>400000</v>
      </c>
    </row>
    <row r="129" spans="1:17">
      <c r="A129" s="882"/>
      <c r="C129" s="1027" t="s">
        <v>434</v>
      </c>
      <c r="D129" s="955"/>
      <c r="E129" s="955"/>
      <c r="F129" s="955"/>
      <c r="G129" s="955"/>
      <c r="H129" s="955"/>
      <c r="I129" s="955"/>
      <c r="J129" s="955"/>
      <c r="K129" s="955"/>
      <c r="L129" s="955"/>
      <c r="M129" s="955"/>
      <c r="N129" s="956">
        <v>200000</v>
      </c>
      <c r="O129" s="956">
        <v>200000</v>
      </c>
      <c r="P129" s="954">
        <v>400000</v>
      </c>
    </row>
    <row r="130" spans="1:17">
      <c r="A130" s="882"/>
      <c r="C130" s="1027" t="s">
        <v>435</v>
      </c>
      <c r="D130" s="955"/>
      <c r="E130" s="955"/>
      <c r="F130" s="955"/>
      <c r="G130" s="955"/>
      <c r="H130" s="955"/>
      <c r="I130" s="955"/>
      <c r="J130" s="955"/>
      <c r="K130" s="955"/>
      <c r="L130" s="955"/>
      <c r="M130" s="955"/>
      <c r="N130" s="956">
        <v>13205.513784461153</v>
      </c>
      <c r="O130" s="956">
        <v>279085.21303258149</v>
      </c>
      <c r="P130" s="954">
        <v>292290.72681704263</v>
      </c>
    </row>
    <row r="131" spans="1:17">
      <c r="D131" s="811"/>
      <c r="E131" s="812"/>
      <c r="F131" s="812"/>
      <c r="G131" s="812"/>
      <c r="H131" s="812"/>
      <c r="I131" s="812"/>
      <c r="J131" s="812"/>
      <c r="K131" s="812"/>
      <c r="L131" s="812"/>
      <c r="M131" s="812"/>
      <c r="N131" s="825"/>
      <c r="O131" s="825"/>
      <c r="P131" s="825"/>
    </row>
    <row r="132" spans="1:17">
      <c r="D132" s="811"/>
      <c r="E132" s="812"/>
      <c r="F132" s="812"/>
      <c r="G132" s="812"/>
      <c r="H132" s="812"/>
      <c r="I132" s="812"/>
      <c r="J132" s="812"/>
      <c r="K132" s="812"/>
      <c r="L132" s="812"/>
      <c r="M132" s="812"/>
      <c r="N132" s="812"/>
      <c r="O132" s="812"/>
      <c r="P132" s="811"/>
    </row>
    <row r="133" spans="1:17">
      <c r="C133" s="873" t="s">
        <v>223</v>
      </c>
      <c r="D133" s="3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"/>
      <c r="Q133" s="754"/>
    </row>
    <row r="134" spans="1:17">
      <c r="B134" s="873" t="str">
        <f t="shared" ref="B134:B149" si="26">$C$133</f>
        <v>CNGWA6633</v>
      </c>
      <c r="C134" s="873" t="s">
        <v>415</v>
      </c>
      <c r="D134" s="3">
        <v>104000</v>
      </c>
      <c r="E134" s="36">
        <v>104000</v>
      </c>
      <c r="F134" s="36">
        <v>104000</v>
      </c>
      <c r="G134" s="36">
        <v>104000</v>
      </c>
      <c r="H134" s="36">
        <v>104000</v>
      </c>
      <c r="I134" s="36">
        <v>104000</v>
      </c>
      <c r="J134" s="36">
        <v>104000</v>
      </c>
      <c r="K134" s="36">
        <v>104000</v>
      </c>
      <c r="L134" s="36">
        <v>104000</v>
      </c>
      <c r="M134" s="36">
        <v>104000</v>
      </c>
      <c r="N134" s="36">
        <v>104000</v>
      </c>
      <c r="O134" s="36">
        <v>104000</v>
      </c>
      <c r="P134" s="3">
        <f t="shared" ref="P134:P149" si="27">SUM(D134:O134)</f>
        <v>1248000</v>
      </c>
      <c r="Q134" s="754"/>
    </row>
    <row r="135" spans="1:17" s="824" customFormat="1">
      <c r="B135" s="754" t="str">
        <f t="shared" si="26"/>
        <v>CNGWA6633</v>
      </c>
      <c r="C135" s="1026" t="s">
        <v>199</v>
      </c>
      <c r="D135" s="3">
        <v>5331</v>
      </c>
      <c r="E135" s="3">
        <v>5331</v>
      </c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">
        <f t="shared" si="27"/>
        <v>10662</v>
      </c>
      <c r="Q135" s="754"/>
    </row>
    <row r="136" spans="1:17" s="824" customFormat="1">
      <c r="B136" s="754" t="str">
        <f t="shared" si="26"/>
        <v>CNGWA6633</v>
      </c>
      <c r="C136" s="1026" t="s">
        <v>200</v>
      </c>
      <c r="D136" s="3"/>
      <c r="E136" s="3"/>
      <c r="F136" s="3">
        <v>5331</v>
      </c>
      <c r="G136" s="3">
        <v>5989</v>
      </c>
      <c r="H136" s="3">
        <v>5989</v>
      </c>
      <c r="I136" s="3">
        <v>5989</v>
      </c>
      <c r="J136" s="3">
        <v>5989</v>
      </c>
      <c r="K136" s="3">
        <v>5989</v>
      </c>
      <c r="L136" s="3">
        <v>5989</v>
      </c>
      <c r="M136" s="3">
        <v>5989</v>
      </c>
      <c r="N136" s="3">
        <v>5989</v>
      </c>
      <c r="O136" s="3">
        <v>5989</v>
      </c>
      <c r="P136" s="3">
        <f t="shared" si="27"/>
        <v>59232</v>
      </c>
      <c r="Q136" s="754"/>
    </row>
    <row r="137" spans="1:17" s="824" customFormat="1">
      <c r="B137" s="754" t="str">
        <f t="shared" si="26"/>
        <v>CNGWA6633</v>
      </c>
      <c r="C137" s="1026" t="s">
        <v>203</v>
      </c>
      <c r="D137" s="3">
        <v>3890</v>
      </c>
      <c r="E137" s="3">
        <v>3890</v>
      </c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>
        <f t="shared" si="27"/>
        <v>7780</v>
      </c>
      <c r="Q137" s="754"/>
    </row>
    <row r="138" spans="1:17" s="824" customFormat="1">
      <c r="B138" s="754" t="str">
        <f t="shared" si="26"/>
        <v>CNGWA6633</v>
      </c>
      <c r="C138" s="1026" t="s">
        <v>204</v>
      </c>
      <c r="D138" s="3"/>
      <c r="E138" s="3"/>
      <c r="F138" s="3">
        <v>3890</v>
      </c>
      <c r="G138" s="3">
        <v>4606</v>
      </c>
      <c r="H138" s="3">
        <v>4606</v>
      </c>
      <c r="I138" s="3">
        <v>4606</v>
      </c>
      <c r="J138" s="3">
        <v>4606</v>
      </c>
      <c r="K138" s="3">
        <v>4606</v>
      </c>
      <c r="L138" s="3">
        <v>4606</v>
      </c>
      <c r="M138" s="3">
        <v>4606</v>
      </c>
      <c r="N138" s="3">
        <v>4606</v>
      </c>
      <c r="O138" s="3">
        <v>4606</v>
      </c>
      <c r="P138" s="3">
        <f t="shared" si="27"/>
        <v>45344</v>
      </c>
      <c r="Q138" s="754"/>
    </row>
    <row r="139" spans="1:17" s="824" customFormat="1">
      <c r="B139" s="754" t="str">
        <f t="shared" si="26"/>
        <v>CNGWA6633</v>
      </c>
      <c r="C139" s="1026" t="s">
        <v>201</v>
      </c>
      <c r="D139" s="3">
        <v>2364</v>
      </c>
      <c r="E139" s="3">
        <v>2364</v>
      </c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>
        <f t="shared" si="27"/>
        <v>4728</v>
      </c>
      <c r="Q139" s="754"/>
    </row>
    <row r="140" spans="1:17" s="824" customFormat="1">
      <c r="B140" s="754" t="str">
        <f t="shared" si="26"/>
        <v>CNGWA6633</v>
      </c>
      <c r="C140" s="1026" t="s">
        <v>202</v>
      </c>
      <c r="D140" s="3"/>
      <c r="E140" s="36"/>
      <c r="F140" s="3">
        <v>2364</v>
      </c>
      <c r="G140" s="3">
        <v>2946</v>
      </c>
      <c r="H140" s="3">
        <v>2946</v>
      </c>
      <c r="I140" s="3">
        <v>2946</v>
      </c>
      <c r="J140" s="3">
        <v>2946</v>
      </c>
      <c r="K140" s="3">
        <v>2946</v>
      </c>
      <c r="L140" s="3">
        <v>2946</v>
      </c>
      <c r="M140" s="3">
        <v>2946</v>
      </c>
      <c r="N140" s="3">
        <v>2946</v>
      </c>
      <c r="O140" s="3">
        <v>2946</v>
      </c>
      <c r="P140" s="3">
        <f t="shared" si="27"/>
        <v>28878</v>
      </c>
      <c r="Q140" s="754"/>
    </row>
    <row r="141" spans="1:17" s="824" customFormat="1">
      <c r="B141" s="754" t="str">
        <f t="shared" si="26"/>
        <v>CNGWA6633</v>
      </c>
      <c r="C141" s="1026" t="s">
        <v>205</v>
      </c>
      <c r="D141" s="3">
        <v>75234.850000000006</v>
      </c>
      <c r="E141" s="36">
        <v>51666.720000000001</v>
      </c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">
        <f t="shared" si="27"/>
        <v>126901.57</v>
      </c>
      <c r="Q141" s="754"/>
    </row>
    <row r="142" spans="1:17" s="824" customFormat="1">
      <c r="B142" s="754" t="str">
        <f t="shared" si="26"/>
        <v>CNGWA6633</v>
      </c>
      <c r="C142" s="1026" t="s">
        <v>206</v>
      </c>
      <c r="D142" s="3"/>
      <c r="E142" s="36"/>
      <c r="F142" s="36">
        <v>38995.660000000003</v>
      </c>
      <c r="G142" s="36">
        <v>109558.44</v>
      </c>
      <c r="H142" s="36">
        <v>83805.58</v>
      </c>
      <c r="I142" s="36">
        <v>2326.84</v>
      </c>
      <c r="J142" s="36">
        <v>6439.43</v>
      </c>
      <c r="K142" s="36">
        <v>37348.239999999998</v>
      </c>
      <c r="L142" s="36">
        <v>78029.72</v>
      </c>
      <c r="M142" s="36">
        <v>96359.33</v>
      </c>
      <c r="N142" s="36">
        <v>61991.07</v>
      </c>
      <c r="O142" s="36">
        <v>15315.58</v>
      </c>
      <c r="P142" s="3">
        <f t="shared" si="27"/>
        <v>530169.89</v>
      </c>
      <c r="Q142" s="754"/>
    </row>
    <row r="143" spans="1:17">
      <c r="B143" s="873" t="str">
        <f t="shared" si="26"/>
        <v>CNGWA6633</v>
      </c>
      <c r="C143" s="873" t="s">
        <v>417</v>
      </c>
      <c r="D143" s="3">
        <v>5554.79</v>
      </c>
      <c r="E143" s="36">
        <v>3877.35</v>
      </c>
      <c r="F143" s="36">
        <v>2975.49</v>
      </c>
      <c r="G143" s="36">
        <v>5691.65</v>
      </c>
      <c r="H143" s="36">
        <v>4400.78</v>
      </c>
      <c r="I143" s="36">
        <v>316.63</v>
      </c>
      <c r="J143" s="36">
        <v>522.78</v>
      </c>
      <c r="K143" s="36">
        <v>2072.09</v>
      </c>
      <c r="L143" s="36">
        <v>4111.26</v>
      </c>
      <c r="M143" s="36">
        <v>5030.04</v>
      </c>
      <c r="N143" s="36">
        <v>3307.32</v>
      </c>
      <c r="O143" s="36">
        <v>967.7</v>
      </c>
      <c r="P143" s="3">
        <f t="shared" si="27"/>
        <v>38827.879999999997</v>
      </c>
      <c r="Q143" s="754"/>
    </row>
    <row r="144" spans="1:17">
      <c r="B144" s="873" t="str">
        <f t="shared" si="26"/>
        <v>CNGWA6633</v>
      </c>
      <c r="C144" s="873" t="s">
        <v>419</v>
      </c>
      <c r="D144" s="3">
        <v>625</v>
      </c>
      <c r="E144" s="36">
        <v>625</v>
      </c>
      <c r="F144" s="36">
        <v>625</v>
      </c>
      <c r="G144" s="36">
        <v>625</v>
      </c>
      <c r="H144" s="36">
        <v>625</v>
      </c>
      <c r="I144" s="36">
        <v>625</v>
      </c>
      <c r="J144" s="36">
        <v>625</v>
      </c>
      <c r="K144" s="36">
        <v>625</v>
      </c>
      <c r="L144" s="36">
        <v>625</v>
      </c>
      <c r="M144" s="36">
        <v>625</v>
      </c>
      <c r="N144" s="36">
        <v>625</v>
      </c>
      <c r="O144" s="36">
        <v>625</v>
      </c>
      <c r="P144" s="3">
        <f t="shared" si="27"/>
        <v>7500</v>
      </c>
      <c r="Q144" s="754"/>
    </row>
    <row r="145" spans="1:16">
      <c r="B145" s="873" t="str">
        <f t="shared" si="26"/>
        <v>CNGWA6633</v>
      </c>
      <c r="C145" s="873" t="s">
        <v>420</v>
      </c>
      <c r="D145" s="811">
        <v>4166.1000000000004</v>
      </c>
      <c r="E145" s="812">
        <v>2908.01</v>
      </c>
      <c r="F145" s="812">
        <v>2231.62</v>
      </c>
      <c r="G145" s="812">
        <v>4268.74</v>
      </c>
      <c r="H145" s="812">
        <v>3300.59</v>
      </c>
      <c r="I145" s="812">
        <v>237.48</v>
      </c>
      <c r="J145" s="812">
        <v>392.08</v>
      </c>
      <c r="K145" s="812">
        <v>1554.07</v>
      </c>
      <c r="L145" s="812">
        <v>3083.45</v>
      </c>
      <c r="M145" s="812">
        <v>3772.53</v>
      </c>
      <c r="N145" s="812">
        <v>2480.4899999999998</v>
      </c>
      <c r="O145" s="812">
        <v>725.77</v>
      </c>
      <c r="P145" s="811">
        <f t="shared" si="27"/>
        <v>29120.929999999997</v>
      </c>
    </row>
    <row r="146" spans="1:16">
      <c r="B146" s="873" t="str">
        <f t="shared" si="26"/>
        <v>CNGWA6633</v>
      </c>
      <c r="C146" s="873" t="s">
        <v>422</v>
      </c>
      <c r="D146" s="811">
        <v>8729.0499999999993</v>
      </c>
      <c r="E146" s="812">
        <v>7610.42</v>
      </c>
      <c r="F146" s="812">
        <v>7009.01</v>
      </c>
      <c r="G146" s="812">
        <v>10181.61</v>
      </c>
      <c r="H146" s="812">
        <v>9001.9599999999991</v>
      </c>
      <c r="I146" s="812">
        <v>5269.71</v>
      </c>
      <c r="J146" s="812">
        <v>5458.09</v>
      </c>
      <c r="K146" s="812">
        <v>6873.92</v>
      </c>
      <c r="L146" s="812">
        <v>8737.39</v>
      </c>
      <c r="M146" s="812">
        <v>9577.01</v>
      </c>
      <c r="N146" s="812">
        <v>8002.72</v>
      </c>
      <c r="O146" s="812">
        <v>5864.68</v>
      </c>
      <c r="P146" s="811">
        <f t="shared" si="27"/>
        <v>92315.569999999978</v>
      </c>
    </row>
    <row r="147" spans="1:16">
      <c r="B147" s="873" t="str">
        <f t="shared" si="26"/>
        <v>CNGWA6633</v>
      </c>
      <c r="C147" s="873" t="s">
        <v>424</v>
      </c>
      <c r="D147" s="811">
        <v>-9859.76</v>
      </c>
      <c r="E147" s="812">
        <v>-6882.29</v>
      </c>
      <c r="F147" s="812">
        <v>-5281.5</v>
      </c>
      <c r="G147" s="812">
        <v>-10102.68</v>
      </c>
      <c r="H147" s="812">
        <v>-7811.39</v>
      </c>
      <c r="I147" s="812">
        <v>-562.02</v>
      </c>
      <c r="J147" s="812">
        <v>-927.93</v>
      </c>
      <c r="K147" s="812">
        <v>-3677.96</v>
      </c>
      <c r="L147" s="812">
        <v>-7297.49</v>
      </c>
      <c r="M147" s="812">
        <v>-8928.32</v>
      </c>
      <c r="N147" s="812">
        <v>-5870.5</v>
      </c>
      <c r="O147" s="812">
        <v>-1524.12</v>
      </c>
      <c r="P147" s="811">
        <f t="shared" si="27"/>
        <v>-68725.959999999992</v>
      </c>
    </row>
    <row r="148" spans="1:16">
      <c r="B148" s="873" t="str">
        <f t="shared" si="26"/>
        <v>CNGWA6633</v>
      </c>
      <c r="C148" s="873" t="s">
        <v>426</v>
      </c>
      <c r="D148" s="811">
        <v>24163.35</v>
      </c>
      <c r="E148" s="812">
        <v>16866.46</v>
      </c>
      <c r="F148" s="812">
        <v>12943.39</v>
      </c>
      <c r="G148" s="812">
        <v>5549.36</v>
      </c>
      <c r="H148" s="812">
        <v>4290.76</v>
      </c>
      <c r="I148" s="812">
        <v>308.72000000000003</v>
      </c>
      <c r="J148" s="812">
        <v>509.71</v>
      </c>
      <c r="K148" s="812">
        <v>2020.29</v>
      </c>
      <c r="L148" s="812">
        <v>4008.48</v>
      </c>
      <c r="M148" s="812">
        <v>4904.29</v>
      </c>
      <c r="N148" s="812">
        <v>3224.64</v>
      </c>
      <c r="O148" s="812">
        <v>1790.24</v>
      </c>
      <c r="P148" s="811">
        <f t="shared" si="27"/>
        <v>80579.689999999988</v>
      </c>
    </row>
    <row r="149" spans="1:16">
      <c r="B149" s="873" t="str">
        <f t="shared" si="26"/>
        <v>CNGWA6633</v>
      </c>
      <c r="C149" s="873" t="s">
        <v>430</v>
      </c>
      <c r="D149" s="811">
        <v>-3624.5</v>
      </c>
      <c r="E149" s="812">
        <v>-2529.9699999999998</v>
      </c>
      <c r="F149" s="812">
        <v>-1941.51</v>
      </c>
      <c r="G149" s="812">
        <v>-3713.8</v>
      </c>
      <c r="H149" s="812">
        <v>-2871.51</v>
      </c>
      <c r="I149" s="812">
        <v>-206.6</v>
      </c>
      <c r="J149" s="812">
        <v>-341.11</v>
      </c>
      <c r="K149" s="812">
        <v>-1352.04</v>
      </c>
      <c r="L149" s="812">
        <v>-2682.6</v>
      </c>
      <c r="M149" s="812">
        <v>-3282.1</v>
      </c>
      <c r="N149" s="812">
        <v>-2158.0300000000002</v>
      </c>
      <c r="O149" s="812">
        <v>-774.16</v>
      </c>
      <c r="P149" s="811">
        <f t="shared" si="27"/>
        <v>-25477.929999999997</v>
      </c>
    </row>
    <row r="150" spans="1:16">
      <c r="C150" s="481" t="s">
        <v>400</v>
      </c>
      <c r="D150" s="811">
        <f t="shared" ref="D150:O150" si="28">SUM(D134:D149)</f>
        <v>220573.88</v>
      </c>
      <c r="E150" s="812">
        <f t="shared" si="28"/>
        <v>189726.7</v>
      </c>
      <c r="F150" s="812">
        <f t="shared" si="28"/>
        <v>173142.15999999997</v>
      </c>
      <c r="G150" s="812">
        <f t="shared" si="28"/>
        <v>239599.32</v>
      </c>
      <c r="H150" s="812">
        <f t="shared" si="28"/>
        <v>212282.77</v>
      </c>
      <c r="I150" s="812">
        <f t="shared" si="28"/>
        <v>125856.76</v>
      </c>
      <c r="J150" s="812">
        <f t="shared" si="28"/>
        <v>130219.05</v>
      </c>
      <c r="K150" s="812">
        <f t="shared" si="28"/>
        <v>163004.61000000002</v>
      </c>
      <c r="L150" s="812">
        <f t="shared" si="28"/>
        <v>206156.21000000002</v>
      </c>
      <c r="M150" s="812">
        <f t="shared" si="28"/>
        <v>225598.78000000003</v>
      </c>
      <c r="N150" s="812">
        <f t="shared" si="28"/>
        <v>189143.71000000002</v>
      </c>
      <c r="O150" s="812">
        <f t="shared" si="28"/>
        <v>140531.68999999997</v>
      </c>
      <c r="P150" s="811">
        <f>SUM(D150:O150)</f>
        <v>2215835.64</v>
      </c>
    </row>
    <row r="151" spans="1:16">
      <c r="C151" s="481" t="s">
        <v>401</v>
      </c>
      <c r="D151" s="341">
        <v>13886984</v>
      </c>
      <c r="E151" s="452">
        <v>9693367</v>
      </c>
      <c r="F151" s="452">
        <v>7438730</v>
      </c>
      <c r="G151" s="452">
        <v>14229128</v>
      </c>
      <c r="H151" s="452">
        <v>11001952</v>
      </c>
      <c r="I151" s="452">
        <v>791584</v>
      </c>
      <c r="J151" s="341">
        <v>1306946</v>
      </c>
      <c r="K151" s="452">
        <v>5180231</v>
      </c>
      <c r="L151" s="452">
        <v>10278160</v>
      </c>
      <c r="M151" s="452">
        <v>12575104</v>
      </c>
      <c r="N151" s="452">
        <v>8268305</v>
      </c>
      <c r="O151" s="452">
        <v>2419246</v>
      </c>
      <c r="P151" s="815">
        <f>SUM(D151:O151)</f>
        <v>97069737</v>
      </c>
    </row>
    <row r="152" spans="1:16">
      <c r="C152" s="481"/>
      <c r="D152" s="341"/>
      <c r="E152" s="452"/>
      <c r="F152" s="452"/>
      <c r="G152" s="452"/>
      <c r="H152" s="452"/>
      <c r="I152" s="452"/>
      <c r="J152" s="452"/>
      <c r="K152" s="452"/>
      <c r="L152" s="452"/>
      <c r="M152" s="452"/>
      <c r="N152" s="452"/>
      <c r="O152" s="452"/>
      <c r="P152" s="815"/>
    </row>
    <row r="153" spans="1:16">
      <c r="A153" s="882"/>
      <c r="C153" s="1025" t="s">
        <v>433</v>
      </c>
      <c r="D153" s="955">
        <v>100000</v>
      </c>
      <c r="E153" s="955">
        <v>100000</v>
      </c>
      <c r="F153" s="955">
        <v>100000</v>
      </c>
      <c r="G153" s="955">
        <v>100000</v>
      </c>
      <c r="H153" s="955">
        <v>100000</v>
      </c>
      <c r="I153" s="955">
        <v>100000</v>
      </c>
      <c r="J153" s="955">
        <v>100000</v>
      </c>
      <c r="K153" s="955">
        <v>100000</v>
      </c>
      <c r="L153" s="955">
        <v>100000</v>
      </c>
      <c r="M153" s="955">
        <v>100000</v>
      </c>
      <c r="N153" s="955">
        <v>100000</v>
      </c>
      <c r="O153" s="955">
        <v>100000</v>
      </c>
      <c r="P153" s="815">
        <f>SUM(D153:O153)</f>
        <v>1200000</v>
      </c>
    </row>
    <row r="154" spans="1:16">
      <c r="A154" s="882"/>
      <c r="C154" s="1025" t="s">
        <v>434</v>
      </c>
      <c r="D154" s="955">
        <v>200000.00000000003</v>
      </c>
      <c r="E154" s="955">
        <v>200000.00000000003</v>
      </c>
      <c r="F154" s="955">
        <v>200000.00000000003</v>
      </c>
      <c r="G154" s="955">
        <v>200000</v>
      </c>
      <c r="H154" s="955">
        <v>200000</v>
      </c>
      <c r="I154" s="955">
        <v>200000</v>
      </c>
      <c r="J154" s="955">
        <v>200000</v>
      </c>
      <c r="K154" s="955">
        <v>200000</v>
      </c>
      <c r="L154" s="955">
        <v>200000</v>
      </c>
      <c r="M154" s="955">
        <v>200000</v>
      </c>
      <c r="N154" s="955">
        <v>200000</v>
      </c>
      <c r="O154" s="955">
        <v>200000</v>
      </c>
      <c r="P154" s="815">
        <f>SUM(D154:O154)</f>
        <v>2400000</v>
      </c>
    </row>
    <row r="155" spans="1:16">
      <c r="A155" s="882"/>
      <c r="C155" s="1025" t="s">
        <v>434</v>
      </c>
      <c r="D155" s="955">
        <v>200000</v>
      </c>
      <c r="E155" s="955">
        <v>200000</v>
      </c>
      <c r="F155" s="955">
        <v>200000</v>
      </c>
      <c r="G155" s="955">
        <v>200000</v>
      </c>
      <c r="H155" s="955">
        <v>200000</v>
      </c>
      <c r="I155" s="955">
        <v>200000</v>
      </c>
      <c r="J155" s="955">
        <v>200000</v>
      </c>
      <c r="K155" s="955">
        <v>200000</v>
      </c>
      <c r="L155" s="955">
        <v>200000</v>
      </c>
      <c r="M155" s="955">
        <v>200000</v>
      </c>
      <c r="N155" s="955">
        <v>200000</v>
      </c>
      <c r="O155" s="955">
        <v>200000</v>
      </c>
      <c r="P155" s="815">
        <f>SUM(D155:O155)</f>
        <v>2400000</v>
      </c>
    </row>
    <row r="156" spans="1:16">
      <c r="A156" s="882"/>
      <c r="C156" s="1025" t="s">
        <v>435</v>
      </c>
      <c r="D156" s="955">
        <v>13386983.985765126</v>
      </c>
      <c r="E156" s="955">
        <v>9193366.5480427053</v>
      </c>
      <c r="F156" s="955">
        <v>6938729.5373665486</v>
      </c>
      <c r="G156" s="955">
        <v>13729127.819548873</v>
      </c>
      <c r="H156" s="955">
        <v>10501952.380952382</v>
      </c>
      <c r="I156" s="955">
        <v>291583.95989974943</v>
      </c>
      <c r="J156" s="955">
        <v>806946.1152882207</v>
      </c>
      <c r="K156" s="955">
        <v>4680230.5764411027</v>
      </c>
      <c r="L156" s="955">
        <v>9778160.4010025077</v>
      </c>
      <c r="M156" s="955">
        <v>12075104.010025064</v>
      </c>
      <c r="N156" s="955">
        <v>7768304.5112781962</v>
      </c>
      <c r="O156" s="955">
        <v>1919245.6140350879</v>
      </c>
      <c r="P156" s="815">
        <f>SUM(D156:O156)</f>
        <v>91069735.459645554</v>
      </c>
    </row>
    <row r="157" spans="1:16">
      <c r="A157" s="882"/>
      <c r="C157" s="481"/>
      <c r="D157" s="825"/>
      <c r="E157" s="825"/>
      <c r="F157" s="825"/>
      <c r="G157" s="825"/>
      <c r="H157" s="825"/>
      <c r="I157" s="825"/>
      <c r="J157" s="825"/>
      <c r="K157" s="825"/>
      <c r="L157" s="825"/>
      <c r="M157" s="825"/>
      <c r="N157" s="825"/>
      <c r="O157" s="825"/>
      <c r="P157" s="815"/>
    </row>
    <row r="158" spans="1:16">
      <c r="D158" s="811"/>
      <c r="E158" s="812"/>
      <c r="F158" s="812"/>
      <c r="G158" s="812"/>
      <c r="H158" s="812"/>
      <c r="I158" s="812"/>
      <c r="J158" s="812"/>
      <c r="K158" s="812"/>
      <c r="L158" s="812"/>
      <c r="M158" s="812"/>
      <c r="N158" s="812"/>
      <c r="O158" s="812"/>
      <c r="P158" s="811"/>
    </row>
    <row r="159" spans="1:16">
      <c r="C159" s="873" t="s">
        <v>228</v>
      </c>
      <c r="D159" s="811"/>
      <c r="E159" s="812"/>
      <c r="F159" s="812"/>
      <c r="G159" s="812"/>
      <c r="H159" s="812"/>
      <c r="I159" s="812"/>
      <c r="J159" s="812"/>
      <c r="K159" s="812"/>
      <c r="L159" s="812"/>
      <c r="M159" s="812"/>
      <c r="N159" s="812"/>
      <c r="O159" s="812"/>
      <c r="P159" s="811"/>
    </row>
    <row r="160" spans="1:16">
      <c r="B160" s="873" t="str">
        <f>$C$159</f>
        <v>CNGWA6635</v>
      </c>
      <c r="C160" s="873" t="s">
        <v>436</v>
      </c>
      <c r="D160" s="811">
        <v>-2753.15</v>
      </c>
      <c r="E160" s="812">
        <v>-2753.15</v>
      </c>
      <c r="F160" s="812">
        <v>-2753.15</v>
      </c>
      <c r="G160" s="812">
        <v>-2753.15</v>
      </c>
      <c r="H160" s="812">
        <v>-2753.15</v>
      </c>
      <c r="I160" s="812">
        <v>-2753.15</v>
      </c>
      <c r="J160" s="812">
        <v>-2753.15</v>
      </c>
      <c r="K160" s="812">
        <v>-226.49</v>
      </c>
      <c r="L160" s="812">
        <v>-226.49</v>
      </c>
      <c r="M160" s="812">
        <v>-226.49</v>
      </c>
      <c r="N160" s="812">
        <v>-226.49</v>
      </c>
      <c r="O160" s="812">
        <v>-226.49</v>
      </c>
      <c r="P160" s="811">
        <f>SUM(D160:O160)</f>
        <v>-20404.500000000011</v>
      </c>
    </row>
    <row r="161" spans="2:18" s="824" customFormat="1">
      <c r="B161" s="873" t="str">
        <f t="shared" ref="B161:B177" si="29">$C$159</f>
        <v>CNGWA6635</v>
      </c>
      <c r="C161" s="1026" t="s">
        <v>199</v>
      </c>
      <c r="D161" s="3">
        <v>5331</v>
      </c>
      <c r="E161" s="3">
        <v>5331</v>
      </c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">
        <f t="shared" ref="P161:P178" si="30">SUM(D161:O161)</f>
        <v>10662</v>
      </c>
      <c r="Q161" s="754"/>
      <c r="R161" s="754"/>
    </row>
    <row r="162" spans="2:18" s="824" customFormat="1">
      <c r="B162" s="873" t="str">
        <f t="shared" si="29"/>
        <v>CNGWA6635</v>
      </c>
      <c r="C162" s="1026" t="s">
        <v>200</v>
      </c>
      <c r="D162" s="3"/>
      <c r="E162" s="3"/>
      <c r="F162" s="3">
        <v>5331</v>
      </c>
      <c r="G162" s="3">
        <v>5989</v>
      </c>
      <c r="H162" s="3">
        <v>5989</v>
      </c>
      <c r="I162" s="3">
        <v>5989</v>
      </c>
      <c r="J162" s="3">
        <v>5989</v>
      </c>
      <c r="K162" s="3">
        <v>5989</v>
      </c>
      <c r="L162" s="3">
        <v>5989</v>
      </c>
      <c r="M162" s="3">
        <v>5989</v>
      </c>
      <c r="N162" s="3">
        <v>5989</v>
      </c>
      <c r="O162" s="3">
        <v>5989</v>
      </c>
      <c r="P162" s="3">
        <f t="shared" si="30"/>
        <v>59232</v>
      </c>
      <c r="Q162" s="754"/>
      <c r="R162" s="754"/>
    </row>
    <row r="163" spans="2:18" s="824" customFormat="1">
      <c r="B163" s="873" t="str">
        <f t="shared" si="29"/>
        <v>CNGWA6635</v>
      </c>
      <c r="C163" s="1026" t="s">
        <v>203</v>
      </c>
      <c r="D163" s="3">
        <v>3890</v>
      </c>
      <c r="E163" s="3">
        <v>3890</v>
      </c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>
        <f t="shared" si="30"/>
        <v>7780</v>
      </c>
      <c r="Q163" s="754"/>
      <c r="R163" s="754"/>
    </row>
    <row r="164" spans="2:18" s="824" customFormat="1">
      <c r="B164" s="873" t="str">
        <f t="shared" si="29"/>
        <v>CNGWA6635</v>
      </c>
      <c r="C164" s="1026" t="s">
        <v>204</v>
      </c>
      <c r="D164" s="3"/>
      <c r="E164" s="3"/>
      <c r="F164" s="3">
        <v>3890</v>
      </c>
      <c r="G164" s="3">
        <v>4606</v>
      </c>
      <c r="H164" s="3">
        <v>4606</v>
      </c>
      <c r="I164" s="3">
        <v>4606</v>
      </c>
      <c r="J164" s="3">
        <v>4606</v>
      </c>
      <c r="K164" s="3">
        <v>4606</v>
      </c>
      <c r="L164" s="3">
        <v>4606</v>
      </c>
      <c r="M164" s="3">
        <v>4606</v>
      </c>
      <c r="N164" s="3">
        <v>4606</v>
      </c>
      <c r="O164" s="3">
        <v>4606</v>
      </c>
      <c r="P164" s="3">
        <f t="shared" si="30"/>
        <v>45344</v>
      </c>
      <c r="Q164" s="754"/>
      <c r="R164" s="754"/>
    </row>
    <row r="165" spans="2:18" s="824" customFormat="1">
      <c r="B165" s="873" t="str">
        <f t="shared" si="29"/>
        <v>CNGWA6635</v>
      </c>
      <c r="C165" s="1026" t="s">
        <v>201</v>
      </c>
      <c r="D165" s="3">
        <v>2364</v>
      </c>
      <c r="E165" s="3">
        <v>736.75</v>
      </c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>
        <f t="shared" si="30"/>
        <v>3100.75</v>
      </c>
      <c r="Q165" s="754"/>
      <c r="R165" s="754"/>
    </row>
    <row r="166" spans="2:18" s="824" customFormat="1">
      <c r="B166" s="873" t="str">
        <f t="shared" si="29"/>
        <v>CNGWA6635</v>
      </c>
      <c r="C166" s="1026" t="s">
        <v>202</v>
      </c>
      <c r="D166" s="3"/>
      <c r="E166" s="36"/>
      <c r="F166" s="3">
        <v>2364</v>
      </c>
      <c r="G166" s="3">
        <v>2946</v>
      </c>
      <c r="H166" s="3">
        <v>2946</v>
      </c>
      <c r="I166" s="3">
        <v>2176.86</v>
      </c>
      <c r="J166" s="3">
        <v>2946</v>
      </c>
      <c r="K166" s="3">
        <v>2946</v>
      </c>
      <c r="L166" s="3">
        <v>2946</v>
      </c>
      <c r="M166" s="3">
        <v>2946</v>
      </c>
      <c r="N166" s="3">
        <v>2946</v>
      </c>
      <c r="O166" s="3">
        <v>2946</v>
      </c>
      <c r="P166" s="3">
        <f t="shared" si="30"/>
        <v>28108.86</v>
      </c>
      <c r="Q166" s="754"/>
      <c r="R166" s="754"/>
    </row>
    <row r="167" spans="2:18" s="824" customFormat="1">
      <c r="B167" s="873" t="str">
        <f t="shared" si="29"/>
        <v>CNGWA6635</v>
      </c>
      <c r="C167" s="1026" t="s">
        <v>205</v>
      </c>
      <c r="D167" s="3">
        <v>4482.4399999999996</v>
      </c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">
        <f t="shared" si="30"/>
        <v>4482.4399999999996</v>
      </c>
      <c r="Q167" s="754"/>
      <c r="R167" s="754"/>
    </row>
    <row r="168" spans="2:18" s="824" customFormat="1">
      <c r="B168" s="873" t="str">
        <f t="shared" si="29"/>
        <v>CNGWA6635</v>
      </c>
      <c r="C168" s="1026" t="s">
        <v>206</v>
      </c>
      <c r="D168" s="3"/>
      <c r="E168" s="36"/>
      <c r="F168" s="36">
        <v>1470.41</v>
      </c>
      <c r="G168" s="36">
        <v>19988.88</v>
      </c>
      <c r="H168" s="36">
        <v>23388.13</v>
      </c>
      <c r="I168" s="754"/>
      <c r="J168" s="36">
        <v>1886.48</v>
      </c>
      <c r="K168" s="36">
        <v>11844.54</v>
      </c>
      <c r="L168" s="36">
        <v>30602.959999999999</v>
      </c>
      <c r="M168" s="36">
        <v>39388.559999999998</v>
      </c>
      <c r="N168" s="36">
        <v>8703.02</v>
      </c>
      <c r="O168" s="36">
        <v>3322.95</v>
      </c>
      <c r="P168" s="3">
        <f t="shared" si="30"/>
        <v>140595.93</v>
      </c>
      <c r="Q168" s="754"/>
      <c r="R168" s="754"/>
    </row>
    <row r="169" spans="2:18">
      <c r="B169" s="873" t="str">
        <f t="shared" si="29"/>
        <v>CNGWA6635</v>
      </c>
      <c r="C169" s="873" t="s">
        <v>417</v>
      </c>
      <c r="D169" s="811">
        <v>519.04</v>
      </c>
      <c r="E169" s="812">
        <v>144.93</v>
      </c>
      <c r="F169" s="812">
        <v>304.66000000000003</v>
      </c>
      <c r="G169" s="812">
        <v>1201.95</v>
      </c>
      <c r="H169" s="812">
        <v>1372.34</v>
      </c>
      <c r="I169" s="812">
        <v>179.11</v>
      </c>
      <c r="J169" s="812">
        <v>294.56</v>
      </c>
      <c r="K169" s="812">
        <v>793.71</v>
      </c>
      <c r="L169" s="812">
        <v>1733.98</v>
      </c>
      <c r="M169" s="812">
        <v>2174.36</v>
      </c>
      <c r="N169" s="812">
        <v>636.24</v>
      </c>
      <c r="O169" s="812">
        <v>366.56</v>
      </c>
      <c r="P169" s="811">
        <f t="shared" si="30"/>
        <v>9721.44</v>
      </c>
    </row>
    <row r="170" spans="2:18">
      <c r="B170" s="873" t="str">
        <f t="shared" si="29"/>
        <v>CNGWA6635</v>
      </c>
      <c r="C170" s="873" t="s">
        <v>419</v>
      </c>
      <c r="D170" s="811">
        <v>625</v>
      </c>
      <c r="E170" s="812">
        <v>625</v>
      </c>
      <c r="F170" s="812">
        <v>625</v>
      </c>
      <c r="G170" s="812">
        <v>625</v>
      </c>
      <c r="H170" s="812">
        <v>625</v>
      </c>
      <c r="I170" s="812">
        <v>625</v>
      </c>
      <c r="J170" s="812">
        <v>625</v>
      </c>
      <c r="K170" s="812">
        <v>625</v>
      </c>
      <c r="L170" s="812">
        <v>625</v>
      </c>
      <c r="M170" s="812">
        <v>625</v>
      </c>
      <c r="N170" s="812">
        <v>625</v>
      </c>
      <c r="O170" s="812">
        <v>625</v>
      </c>
      <c r="P170" s="811">
        <f t="shared" si="30"/>
        <v>7500</v>
      </c>
    </row>
    <row r="171" spans="2:18">
      <c r="B171" s="873" t="str">
        <f t="shared" si="29"/>
        <v>CNGWA6635</v>
      </c>
      <c r="C171" s="873" t="s">
        <v>420</v>
      </c>
      <c r="D171" s="811">
        <v>389.28</v>
      </c>
      <c r="E171" s="812">
        <v>108.7</v>
      </c>
      <c r="F171" s="812">
        <v>228.49</v>
      </c>
      <c r="G171" s="812">
        <v>901.46</v>
      </c>
      <c r="H171" s="812">
        <v>1029.25</v>
      </c>
      <c r="I171" s="812">
        <v>134.34</v>
      </c>
      <c r="J171" s="812">
        <v>220.92</v>
      </c>
      <c r="K171" s="812">
        <v>595.28</v>
      </c>
      <c r="L171" s="812">
        <v>1300.49</v>
      </c>
      <c r="M171" s="812">
        <v>1630.77</v>
      </c>
      <c r="N171" s="812">
        <v>477.18</v>
      </c>
      <c r="O171" s="812">
        <v>274.92</v>
      </c>
      <c r="P171" s="811">
        <f t="shared" si="30"/>
        <v>7291.08</v>
      </c>
    </row>
    <row r="172" spans="2:18">
      <c r="B172" s="873" t="str">
        <f t="shared" si="29"/>
        <v>CNGWA6635</v>
      </c>
      <c r="C172" s="873" t="s">
        <v>437</v>
      </c>
      <c r="D172" s="811">
        <v>120485</v>
      </c>
      <c r="E172" s="812">
        <v>120485</v>
      </c>
      <c r="F172" s="812">
        <v>120485</v>
      </c>
      <c r="G172" s="812">
        <v>120485</v>
      </c>
      <c r="H172" s="812">
        <v>120485</v>
      </c>
      <c r="I172" s="812">
        <v>120485</v>
      </c>
      <c r="J172" s="812">
        <v>120485</v>
      </c>
      <c r="K172" s="812">
        <v>120485</v>
      </c>
      <c r="L172" s="812">
        <v>120485</v>
      </c>
      <c r="M172" s="812">
        <v>120485</v>
      </c>
      <c r="N172" s="812">
        <v>120485</v>
      </c>
      <c r="O172" s="812">
        <v>120485</v>
      </c>
      <c r="P172" s="811">
        <f t="shared" si="30"/>
        <v>1445820</v>
      </c>
    </row>
    <row r="173" spans="2:18">
      <c r="B173" s="873" t="str">
        <f t="shared" si="29"/>
        <v>CNGWA6635</v>
      </c>
      <c r="C173" s="873" t="s">
        <v>422</v>
      </c>
      <c r="D173" s="811">
        <v>5318.54</v>
      </c>
      <c r="E173" s="812">
        <v>5284.12</v>
      </c>
      <c r="F173" s="812">
        <v>5294.4</v>
      </c>
      <c r="G173" s="812">
        <v>5803.64</v>
      </c>
      <c r="H173" s="812">
        <v>5903.61</v>
      </c>
      <c r="I173" s="812">
        <v>5294.72</v>
      </c>
      <c r="J173" s="812">
        <v>5322.08</v>
      </c>
      <c r="K173" s="812">
        <v>5674.35</v>
      </c>
      <c r="L173" s="812">
        <v>6226</v>
      </c>
      <c r="M173" s="812">
        <v>6484.36</v>
      </c>
      <c r="N173" s="812">
        <v>5581.96</v>
      </c>
      <c r="O173" s="812">
        <v>5448.84</v>
      </c>
      <c r="P173" s="811">
        <f t="shared" si="30"/>
        <v>67636.62</v>
      </c>
    </row>
    <row r="174" spans="2:18">
      <c r="B174" s="873" t="str">
        <f t="shared" si="29"/>
        <v>CNGWA6635</v>
      </c>
      <c r="C174" s="873" t="s">
        <v>424</v>
      </c>
      <c r="D174" s="811">
        <v>-921.29</v>
      </c>
      <c r="E174" s="812">
        <v>-257.26</v>
      </c>
      <c r="F174" s="812">
        <v>-540.76</v>
      </c>
      <c r="G174" s="812">
        <v>-2133.46</v>
      </c>
      <c r="H174" s="812">
        <v>-2435.9</v>
      </c>
      <c r="I174" s="812">
        <v>-317.93</v>
      </c>
      <c r="J174" s="812">
        <v>-522.84</v>
      </c>
      <c r="K174" s="812">
        <v>-1408.84</v>
      </c>
      <c r="L174" s="812">
        <v>-3077.82</v>
      </c>
      <c r="M174" s="812">
        <v>-3859.5</v>
      </c>
      <c r="N174" s="812">
        <v>-1129.33</v>
      </c>
      <c r="O174" s="812">
        <v>-577.34</v>
      </c>
      <c r="P174" s="811">
        <f t="shared" si="30"/>
        <v>-17182.27</v>
      </c>
    </row>
    <row r="175" spans="2:18">
      <c r="B175" s="873" t="str">
        <f t="shared" si="29"/>
        <v>CNGWA6635</v>
      </c>
      <c r="C175" s="873" t="s">
        <v>426</v>
      </c>
      <c r="D175" s="811">
        <v>2257.8000000000002</v>
      </c>
      <c r="E175" s="812">
        <v>630.46</v>
      </c>
      <c r="F175" s="812">
        <v>1325.25</v>
      </c>
      <c r="G175" s="812">
        <v>1171.9000000000001</v>
      </c>
      <c r="H175" s="812">
        <v>1338.03</v>
      </c>
      <c r="I175" s="812">
        <v>174.64</v>
      </c>
      <c r="J175" s="812">
        <v>287.2</v>
      </c>
      <c r="K175" s="812">
        <v>773.87</v>
      </c>
      <c r="L175" s="812">
        <v>1690.63</v>
      </c>
      <c r="M175" s="812">
        <v>2120</v>
      </c>
      <c r="N175" s="812">
        <v>620.34</v>
      </c>
      <c r="O175" s="812">
        <v>678.14</v>
      </c>
      <c r="P175" s="811">
        <f t="shared" si="30"/>
        <v>13068.259999999998</v>
      </c>
    </row>
    <row r="176" spans="2:18">
      <c r="B176" s="873" t="str">
        <f t="shared" si="29"/>
        <v>CNGWA6635</v>
      </c>
      <c r="C176" s="873" t="s">
        <v>430</v>
      </c>
      <c r="D176" s="811">
        <v>-338.67</v>
      </c>
      <c r="E176" s="812">
        <v>-94.57</v>
      </c>
      <c r="F176" s="812">
        <v>-198.79</v>
      </c>
      <c r="G176" s="812">
        <v>-784.27</v>
      </c>
      <c r="H176" s="812">
        <v>-895.45</v>
      </c>
      <c r="I176" s="812">
        <v>-116.87</v>
      </c>
      <c r="J176" s="812">
        <v>-192.2</v>
      </c>
      <c r="K176" s="812">
        <v>-517.9</v>
      </c>
      <c r="L176" s="812">
        <v>-1131.42</v>
      </c>
      <c r="M176" s="812">
        <v>-1418.77</v>
      </c>
      <c r="N176" s="812">
        <v>-415.15</v>
      </c>
      <c r="O176" s="812">
        <v>-293.25</v>
      </c>
      <c r="P176" s="811">
        <f t="shared" si="30"/>
        <v>-6397.3099999999995</v>
      </c>
    </row>
    <row r="177" spans="1:16">
      <c r="B177" s="873" t="str">
        <f t="shared" si="29"/>
        <v>CNGWA6635</v>
      </c>
      <c r="C177" s="873" t="s">
        <v>438</v>
      </c>
      <c r="D177" s="811">
        <v>-14913.15</v>
      </c>
      <c r="E177" s="812">
        <v>-9206.2000000000007</v>
      </c>
      <c r="F177" s="812">
        <v>-12231.57</v>
      </c>
      <c r="G177" s="812">
        <v>-20038.62</v>
      </c>
      <c r="H177" s="812">
        <v>-21316.53</v>
      </c>
      <c r="I177" s="812">
        <v>-9924.86</v>
      </c>
      <c r="J177" s="812">
        <v>-12068.79</v>
      </c>
      <c r="K177" s="812">
        <v>-16976.830000000002</v>
      </c>
      <c r="L177" s="812">
        <v>-24028.87</v>
      </c>
      <c r="M177" s="812">
        <v>-27331.73</v>
      </c>
      <c r="N177" s="812">
        <v>-15795.81</v>
      </c>
      <c r="O177" s="812">
        <v>-13197.85</v>
      </c>
      <c r="P177" s="811">
        <f t="shared" si="30"/>
        <v>-197030.81000000003</v>
      </c>
    </row>
    <row r="178" spans="1:16">
      <c r="C178" s="481" t="s">
        <v>400</v>
      </c>
      <c r="D178" s="811">
        <f t="shared" ref="D178:O178" si="31">SUM(D160:D177)</f>
        <v>126735.84</v>
      </c>
      <c r="E178" s="812">
        <f t="shared" si="31"/>
        <v>124924.77999999998</v>
      </c>
      <c r="F178" s="812">
        <f t="shared" si="31"/>
        <v>125593.93999999997</v>
      </c>
      <c r="G178" s="812">
        <f t="shared" si="31"/>
        <v>138009.33000000005</v>
      </c>
      <c r="H178" s="812">
        <f t="shared" si="31"/>
        <v>140281.32999999999</v>
      </c>
      <c r="I178" s="812">
        <f t="shared" si="31"/>
        <v>126551.86000000003</v>
      </c>
      <c r="J178" s="812">
        <f t="shared" si="31"/>
        <v>127125.25999999998</v>
      </c>
      <c r="K178" s="812">
        <f t="shared" si="31"/>
        <v>135202.69</v>
      </c>
      <c r="L178" s="812">
        <f t="shared" si="31"/>
        <v>147740.46</v>
      </c>
      <c r="M178" s="812">
        <f t="shared" si="31"/>
        <v>153612.56</v>
      </c>
      <c r="N178" s="812">
        <f t="shared" si="31"/>
        <v>133102.96000000002</v>
      </c>
      <c r="O178" s="812">
        <f t="shared" si="31"/>
        <v>130447.48000000001</v>
      </c>
      <c r="P178" s="811">
        <f t="shared" si="30"/>
        <v>1609328.49</v>
      </c>
    </row>
    <row r="179" spans="1:16">
      <c r="C179" s="481" t="s">
        <v>401</v>
      </c>
      <c r="D179" s="341">
        <v>1297588</v>
      </c>
      <c r="E179" s="452">
        <v>362331</v>
      </c>
      <c r="F179" s="452">
        <v>761639</v>
      </c>
      <c r="G179" s="452">
        <v>3004872</v>
      </c>
      <c r="H179" s="452">
        <v>3430843</v>
      </c>
      <c r="I179" s="452">
        <v>447784</v>
      </c>
      <c r="J179" s="452">
        <v>736401</v>
      </c>
      <c r="K179" s="452">
        <v>1984278</v>
      </c>
      <c r="L179" s="452">
        <v>4334957</v>
      </c>
      <c r="M179" s="452">
        <v>5435910</v>
      </c>
      <c r="N179" s="452">
        <v>1590604</v>
      </c>
      <c r="O179" s="452">
        <v>916410</v>
      </c>
      <c r="P179" s="815">
        <f>SUM(D179:O179)</f>
        <v>24303617</v>
      </c>
    </row>
    <row r="180" spans="1:16">
      <c r="C180" s="481"/>
      <c r="D180" s="341"/>
      <c r="E180" s="452"/>
      <c r="F180" s="452"/>
      <c r="G180" s="452"/>
      <c r="H180" s="452"/>
      <c r="I180" s="452"/>
      <c r="J180" s="452"/>
      <c r="K180" s="452"/>
      <c r="L180" s="452"/>
      <c r="M180" s="452"/>
      <c r="N180" s="452"/>
      <c r="O180" s="452"/>
      <c r="P180" s="815"/>
    </row>
    <row r="181" spans="1:16">
      <c r="A181" s="882"/>
      <c r="C181" s="1025" t="s">
        <v>433</v>
      </c>
      <c r="D181" s="955">
        <v>100000</v>
      </c>
      <c r="E181" s="955">
        <v>100000</v>
      </c>
      <c r="F181" s="955">
        <v>100000</v>
      </c>
      <c r="G181" s="955">
        <v>100000</v>
      </c>
      <c r="H181" s="955">
        <v>100000</v>
      </c>
      <c r="I181" s="955">
        <v>100000</v>
      </c>
      <c r="J181" s="955">
        <v>100000</v>
      </c>
      <c r="K181" s="955">
        <v>100000</v>
      </c>
      <c r="L181" s="955">
        <v>100000</v>
      </c>
      <c r="M181" s="955">
        <v>100000</v>
      </c>
      <c r="N181" s="955">
        <v>100000</v>
      </c>
      <c r="O181" s="955">
        <v>100000</v>
      </c>
      <c r="P181" s="815">
        <f>SUM(D181:O181)</f>
        <v>1200000</v>
      </c>
    </row>
    <row r="182" spans="1:16">
      <c r="A182" s="882"/>
      <c r="C182" s="1025" t="s">
        <v>434</v>
      </c>
      <c r="D182" s="955">
        <v>200000.00000000003</v>
      </c>
      <c r="E182" s="955">
        <v>200000.00000000003</v>
      </c>
      <c r="F182" s="955">
        <v>200000.00000000003</v>
      </c>
      <c r="G182" s="955">
        <v>200000</v>
      </c>
      <c r="H182" s="955">
        <v>200000</v>
      </c>
      <c r="I182" s="955">
        <v>200000</v>
      </c>
      <c r="J182" s="955">
        <v>200000</v>
      </c>
      <c r="K182" s="955">
        <v>200000</v>
      </c>
      <c r="L182" s="955">
        <v>200000</v>
      </c>
      <c r="M182" s="955">
        <v>200000</v>
      </c>
      <c r="N182" s="955">
        <v>200000</v>
      </c>
      <c r="O182" s="955">
        <v>200000</v>
      </c>
      <c r="P182" s="815">
        <f>SUM(D182:O182)</f>
        <v>2400000</v>
      </c>
    </row>
    <row r="183" spans="1:16">
      <c r="A183" s="882"/>
      <c r="C183" s="1025" t="s">
        <v>434</v>
      </c>
      <c r="D183" s="955">
        <v>200000</v>
      </c>
      <c r="E183" s="955">
        <v>62330.79526226734</v>
      </c>
      <c r="F183" s="955">
        <v>200000</v>
      </c>
      <c r="G183" s="955">
        <v>200000</v>
      </c>
      <c r="H183" s="955">
        <v>200000</v>
      </c>
      <c r="I183" s="955">
        <v>147784.11405295317</v>
      </c>
      <c r="J183" s="955">
        <v>200000</v>
      </c>
      <c r="K183" s="955">
        <v>200000</v>
      </c>
      <c r="L183" s="955">
        <v>200000</v>
      </c>
      <c r="M183" s="955">
        <v>200000</v>
      </c>
      <c r="N183" s="955">
        <v>200000</v>
      </c>
      <c r="O183" s="955">
        <v>200000</v>
      </c>
      <c r="P183" s="815">
        <f>SUM(D183:O183)</f>
        <v>2210114.9093152205</v>
      </c>
    </row>
    <row r="184" spans="1:16">
      <c r="A184" s="882"/>
      <c r="C184" s="1025" t="s">
        <v>435</v>
      </c>
      <c r="D184" s="955">
        <v>797587.18861209962</v>
      </c>
      <c r="E184" s="955">
        <v>0</v>
      </c>
      <c r="F184" s="955">
        <v>261639</v>
      </c>
      <c r="G184" s="955">
        <v>2504872.1804511282</v>
      </c>
      <c r="H184" s="955">
        <v>2930843.3583959904</v>
      </c>
      <c r="I184" s="955">
        <v>0</v>
      </c>
      <c r="J184" s="955">
        <v>236401.00250626568</v>
      </c>
      <c r="K184" s="955">
        <v>1484278.1954887221</v>
      </c>
      <c r="L184" s="955">
        <v>3834957.3934837095</v>
      </c>
      <c r="M184" s="955">
        <v>4935909.7744360901</v>
      </c>
      <c r="N184" s="955">
        <v>1090604.0100250628</v>
      </c>
      <c r="O184" s="955">
        <v>416409.77443609026</v>
      </c>
      <c r="P184" s="815">
        <f>SUM(D184:O184)</f>
        <v>18493501.877835158</v>
      </c>
    </row>
    <row r="185" spans="1:16">
      <c r="A185" s="882"/>
      <c r="C185" s="481"/>
      <c r="D185" s="825"/>
      <c r="E185" s="825"/>
      <c r="F185" s="825"/>
      <c r="G185" s="825"/>
      <c r="H185" s="825"/>
      <c r="I185" s="825"/>
      <c r="J185" s="825"/>
      <c r="K185" s="825"/>
      <c r="L185" s="825"/>
      <c r="M185" s="825"/>
      <c r="N185" s="825"/>
      <c r="O185" s="825"/>
      <c r="P185" s="815"/>
    </row>
    <row r="186" spans="1:16">
      <c r="D186" s="811"/>
      <c r="E186" s="812"/>
      <c r="F186" s="812"/>
      <c r="G186" s="812"/>
      <c r="H186" s="812"/>
      <c r="I186" s="812"/>
      <c r="J186" s="812"/>
      <c r="K186" s="812"/>
      <c r="L186" s="812"/>
      <c r="M186" s="812"/>
      <c r="N186" s="812"/>
      <c r="O186" s="812"/>
      <c r="P186" s="811"/>
    </row>
    <row r="187" spans="1:16">
      <c r="C187" s="873" t="s">
        <v>123</v>
      </c>
      <c r="D187" s="811"/>
      <c r="E187" s="812"/>
      <c r="F187" s="812"/>
      <c r="G187" s="812"/>
      <c r="H187" s="812"/>
      <c r="I187" s="812"/>
      <c r="J187" s="812"/>
      <c r="K187" s="812"/>
      <c r="L187" s="812"/>
      <c r="M187" s="812"/>
      <c r="N187" s="812"/>
      <c r="O187" s="812"/>
      <c r="P187" s="811"/>
    </row>
    <row r="188" spans="1:16" ht="30">
      <c r="B188" s="873" t="str">
        <f>$C$187</f>
        <v>CNGWA503</v>
      </c>
      <c r="C188" s="883" t="s">
        <v>411</v>
      </c>
      <c r="D188" s="811"/>
      <c r="E188" s="812"/>
      <c r="F188" s="812"/>
      <c r="G188" s="812"/>
      <c r="H188" s="812"/>
      <c r="I188" s="812"/>
      <c r="J188" s="812"/>
      <c r="K188" s="812"/>
      <c r="L188" s="812"/>
      <c r="M188" s="812"/>
      <c r="N188" s="812">
        <v>0</v>
      </c>
      <c r="O188" s="812"/>
      <c r="P188" s="811">
        <f t="shared" ref="P188:P223" si="32">SUM(D188:O188)</f>
        <v>0</v>
      </c>
    </row>
    <row r="189" spans="1:16">
      <c r="B189" s="873" t="str">
        <f t="shared" ref="B189:B222" si="33">$C$187</f>
        <v>CNGWA503</v>
      </c>
      <c r="C189" s="873" t="s">
        <v>389</v>
      </c>
      <c r="D189" s="811">
        <v>9399297.379999999</v>
      </c>
      <c r="E189" s="812">
        <v>7673437.6399999969</v>
      </c>
      <c r="F189" s="812">
        <v>7730075.2899999954</v>
      </c>
      <c r="G189" s="812">
        <v>6105966.870000002</v>
      </c>
      <c r="H189" s="812">
        <v>2984791.2300000009</v>
      </c>
      <c r="I189" s="812">
        <v>2193960.9799999972</v>
      </c>
      <c r="J189" s="812">
        <v>1764116.0399999982</v>
      </c>
      <c r="K189" s="812">
        <v>1197559.06</v>
      </c>
      <c r="L189" s="812">
        <v>1292288.8999999999</v>
      </c>
      <c r="M189" s="812">
        <v>1855089.619999998</v>
      </c>
      <c r="N189" s="812">
        <v>4568134.45</v>
      </c>
      <c r="O189" s="812">
        <v>8031766.2400000021</v>
      </c>
      <c r="P189" s="811">
        <f t="shared" si="32"/>
        <v>54796483.699999996</v>
      </c>
    </row>
    <row r="190" spans="1:16">
      <c r="B190" s="873" t="str">
        <f t="shared" si="33"/>
        <v>CNGWA503</v>
      </c>
      <c r="C190" s="873" t="s">
        <v>439</v>
      </c>
      <c r="D190" s="811"/>
      <c r="E190" s="812"/>
      <c r="F190" s="812"/>
      <c r="G190" s="812">
        <v>-32.6</v>
      </c>
      <c r="H190" s="812">
        <v>-112.93</v>
      </c>
      <c r="I190" s="812">
        <v>-33.22</v>
      </c>
      <c r="J190" s="812">
        <v>-11.39</v>
      </c>
      <c r="K190" s="812"/>
      <c r="L190" s="812"/>
      <c r="M190" s="812"/>
      <c r="N190" s="812"/>
      <c r="O190" s="812"/>
      <c r="P190" s="811">
        <f t="shared" si="32"/>
        <v>-190.14</v>
      </c>
    </row>
    <row r="191" spans="1:16">
      <c r="B191" s="873" t="str">
        <f t="shared" si="33"/>
        <v>CNGWA503</v>
      </c>
      <c r="C191" s="873" t="s">
        <v>403</v>
      </c>
      <c r="D191" s="811">
        <v>978195</v>
      </c>
      <c r="E191" s="812">
        <v>978350</v>
      </c>
      <c r="F191" s="812">
        <v>982830</v>
      </c>
      <c r="G191" s="812">
        <v>981651.2</v>
      </c>
      <c r="H191" s="812">
        <v>980295</v>
      </c>
      <c r="I191" s="812">
        <v>982990</v>
      </c>
      <c r="J191" s="812">
        <v>985565</v>
      </c>
      <c r="K191" s="812">
        <v>984950</v>
      </c>
      <c r="L191" s="812">
        <v>986370</v>
      </c>
      <c r="M191" s="812">
        <v>987685</v>
      </c>
      <c r="N191" s="812">
        <v>990950</v>
      </c>
      <c r="O191" s="812">
        <v>994425</v>
      </c>
      <c r="P191" s="811">
        <f t="shared" si="32"/>
        <v>11814256.199999999</v>
      </c>
    </row>
    <row r="192" spans="1:16">
      <c r="B192" s="873" t="str">
        <f t="shared" si="33"/>
        <v>CNGWA503</v>
      </c>
      <c r="C192" s="873" t="s">
        <v>440</v>
      </c>
      <c r="D192" s="811"/>
      <c r="E192" s="812"/>
      <c r="F192" s="812">
        <v>-5</v>
      </c>
      <c r="G192" s="812">
        <v>-5</v>
      </c>
      <c r="H192" s="812"/>
      <c r="I192" s="812"/>
      <c r="J192" s="812"/>
      <c r="K192" s="812"/>
      <c r="L192" s="812">
        <v>-5</v>
      </c>
      <c r="M192" s="812"/>
      <c r="N192" s="812"/>
      <c r="O192" s="812"/>
      <c r="P192" s="811">
        <f t="shared" si="32"/>
        <v>-15</v>
      </c>
    </row>
    <row r="193" spans="2:16">
      <c r="B193" s="873" t="str">
        <f t="shared" si="33"/>
        <v>CNGWA503</v>
      </c>
      <c r="C193" s="873" t="s">
        <v>392</v>
      </c>
      <c r="D193" s="811">
        <v>1011202.2400000006</v>
      </c>
      <c r="E193" s="812">
        <v>829353.32000000076</v>
      </c>
      <c r="F193" s="812">
        <v>824094.35</v>
      </c>
      <c r="G193" s="812">
        <v>667158.14999999979</v>
      </c>
      <c r="H193" s="812">
        <v>349214.28000000014</v>
      </c>
      <c r="I193" s="812">
        <v>267819.77000000008</v>
      </c>
      <c r="J193" s="812">
        <v>225428.44000000012</v>
      </c>
      <c r="K193" s="812">
        <v>171494.75000000015</v>
      </c>
      <c r="L193" s="812">
        <v>178949.18000000014</v>
      </c>
      <c r="M193" s="812">
        <v>234157.33000000019</v>
      </c>
      <c r="N193" s="812">
        <v>509351.94000000012</v>
      </c>
      <c r="O193" s="812">
        <v>902920.71999999974</v>
      </c>
      <c r="P193" s="811">
        <f t="shared" si="32"/>
        <v>6171144.4700000016</v>
      </c>
    </row>
    <row r="194" spans="2:16">
      <c r="B194" s="873" t="str">
        <f t="shared" si="33"/>
        <v>CNGWA503</v>
      </c>
      <c r="C194" s="873" t="s">
        <v>441</v>
      </c>
      <c r="D194" s="811"/>
      <c r="E194" s="812"/>
      <c r="F194" s="812">
        <v>-0.32</v>
      </c>
      <c r="G194" s="812">
        <v>-2.44</v>
      </c>
      <c r="H194" s="812">
        <v>-8.85</v>
      </c>
      <c r="I194" s="812">
        <v>-2.7699999999999996</v>
      </c>
      <c r="J194" s="812">
        <v>-1.2400000000000002</v>
      </c>
      <c r="K194" s="812"/>
      <c r="L194" s="812">
        <v>-0.46</v>
      </c>
      <c r="M194" s="812"/>
      <c r="N194" s="812"/>
      <c r="O194" s="812"/>
      <c r="P194" s="811">
        <f t="shared" si="32"/>
        <v>-16.079999999999998</v>
      </c>
    </row>
    <row r="195" spans="2:16">
      <c r="B195" s="873" t="str">
        <f t="shared" si="33"/>
        <v>CNGWA503</v>
      </c>
      <c r="C195" s="873" t="s">
        <v>442</v>
      </c>
      <c r="D195" s="811"/>
      <c r="E195" s="812">
        <v>-10.370000000000001</v>
      </c>
      <c r="F195" s="812"/>
      <c r="G195" s="812"/>
      <c r="H195" s="812"/>
      <c r="I195" s="812"/>
      <c r="J195" s="812"/>
      <c r="K195" s="812"/>
      <c r="L195" s="812"/>
      <c r="M195" s="812"/>
      <c r="N195" s="812"/>
      <c r="O195" s="812"/>
      <c r="P195" s="811">
        <f t="shared" si="32"/>
        <v>-10.370000000000001</v>
      </c>
    </row>
    <row r="196" spans="2:16">
      <c r="B196" s="873" t="str">
        <f t="shared" si="33"/>
        <v>CNGWA503</v>
      </c>
      <c r="C196" s="873" t="s">
        <v>443</v>
      </c>
      <c r="D196" s="811">
        <v>563972.3399999995</v>
      </c>
      <c r="E196" s="812">
        <v>460477.70999999822</v>
      </c>
      <c r="F196" s="812">
        <v>463846.70000000019</v>
      </c>
      <c r="G196" s="812">
        <v>366398.14999999915</v>
      </c>
      <c r="H196" s="812">
        <v>179106.00999999998</v>
      </c>
      <c r="I196" s="812">
        <v>131662.06</v>
      </c>
      <c r="J196" s="812">
        <v>105869.74999999997</v>
      </c>
      <c r="K196" s="812">
        <v>71871.949999999924</v>
      </c>
      <c r="L196" s="812">
        <v>77555.399999999921</v>
      </c>
      <c r="M196" s="812">
        <v>111334.88999999994</v>
      </c>
      <c r="N196" s="812">
        <v>274847.96000000008</v>
      </c>
      <c r="O196" s="812">
        <v>485550.01000000047</v>
      </c>
      <c r="P196" s="811">
        <f t="shared" si="32"/>
        <v>3292492.9299999969</v>
      </c>
    </row>
    <row r="197" spans="2:16" ht="30">
      <c r="B197" s="873" t="str">
        <f t="shared" si="33"/>
        <v>CNGWA503</v>
      </c>
      <c r="C197" s="883" t="s">
        <v>444</v>
      </c>
      <c r="D197" s="811"/>
      <c r="E197" s="812"/>
      <c r="F197" s="812"/>
      <c r="G197" s="812">
        <v>-1.8699999999999999</v>
      </c>
      <c r="H197" s="812">
        <v>-6.8100000000000005</v>
      </c>
      <c r="I197" s="812"/>
      <c r="J197" s="812"/>
      <c r="K197" s="812"/>
      <c r="L197" s="812"/>
      <c r="M197" s="812"/>
      <c r="N197" s="812"/>
      <c r="O197" s="812"/>
      <c r="P197" s="811">
        <f t="shared" si="32"/>
        <v>-8.68</v>
      </c>
    </row>
    <row r="198" spans="2:16" ht="30">
      <c r="B198" s="873" t="str">
        <f t="shared" si="33"/>
        <v>CNGWA503</v>
      </c>
      <c r="C198" s="883" t="s">
        <v>445</v>
      </c>
      <c r="D198" s="811"/>
      <c r="E198" s="812"/>
      <c r="F198" s="812"/>
      <c r="G198" s="812"/>
      <c r="H198" s="812"/>
      <c r="I198" s="812">
        <v>-2.0100000000000002</v>
      </c>
      <c r="J198" s="812">
        <v>-0.67999999999999994</v>
      </c>
      <c r="K198" s="812"/>
      <c r="L198" s="812"/>
      <c r="M198" s="812"/>
      <c r="N198" s="812"/>
      <c r="O198" s="812"/>
      <c r="P198" s="811">
        <f t="shared" si="32"/>
        <v>-2.6900000000000004</v>
      </c>
    </row>
    <row r="199" spans="2:16">
      <c r="B199" s="873" t="str">
        <f t="shared" si="33"/>
        <v>CNGWA503</v>
      </c>
      <c r="C199" s="873" t="s">
        <v>394</v>
      </c>
      <c r="D199" s="811">
        <v>298282.56000000011</v>
      </c>
      <c r="E199" s="812">
        <v>243466.77000000034</v>
      </c>
      <c r="F199" s="812">
        <v>245230.04000000007</v>
      </c>
      <c r="G199" s="812">
        <v>193658.90000000017</v>
      </c>
      <c r="H199" s="812">
        <v>94679.579999999813</v>
      </c>
      <c r="I199" s="812">
        <v>69629.079999999871</v>
      </c>
      <c r="J199" s="812">
        <v>55970.019999999902</v>
      </c>
      <c r="K199" s="812">
        <v>38013.54999999993</v>
      </c>
      <c r="L199" s="812">
        <v>41005.909999999923</v>
      </c>
      <c r="M199" s="812">
        <v>58867.069999999927</v>
      </c>
      <c r="N199" s="812">
        <v>63291.76999999999</v>
      </c>
      <c r="O199" s="812">
        <v>-159971.67999999988</v>
      </c>
      <c r="P199" s="811">
        <f t="shared" si="32"/>
        <v>1242123.5699999998</v>
      </c>
    </row>
    <row r="200" spans="2:16">
      <c r="B200" s="873" t="str">
        <f t="shared" si="33"/>
        <v>CNGWA503</v>
      </c>
      <c r="C200" s="873" t="s">
        <v>446</v>
      </c>
      <c r="D200" s="811"/>
      <c r="E200" s="812"/>
      <c r="F200" s="812"/>
      <c r="G200" s="812">
        <v>1.51</v>
      </c>
      <c r="H200" s="812">
        <v>5.71</v>
      </c>
      <c r="I200" s="812">
        <v>-0.73</v>
      </c>
      <c r="J200" s="812">
        <v>-0.37</v>
      </c>
      <c r="K200" s="812"/>
      <c r="L200" s="812"/>
      <c r="M200" s="812"/>
      <c r="N200" s="812"/>
      <c r="O200" s="812"/>
      <c r="P200" s="811">
        <f t="shared" si="32"/>
        <v>6.12</v>
      </c>
    </row>
    <row r="201" spans="2:16">
      <c r="B201" s="873" t="str">
        <f t="shared" si="33"/>
        <v>CNGWA503</v>
      </c>
      <c r="C201" s="873" t="s">
        <v>389</v>
      </c>
      <c r="D201" s="811">
        <v>-48.33</v>
      </c>
      <c r="E201" s="812">
        <v>-27.479999999999997</v>
      </c>
      <c r="F201" s="812">
        <v>-26.8</v>
      </c>
      <c r="G201" s="812">
        <v>-5.24</v>
      </c>
      <c r="H201" s="812">
        <v>-0.59000000000000008</v>
      </c>
      <c r="I201" s="812">
        <v>-7.98</v>
      </c>
      <c r="J201" s="812">
        <v>-4.2299999999999995</v>
      </c>
      <c r="K201" s="812">
        <v>-2.31</v>
      </c>
      <c r="L201" s="812"/>
      <c r="M201" s="812">
        <v>-3.2399999999999993</v>
      </c>
      <c r="N201" s="812">
        <v>-0.24999999999999989</v>
      </c>
      <c r="O201" s="812">
        <v>-0.22000000000000003</v>
      </c>
      <c r="P201" s="811">
        <f t="shared" si="32"/>
        <v>-126.67</v>
      </c>
    </row>
    <row r="202" spans="2:16">
      <c r="B202" s="873" t="str">
        <f t="shared" si="33"/>
        <v>CNGWA503</v>
      </c>
      <c r="C202" s="873" t="s">
        <v>439</v>
      </c>
      <c r="D202" s="811"/>
      <c r="E202" s="812"/>
      <c r="F202" s="812"/>
      <c r="G202" s="812">
        <v>-0.71000000000000008</v>
      </c>
      <c r="H202" s="812">
        <v>-4.03</v>
      </c>
      <c r="I202" s="812">
        <v>-7.0000000000000007E-2</v>
      </c>
      <c r="J202" s="812">
        <v>0</v>
      </c>
      <c r="K202" s="812"/>
      <c r="L202" s="812"/>
      <c r="M202" s="812"/>
      <c r="N202" s="812"/>
      <c r="O202" s="812"/>
      <c r="P202" s="811">
        <f t="shared" si="32"/>
        <v>-4.8100000000000005</v>
      </c>
    </row>
    <row r="203" spans="2:16">
      <c r="B203" s="873" t="str">
        <f t="shared" si="33"/>
        <v>CNGWA503</v>
      </c>
      <c r="C203" s="873" t="s">
        <v>395</v>
      </c>
      <c r="D203" s="811">
        <v>71477.799999999974</v>
      </c>
      <c r="E203" s="812">
        <v>58357.67</v>
      </c>
      <c r="F203" s="812">
        <v>58777.049999999996</v>
      </c>
      <c r="G203" s="812">
        <v>46433.709999999985</v>
      </c>
      <c r="H203" s="812">
        <v>22693.700000000026</v>
      </c>
      <c r="I203" s="812">
        <v>16674.870000000006</v>
      </c>
      <c r="J203" s="812">
        <v>13407.750000000009</v>
      </c>
      <c r="K203" s="812">
        <v>9096.6600000000126</v>
      </c>
      <c r="L203" s="812">
        <v>9816.9700000000139</v>
      </c>
      <c r="M203" s="812">
        <v>14090.250000000018</v>
      </c>
      <c r="N203" s="812">
        <v>34834.400000000023</v>
      </c>
      <c r="O203" s="812">
        <v>61583.609999999986</v>
      </c>
      <c r="P203" s="811">
        <f t="shared" si="32"/>
        <v>417244.44000000006</v>
      </c>
    </row>
    <row r="204" spans="2:16">
      <c r="B204" s="873" t="str">
        <f t="shared" si="33"/>
        <v>CNGWA503</v>
      </c>
      <c r="C204" s="883" t="s">
        <v>447</v>
      </c>
      <c r="D204" s="811"/>
      <c r="E204" s="812"/>
      <c r="F204" s="812"/>
      <c r="G204" s="812">
        <v>-0.47</v>
      </c>
      <c r="H204" s="812">
        <v>-0.85</v>
      </c>
      <c r="I204" s="812">
        <v>-0.61</v>
      </c>
      <c r="J204" s="812">
        <v>-0.08</v>
      </c>
      <c r="K204" s="812"/>
      <c r="L204" s="812"/>
      <c r="M204" s="812"/>
      <c r="N204" s="812"/>
      <c r="O204" s="812"/>
      <c r="P204" s="811">
        <f t="shared" si="32"/>
        <v>-2.0099999999999998</v>
      </c>
    </row>
    <row r="205" spans="2:16">
      <c r="B205" s="873" t="str">
        <f t="shared" si="33"/>
        <v>CNGWA503</v>
      </c>
      <c r="C205" s="873" t="s">
        <v>125</v>
      </c>
      <c r="D205" s="811">
        <v>5833737.5400000066</v>
      </c>
      <c r="E205" s="812">
        <v>4762707.6000000006</v>
      </c>
      <c r="P205" s="811">
        <f t="shared" si="32"/>
        <v>10596445.140000008</v>
      </c>
    </row>
    <row r="206" spans="2:16">
      <c r="B206" s="873" t="str">
        <f t="shared" si="33"/>
        <v>CNGWA503</v>
      </c>
      <c r="C206" s="873" t="s">
        <v>448</v>
      </c>
      <c r="D206" s="811"/>
      <c r="E206" s="812"/>
      <c r="P206" s="811">
        <f t="shared" si="32"/>
        <v>0</v>
      </c>
    </row>
    <row r="207" spans="2:16">
      <c r="B207" s="873" t="str">
        <f t="shared" si="33"/>
        <v>CNGWA503</v>
      </c>
      <c r="C207" s="873" t="s">
        <v>126</v>
      </c>
      <c r="D207" s="811"/>
      <c r="E207" s="812"/>
      <c r="F207" s="812">
        <v>5029134.4300000006</v>
      </c>
      <c r="G207" s="812">
        <v>4322226.4600000009</v>
      </c>
      <c r="H207" s="812">
        <v>2116022.5599999991</v>
      </c>
      <c r="I207" s="812">
        <v>1555485.449999999</v>
      </c>
      <c r="J207" s="812">
        <v>1250731.1899999988</v>
      </c>
      <c r="K207" s="812">
        <v>849117.63999999908</v>
      </c>
      <c r="L207" s="812">
        <v>916236.84999999939</v>
      </c>
      <c r="M207" s="812">
        <v>1315220.159999999</v>
      </c>
      <c r="N207" s="812">
        <v>3247769.2700000005</v>
      </c>
      <c r="O207" s="812">
        <v>5740869</v>
      </c>
      <c r="P207" s="811">
        <f t="shared" si="32"/>
        <v>26342813.009999994</v>
      </c>
    </row>
    <row r="208" spans="2:16">
      <c r="B208" s="873" t="str">
        <f t="shared" si="33"/>
        <v>CNGWA503</v>
      </c>
      <c r="C208" s="873" t="s">
        <v>449</v>
      </c>
      <c r="D208" s="811"/>
      <c r="E208" s="812"/>
      <c r="F208" s="812"/>
      <c r="G208" s="812">
        <v>-20.599999999999998</v>
      </c>
      <c r="H208" s="812">
        <v>-70.260000000000005</v>
      </c>
      <c r="I208" s="812">
        <v>-20.869999999999997</v>
      </c>
      <c r="J208" s="812">
        <v>-7.48</v>
      </c>
      <c r="K208" s="812"/>
      <c r="L208" s="812"/>
      <c r="M208" s="812"/>
      <c r="N208" s="812"/>
      <c r="O208" s="812"/>
      <c r="P208" s="811">
        <f t="shared" si="32"/>
        <v>-119.21</v>
      </c>
    </row>
    <row r="209" spans="2:16">
      <c r="B209" s="873" t="str">
        <f t="shared" si="33"/>
        <v>CNGWA503</v>
      </c>
      <c r="C209" s="873" t="s">
        <v>396</v>
      </c>
      <c r="D209" s="811">
        <v>-172833.93999999989</v>
      </c>
      <c r="E209" s="812">
        <v>-141118.89999999991</v>
      </c>
      <c r="F209" s="812">
        <v>-142143.19999999998</v>
      </c>
      <c r="G209" s="812">
        <v>-112274.02999999994</v>
      </c>
      <c r="H209" s="812">
        <v>-54890.619999999966</v>
      </c>
      <c r="I209" s="812">
        <v>-40366.319999999978</v>
      </c>
      <c r="J209" s="812">
        <v>-32452.51000000002</v>
      </c>
      <c r="K209" s="812">
        <v>-22000.320000000022</v>
      </c>
      <c r="L209" s="812">
        <v>-23749.850000000024</v>
      </c>
      <c r="M209" s="812">
        <v>-34118.529999999992</v>
      </c>
      <c r="N209" s="812">
        <v>-81092.709999999992</v>
      </c>
      <c r="O209" s="812">
        <v>-132948.65999999997</v>
      </c>
      <c r="P209" s="811">
        <f t="shared" si="32"/>
        <v>-989989.58999999962</v>
      </c>
    </row>
    <row r="210" spans="2:16" ht="30">
      <c r="B210" s="873" t="str">
        <f t="shared" si="33"/>
        <v>CNGWA503</v>
      </c>
      <c r="C210" s="883" t="s">
        <v>450</v>
      </c>
      <c r="D210" s="811"/>
      <c r="E210" s="812"/>
      <c r="F210" s="812"/>
      <c r="G210" s="812">
        <v>0.21999999999999997</v>
      </c>
      <c r="H210" s="812">
        <v>1.8000000000000003</v>
      </c>
      <c r="I210" s="812">
        <v>0.47</v>
      </c>
      <c r="J210" s="812">
        <v>0.21</v>
      </c>
      <c r="K210" s="812"/>
      <c r="L210" s="812"/>
      <c r="M210" s="812"/>
      <c r="N210" s="812"/>
      <c r="O210" s="812"/>
      <c r="P210" s="811">
        <f t="shared" si="32"/>
        <v>2.7</v>
      </c>
    </row>
    <row r="211" spans="2:16">
      <c r="B211" s="873" t="str">
        <f t="shared" si="33"/>
        <v>CNGWA503</v>
      </c>
      <c r="C211" s="873" t="s">
        <v>397</v>
      </c>
      <c r="D211" s="811">
        <v>334538.43999999977</v>
      </c>
      <c r="E211" s="812">
        <v>273132.32999999949</v>
      </c>
      <c r="F211" s="812">
        <v>202586.01999999979</v>
      </c>
      <c r="G211" s="812">
        <v>50324.969999999965</v>
      </c>
      <c r="H211" s="812">
        <v>23612.620000000024</v>
      </c>
      <c r="I211" s="812">
        <v>17333.97</v>
      </c>
      <c r="J211" s="812">
        <v>13932.879999999986</v>
      </c>
      <c r="K211" s="812">
        <v>9458.6400000000103</v>
      </c>
      <c r="L211" s="812">
        <v>10213.560000000005</v>
      </c>
      <c r="M211" s="812">
        <v>14665.99</v>
      </c>
      <c r="N211" s="812">
        <v>51612.759999999973</v>
      </c>
      <c r="O211" s="812">
        <v>142157.41999999995</v>
      </c>
      <c r="P211" s="811">
        <f t="shared" si="32"/>
        <v>1143569.5999999992</v>
      </c>
    </row>
    <row r="212" spans="2:16">
      <c r="B212" s="873" t="str">
        <f t="shared" si="33"/>
        <v>CNGWA503</v>
      </c>
      <c r="C212" s="883" t="s">
        <v>451</v>
      </c>
      <c r="D212" s="811"/>
      <c r="E212" s="812"/>
      <c r="F212" s="812"/>
      <c r="G212" s="812">
        <v>-0.81</v>
      </c>
      <c r="H212" s="812">
        <v>-3.25</v>
      </c>
      <c r="I212" s="812">
        <v>-1.19</v>
      </c>
      <c r="J212" s="812">
        <v>-0.25</v>
      </c>
      <c r="K212" s="812"/>
      <c r="L212" s="812"/>
      <c r="M212" s="812"/>
      <c r="N212" s="812"/>
      <c r="O212" s="812"/>
      <c r="P212" s="811">
        <f t="shared" si="32"/>
        <v>-5.5</v>
      </c>
    </row>
    <row r="213" spans="2:16">
      <c r="B213" s="873" t="str">
        <f t="shared" si="33"/>
        <v>CNGWA503</v>
      </c>
      <c r="C213" s="873" t="s">
        <v>452</v>
      </c>
      <c r="D213" s="811">
        <v>-113.48999999999998</v>
      </c>
      <c r="E213" s="812">
        <v>-104.9</v>
      </c>
      <c r="F213" s="812">
        <v>-108.03</v>
      </c>
      <c r="G213" s="812">
        <v>-94.38</v>
      </c>
      <c r="H213" s="812">
        <v>-54.34</v>
      </c>
      <c r="I213" s="812">
        <v>-42.33</v>
      </c>
      <c r="J213" s="812">
        <v>-31.439999999999998</v>
      </c>
      <c r="K213" s="812">
        <v>-24.629999999999995</v>
      </c>
      <c r="L213" s="812">
        <v>-29.569999999999997</v>
      </c>
      <c r="M213" s="812">
        <v>-34.43</v>
      </c>
      <c r="N213" s="812">
        <v>-66.739999999999995</v>
      </c>
      <c r="O213" s="812">
        <v>-115.84</v>
      </c>
      <c r="P213" s="811">
        <f t="shared" si="32"/>
        <v>-820.12000000000012</v>
      </c>
    </row>
    <row r="214" spans="2:16">
      <c r="B214" s="873" t="str">
        <f t="shared" si="33"/>
        <v>CNGWA503</v>
      </c>
      <c r="C214" s="873" t="s">
        <v>453</v>
      </c>
      <c r="D214" s="811">
        <v>32.97</v>
      </c>
      <c r="E214" s="812">
        <v>15.27</v>
      </c>
      <c r="F214" s="812">
        <v>11.43</v>
      </c>
      <c r="G214" s="812">
        <v>1.01</v>
      </c>
      <c r="H214" s="812">
        <v>0.47</v>
      </c>
      <c r="I214" s="812">
        <v>6.3100000000000005</v>
      </c>
      <c r="J214" s="812">
        <v>3.3099999999999996</v>
      </c>
      <c r="K214" s="812">
        <v>1.8199999999999996</v>
      </c>
      <c r="L214" s="812"/>
      <c r="M214" s="812">
        <v>2.5700000000000003</v>
      </c>
      <c r="N214" s="812">
        <v>0.1999999999999999</v>
      </c>
      <c r="O214" s="812">
        <v>0.18</v>
      </c>
      <c r="P214" s="811">
        <f t="shared" si="32"/>
        <v>75.540000000000006</v>
      </c>
    </row>
    <row r="215" spans="2:16">
      <c r="B215" s="873" t="str">
        <f t="shared" si="33"/>
        <v>CNGWA503</v>
      </c>
      <c r="C215" s="883" t="s">
        <v>454</v>
      </c>
      <c r="D215" s="811"/>
      <c r="E215" s="812"/>
      <c r="F215" s="812"/>
      <c r="G215" s="812">
        <v>0.43000000000000005</v>
      </c>
      <c r="H215" s="812">
        <v>1.46</v>
      </c>
      <c r="I215" s="812">
        <v>0.05</v>
      </c>
      <c r="J215" s="812">
        <v>0</v>
      </c>
      <c r="K215" s="812"/>
      <c r="L215" s="812"/>
      <c r="M215" s="812"/>
      <c r="N215" s="812"/>
      <c r="O215" s="812"/>
      <c r="P215" s="811">
        <f t="shared" si="32"/>
        <v>1.9400000000000002</v>
      </c>
    </row>
    <row r="216" spans="2:16">
      <c r="B216" s="873" t="str">
        <f t="shared" si="33"/>
        <v>CNGWA503</v>
      </c>
      <c r="C216" s="873" t="s">
        <v>398</v>
      </c>
      <c r="D216" s="811">
        <v>2901790.4699999988</v>
      </c>
      <c r="E216" s="812">
        <v>2369129.9599999995</v>
      </c>
      <c r="F216" s="812">
        <v>2386360.7799999998</v>
      </c>
      <c r="G216" s="812">
        <v>1884857.0600000003</v>
      </c>
      <c r="H216" s="812">
        <v>921373.03999999992</v>
      </c>
      <c r="I216" s="812">
        <v>677316.45999999985</v>
      </c>
      <c r="J216" s="812">
        <v>544617.45999999926</v>
      </c>
      <c r="K216" s="812">
        <v>369724.75999999826</v>
      </c>
      <c r="L216" s="812">
        <v>398944.36999999837</v>
      </c>
      <c r="M216" s="812">
        <v>572702.19999999925</v>
      </c>
      <c r="N216" s="812">
        <v>1464150.76</v>
      </c>
      <c r="O216" s="812">
        <v>2753609.5599999996</v>
      </c>
      <c r="P216" s="811">
        <f t="shared" si="32"/>
        <v>17244576.879999992</v>
      </c>
    </row>
    <row r="217" spans="2:16">
      <c r="B217" s="873" t="str">
        <f t="shared" si="33"/>
        <v>CNGWA503</v>
      </c>
      <c r="C217" s="883" t="s">
        <v>455</v>
      </c>
      <c r="D217" s="811"/>
      <c r="E217" s="812"/>
      <c r="F217" s="812"/>
      <c r="G217" s="812">
        <v>-1.1800000000000002</v>
      </c>
      <c r="H217" s="812">
        <v>-9.93</v>
      </c>
      <c r="I217" s="812">
        <v>-9.83</v>
      </c>
      <c r="J217" s="812">
        <v>-3.5300000000000002</v>
      </c>
      <c r="K217" s="812"/>
      <c r="L217" s="812"/>
      <c r="M217" s="812"/>
      <c r="N217" s="812"/>
      <c r="O217" s="812"/>
      <c r="P217" s="811">
        <f t="shared" si="32"/>
        <v>-24.47</v>
      </c>
    </row>
    <row r="218" spans="2:16">
      <c r="B218" s="873" t="str">
        <f t="shared" si="33"/>
        <v>CNGWA503</v>
      </c>
      <c r="C218" s="873" t="s">
        <v>399</v>
      </c>
      <c r="D218" s="811">
        <v>-64439.76</v>
      </c>
      <c r="E218" s="812">
        <v>-52631.25999999998</v>
      </c>
      <c r="F218" s="812">
        <v>-53083.450000000004</v>
      </c>
      <c r="G218" s="812">
        <v>-41923.639999999978</v>
      </c>
      <c r="H218" s="812">
        <v>-20522.020000000048</v>
      </c>
      <c r="I218" s="812">
        <v>-15099.749999999998</v>
      </c>
      <c r="J218" s="812">
        <v>-12140.44</v>
      </c>
      <c r="K218" s="812">
        <v>-8274.4900000000162</v>
      </c>
      <c r="L218" s="812">
        <v>-8921.5800000000145</v>
      </c>
      <c r="M218" s="812">
        <v>-12775.970000000005</v>
      </c>
      <c r="N218" s="812">
        <v>-34221.470000000008</v>
      </c>
      <c r="O218" s="812">
        <v>-69216.959999999963</v>
      </c>
      <c r="P218" s="811">
        <f t="shared" si="32"/>
        <v>-393250.7900000001</v>
      </c>
    </row>
    <row r="219" spans="2:16" ht="30">
      <c r="B219" s="873" t="str">
        <f t="shared" si="33"/>
        <v>CNGWA503</v>
      </c>
      <c r="C219" s="883" t="s">
        <v>456</v>
      </c>
      <c r="D219" s="811"/>
      <c r="E219" s="812"/>
      <c r="F219" s="812"/>
      <c r="G219" s="812">
        <v>0.3</v>
      </c>
      <c r="H219" s="812">
        <v>0.85999999999999988</v>
      </c>
      <c r="I219" s="812">
        <v>0.24000000000000005</v>
      </c>
      <c r="J219" s="812">
        <v>0.08</v>
      </c>
      <c r="K219" s="812"/>
      <c r="L219" s="812"/>
      <c r="M219" s="812"/>
      <c r="N219" s="812"/>
      <c r="O219" s="812"/>
      <c r="P219" s="811">
        <f t="shared" si="32"/>
        <v>1.48</v>
      </c>
    </row>
    <row r="220" spans="2:16">
      <c r="B220" s="873" t="str">
        <f t="shared" si="33"/>
        <v>CNGWA503</v>
      </c>
      <c r="C220" s="873" t="s">
        <v>457</v>
      </c>
      <c r="D220" s="811">
        <v>3878.3200000000006</v>
      </c>
      <c r="E220" s="812">
        <v>2876.42</v>
      </c>
      <c r="F220" s="812">
        <v>2858.8</v>
      </c>
      <c r="G220" s="812">
        <v>1787.7600000000002</v>
      </c>
      <c r="H220" s="812">
        <v>785.62</v>
      </c>
      <c r="I220" s="812">
        <v>680.82</v>
      </c>
      <c r="J220" s="812">
        <v>591.69000000000005</v>
      </c>
      <c r="K220" s="812">
        <v>506.82000000000005</v>
      </c>
      <c r="L220" s="812">
        <v>578.59</v>
      </c>
      <c r="M220" s="812">
        <v>622.11000000000013</v>
      </c>
      <c r="N220" s="812">
        <v>2033.5000000000005</v>
      </c>
      <c r="O220" s="812">
        <v>3742.66</v>
      </c>
      <c r="P220" s="811">
        <f t="shared" si="32"/>
        <v>20943.110000000004</v>
      </c>
    </row>
    <row r="221" spans="2:16">
      <c r="B221" s="873" t="str">
        <f t="shared" si="33"/>
        <v>CNGWA503</v>
      </c>
      <c r="C221" s="873" t="s">
        <v>458</v>
      </c>
      <c r="D221" s="811"/>
      <c r="E221" s="812"/>
      <c r="F221" s="812"/>
      <c r="G221" s="812"/>
      <c r="H221" s="812">
        <v>-0.2</v>
      </c>
      <c r="I221" s="812"/>
      <c r="J221" s="812"/>
      <c r="K221" s="812"/>
      <c r="L221" s="812"/>
      <c r="M221" s="812"/>
      <c r="N221" s="812"/>
      <c r="O221" s="812"/>
      <c r="P221" s="811">
        <f t="shared" si="32"/>
        <v>-0.2</v>
      </c>
    </row>
    <row r="222" spans="2:16">
      <c r="B222" s="873" t="str">
        <f t="shared" si="33"/>
        <v>CNGWA503</v>
      </c>
      <c r="C222" s="1" t="s">
        <v>133</v>
      </c>
      <c r="D222" s="811"/>
      <c r="E222" s="812">
        <v>-2.0499999999999998</v>
      </c>
      <c r="F222" s="812"/>
      <c r="G222" s="812"/>
      <c r="H222" s="812"/>
      <c r="I222" s="812"/>
      <c r="J222" s="812"/>
      <c r="K222" s="812"/>
      <c r="L222" s="812"/>
      <c r="M222" s="812"/>
      <c r="N222" s="812"/>
      <c r="O222" s="812"/>
      <c r="P222" s="811">
        <f t="shared" si="32"/>
        <v>-2.0499999999999998</v>
      </c>
    </row>
    <row r="223" spans="2:16">
      <c r="C223" s="481" t="s">
        <v>400</v>
      </c>
      <c r="D223" s="811">
        <f t="shared" ref="D223:O223" si="34">SUM(D188:D222)</f>
        <v>21158969.540000007</v>
      </c>
      <c r="E223" s="812">
        <f t="shared" si="34"/>
        <v>17457409.729999993</v>
      </c>
      <c r="F223" s="812">
        <f t="shared" si="34"/>
        <v>17730438.09</v>
      </c>
      <c r="G223" s="812">
        <f t="shared" si="34"/>
        <v>14466103.730000002</v>
      </c>
      <c r="H223" s="812">
        <f t="shared" si="34"/>
        <v>7596899.2600000016</v>
      </c>
      <c r="I223" s="812">
        <f t="shared" si="34"/>
        <v>5857972.849999995</v>
      </c>
      <c r="J223" s="812">
        <f t="shared" si="34"/>
        <v>4915580.1799999941</v>
      </c>
      <c r="K223" s="812">
        <f t="shared" si="34"/>
        <v>3671493.8999999971</v>
      </c>
      <c r="L223" s="812">
        <f t="shared" si="34"/>
        <v>3879253.2699999982</v>
      </c>
      <c r="M223" s="812">
        <f t="shared" si="34"/>
        <v>5117505.0199999977</v>
      </c>
      <c r="N223" s="812">
        <f t="shared" si="34"/>
        <v>11091595.839999998</v>
      </c>
      <c r="O223" s="812">
        <f t="shared" si="34"/>
        <v>18754371.039999999</v>
      </c>
      <c r="P223" s="811">
        <f t="shared" si="32"/>
        <v>131697592.44999999</v>
      </c>
    </row>
    <row r="224" spans="2:16">
      <c r="C224" s="481" t="s">
        <v>401</v>
      </c>
      <c r="D224" s="341">
        <v>21443608</v>
      </c>
      <c r="E224" s="452">
        <v>17506775</v>
      </c>
      <c r="F224" s="452">
        <v>17635811</v>
      </c>
      <c r="G224" s="452">
        <v>13930299</v>
      </c>
      <c r="H224" s="452">
        <v>6809502</v>
      </c>
      <c r="I224" s="452">
        <v>5005480</v>
      </c>
      <c r="J224" s="452">
        <v>4024864</v>
      </c>
      <c r="K224" s="452">
        <v>2732363</v>
      </c>
      <c r="L224" s="452">
        <v>2948480</v>
      </c>
      <c r="M224" s="452">
        <v>4232461</v>
      </c>
      <c r="N224" s="452">
        <v>10451912</v>
      </c>
      <c r="O224" s="452">
        <v>18475354</v>
      </c>
      <c r="P224" s="815">
        <f>SUM(D224:O224)</f>
        <v>125196909</v>
      </c>
    </row>
    <row r="225" spans="2:16">
      <c r="D225" s="811"/>
      <c r="E225" s="812"/>
      <c r="F225" s="812"/>
      <c r="G225" s="812"/>
      <c r="H225" s="812"/>
      <c r="I225" s="812"/>
      <c r="J225" s="812"/>
      <c r="K225" s="812"/>
      <c r="L225" s="812"/>
      <c r="M225" s="812"/>
      <c r="N225" s="812"/>
      <c r="O225" s="812"/>
      <c r="P225" s="811"/>
    </row>
    <row r="226" spans="2:16">
      <c r="C226" s="873" t="s">
        <v>150</v>
      </c>
      <c r="D226" s="811"/>
      <c r="E226" s="812"/>
      <c r="F226" s="812"/>
      <c r="G226" s="812"/>
      <c r="H226" s="812"/>
      <c r="I226" s="812"/>
      <c r="J226" s="812"/>
      <c r="K226" s="812"/>
      <c r="L226" s="812"/>
      <c r="M226" s="812"/>
      <c r="N226" s="812"/>
      <c r="O226" s="812"/>
      <c r="P226" s="811"/>
    </row>
    <row r="227" spans="2:16">
      <c r="B227" s="873" t="str">
        <f>$C$226</f>
        <v>CNGWA504</v>
      </c>
      <c r="C227" s="873" t="s">
        <v>411</v>
      </c>
      <c r="D227" s="811">
        <v>0</v>
      </c>
      <c r="E227" s="812"/>
      <c r="F227" s="812"/>
      <c r="G227" s="812"/>
      <c r="H227" s="812">
        <v>0</v>
      </c>
      <c r="I227" s="812"/>
      <c r="J227" s="812"/>
      <c r="K227" s="812"/>
      <c r="L227" s="812"/>
      <c r="M227" s="812"/>
      <c r="N227" s="812">
        <v>0</v>
      </c>
      <c r="O227" s="812"/>
      <c r="P227" s="811">
        <f t="shared" ref="P227:P259" si="35">SUM(D227:O227)</f>
        <v>0</v>
      </c>
    </row>
    <row r="228" spans="2:16">
      <c r="B228" s="873" t="str">
        <f t="shared" ref="B228:B258" si="36">$C$226</f>
        <v>CNGWA504</v>
      </c>
      <c r="C228" s="873" t="s">
        <v>389</v>
      </c>
      <c r="D228" s="811">
        <v>6323676.3399999989</v>
      </c>
      <c r="E228" s="812">
        <v>5227951.46</v>
      </c>
      <c r="F228" s="959">
        <v>5162026.41</v>
      </c>
      <c r="G228" s="959">
        <v>3740894.64</v>
      </c>
      <c r="H228" s="959">
        <v>1806667.7600000005</v>
      </c>
      <c r="I228" s="959">
        <v>1383943.7299999997</v>
      </c>
      <c r="J228" s="959">
        <v>1241520.6899999997</v>
      </c>
      <c r="K228" s="959">
        <v>948859.25999999978</v>
      </c>
      <c r="L228" s="959">
        <v>1073604.7599999995</v>
      </c>
      <c r="M228" s="959">
        <v>1393023.7</v>
      </c>
      <c r="N228" s="959">
        <v>2827668.6</v>
      </c>
      <c r="O228" s="959">
        <v>5201974.55</v>
      </c>
      <c r="P228" s="811">
        <f>SUM(D228:O228)</f>
        <v>36331811.899999999</v>
      </c>
    </row>
    <row r="229" spans="2:16">
      <c r="B229" s="873" t="str">
        <f t="shared" si="36"/>
        <v>CNGWA504</v>
      </c>
      <c r="C229" s="873" t="s">
        <v>439</v>
      </c>
      <c r="D229" s="811">
        <v>-17043.830000000002</v>
      </c>
      <c r="E229" s="812">
        <v>-13666.349999999999</v>
      </c>
      <c r="F229" s="959">
        <v>-16378.46</v>
      </c>
      <c r="G229" s="959">
        <v>-15218.600000000002</v>
      </c>
      <c r="H229" s="959">
        <v>-8726.760000000002</v>
      </c>
      <c r="I229" s="959">
        <v>-7973.5300000000007</v>
      </c>
      <c r="J229" s="959">
        <v>-6010.9699999999993</v>
      </c>
      <c r="K229" s="959">
        <v>-5467.85</v>
      </c>
      <c r="L229" s="959">
        <v>-6260.1900000000005</v>
      </c>
      <c r="M229" s="959">
        <v>-6306.7699999999995</v>
      </c>
      <c r="N229" s="959">
        <v>-8811.84</v>
      </c>
      <c r="O229" s="959">
        <v>-18271.809999999998</v>
      </c>
      <c r="P229" s="811">
        <f t="shared" si="35"/>
        <v>-130136.96000000001</v>
      </c>
    </row>
    <row r="230" spans="2:16">
      <c r="B230" s="873" t="str">
        <f t="shared" si="36"/>
        <v>CNGWA504</v>
      </c>
      <c r="C230" s="873" t="s">
        <v>403</v>
      </c>
      <c r="D230" s="811">
        <v>350922</v>
      </c>
      <c r="E230" s="812">
        <v>350883</v>
      </c>
      <c r="F230" s="959">
        <v>351793</v>
      </c>
      <c r="G230" s="959">
        <v>351390</v>
      </c>
      <c r="H230" s="959">
        <v>349206</v>
      </c>
      <c r="I230" s="959">
        <v>349128</v>
      </c>
      <c r="J230" s="959">
        <v>348400</v>
      </c>
      <c r="K230" s="959">
        <v>347581</v>
      </c>
      <c r="L230" s="959">
        <v>347490</v>
      </c>
      <c r="M230" s="959">
        <v>348062</v>
      </c>
      <c r="N230" s="959">
        <v>349739</v>
      </c>
      <c r="O230" s="959">
        <v>351858</v>
      </c>
      <c r="P230" s="3">
        <f t="shared" si="35"/>
        <v>4196452</v>
      </c>
    </row>
    <row r="231" spans="2:16">
      <c r="B231" s="873" t="str">
        <f t="shared" si="36"/>
        <v>CNGWA504</v>
      </c>
      <c r="C231" s="873" t="s">
        <v>440</v>
      </c>
      <c r="D231" s="811">
        <v>-390</v>
      </c>
      <c r="E231" s="812">
        <v>-351</v>
      </c>
      <c r="F231" s="959">
        <v>-361.32</v>
      </c>
      <c r="G231" s="959">
        <v>-403</v>
      </c>
      <c r="H231" s="959">
        <v>-325</v>
      </c>
      <c r="I231" s="959">
        <v>-364</v>
      </c>
      <c r="J231" s="959">
        <v>-351</v>
      </c>
      <c r="K231" s="959">
        <v>-351</v>
      </c>
      <c r="L231" s="959">
        <v>-364</v>
      </c>
      <c r="M231" s="959">
        <v>-364</v>
      </c>
      <c r="N231" s="959">
        <v>-338</v>
      </c>
      <c r="O231" s="959">
        <v>-455</v>
      </c>
      <c r="P231" s="3">
        <f t="shared" si="35"/>
        <v>-4417.32</v>
      </c>
    </row>
    <row r="232" spans="2:16">
      <c r="B232" s="873" t="str">
        <f t="shared" si="36"/>
        <v>CNGWA504</v>
      </c>
      <c r="C232" s="873" t="s">
        <v>392</v>
      </c>
      <c r="D232" s="811">
        <v>705874.05</v>
      </c>
      <c r="E232" s="812">
        <v>588390.66999999981</v>
      </c>
      <c r="F232" s="959">
        <v>578646.16</v>
      </c>
      <c r="G232" s="959">
        <v>429964.09</v>
      </c>
      <c r="H232" s="959">
        <v>216832.00999999998</v>
      </c>
      <c r="I232" s="959">
        <v>173402.44999999998</v>
      </c>
      <c r="J232" s="959">
        <v>156012.36999999997</v>
      </c>
      <c r="K232" s="959">
        <v>126229.65999999999</v>
      </c>
      <c r="L232" s="959">
        <v>135925.82999999996</v>
      </c>
      <c r="M232" s="959">
        <v>169634.17999999993</v>
      </c>
      <c r="N232" s="959">
        <v>329149.96999999997</v>
      </c>
      <c r="O232" s="959">
        <v>610776.79999999993</v>
      </c>
      <c r="P232" s="811">
        <f t="shared" si="35"/>
        <v>4220838.2399999993</v>
      </c>
    </row>
    <row r="233" spans="2:16">
      <c r="B233" s="873" t="str">
        <f t="shared" si="36"/>
        <v>CNGWA504</v>
      </c>
      <c r="C233" s="873" t="s">
        <v>441</v>
      </c>
      <c r="D233" s="811">
        <v>-1232.07</v>
      </c>
      <c r="E233" s="812">
        <v>-1010.45</v>
      </c>
      <c r="F233" s="959">
        <v>-1232.18</v>
      </c>
      <c r="G233" s="959">
        <v>-1014.0400000000001</v>
      </c>
      <c r="H233" s="959">
        <v>-352.79</v>
      </c>
      <c r="I233" s="959">
        <v>-487.82999999999993</v>
      </c>
      <c r="J233" s="959">
        <v>-297.99</v>
      </c>
      <c r="K233" s="959">
        <v>-177.45000000000002</v>
      </c>
      <c r="L233" s="959">
        <v>-77.48</v>
      </c>
      <c r="M233" s="959">
        <v>-149.17000000000002</v>
      </c>
      <c r="N233" s="959">
        <v>-502.66999999999996</v>
      </c>
      <c r="O233" s="959">
        <v>-1151.0100000000002</v>
      </c>
      <c r="P233" s="811">
        <f t="shared" si="35"/>
        <v>-7685.1299999999992</v>
      </c>
    </row>
    <row r="234" spans="2:16">
      <c r="B234" s="873" t="str">
        <f t="shared" si="36"/>
        <v>CNGWA504</v>
      </c>
      <c r="C234" s="873" t="s">
        <v>444</v>
      </c>
      <c r="D234" s="811"/>
      <c r="E234" s="812"/>
      <c r="F234" s="959"/>
      <c r="G234" s="959">
        <v>-1.05</v>
      </c>
      <c r="H234" s="959"/>
      <c r="I234" s="959"/>
      <c r="J234" s="959"/>
      <c r="K234" s="959"/>
      <c r="L234" s="959"/>
      <c r="M234" s="959"/>
      <c r="N234" s="959"/>
      <c r="O234" s="959"/>
      <c r="P234" s="811">
        <f t="shared" si="35"/>
        <v>-1.05</v>
      </c>
    </row>
    <row r="235" spans="2:16">
      <c r="B235" s="873" t="str">
        <f t="shared" si="36"/>
        <v>CNGWA504</v>
      </c>
      <c r="C235" s="873" t="s">
        <v>393</v>
      </c>
      <c r="D235" s="811">
        <v>381824.25</v>
      </c>
      <c r="E235" s="812">
        <v>315661.49999999994</v>
      </c>
      <c r="F235" s="959">
        <v>311682.32</v>
      </c>
      <c r="G235" s="959">
        <v>225879.52999999997</v>
      </c>
      <c r="H235" s="959">
        <v>109089.15999999997</v>
      </c>
      <c r="I235" s="959">
        <v>83556.999999999985</v>
      </c>
      <c r="J235" s="959">
        <v>74968.459999999977</v>
      </c>
      <c r="K235" s="959">
        <v>57297.78</v>
      </c>
      <c r="L235" s="959">
        <v>64829.139999999985</v>
      </c>
      <c r="M235" s="959">
        <v>84115.419999999969</v>
      </c>
      <c r="N235" s="959">
        <v>171137.67000000004</v>
      </c>
      <c r="O235" s="959">
        <v>316358.31</v>
      </c>
      <c r="P235" s="811">
        <f t="shared" si="35"/>
        <v>2196400.54</v>
      </c>
    </row>
    <row r="236" spans="2:16">
      <c r="B236" s="873" t="str">
        <f t="shared" si="36"/>
        <v>CNGWA504</v>
      </c>
      <c r="C236" s="873" t="s">
        <v>445</v>
      </c>
      <c r="D236" s="811">
        <v>-1029.08</v>
      </c>
      <c r="E236" s="812">
        <v>-825.16000000000008</v>
      </c>
      <c r="F236" s="959">
        <v>-988.94</v>
      </c>
      <c r="G236" s="959">
        <v>-917.93000000000006</v>
      </c>
      <c r="H236" s="959">
        <v>-527.63</v>
      </c>
      <c r="I236" s="959">
        <v>-481.73000000000008</v>
      </c>
      <c r="J236" s="959">
        <v>-362.97999999999996</v>
      </c>
      <c r="K236" s="959">
        <v>-330.17000000000007</v>
      </c>
      <c r="L236" s="959">
        <v>-377.97</v>
      </c>
      <c r="M236" s="959">
        <v>-380.82</v>
      </c>
      <c r="N236" s="959">
        <v>-532.53</v>
      </c>
      <c r="O236" s="959">
        <v>-1111.2999999999997</v>
      </c>
      <c r="P236" s="811">
        <f t="shared" si="35"/>
        <v>-7866.24</v>
      </c>
    </row>
    <row r="237" spans="2:16">
      <c r="B237" s="873" t="str">
        <f t="shared" si="36"/>
        <v>CNGWA504</v>
      </c>
      <c r="C237" s="873" t="s">
        <v>394</v>
      </c>
      <c r="D237" s="811">
        <v>11918.150000000001</v>
      </c>
      <c r="E237" s="812">
        <v>9718.8300000000017</v>
      </c>
      <c r="F237" s="959">
        <v>9624.5700000000015</v>
      </c>
      <c r="G237" s="959">
        <v>6865.7000000000016</v>
      </c>
      <c r="H237" s="959">
        <v>3356.5400000000004</v>
      </c>
      <c r="I237" s="959">
        <v>2811.9099999999994</v>
      </c>
      <c r="J237" s="959">
        <v>2304.3999999999996</v>
      </c>
      <c r="K237" s="959">
        <v>1760.8399999999992</v>
      </c>
      <c r="L237" s="959">
        <v>1992.3999999999992</v>
      </c>
      <c r="M237" s="959">
        <v>2586.2000000000003</v>
      </c>
      <c r="N237" s="959">
        <v>-46121.05000000001</v>
      </c>
      <c r="O237" s="959">
        <v>-281766.87</v>
      </c>
      <c r="P237" s="811">
        <f t="shared" si="35"/>
        <v>-274948.38</v>
      </c>
    </row>
    <row r="238" spans="2:16">
      <c r="B238" s="873" t="str">
        <f t="shared" si="36"/>
        <v>CNGWA504</v>
      </c>
      <c r="C238" s="873" t="s">
        <v>446</v>
      </c>
      <c r="D238" s="811">
        <v>-31.700000000000003</v>
      </c>
      <c r="E238" s="812">
        <v>-25.419999999999998</v>
      </c>
      <c r="F238" s="959">
        <v>-30.44</v>
      </c>
      <c r="G238" s="959">
        <v>-26.11</v>
      </c>
      <c r="H238" s="959">
        <v>1.6999999999999988</v>
      </c>
      <c r="I238" s="959">
        <v>-9.0299999999999994</v>
      </c>
      <c r="J238" s="959">
        <v>-10.459999999999999</v>
      </c>
      <c r="K238" s="959">
        <v>-10.180000000000001</v>
      </c>
      <c r="L238" s="959">
        <v>-11.319999999999999</v>
      </c>
      <c r="M238" s="959">
        <v>-11.729999999999999</v>
      </c>
      <c r="N238" s="959">
        <v>44.659999999999989</v>
      </c>
      <c r="O238" s="959">
        <v>999.81</v>
      </c>
      <c r="P238" s="811">
        <f t="shared" si="35"/>
        <v>879.78</v>
      </c>
    </row>
    <row r="239" spans="2:16">
      <c r="B239" s="873" t="str">
        <f t="shared" si="36"/>
        <v>CNGWA504</v>
      </c>
      <c r="C239" s="873" t="s">
        <v>389</v>
      </c>
      <c r="D239" s="811">
        <v>-79.78</v>
      </c>
      <c r="E239" s="812">
        <v>0.48000000000000009</v>
      </c>
      <c r="F239" s="959">
        <v>-6.9999999999999991</v>
      </c>
      <c r="G239" s="959">
        <v>21.709999999999997</v>
      </c>
      <c r="H239" s="959"/>
      <c r="I239" s="959">
        <v>-60.099999999999994</v>
      </c>
      <c r="J239" s="959"/>
      <c r="K239" s="959">
        <v>0</v>
      </c>
      <c r="L239" s="959">
        <v>0</v>
      </c>
      <c r="M239" s="959"/>
      <c r="N239" s="959"/>
      <c r="O239" s="959"/>
      <c r="P239" s="811">
        <f t="shared" si="35"/>
        <v>-124.69</v>
      </c>
    </row>
    <row r="240" spans="2:16">
      <c r="B240" s="873" t="str">
        <f t="shared" si="36"/>
        <v>CNGWA504</v>
      </c>
      <c r="C240" s="873" t="s">
        <v>439</v>
      </c>
      <c r="D240" s="811"/>
      <c r="E240" s="812"/>
      <c r="F240" s="959"/>
      <c r="G240" s="959">
        <v>-0.54</v>
      </c>
      <c r="H240" s="959">
        <v>-4.46</v>
      </c>
      <c r="I240" s="959">
        <v>-1.5</v>
      </c>
      <c r="J240" s="959">
        <v>-0.13</v>
      </c>
      <c r="K240" s="959"/>
      <c r="L240" s="959">
        <v>-0.19</v>
      </c>
      <c r="M240" s="959"/>
      <c r="N240" s="959"/>
      <c r="O240" s="959"/>
      <c r="P240" s="811">
        <f t="shared" si="35"/>
        <v>-6.82</v>
      </c>
    </row>
    <row r="241" spans="2:16">
      <c r="B241" s="873" t="str">
        <f t="shared" si="36"/>
        <v>CNGWA504</v>
      </c>
      <c r="C241" s="873" t="s">
        <v>395</v>
      </c>
      <c r="D241" s="811">
        <v>39053.24</v>
      </c>
      <c r="E241" s="812">
        <v>32285.830000000005</v>
      </c>
      <c r="F241" s="959">
        <v>31876.93</v>
      </c>
      <c r="G241" s="959">
        <v>23101.95</v>
      </c>
      <c r="H241" s="959">
        <v>11156.81</v>
      </c>
      <c r="I241" s="959">
        <v>8545.4900000000016</v>
      </c>
      <c r="J241" s="959">
        <v>7665.9000000000024</v>
      </c>
      <c r="K241" s="959">
        <v>5857.1900000000005</v>
      </c>
      <c r="L241" s="959">
        <v>6627.8700000000026</v>
      </c>
      <c r="M241" s="959">
        <v>8600.9000000000015</v>
      </c>
      <c r="N241" s="959">
        <v>17507.71</v>
      </c>
      <c r="O241" s="959">
        <v>32380.410000000003</v>
      </c>
      <c r="P241" s="811">
        <f t="shared" si="35"/>
        <v>224660.22999999998</v>
      </c>
    </row>
    <row r="242" spans="2:16">
      <c r="B242" s="873" t="str">
        <f t="shared" si="36"/>
        <v>CNGWA504</v>
      </c>
      <c r="C242" s="873" t="s">
        <v>447</v>
      </c>
      <c r="D242" s="811">
        <v>-105.23</v>
      </c>
      <c r="E242" s="812">
        <v>-84.41</v>
      </c>
      <c r="F242" s="959">
        <v>-101.17</v>
      </c>
      <c r="G242" s="959">
        <v>-93.98</v>
      </c>
      <c r="H242" s="959">
        <v>-53.91</v>
      </c>
      <c r="I242" s="959">
        <v>-49.63</v>
      </c>
      <c r="J242" s="959">
        <v>-37.11</v>
      </c>
      <c r="K242" s="959">
        <v>-33.78</v>
      </c>
      <c r="L242" s="959">
        <v>-38.68</v>
      </c>
      <c r="M242" s="959">
        <v>-38.959999999999994</v>
      </c>
      <c r="N242" s="959">
        <v>-54.480000000000004</v>
      </c>
      <c r="O242" s="959">
        <v>-113.77000000000001</v>
      </c>
      <c r="P242" s="811">
        <f t="shared" si="35"/>
        <v>-805.11</v>
      </c>
    </row>
    <row r="243" spans="2:16" s="826" customFormat="1">
      <c r="B243" s="826" t="str">
        <f t="shared" si="36"/>
        <v>CNGWA504</v>
      </c>
      <c r="C243" s="826" t="s">
        <v>125</v>
      </c>
      <c r="D243" s="827">
        <v>3359717.0199999996</v>
      </c>
      <c r="E243" s="448">
        <v>2777567.54</v>
      </c>
      <c r="F243" s="960"/>
      <c r="G243" s="960"/>
      <c r="H243" s="960"/>
      <c r="I243" s="960"/>
      <c r="J243" s="960"/>
      <c r="K243" s="960"/>
      <c r="L243" s="960"/>
      <c r="M243" s="960"/>
      <c r="N243" s="960"/>
      <c r="O243" s="960"/>
      <c r="P243" s="827">
        <f t="shared" si="35"/>
        <v>6137284.5599999996</v>
      </c>
    </row>
    <row r="244" spans="2:16" s="826" customFormat="1">
      <c r="B244" s="826" t="str">
        <f t="shared" si="36"/>
        <v>CNGWA504</v>
      </c>
      <c r="C244" s="826" t="s">
        <v>448</v>
      </c>
      <c r="D244" s="827">
        <v>-9055.26</v>
      </c>
      <c r="E244" s="448">
        <v>-7260.77</v>
      </c>
      <c r="F244" s="960"/>
      <c r="G244" s="960"/>
      <c r="H244" s="960"/>
      <c r="I244" s="960"/>
      <c r="J244" s="960"/>
      <c r="K244" s="960"/>
      <c r="L244" s="960"/>
      <c r="M244" s="960"/>
      <c r="N244" s="960"/>
      <c r="O244" s="960"/>
      <c r="P244" s="827">
        <f t="shared" si="35"/>
        <v>-16316.03</v>
      </c>
    </row>
    <row r="245" spans="2:16" s="826" customFormat="1">
      <c r="B245" s="826" t="str">
        <f t="shared" si="36"/>
        <v>CNGWA504</v>
      </c>
      <c r="C245" s="826" t="s">
        <v>126</v>
      </c>
      <c r="D245" s="827"/>
      <c r="E245" s="448"/>
      <c r="F245" s="959">
        <v>2854848.2800000003</v>
      </c>
      <c r="G245" s="959">
        <v>2242040.88</v>
      </c>
      <c r="H245" s="959">
        <v>1085875.7600000002</v>
      </c>
      <c r="I245" s="959">
        <v>832124.22000000032</v>
      </c>
      <c r="J245" s="959">
        <v>746159.64000000036</v>
      </c>
      <c r="K245" s="959">
        <v>570297.25000000023</v>
      </c>
      <c r="L245" s="959">
        <v>645275.03000000014</v>
      </c>
      <c r="M245" s="959">
        <v>837256.83000000019</v>
      </c>
      <c r="N245" s="959">
        <v>1703921.9300000002</v>
      </c>
      <c r="O245" s="959">
        <v>3151444.1199999996</v>
      </c>
      <c r="P245" s="827">
        <f t="shared" si="35"/>
        <v>14669243.939999999</v>
      </c>
    </row>
    <row r="246" spans="2:16" s="826" customFormat="1">
      <c r="B246" s="826" t="str">
        <f t="shared" si="36"/>
        <v>CNGWA504</v>
      </c>
      <c r="C246" s="826" t="s">
        <v>449</v>
      </c>
      <c r="D246" s="827"/>
      <c r="E246" s="448"/>
      <c r="F246" s="959">
        <v>-9080.5300000000007</v>
      </c>
      <c r="G246" s="959">
        <v>-9137.9200000000019</v>
      </c>
      <c r="H246" s="959">
        <v>-5226.21</v>
      </c>
      <c r="I246" s="959">
        <v>-4741.01</v>
      </c>
      <c r="J246" s="959">
        <v>-3611.2299999999996</v>
      </c>
      <c r="K246" s="959">
        <v>-3286.38</v>
      </c>
      <c r="L246" s="959">
        <v>-3762.1000000000008</v>
      </c>
      <c r="M246" s="959">
        <v>-3790.61</v>
      </c>
      <c r="N246" s="959">
        <v>-5317.35</v>
      </c>
      <c r="O246" s="959">
        <v>-11083.9</v>
      </c>
      <c r="P246" s="827">
        <f t="shared" si="35"/>
        <v>-59037.240000000005</v>
      </c>
    </row>
    <row r="247" spans="2:16">
      <c r="B247" s="873" t="str">
        <f t="shared" si="36"/>
        <v>CNGWA504</v>
      </c>
      <c r="C247" s="873" t="s">
        <v>396</v>
      </c>
      <c r="D247" s="811">
        <v>-89871.93</v>
      </c>
      <c r="E247" s="812">
        <v>-74295.22</v>
      </c>
      <c r="F247" s="959">
        <v>-73359.92</v>
      </c>
      <c r="G247" s="959">
        <v>-53161.759999999995</v>
      </c>
      <c r="H247" s="959">
        <v>-25675.920000000006</v>
      </c>
      <c r="I247" s="959">
        <v>-19674.540000000005</v>
      </c>
      <c r="J247" s="959">
        <v>-17645.430000000004</v>
      </c>
      <c r="K247" s="959">
        <v>-13485.310000000003</v>
      </c>
      <c r="L247" s="959">
        <v>-15257.800000000001</v>
      </c>
      <c r="M247" s="959">
        <v>-19797.87</v>
      </c>
      <c r="N247" s="959">
        <v>-38913.079999999994</v>
      </c>
      <c r="O247" s="959">
        <v>-66685.50999999998</v>
      </c>
      <c r="P247" s="811">
        <f t="shared" si="35"/>
        <v>-507824.28999999992</v>
      </c>
    </row>
    <row r="248" spans="2:16">
      <c r="B248" s="873" t="str">
        <f t="shared" si="36"/>
        <v>CNGWA504</v>
      </c>
      <c r="C248" s="873" t="s">
        <v>450</v>
      </c>
      <c r="D248" s="811">
        <v>242.22</v>
      </c>
      <c r="E248" s="812">
        <v>194.21</v>
      </c>
      <c r="F248" s="959">
        <v>232.77</v>
      </c>
      <c r="G248" s="959">
        <v>216.20000000000002</v>
      </c>
      <c r="H248" s="959">
        <v>123.64999999999999</v>
      </c>
      <c r="I248" s="959">
        <v>113.20000000000002</v>
      </c>
      <c r="J248" s="959">
        <v>85.42</v>
      </c>
      <c r="K248" s="959">
        <v>77.7</v>
      </c>
      <c r="L248" s="959">
        <v>88.960000000000008</v>
      </c>
      <c r="M248" s="959">
        <v>89.609999999999971</v>
      </c>
      <c r="N248" s="959">
        <v>123.67</v>
      </c>
      <c r="O248" s="959">
        <v>233.95</v>
      </c>
      <c r="P248" s="811">
        <f t="shared" si="35"/>
        <v>1821.5600000000002</v>
      </c>
    </row>
    <row r="249" spans="2:16">
      <c r="B249" s="873" t="str">
        <f t="shared" si="36"/>
        <v>CNGWA504</v>
      </c>
      <c r="C249" s="873" t="s">
        <v>397</v>
      </c>
      <c r="D249" s="811">
        <v>147654.72999999998</v>
      </c>
      <c r="E249" s="812">
        <v>122061.28</v>
      </c>
      <c r="F249" s="959">
        <v>91278.15</v>
      </c>
      <c r="G249" s="959">
        <v>21061.31</v>
      </c>
      <c r="H249" s="959">
        <v>9370.2100000000009</v>
      </c>
      <c r="I249" s="959">
        <v>7097.09</v>
      </c>
      <c r="J249" s="959">
        <v>6446.56</v>
      </c>
      <c r="K249" s="959">
        <v>4919.6100000000015</v>
      </c>
      <c r="L249" s="959">
        <v>5567.6500000000005</v>
      </c>
      <c r="M249" s="959">
        <v>7223.5500000000011</v>
      </c>
      <c r="N249" s="959">
        <v>20451.260000000002</v>
      </c>
      <c r="O249" s="959">
        <v>59689.109999999986</v>
      </c>
      <c r="P249" s="811">
        <f t="shared" si="35"/>
        <v>502820.51000000007</v>
      </c>
    </row>
    <row r="250" spans="2:16">
      <c r="B250" s="873" t="str">
        <f t="shared" si="36"/>
        <v>CNGWA504</v>
      </c>
      <c r="C250" s="873" t="s">
        <v>451</v>
      </c>
      <c r="D250" s="811">
        <v>-397.94000000000005</v>
      </c>
      <c r="E250" s="812">
        <v>-319.07</v>
      </c>
      <c r="F250" s="959">
        <v>-323.70999999999998</v>
      </c>
      <c r="G250" s="959">
        <v>-81.259999999999991</v>
      </c>
      <c r="H250" s="959">
        <v>-49.48</v>
      </c>
      <c r="I250" s="959">
        <v>-54.91</v>
      </c>
      <c r="J250" s="959">
        <v>-31.619999999999997</v>
      </c>
      <c r="K250" s="959">
        <v>-28.37</v>
      </c>
      <c r="L250" s="959">
        <v>-32.570000000000007</v>
      </c>
      <c r="M250" s="959">
        <v>-32.72</v>
      </c>
      <c r="N250" s="959">
        <v>-52.57</v>
      </c>
      <c r="O250" s="959">
        <v>-210.82000000000002</v>
      </c>
      <c r="P250" s="811">
        <f t="shared" si="35"/>
        <v>-1615.0399999999997</v>
      </c>
    </row>
    <row r="251" spans="2:16">
      <c r="B251" s="873" t="str">
        <f t="shared" si="36"/>
        <v>CNGWA504</v>
      </c>
      <c r="C251" s="873" t="s">
        <v>452</v>
      </c>
      <c r="D251" s="811">
        <v>-687.23</v>
      </c>
      <c r="E251" s="812">
        <v>-574.76</v>
      </c>
      <c r="F251" s="959">
        <v>-615.43999999999994</v>
      </c>
      <c r="G251" s="959">
        <v>-281.44000000000005</v>
      </c>
      <c r="H251" s="959">
        <v>-131.19999999999999</v>
      </c>
      <c r="I251" s="959">
        <v>-145.19000000000003</v>
      </c>
      <c r="J251" s="959">
        <v>-141.12</v>
      </c>
      <c r="K251" s="959">
        <v>-118.03999999999999</v>
      </c>
      <c r="L251" s="959">
        <v>-155.53</v>
      </c>
      <c r="M251" s="959">
        <v>-166.25</v>
      </c>
      <c r="N251" s="959">
        <v>-276.22000000000003</v>
      </c>
      <c r="O251" s="959">
        <v>-466.46999999999997</v>
      </c>
      <c r="P251" s="811">
        <f t="shared" si="35"/>
        <v>-3758.89</v>
      </c>
    </row>
    <row r="252" spans="2:16">
      <c r="B252" s="873" t="str">
        <f t="shared" si="36"/>
        <v>CNGWA504</v>
      </c>
      <c r="C252" s="873" t="s">
        <v>453</v>
      </c>
      <c r="D252" s="811">
        <v>26.990000000000002</v>
      </c>
      <c r="E252" s="812">
        <v>-0.28000000000000003</v>
      </c>
      <c r="F252" s="959">
        <v>4.24</v>
      </c>
      <c r="G252" s="959">
        <v>-13.170000000000002</v>
      </c>
      <c r="H252" s="959"/>
      <c r="I252" s="959">
        <v>36.410000000000011</v>
      </c>
      <c r="J252" s="959"/>
      <c r="K252" s="959">
        <v>0</v>
      </c>
      <c r="L252" s="959">
        <v>0</v>
      </c>
      <c r="M252" s="959"/>
      <c r="N252" s="959"/>
      <c r="O252" s="959"/>
      <c r="P252" s="811">
        <f t="shared" si="35"/>
        <v>54.190000000000012</v>
      </c>
    </row>
    <row r="253" spans="2:16">
      <c r="B253" s="873" t="str">
        <f t="shared" si="36"/>
        <v>CNGWA504</v>
      </c>
      <c r="C253" s="873" t="s">
        <v>454</v>
      </c>
      <c r="D253" s="811"/>
      <c r="E253" s="812"/>
      <c r="F253" s="959"/>
      <c r="G253" s="959">
        <v>0.32999999999999996</v>
      </c>
      <c r="H253" s="959">
        <v>2.84</v>
      </c>
      <c r="I253" s="959">
        <v>0.91999999999999993</v>
      </c>
      <c r="J253" s="959">
        <v>0.08</v>
      </c>
      <c r="K253" s="959"/>
      <c r="L253" s="959"/>
      <c r="M253" s="959"/>
      <c r="N253" s="959"/>
      <c r="O253" s="959"/>
      <c r="P253" s="811">
        <f t="shared" si="35"/>
        <v>4.17</v>
      </c>
    </row>
    <row r="254" spans="2:16">
      <c r="B254" s="873" t="str">
        <f t="shared" si="36"/>
        <v>CNGWA504</v>
      </c>
      <c r="C254" s="873" t="s">
        <v>398</v>
      </c>
      <c r="D254" s="811">
        <v>1965169.6</v>
      </c>
      <c r="E254" s="812">
        <v>1623906.62</v>
      </c>
      <c r="F254" s="959">
        <v>1603486.58</v>
      </c>
      <c r="G254" s="959">
        <v>1161839.4000000004</v>
      </c>
      <c r="H254" s="959">
        <v>561191.94999999984</v>
      </c>
      <c r="I254" s="959">
        <v>430538.34999999986</v>
      </c>
      <c r="J254" s="959">
        <v>385648.74999999988</v>
      </c>
      <c r="K254" s="959">
        <v>294741.91999999993</v>
      </c>
      <c r="L254" s="959">
        <v>333490.1399999999</v>
      </c>
      <c r="M254" s="959">
        <v>432708.61999999982</v>
      </c>
      <c r="N254" s="959">
        <v>909464.20000000007</v>
      </c>
      <c r="O254" s="959">
        <v>1792383.9399999997</v>
      </c>
      <c r="P254" s="811">
        <f t="shared" si="35"/>
        <v>11494570.069999998</v>
      </c>
    </row>
    <row r="255" spans="2:16">
      <c r="B255" s="873" t="str">
        <f t="shared" si="36"/>
        <v>CNGWA504</v>
      </c>
      <c r="C255" s="873" t="s">
        <v>455</v>
      </c>
      <c r="D255" s="811">
        <v>-5294.16</v>
      </c>
      <c r="E255" s="812">
        <v>-4245.0300000000007</v>
      </c>
      <c r="F255" s="959">
        <v>-5087.45</v>
      </c>
      <c r="G255" s="959">
        <v>-4718.67</v>
      </c>
      <c r="H255" s="959">
        <v>-2664.4400000000005</v>
      </c>
      <c r="I255" s="959">
        <v>-2441.7999999999997</v>
      </c>
      <c r="J255" s="959">
        <v>-1866.1400000000003</v>
      </c>
      <c r="K255" s="959">
        <v>-1698.4100000000003</v>
      </c>
      <c r="L255" s="959">
        <v>-1943.44</v>
      </c>
      <c r="M255" s="959">
        <v>-1959.02</v>
      </c>
      <c r="N255" s="959">
        <v>-2774.16</v>
      </c>
      <c r="O255" s="959">
        <v>-6301.8099999999995</v>
      </c>
      <c r="P255" s="811">
        <f t="shared" si="35"/>
        <v>-40994.53</v>
      </c>
    </row>
    <row r="256" spans="2:16">
      <c r="B256" s="873" t="str">
        <f t="shared" si="36"/>
        <v>CNGWA504</v>
      </c>
      <c r="C256" s="873" t="s">
        <v>399</v>
      </c>
      <c r="D256" s="811">
        <v>-33433.869999999995</v>
      </c>
      <c r="E256" s="812">
        <v>-27641.08</v>
      </c>
      <c r="F256" s="959">
        <v>-27293.170000000002</v>
      </c>
      <c r="G256" s="959">
        <v>-19778.2</v>
      </c>
      <c r="H256" s="959">
        <v>-9550.3000000000047</v>
      </c>
      <c r="I256" s="959">
        <v>-7312.0100000000011</v>
      </c>
      <c r="J256" s="959">
        <v>-6561.0600000000013</v>
      </c>
      <c r="K256" s="959">
        <v>-5015.1800000000012</v>
      </c>
      <c r="L256" s="959">
        <v>-5673.9100000000017</v>
      </c>
      <c r="M256" s="959">
        <v>-7362.6600000000008</v>
      </c>
      <c r="N256" s="959">
        <v>-16155.120000000003</v>
      </c>
      <c r="O256" s="959">
        <v>-34344.68</v>
      </c>
      <c r="P256" s="811">
        <f t="shared" si="35"/>
        <v>-200121.24</v>
      </c>
    </row>
    <row r="257" spans="2:16">
      <c r="B257" s="873" t="str">
        <f t="shared" si="36"/>
        <v>CNGWA504</v>
      </c>
      <c r="C257" s="873" t="s">
        <v>456</v>
      </c>
      <c r="D257" s="811">
        <v>90.13000000000001</v>
      </c>
      <c r="E257" s="812">
        <v>72.240000000000009</v>
      </c>
      <c r="F257" s="959">
        <v>86.6</v>
      </c>
      <c r="G257" s="959">
        <v>80.460000000000008</v>
      </c>
      <c r="H257" s="959">
        <v>46.289999999999992</v>
      </c>
      <c r="I257" s="959">
        <v>42.210000000000008</v>
      </c>
      <c r="J257" s="959">
        <v>31.779999999999998</v>
      </c>
      <c r="K257" s="959">
        <v>28.900000000000002</v>
      </c>
      <c r="L257" s="959">
        <v>33.099999999999994</v>
      </c>
      <c r="M257" s="959">
        <v>33.349999999999994</v>
      </c>
      <c r="N257" s="959">
        <v>48.01</v>
      </c>
      <c r="O257" s="959">
        <v>120.88000000000001</v>
      </c>
      <c r="P257" s="811">
        <f t="shared" si="35"/>
        <v>713.95</v>
      </c>
    </row>
    <row r="258" spans="2:16">
      <c r="B258" s="873" t="str">
        <f t="shared" si="36"/>
        <v>CNGWA504</v>
      </c>
      <c r="C258" s="873" t="s">
        <v>457</v>
      </c>
      <c r="D258" s="811">
        <v>6752.880000000001</v>
      </c>
      <c r="E258" s="812">
        <v>4811.75</v>
      </c>
      <c r="F258" s="812">
        <v>4781.46</v>
      </c>
      <c r="G258" s="812">
        <v>2703.1800000000003</v>
      </c>
      <c r="H258" s="812">
        <v>1136.6199999999999</v>
      </c>
      <c r="I258" s="812">
        <v>1075.1399999999999</v>
      </c>
      <c r="J258" s="812">
        <v>957.22</v>
      </c>
      <c r="K258" s="812">
        <v>784.54000000000008</v>
      </c>
      <c r="L258" s="812">
        <v>1024.5900000000001</v>
      </c>
      <c r="M258" s="812">
        <v>1119.6499999999999</v>
      </c>
      <c r="N258" s="812">
        <v>3160.3199999999997</v>
      </c>
      <c r="O258" s="812">
        <v>6070.17</v>
      </c>
      <c r="P258" s="811">
        <f t="shared" si="35"/>
        <v>34377.520000000004</v>
      </c>
    </row>
    <row r="259" spans="2:16">
      <c r="C259" s="481" t="s">
        <v>400</v>
      </c>
      <c r="D259" s="811">
        <f t="shared" ref="D259:O259" si="37">SUM(D227:D258)</f>
        <v>13134269.520000001</v>
      </c>
      <c r="E259" s="812">
        <f t="shared" si="37"/>
        <v>10923206.410000002</v>
      </c>
      <c r="F259" s="812">
        <f t="shared" si="37"/>
        <v>10865507.740000002</v>
      </c>
      <c r="G259" s="812">
        <f t="shared" si="37"/>
        <v>8101211.71</v>
      </c>
      <c r="H259" s="812">
        <f t="shared" si="37"/>
        <v>4100769.2000000007</v>
      </c>
      <c r="I259" s="812">
        <f t="shared" si="37"/>
        <v>3228619.31</v>
      </c>
      <c r="J259" s="812">
        <f t="shared" si="37"/>
        <v>2933274.0299999993</v>
      </c>
      <c r="K259" s="812">
        <f t="shared" si="37"/>
        <v>2328433.5299999993</v>
      </c>
      <c r="L259" s="812">
        <f t="shared" si="37"/>
        <v>2581994.29</v>
      </c>
      <c r="M259" s="812">
        <f t="shared" si="37"/>
        <v>3244093.4299999988</v>
      </c>
      <c r="N259" s="812">
        <f t="shared" si="37"/>
        <v>6212567.9300000006</v>
      </c>
      <c r="O259" s="812">
        <f t="shared" si="37"/>
        <v>11102327.099999998</v>
      </c>
      <c r="P259" s="811">
        <f t="shared" si="35"/>
        <v>78756274.200000003</v>
      </c>
    </row>
    <row r="260" spans="2:16">
      <c r="C260" s="481" t="s">
        <v>401</v>
      </c>
      <c r="D260" s="341">
        <v>14478708</v>
      </c>
      <c r="E260" s="452">
        <v>11970901</v>
      </c>
      <c r="F260" s="452">
        <v>11812961</v>
      </c>
      <c r="G260" s="452">
        <v>8554564</v>
      </c>
      <c r="H260" s="452">
        <v>4127918</v>
      </c>
      <c r="I260" s="452">
        <v>3158885</v>
      </c>
      <c r="J260" s="452">
        <v>2836474</v>
      </c>
      <c r="K260" s="452">
        <v>2165794</v>
      </c>
      <c r="L260" s="452">
        <v>2450387</v>
      </c>
      <c r="M260" s="452">
        <v>3183599</v>
      </c>
      <c r="N260" s="452">
        <v>6488225</v>
      </c>
      <c r="O260" s="452">
        <v>11995310</v>
      </c>
      <c r="P260" s="815">
        <f>SUM(D260:O260)</f>
        <v>83223726</v>
      </c>
    </row>
    <row r="261" spans="2:16">
      <c r="C261" s="481"/>
      <c r="D261" s="341"/>
      <c r="E261" s="452"/>
      <c r="F261" s="452"/>
      <c r="G261" s="452"/>
      <c r="H261" s="452"/>
      <c r="I261" s="452"/>
      <c r="J261" s="452"/>
      <c r="K261" s="452"/>
      <c r="L261" s="452"/>
      <c r="M261" s="452"/>
      <c r="N261" s="452"/>
      <c r="O261" s="452"/>
      <c r="P261" s="815"/>
    </row>
    <row r="262" spans="2:16">
      <c r="D262" s="811"/>
      <c r="E262" s="812"/>
      <c r="F262" s="812"/>
      <c r="G262" s="812"/>
      <c r="H262" s="812"/>
      <c r="I262" s="812"/>
      <c r="J262" s="812"/>
      <c r="K262" s="812"/>
      <c r="L262" s="812"/>
      <c r="M262" s="812"/>
      <c r="N262" s="812"/>
      <c r="O262" s="812"/>
      <c r="P262" s="811"/>
    </row>
    <row r="263" spans="2:16">
      <c r="C263" s="873" t="s">
        <v>153</v>
      </c>
      <c r="D263" s="811"/>
      <c r="E263" s="812"/>
      <c r="F263" s="812"/>
      <c r="G263" s="812"/>
      <c r="H263" s="812"/>
      <c r="I263" s="812"/>
      <c r="J263" s="812"/>
      <c r="K263" s="812"/>
      <c r="L263" s="812"/>
      <c r="M263" s="812"/>
      <c r="N263" s="812"/>
      <c r="O263" s="812"/>
      <c r="P263" s="811"/>
    </row>
    <row r="264" spans="2:16">
      <c r="B264" s="873" t="str">
        <f t="shared" ref="B264:B280" si="38">$C$263</f>
        <v>CNGWA505</v>
      </c>
      <c r="C264" s="873" t="s">
        <v>389</v>
      </c>
      <c r="D264" s="811">
        <v>642557.7300000001</v>
      </c>
      <c r="E264" s="812">
        <v>558053.25</v>
      </c>
      <c r="F264" s="812">
        <v>572307.24</v>
      </c>
      <c r="G264" s="812">
        <v>476158.61000000004</v>
      </c>
      <c r="H264" s="812">
        <v>300952.8</v>
      </c>
      <c r="I264" s="812">
        <v>268891.54000000004</v>
      </c>
      <c r="J264" s="812">
        <v>237342.95</v>
      </c>
      <c r="K264" s="812">
        <v>209863.4</v>
      </c>
      <c r="L264" s="812">
        <v>261957.77999999997</v>
      </c>
      <c r="M264" s="812">
        <v>422281.80999999994</v>
      </c>
      <c r="N264" s="812">
        <v>366508.11000000004</v>
      </c>
      <c r="O264" s="812">
        <v>568607.52999999991</v>
      </c>
      <c r="P264" s="811">
        <f t="shared" ref="P264:P281" si="39">SUM(D264:O264)</f>
        <v>4885482.75</v>
      </c>
    </row>
    <row r="265" spans="2:16">
      <c r="B265" s="873" t="str">
        <f t="shared" si="38"/>
        <v>CNGWA505</v>
      </c>
      <c r="C265" s="873" t="s">
        <v>403</v>
      </c>
      <c r="D265" s="811">
        <v>28860</v>
      </c>
      <c r="E265" s="812">
        <v>28800</v>
      </c>
      <c r="F265" s="812">
        <v>28920</v>
      </c>
      <c r="G265" s="812">
        <v>28560</v>
      </c>
      <c r="H265" s="812">
        <v>28740</v>
      </c>
      <c r="I265" s="812">
        <v>28740</v>
      </c>
      <c r="J265" s="812">
        <v>28740</v>
      </c>
      <c r="K265" s="812">
        <v>28800</v>
      </c>
      <c r="L265" s="812">
        <v>28860</v>
      </c>
      <c r="M265" s="812">
        <v>28980</v>
      </c>
      <c r="N265" s="812">
        <v>29220</v>
      </c>
      <c r="O265" s="812">
        <v>29220</v>
      </c>
      <c r="P265" s="811">
        <f t="shared" si="39"/>
        <v>346440</v>
      </c>
    </row>
    <row r="266" spans="2:16">
      <c r="B266" s="873" t="str">
        <f t="shared" si="38"/>
        <v>CNGWA505</v>
      </c>
      <c r="C266" s="873" t="s">
        <v>392</v>
      </c>
      <c r="D266" s="811">
        <v>49276.899999999994</v>
      </c>
      <c r="E266" s="812">
        <v>42821.46</v>
      </c>
      <c r="F266" s="812">
        <v>44298.67</v>
      </c>
      <c r="G266" s="812">
        <v>35928.61</v>
      </c>
      <c r="H266" s="812">
        <v>23076.51</v>
      </c>
      <c r="I266" s="812">
        <v>20032.88</v>
      </c>
      <c r="J266" s="812">
        <v>18354.859999999997</v>
      </c>
      <c r="K266" s="812">
        <v>15868.04</v>
      </c>
      <c r="L266" s="812">
        <v>16210.9</v>
      </c>
      <c r="M266" s="812">
        <v>19316.369999999995</v>
      </c>
      <c r="N266" s="812">
        <v>28570.839999999997</v>
      </c>
      <c r="O266" s="812">
        <v>45435.159999999996</v>
      </c>
      <c r="P266" s="811">
        <f t="shared" si="39"/>
        <v>359191.1999999999</v>
      </c>
    </row>
    <row r="267" spans="2:16">
      <c r="B267" s="873" t="str">
        <f t="shared" si="38"/>
        <v>CNGWA505</v>
      </c>
      <c r="C267" s="873" t="s">
        <v>459</v>
      </c>
      <c r="D267" s="811">
        <v>40048.57</v>
      </c>
      <c r="E267" s="812">
        <v>34781.629999999997</v>
      </c>
      <c r="F267" s="812">
        <v>35670</v>
      </c>
      <c r="G267" s="812">
        <v>29677.43</v>
      </c>
      <c r="H267" s="812">
        <v>18757.439999999999</v>
      </c>
      <c r="I267" s="812">
        <v>16759.079999999998</v>
      </c>
      <c r="J267" s="812">
        <v>14792.97</v>
      </c>
      <c r="K267" s="812">
        <v>13080.12</v>
      </c>
      <c r="L267" s="812">
        <v>16327.11</v>
      </c>
      <c r="M267" s="812">
        <v>26319.500000000004</v>
      </c>
      <c r="N267" s="812">
        <v>22883.600000000002</v>
      </c>
      <c r="O267" s="812">
        <v>35645.21</v>
      </c>
      <c r="P267" s="811">
        <f t="shared" si="39"/>
        <v>304742.65999999997</v>
      </c>
    </row>
    <row r="268" spans="2:16">
      <c r="B268" s="873" t="str">
        <f t="shared" si="38"/>
        <v>CNGWA505</v>
      </c>
      <c r="C268" s="873" t="s">
        <v>394</v>
      </c>
      <c r="D268" s="811">
        <v>-8908.0400000000009</v>
      </c>
      <c r="E268" s="812">
        <v>-7736.670000000001</v>
      </c>
      <c r="F268" s="812">
        <v>-7934.2000000000007</v>
      </c>
      <c r="G268" s="812">
        <v>-6601.2</v>
      </c>
      <c r="H268" s="812">
        <v>-4172.2299999999996</v>
      </c>
      <c r="I268" s="812">
        <v>-3727.9400000000005</v>
      </c>
      <c r="J268" s="812">
        <v>-3290.46</v>
      </c>
      <c r="K268" s="812">
        <v>-2909.49</v>
      </c>
      <c r="L268" s="812">
        <v>-3631.76</v>
      </c>
      <c r="M268" s="812">
        <v>-5854.34</v>
      </c>
      <c r="N268" s="812">
        <v>-7213.21</v>
      </c>
      <c r="O268" s="812">
        <v>-18795.78</v>
      </c>
      <c r="P268" s="811">
        <f t="shared" si="39"/>
        <v>-80775.320000000007</v>
      </c>
    </row>
    <row r="269" spans="2:16">
      <c r="B269" s="873" t="str">
        <f t="shared" si="38"/>
        <v>CNGWA505</v>
      </c>
      <c r="C269" s="873" t="s">
        <v>395</v>
      </c>
      <c r="D269" s="811">
        <v>2543.02</v>
      </c>
      <c r="E269" s="812">
        <v>2208.56</v>
      </c>
      <c r="F269" s="812">
        <v>2265</v>
      </c>
      <c r="G269" s="812">
        <v>1884.4300000000003</v>
      </c>
      <c r="H269" s="812">
        <v>1191.2499999999998</v>
      </c>
      <c r="I269" s="812">
        <v>1064.21</v>
      </c>
      <c r="J269" s="812">
        <v>939.39</v>
      </c>
      <c r="K269" s="812">
        <v>830.71</v>
      </c>
      <c r="L269" s="812">
        <v>1036.83</v>
      </c>
      <c r="M269" s="812">
        <v>1671.28</v>
      </c>
      <c r="N269" s="812">
        <v>1453.4099999999999</v>
      </c>
      <c r="O269" s="812">
        <v>2265.0499999999997</v>
      </c>
      <c r="P269" s="811">
        <f t="shared" si="39"/>
        <v>19353.14</v>
      </c>
    </row>
    <row r="270" spans="2:16" ht="15" customHeight="1">
      <c r="B270" s="873" t="str">
        <f t="shared" si="38"/>
        <v>CNGWA505</v>
      </c>
      <c r="C270" s="812" t="s">
        <v>155</v>
      </c>
      <c r="D270" s="811">
        <v>34994.14</v>
      </c>
      <c r="E270" s="812">
        <v>34222.339999999997</v>
      </c>
      <c r="P270" s="811">
        <f t="shared" si="39"/>
        <v>69216.479999999996</v>
      </c>
    </row>
    <row r="271" spans="2:16" ht="15" customHeight="1">
      <c r="B271" s="873" t="str">
        <f t="shared" si="38"/>
        <v>CNGWA505</v>
      </c>
      <c r="C271" s="812" t="s">
        <v>156</v>
      </c>
      <c r="D271" s="811"/>
      <c r="E271" s="812"/>
      <c r="F271" s="812">
        <v>34696.639999999999</v>
      </c>
      <c r="G271" s="812">
        <v>34970.400000000001</v>
      </c>
      <c r="H271" s="812">
        <v>26947.21</v>
      </c>
      <c r="I271" s="812">
        <v>21284.09</v>
      </c>
      <c r="J271" s="812">
        <v>19269.669999999998</v>
      </c>
      <c r="K271" s="36">
        <v>16986.580000000002</v>
      </c>
      <c r="L271" s="812">
        <v>17895.93</v>
      </c>
      <c r="M271" s="811">
        <v>20968.09</v>
      </c>
      <c r="N271" s="811">
        <v>31738.9</v>
      </c>
      <c r="O271" s="812">
        <v>37438.199999999997</v>
      </c>
      <c r="P271" s="811">
        <f t="shared" si="39"/>
        <v>262195.71000000002</v>
      </c>
    </row>
    <row r="272" spans="2:16" ht="15" customHeight="1">
      <c r="B272" s="873" t="str">
        <f t="shared" si="38"/>
        <v>CNGWA505</v>
      </c>
      <c r="C272" s="812" t="s">
        <v>157</v>
      </c>
      <c r="D272" s="811">
        <v>103947.75</v>
      </c>
      <c r="E272" s="812">
        <v>94155.63</v>
      </c>
      <c r="K272" s="36"/>
      <c r="P272" s="811">
        <f t="shared" si="39"/>
        <v>198103.38</v>
      </c>
    </row>
    <row r="273" spans="2:16" ht="15" customHeight="1">
      <c r="B273" s="873" t="str">
        <f t="shared" si="38"/>
        <v>CNGWA505</v>
      </c>
      <c r="C273" s="812" t="s">
        <v>158</v>
      </c>
      <c r="D273" s="811"/>
      <c r="E273" s="812"/>
      <c r="F273" s="812">
        <v>98050.4</v>
      </c>
      <c r="G273" s="812">
        <v>89289.61</v>
      </c>
      <c r="H273" s="812">
        <v>57560.25</v>
      </c>
      <c r="I273" s="812">
        <v>48916.62</v>
      </c>
      <c r="J273" s="812">
        <v>44595.66</v>
      </c>
      <c r="K273" s="36">
        <v>40134.03</v>
      </c>
      <c r="L273" s="812">
        <v>46193.33</v>
      </c>
      <c r="M273" s="811">
        <v>53973.08</v>
      </c>
      <c r="N273" s="811">
        <v>71888.11</v>
      </c>
      <c r="O273" s="812">
        <v>106893.55</v>
      </c>
      <c r="P273" s="811">
        <f t="shared" si="39"/>
        <v>657494.64000000013</v>
      </c>
    </row>
    <row r="274" spans="2:16" ht="15" customHeight="1">
      <c r="B274" s="873" t="str">
        <f t="shared" si="38"/>
        <v>CNGWA505</v>
      </c>
      <c r="C274" s="812" t="s">
        <v>159</v>
      </c>
      <c r="D274" s="811">
        <v>84740.85</v>
      </c>
      <c r="E274" s="812">
        <v>66863.649999999994</v>
      </c>
      <c r="K274" s="36"/>
      <c r="P274" s="811">
        <f t="shared" si="39"/>
        <v>151604.5</v>
      </c>
    </row>
    <row r="275" spans="2:16" ht="15" customHeight="1">
      <c r="B275" s="873" t="str">
        <f t="shared" si="38"/>
        <v>CNGWA505</v>
      </c>
      <c r="C275" s="812" t="s">
        <v>160</v>
      </c>
      <c r="D275" s="811"/>
      <c r="E275" s="812"/>
      <c r="F275" s="812">
        <v>75927.740000000005</v>
      </c>
      <c r="G275" s="812">
        <v>65312.71</v>
      </c>
      <c r="H275" s="812">
        <v>36686.1</v>
      </c>
      <c r="I275" s="812">
        <v>37408.239999999998</v>
      </c>
      <c r="J275" s="812">
        <v>31267.85</v>
      </c>
      <c r="K275" s="36">
        <v>27010.82</v>
      </c>
      <c r="L275" s="812">
        <v>40096.81</v>
      </c>
      <c r="M275" s="811">
        <v>90654.12</v>
      </c>
      <c r="N275" s="811">
        <v>44073.47</v>
      </c>
      <c r="O275" s="812">
        <v>83147.19</v>
      </c>
      <c r="P275" s="811">
        <f t="shared" si="39"/>
        <v>531585.05000000005</v>
      </c>
    </row>
    <row r="276" spans="2:16">
      <c r="B276" s="873" t="str">
        <f t="shared" si="38"/>
        <v>CNGWA505</v>
      </c>
      <c r="C276" s="873" t="s">
        <v>396</v>
      </c>
      <c r="D276" s="811">
        <v>-5969.25</v>
      </c>
      <c r="E276" s="812">
        <v>-5184.119999999999</v>
      </c>
      <c r="F276" s="812">
        <v>-5316.5999999999995</v>
      </c>
      <c r="G276" s="812">
        <v>-4423.4400000000005</v>
      </c>
      <c r="H276" s="812">
        <v>-2795.7200000000003</v>
      </c>
      <c r="I276" s="812">
        <v>-2497.9</v>
      </c>
      <c r="J276" s="812">
        <v>-2204.83</v>
      </c>
      <c r="K276" s="812">
        <v>-1949.4700000000003</v>
      </c>
      <c r="L276" s="812">
        <v>-2433.5699999999997</v>
      </c>
      <c r="M276" s="812">
        <v>-3922.9000000000005</v>
      </c>
      <c r="N276" s="812">
        <v>-3301.91</v>
      </c>
      <c r="O276" s="812">
        <v>-4755.4400000000005</v>
      </c>
      <c r="P276" s="811">
        <f t="shared" si="39"/>
        <v>-44755.150000000009</v>
      </c>
    </row>
    <row r="277" spans="2:16">
      <c r="B277" s="873" t="str">
        <f t="shared" si="38"/>
        <v>CNGWA505</v>
      </c>
      <c r="C277" s="873" t="s">
        <v>397</v>
      </c>
      <c r="D277" s="811">
        <v>13004.359999999997</v>
      </c>
      <c r="E277" s="812">
        <v>11294.130000000001</v>
      </c>
      <c r="F277" s="812">
        <v>8689.1400000000012</v>
      </c>
      <c r="G277" s="812">
        <v>2315.1999999999998</v>
      </c>
      <c r="H277" s="812">
        <v>1355.02</v>
      </c>
      <c r="I277" s="812">
        <v>1210.6900000000003</v>
      </c>
      <c r="J277" s="812">
        <v>1068.73</v>
      </c>
      <c r="K277" s="812">
        <v>944.93999999999994</v>
      </c>
      <c r="L277" s="812">
        <v>1179.5999999999999</v>
      </c>
      <c r="M277" s="812">
        <v>1901.37</v>
      </c>
      <c r="N277" s="812">
        <v>2163.62</v>
      </c>
      <c r="O277" s="812">
        <v>5187.9399999999996</v>
      </c>
      <c r="P277" s="811">
        <f t="shared" si="39"/>
        <v>50314.740000000005</v>
      </c>
    </row>
    <row r="278" spans="2:16">
      <c r="B278" s="873" t="str">
        <f t="shared" si="38"/>
        <v>CNGWA505</v>
      </c>
      <c r="C278" s="873" t="s">
        <v>398</v>
      </c>
      <c r="D278" s="811">
        <v>206028.98999999996</v>
      </c>
      <c r="E278" s="812">
        <v>178933.59000000003</v>
      </c>
      <c r="F278" s="812">
        <v>183504.05999999997</v>
      </c>
      <c r="G278" s="812">
        <v>152675.09000000003</v>
      </c>
      <c r="H278" s="812">
        <v>96497.2</v>
      </c>
      <c r="I278" s="812">
        <v>86217.08</v>
      </c>
      <c r="J278" s="812">
        <v>76101.45</v>
      </c>
      <c r="K278" s="812">
        <v>67290.44</v>
      </c>
      <c r="L278" s="812">
        <v>83993.930000000008</v>
      </c>
      <c r="M278" s="812">
        <v>135400.06</v>
      </c>
      <c r="N278" s="812">
        <v>121323.23999999999</v>
      </c>
      <c r="O278" s="812">
        <v>201799.91</v>
      </c>
      <c r="P278" s="811">
        <f t="shared" si="39"/>
        <v>1589765.0399999998</v>
      </c>
    </row>
    <row r="279" spans="2:16">
      <c r="B279" s="873" t="str">
        <f t="shared" si="38"/>
        <v>CNGWA505</v>
      </c>
      <c r="C279" s="873" t="s">
        <v>399</v>
      </c>
      <c r="D279" s="811">
        <v>-2220.2199999999998</v>
      </c>
      <c r="E279" s="812">
        <v>-1928.0299999999997</v>
      </c>
      <c r="F279" s="812">
        <v>-1977.4799999999998</v>
      </c>
      <c r="G279" s="812">
        <v>-1645.1899999999998</v>
      </c>
      <c r="H279" s="812">
        <v>-1039.83</v>
      </c>
      <c r="I279" s="812">
        <v>-929.0200000000001</v>
      </c>
      <c r="J279" s="812">
        <v>-820.02999999999986</v>
      </c>
      <c r="K279" s="812">
        <v>-725.06</v>
      </c>
      <c r="L279" s="812">
        <v>-905.05000000000007</v>
      </c>
      <c r="M279" s="812">
        <v>-1459.06</v>
      </c>
      <c r="N279" s="812">
        <v>-1361.12</v>
      </c>
      <c r="O279" s="812">
        <v>-2450.12</v>
      </c>
      <c r="P279" s="811">
        <f t="shared" si="39"/>
        <v>-17460.21</v>
      </c>
    </row>
    <row r="280" spans="2:16">
      <c r="B280" s="873" t="str">
        <f t="shared" si="38"/>
        <v>CNGWA505</v>
      </c>
      <c r="C280" s="873" t="s">
        <v>457</v>
      </c>
      <c r="D280" s="811">
        <v>2304.4300000000003</v>
      </c>
      <c r="E280" s="812">
        <v>1815.4099999999999</v>
      </c>
      <c r="F280" s="812">
        <v>1602.33</v>
      </c>
      <c r="G280" s="812">
        <v>1017.9100000000001</v>
      </c>
      <c r="H280" s="812">
        <v>614.76999999999987</v>
      </c>
      <c r="I280" s="812">
        <v>606.93000000000006</v>
      </c>
      <c r="J280" s="812">
        <v>505.6</v>
      </c>
      <c r="K280" s="812">
        <v>887.81000000000006</v>
      </c>
      <c r="L280" s="812">
        <v>634.06000000000006</v>
      </c>
      <c r="M280" s="812">
        <v>1607.9900000000002</v>
      </c>
      <c r="N280" s="812">
        <v>1524.7800000000002</v>
      </c>
      <c r="O280" s="812">
        <v>2049.88</v>
      </c>
      <c r="P280" s="811">
        <f t="shared" si="39"/>
        <v>15171.899999999998</v>
      </c>
    </row>
    <row r="281" spans="2:16">
      <c r="C281" s="481" t="s">
        <v>400</v>
      </c>
      <c r="D281" s="811">
        <f t="shared" ref="D281:O281" si="40">SUM(D264:D269,D276:D280)</f>
        <v>967526.49000000011</v>
      </c>
      <c r="E281" s="811">
        <f t="shared" si="40"/>
        <v>843859.21000000008</v>
      </c>
      <c r="F281" s="811">
        <f t="shared" si="40"/>
        <v>862028.16</v>
      </c>
      <c r="G281" s="811">
        <f t="shared" si="40"/>
        <v>715547.4500000003</v>
      </c>
      <c r="H281" s="811">
        <f t="shared" si="40"/>
        <v>463177.21000000008</v>
      </c>
      <c r="I281" s="811">
        <f t="shared" si="40"/>
        <v>416367.55000000005</v>
      </c>
      <c r="J281" s="811">
        <f t="shared" si="40"/>
        <v>371530.62999999989</v>
      </c>
      <c r="K281" s="811">
        <f t="shared" si="40"/>
        <v>331981.44000000006</v>
      </c>
      <c r="L281" s="811">
        <f t="shared" si="40"/>
        <v>403229.82999999996</v>
      </c>
      <c r="M281" s="811">
        <f t="shared" si="40"/>
        <v>626242.07999999984</v>
      </c>
      <c r="N281" s="811">
        <f t="shared" si="40"/>
        <v>561771.36</v>
      </c>
      <c r="O281" s="811">
        <f t="shared" si="40"/>
        <v>864209.34</v>
      </c>
      <c r="P281" s="811">
        <f t="shared" si="39"/>
        <v>7427470.7500000009</v>
      </c>
    </row>
    <row r="282" spans="2:16">
      <c r="C282" s="481" t="s">
        <v>401</v>
      </c>
      <c r="D282" s="341">
        <v>1522757</v>
      </c>
      <c r="E282" s="452">
        <v>1322495</v>
      </c>
      <c r="F282" s="452">
        <v>1326035</v>
      </c>
      <c r="G282" s="452">
        <v>1128418</v>
      </c>
      <c r="H282" s="452">
        <v>713209</v>
      </c>
      <c r="I282" s="452">
        <v>637229</v>
      </c>
      <c r="J282" s="452">
        <v>562464</v>
      </c>
      <c r="K282" s="452">
        <v>497342</v>
      </c>
      <c r="L282" s="452">
        <v>620797</v>
      </c>
      <c r="M282" s="452">
        <v>1000739</v>
      </c>
      <c r="N282" s="452">
        <v>870287</v>
      </c>
      <c r="O282" s="452">
        <v>1356324</v>
      </c>
      <c r="P282" s="815">
        <f>SUM(D282:O282)</f>
        <v>11558096</v>
      </c>
    </row>
    <row r="283" spans="2:16">
      <c r="C283" s="481"/>
      <c r="D283" s="341"/>
      <c r="E283" s="452"/>
      <c r="F283" s="452"/>
      <c r="G283" s="452"/>
      <c r="H283" s="452"/>
      <c r="I283" s="452"/>
      <c r="J283" s="452"/>
      <c r="K283" s="452"/>
      <c r="L283" s="452"/>
      <c r="M283" s="452"/>
      <c r="N283" s="452"/>
      <c r="O283" s="452"/>
      <c r="P283" s="815"/>
    </row>
    <row r="284" spans="2:16">
      <c r="C284" s="822" t="s">
        <v>406</v>
      </c>
      <c r="D284" s="879">
        <v>196025</v>
      </c>
      <c r="E284" s="879">
        <v>191702</v>
      </c>
      <c r="F284" s="879">
        <v>183168</v>
      </c>
      <c r="G284" s="879">
        <v>173833</v>
      </c>
      <c r="H284" s="879">
        <v>133560.71570182394</v>
      </c>
      <c r="I284" s="879">
        <v>105492.11934972244</v>
      </c>
      <c r="J284" s="879">
        <v>95507.880650277555</v>
      </c>
      <c r="K284" s="879">
        <v>84192.010309278368</v>
      </c>
      <c r="L284" s="879">
        <v>88699.097938144332</v>
      </c>
      <c r="M284" s="879">
        <v>103925.90206185567</v>
      </c>
      <c r="N284" s="879">
        <v>157310.1704996035</v>
      </c>
      <c r="O284" s="879">
        <v>185558.0888183981</v>
      </c>
      <c r="P284" s="815">
        <f>SUM(D284:O284)</f>
        <v>1698973.9853291037</v>
      </c>
    </row>
    <row r="285" spans="2:16">
      <c r="C285" s="822" t="s">
        <v>407</v>
      </c>
      <c r="D285" s="880">
        <v>719009</v>
      </c>
      <c r="E285" s="880">
        <v>651277</v>
      </c>
      <c r="F285" s="880">
        <v>636675</v>
      </c>
      <c r="G285" s="880">
        <v>543500</v>
      </c>
      <c r="H285" s="880">
        <v>349252.1691644924</v>
      </c>
      <c r="I285" s="880">
        <v>296806.14040410169</v>
      </c>
      <c r="J285" s="880">
        <v>270588.31381590921</v>
      </c>
      <c r="K285" s="880">
        <v>243516.95892239545</v>
      </c>
      <c r="L285" s="880">
        <v>280282.32510163216</v>
      </c>
      <c r="M285" s="880">
        <v>327486.68163339602</v>
      </c>
      <c r="N285" s="880">
        <v>436186</v>
      </c>
      <c r="O285" s="880">
        <v>648583</v>
      </c>
      <c r="P285" s="815">
        <f>SUM(D285:O285)</f>
        <v>5403162.5890419269</v>
      </c>
    </row>
    <row r="286" spans="2:16">
      <c r="C286" s="822" t="s">
        <v>460</v>
      </c>
      <c r="D286" s="879">
        <v>607722.67641996557</v>
      </c>
      <c r="E286" s="879">
        <v>479515.56224899594</v>
      </c>
      <c r="F286" s="879">
        <v>506192</v>
      </c>
      <c r="G286" s="879">
        <v>411085</v>
      </c>
      <c r="H286" s="879">
        <v>230396.91013000062</v>
      </c>
      <c r="I286" s="879">
        <v>234932.11078314384</v>
      </c>
      <c r="J286" s="879">
        <v>196369.08873955911</v>
      </c>
      <c r="K286" s="879">
        <v>169633.98856999309</v>
      </c>
      <c r="L286" s="879">
        <v>251816.93148276076</v>
      </c>
      <c r="M286" s="879">
        <v>569328.14168184379</v>
      </c>
      <c r="N286" s="879">
        <v>276791.24536833511</v>
      </c>
      <c r="O286" s="879">
        <v>522182.9429127677</v>
      </c>
      <c r="P286" s="815">
        <f>SUM(D286:O286)</f>
        <v>4455966.5983373653</v>
      </c>
    </row>
    <row r="287" spans="2:16">
      <c r="C287" s="481"/>
      <c r="D287" s="825"/>
      <c r="E287" s="825"/>
      <c r="F287" s="825"/>
      <c r="G287" s="825"/>
      <c r="H287" s="825"/>
      <c r="I287" s="825"/>
      <c r="J287" s="825"/>
      <c r="K287" s="825"/>
      <c r="L287" s="825"/>
      <c r="M287" s="825"/>
      <c r="N287" s="825"/>
      <c r="O287" s="825"/>
      <c r="P287" s="815"/>
    </row>
    <row r="288" spans="2:16">
      <c r="D288" s="811"/>
      <c r="E288" s="812"/>
      <c r="F288" s="812"/>
      <c r="G288" s="812"/>
      <c r="H288" s="812"/>
      <c r="I288" s="812"/>
      <c r="J288" s="812"/>
      <c r="K288" s="812"/>
      <c r="L288" s="812"/>
      <c r="M288" s="812"/>
      <c r="N288" s="812"/>
      <c r="O288" s="812"/>
      <c r="P288" s="811"/>
    </row>
    <row r="289" spans="2:16">
      <c r="C289" s="873" t="s">
        <v>161</v>
      </c>
      <c r="D289" s="811"/>
      <c r="E289" s="812"/>
      <c r="F289" s="812"/>
      <c r="G289" s="812"/>
      <c r="H289" s="812"/>
      <c r="I289" s="812"/>
      <c r="J289" s="812"/>
      <c r="K289" s="812"/>
      <c r="L289" s="812"/>
      <c r="M289" s="812"/>
      <c r="N289" s="812"/>
      <c r="O289" s="812"/>
      <c r="P289" s="811"/>
    </row>
    <row r="290" spans="2:16">
      <c r="B290" s="873" t="str">
        <f>$C$289</f>
        <v>CNGWA511</v>
      </c>
      <c r="C290" s="873" t="s">
        <v>389</v>
      </c>
      <c r="D290" s="811">
        <v>826397.40999999992</v>
      </c>
      <c r="E290" s="811">
        <v>684041.62</v>
      </c>
      <c r="F290" s="811">
        <v>694342.72</v>
      </c>
      <c r="G290" s="811">
        <v>658956.78999999992</v>
      </c>
      <c r="H290" s="811">
        <v>322515.92000000004</v>
      </c>
      <c r="I290" s="811">
        <v>396560.69</v>
      </c>
      <c r="J290" s="811">
        <v>372840.83</v>
      </c>
      <c r="K290" s="811">
        <v>273541.61</v>
      </c>
      <c r="L290" s="811">
        <v>279267.34999999998</v>
      </c>
      <c r="M290" s="811">
        <v>357979.50000000006</v>
      </c>
      <c r="N290" s="811">
        <v>496004.32000000007</v>
      </c>
      <c r="O290" s="811">
        <v>768697.07</v>
      </c>
      <c r="P290" s="811">
        <f t="shared" ref="P290:P321" si="41">SUM(D290:O290)</f>
        <v>6131145.8300000001</v>
      </c>
    </row>
    <row r="291" spans="2:16">
      <c r="B291" s="873" t="str">
        <f t="shared" ref="B291:B320" si="42">$C$289</f>
        <v>CNGWA511</v>
      </c>
      <c r="C291" s="873" t="s">
        <v>439</v>
      </c>
      <c r="D291" s="811">
        <v>-341.8</v>
      </c>
      <c r="E291" s="811"/>
      <c r="F291" s="811">
        <v>-6023.2</v>
      </c>
      <c r="G291" s="811">
        <v>-4012.51</v>
      </c>
      <c r="H291" s="811">
        <v>-169.21</v>
      </c>
      <c r="I291" s="811">
        <v>-31.65</v>
      </c>
      <c r="J291" s="811"/>
      <c r="K291" s="811">
        <v>-9109.91</v>
      </c>
      <c r="L291" s="811"/>
      <c r="M291" s="811">
        <v>-7694.2</v>
      </c>
      <c r="N291" s="811">
        <v>-2729.3</v>
      </c>
      <c r="O291" s="811">
        <v>-3320.75</v>
      </c>
      <c r="P291" s="811">
        <f t="shared" si="41"/>
        <v>-33432.53</v>
      </c>
    </row>
    <row r="292" spans="2:16">
      <c r="B292" s="873" t="str">
        <f t="shared" si="42"/>
        <v>CNGWA511</v>
      </c>
      <c r="C292" s="873" t="s">
        <v>403</v>
      </c>
      <c r="D292" s="811">
        <v>11750</v>
      </c>
      <c r="E292" s="811">
        <v>11250</v>
      </c>
      <c r="F292" s="811">
        <v>11625</v>
      </c>
      <c r="G292" s="811">
        <v>11625</v>
      </c>
      <c r="H292" s="811">
        <v>11250</v>
      </c>
      <c r="I292" s="811">
        <v>11500</v>
      </c>
      <c r="J292" s="811">
        <v>11625</v>
      </c>
      <c r="K292" s="811">
        <v>11500</v>
      </c>
      <c r="L292" s="811">
        <v>11375</v>
      </c>
      <c r="M292" s="811">
        <v>11625</v>
      </c>
      <c r="N292" s="811">
        <v>11375</v>
      </c>
      <c r="O292" s="811">
        <v>11375</v>
      </c>
      <c r="P292" s="811">
        <f t="shared" si="41"/>
        <v>137875</v>
      </c>
    </row>
    <row r="293" spans="2:16">
      <c r="B293" s="873" t="str">
        <f t="shared" si="42"/>
        <v>CNGWA511</v>
      </c>
      <c r="C293" s="873" t="s">
        <v>440</v>
      </c>
      <c r="D293" s="811">
        <v>-125</v>
      </c>
      <c r="E293" s="811"/>
      <c r="F293" s="811">
        <v>-375</v>
      </c>
      <c r="G293" s="811">
        <v>-125</v>
      </c>
      <c r="H293" s="811">
        <v>-125</v>
      </c>
      <c r="I293" s="811">
        <v>-125</v>
      </c>
      <c r="J293" s="811"/>
      <c r="K293" s="811">
        <v>-250</v>
      </c>
      <c r="L293" s="811"/>
      <c r="M293" s="811">
        <v>-125</v>
      </c>
      <c r="N293" s="811">
        <v>-125</v>
      </c>
      <c r="O293" s="811">
        <v>-250</v>
      </c>
      <c r="P293" s="811">
        <f t="shared" si="41"/>
        <v>-1625</v>
      </c>
    </row>
    <row r="294" spans="2:16">
      <c r="B294" s="873" t="str">
        <f t="shared" si="42"/>
        <v>CNGWA511</v>
      </c>
      <c r="C294" s="873" t="s">
        <v>392</v>
      </c>
      <c r="D294" s="811">
        <v>58557.990000000005</v>
      </c>
      <c r="E294" s="811">
        <v>49138.6</v>
      </c>
      <c r="F294" s="811">
        <v>47690.840000000004</v>
      </c>
      <c r="G294" s="811">
        <v>50127.65</v>
      </c>
      <c r="H294" s="811">
        <v>21988.290000000005</v>
      </c>
      <c r="I294" s="811">
        <v>23142.210000000003</v>
      </c>
      <c r="J294" s="811">
        <v>20228.919999999998</v>
      </c>
      <c r="K294" s="811">
        <v>15051.26</v>
      </c>
      <c r="L294" s="811">
        <v>17119.330000000002</v>
      </c>
      <c r="M294" s="811">
        <v>20353.270000000004</v>
      </c>
      <c r="N294" s="811">
        <v>36047.699999999997</v>
      </c>
      <c r="O294" s="811">
        <v>57289.80000000001</v>
      </c>
      <c r="P294" s="811">
        <f t="shared" si="41"/>
        <v>416735.86000000004</v>
      </c>
    </row>
    <row r="295" spans="2:16">
      <c r="B295" s="873" t="str">
        <f t="shared" si="42"/>
        <v>CNGWA511</v>
      </c>
      <c r="C295" s="873" t="s">
        <v>441</v>
      </c>
      <c r="D295" s="811"/>
      <c r="E295" s="811"/>
      <c r="F295" s="811">
        <v>-7.98</v>
      </c>
      <c r="G295" s="811"/>
      <c r="H295" s="811"/>
      <c r="I295" s="811"/>
      <c r="J295" s="811"/>
      <c r="K295" s="811"/>
      <c r="L295" s="811"/>
      <c r="M295" s="811"/>
      <c r="N295" s="811"/>
      <c r="O295" s="811"/>
      <c r="P295" s="811">
        <f t="shared" si="41"/>
        <v>-7.98</v>
      </c>
    </row>
    <row r="296" spans="2:16">
      <c r="B296" s="873" t="str">
        <f t="shared" si="42"/>
        <v>CNGWA511</v>
      </c>
      <c r="C296" s="873" t="s">
        <v>459</v>
      </c>
      <c r="D296" s="811">
        <v>11363.159999999998</v>
      </c>
      <c r="E296" s="811">
        <v>10345.68</v>
      </c>
      <c r="F296" s="811">
        <v>8201.48</v>
      </c>
      <c r="G296" s="811">
        <v>14393.31</v>
      </c>
      <c r="H296" s="811">
        <v>5874.1699999999992</v>
      </c>
      <c r="I296" s="811">
        <v>11404.550000000001</v>
      </c>
      <c r="J296" s="811">
        <v>8817.8200000000015</v>
      </c>
      <c r="K296" s="811">
        <v>8424.68</v>
      </c>
      <c r="L296" s="811">
        <v>8988.4499999999989</v>
      </c>
      <c r="M296" s="811">
        <v>9884.69</v>
      </c>
      <c r="N296" s="811">
        <v>8912.2200000000012</v>
      </c>
      <c r="O296" s="811">
        <v>11245.52</v>
      </c>
      <c r="P296" s="811">
        <f t="shared" si="41"/>
        <v>117855.73000000001</v>
      </c>
    </row>
    <row r="297" spans="2:16">
      <c r="B297" s="873" t="str">
        <f t="shared" si="42"/>
        <v>CNGWA511</v>
      </c>
      <c r="C297" s="873" t="s">
        <v>461</v>
      </c>
      <c r="D297" s="811">
        <v>-21.3</v>
      </c>
      <c r="E297" s="811"/>
      <c r="F297" s="811">
        <v>-375.4</v>
      </c>
      <c r="G297" s="811">
        <v>-250.09</v>
      </c>
      <c r="H297" s="811">
        <v>-10.55</v>
      </c>
      <c r="I297" s="811">
        <v>-1.97</v>
      </c>
      <c r="J297" s="811"/>
      <c r="K297" s="811">
        <v>-567.79</v>
      </c>
      <c r="L297" s="811"/>
      <c r="M297" s="811">
        <v>-479.55</v>
      </c>
      <c r="N297" s="811">
        <v>-170.11</v>
      </c>
      <c r="O297" s="811">
        <v>-208.1</v>
      </c>
      <c r="P297" s="811">
        <f t="shared" si="41"/>
        <v>-2084.8599999999997</v>
      </c>
    </row>
    <row r="298" spans="2:16">
      <c r="B298" s="873" t="str">
        <f t="shared" si="42"/>
        <v>CNGWA511</v>
      </c>
      <c r="C298" s="873" t="s">
        <v>393</v>
      </c>
      <c r="D298" s="811">
        <v>40143.47</v>
      </c>
      <c r="E298" s="811">
        <v>32288.379999999994</v>
      </c>
      <c r="F298" s="811">
        <v>35074.68</v>
      </c>
      <c r="G298" s="811">
        <v>26677.31</v>
      </c>
      <c r="H298" s="811">
        <v>14227.14</v>
      </c>
      <c r="I298" s="811">
        <v>13311.749999999998</v>
      </c>
      <c r="J298" s="811">
        <v>14420.119999999999</v>
      </c>
      <c r="K298" s="811">
        <v>8624.34</v>
      </c>
      <c r="L298" s="811">
        <v>8417.32</v>
      </c>
      <c r="M298" s="811">
        <v>12426.960000000001</v>
      </c>
      <c r="N298" s="811">
        <v>22061.449999999997</v>
      </c>
      <c r="O298" s="811">
        <v>36946.53</v>
      </c>
      <c r="P298" s="811">
        <f t="shared" si="41"/>
        <v>264619.44999999995</v>
      </c>
    </row>
    <row r="299" spans="2:16">
      <c r="B299" s="873" t="str">
        <f t="shared" si="42"/>
        <v>CNGWA511</v>
      </c>
      <c r="C299" s="873" t="s">
        <v>394</v>
      </c>
      <c r="D299" s="811">
        <v>-38267.629999999997</v>
      </c>
      <c r="E299" s="811">
        <v>-31675.62</v>
      </c>
      <c r="F299" s="811">
        <v>-32152.729999999996</v>
      </c>
      <c r="G299" s="811">
        <v>-30514.079999999998</v>
      </c>
      <c r="H299" s="811">
        <v>-14934.619999999999</v>
      </c>
      <c r="I299" s="811">
        <v>-18363.399999999998</v>
      </c>
      <c r="J299" s="811">
        <v>-17265.02</v>
      </c>
      <c r="K299" s="811">
        <v>-12666.72</v>
      </c>
      <c r="L299" s="811">
        <v>-12931.94</v>
      </c>
      <c r="M299" s="811">
        <v>-16576.830000000002</v>
      </c>
      <c r="N299" s="811">
        <v>-22844.59</v>
      </c>
      <c r="O299" s="811">
        <v>-35009.449999999997</v>
      </c>
      <c r="P299" s="811">
        <f t="shared" si="41"/>
        <v>-283202.62999999995</v>
      </c>
    </row>
    <row r="300" spans="2:16">
      <c r="B300" s="873" t="str">
        <f t="shared" si="42"/>
        <v>CNGWA511</v>
      </c>
      <c r="C300" s="873" t="s">
        <v>446</v>
      </c>
      <c r="D300" s="811">
        <v>15.83</v>
      </c>
      <c r="E300" s="811"/>
      <c r="F300" s="811">
        <v>278.91000000000003</v>
      </c>
      <c r="G300" s="811">
        <v>185.81</v>
      </c>
      <c r="H300" s="811">
        <v>7.84</v>
      </c>
      <c r="I300" s="811">
        <v>1.47</v>
      </c>
      <c r="J300" s="811"/>
      <c r="K300" s="811">
        <v>421.84999999999997</v>
      </c>
      <c r="L300" s="811"/>
      <c r="M300" s="811">
        <v>356.29</v>
      </c>
      <c r="N300" s="811">
        <v>126.38</v>
      </c>
      <c r="O300" s="811">
        <v>151.43</v>
      </c>
      <c r="P300" s="811">
        <f t="shared" si="41"/>
        <v>1545.8100000000002</v>
      </c>
    </row>
    <row r="301" spans="2:16">
      <c r="B301" s="873" t="str">
        <f t="shared" si="42"/>
        <v>CNGWA511</v>
      </c>
      <c r="C301" s="873" t="s">
        <v>395</v>
      </c>
      <c r="D301" s="811">
        <v>2761.37</v>
      </c>
      <c r="E301" s="811">
        <v>2285.6999999999998</v>
      </c>
      <c r="F301" s="811">
        <v>2320.1400000000003</v>
      </c>
      <c r="G301" s="811">
        <v>2201.8799999999997</v>
      </c>
      <c r="H301" s="811">
        <v>1077.6699999999998</v>
      </c>
      <c r="I301" s="811">
        <v>1325.08</v>
      </c>
      <c r="J301" s="811">
        <v>1245.8100000000002</v>
      </c>
      <c r="K301" s="811">
        <v>914.05</v>
      </c>
      <c r="L301" s="811">
        <v>933.16999999999985</v>
      </c>
      <c r="M301" s="811">
        <v>1196.1199999999999</v>
      </c>
      <c r="N301" s="811">
        <v>1660.9900000000002</v>
      </c>
      <c r="O301" s="811">
        <v>2585.59</v>
      </c>
      <c r="P301" s="811">
        <f t="shared" si="41"/>
        <v>20507.57</v>
      </c>
    </row>
    <row r="302" spans="2:16">
      <c r="B302" s="873" t="str">
        <f t="shared" si="42"/>
        <v>CNGWA511</v>
      </c>
      <c r="C302" s="873" t="s">
        <v>447</v>
      </c>
      <c r="D302" s="811">
        <v>-1.1399999999999999</v>
      </c>
      <c r="E302" s="811"/>
      <c r="F302" s="811">
        <v>-20.130000000000003</v>
      </c>
      <c r="G302" s="811">
        <v>-13.41</v>
      </c>
      <c r="H302" s="811">
        <v>-0.56999999999999995</v>
      </c>
      <c r="I302" s="811">
        <v>-0.11</v>
      </c>
      <c r="J302" s="811"/>
      <c r="K302" s="811">
        <v>-30.44</v>
      </c>
      <c r="L302" s="811"/>
      <c r="M302" s="811">
        <v>-25.71</v>
      </c>
      <c r="N302" s="811">
        <v>-9.1199999999999992</v>
      </c>
      <c r="O302" s="811">
        <v>-11.16</v>
      </c>
      <c r="P302" s="811">
        <f t="shared" si="41"/>
        <v>-111.79000000000002</v>
      </c>
    </row>
    <row r="303" spans="2:16">
      <c r="D303" s="811"/>
      <c r="E303" s="811"/>
      <c r="F303" s="811"/>
      <c r="G303" s="811"/>
      <c r="H303" s="811"/>
      <c r="I303" s="811"/>
      <c r="J303" s="811"/>
      <c r="K303" s="811"/>
      <c r="L303" s="811"/>
      <c r="M303" s="811"/>
      <c r="N303" s="811"/>
      <c r="O303" s="811"/>
      <c r="P303" s="811"/>
    </row>
    <row r="304" spans="2:16">
      <c r="B304" s="873" t="str">
        <f t="shared" si="42"/>
        <v>CNGWA511</v>
      </c>
      <c r="C304" s="1" t="s">
        <v>163</v>
      </c>
      <c r="D304" s="811">
        <v>173013.31</v>
      </c>
      <c r="E304" s="811">
        <v>152763.07</v>
      </c>
      <c r="H304" s="811"/>
      <c r="I304" s="811"/>
      <c r="J304" s="811"/>
      <c r="K304" s="811"/>
      <c r="L304" s="811"/>
      <c r="M304" s="811"/>
      <c r="N304" s="811"/>
      <c r="O304" s="811"/>
      <c r="P304" s="3">
        <f t="shared" si="41"/>
        <v>325776.38</v>
      </c>
    </row>
    <row r="305" spans="2:16">
      <c r="B305" s="873" t="str">
        <f t="shared" si="42"/>
        <v>CNGWA511</v>
      </c>
      <c r="C305" s="1" t="s">
        <v>164</v>
      </c>
      <c r="F305" s="811">
        <v>160665.32</v>
      </c>
      <c r="G305" s="811">
        <v>147645.83000000002</v>
      </c>
      <c r="H305" s="811">
        <v>86200.010000000009</v>
      </c>
      <c r="I305" s="811">
        <v>77457.72</v>
      </c>
      <c r="J305" s="811">
        <v>84316.2</v>
      </c>
      <c r="K305" s="811">
        <v>60143.100000000006</v>
      </c>
      <c r="L305" s="811">
        <v>61503.48</v>
      </c>
      <c r="M305" s="811">
        <v>79271.09</v>
      </c>
      <c r="N305" s="811">
        <v>117134.28</v>
      </c>
      <c r="O305" s="811">
        <v>174603.18</v>
      </c>
      <c r="P305" s="3">
        <f t="shared" si="41"/>
        <v>1048940.21</v>
      </c>
    </row>
    <row r="306" spans="2:16">
      <c r="B306" s="873" t="str">
        <f t="shared" si="42"/>
        <v>CNGWA511</v>
      </c>
      <c r="C306" s="1" t="s">
        <v>165</v>
      </c>
      <c r="D306" s="811">
        <v>64276.820000000007</v>
      </c>
      <c r="E306" s="811">
        <v>49483.25</v>
      </c>
      <c r="P306" s="3">
        <f t="shared" si="41"/>
        <v>113760.07</v>
      </c>
    </row>
    <row r="307" spans="2:16">
      <c r="B307" s="873" t="str">
        <f t="shared" si="42"/>
        <v>CNGWA511</v>
      </c>
      <c r="C307" s="1" t="s">
        <v>166</v>
      </c>
      <c r="F307" s="811">
        <v>53397.94</v>
      </c>
      <c r="G307" s="811">
        <v>55865.17</v>
      </c>
      <c r="H307" s="811">
        <v>25594.23</v>
      </c>
      <c r="I307" s="811">
        <v>50568.53</v>
      </c>
      <c r="J307" s="811">
        <v>43970.369999999995</v>
      </c>
      <c r="K307" s="811">
        <v>34137.74</v>
      </c>
      <c r="L307" s="811">
        <v>33078.44</v>
      </c>
      <c r="M307" s="811">
        <v>43331.490000000005</v>
      </c>
      <c r="N307" s="811">
        <v>47270.57</v>
      </c>
      <c r="O307" s="811">
        <v>65412.01</v>
      </c>
      <c r="P307" s="3">
        <f>SUM(D307:O307)</f>
        <v>452626.49</v>
      </c>
    </row>
    <row r="308" spans="2:16">
      <c r="B308" s="873" t="str">
        <f t="shared" si="42"/>
        <v>CNGWA511</v>
      </c>
      <c r="C308" s="1" t="s">
        <v>167</v>
      </c>
      <c r="D308" s="811">
        <v>4493.99</v>
      </c>
      <c r="E308" s="811">
        <v>2831.64</v>
      </c>
      <c r="P308" s="3">
        <f>SUM(D308:O308)</f>
        <v>7325.6299999999992</v>
      </c>
    </row>
    <row r="309" spans="2:16">
      <c r="B309" s="873" t="str">
        <f t="shared" si="42"/>
        <v>CNGWA511</v>
      </c>
      <c r="C309" s="1" t="s">
        <v>168</v>
      </c>
      <c r="F309" s="811">
        <v>3464.09</v>
      </c>
      <c r="G309" s="811">
        <v>6683.85</v>
      </c>
      <c r="H309" s="811">
        <v>835.1</v>
      </c>
      <c r="I309" s="811">
        <v>1855.9699999999998</v>
      </c>
      <c r="J309" s="811">
        <v>140.43</v>
      </c>
      <c r="K309" s="811">
        <v>43.44</v>
      </c>
      <c r="L309" s="811">
        <v>515.23</v>
      </c>
      <c r="M309" s="811">
        <v>309.16000000000003</v>
      </c>
      <c r="N309" s="811">
        <v>2493.91</v>
      </c>
      <c r="O309" s="873">
        <v>7815.7599999999993</v>
      </c>
      <c r="P309" s="3">
        <f>SUM(D309:O309)</f>
        <v>24156.94</v>
      </c>
    </row>
    <row r="310" spans="2:16" s="754" customFormat="1">
      <c r="B310" s="754" t="str">
        <f t="shared" si="42"/>
        <v>CNGWA511</v>
      </c>
      <c r="C310" s="754" t="s">
        <v>169</v>
      </c>
      <c r="D310" s="3">
        <v>-116.07</v>
      </c>
      <c r="E310" s="3"/>
      <c r="F310" s="3">
        <v>-2225.38</v>
      </c>
      <c r="G310" s="3">
        <v>-1532.19</v>
      </c>
      <c r="H310" s="3">
        <v>-64.61</v>
      </c>
      <c r="I310" s="3">
        <v>-12.08</v>
      </c>
      <c r="J310" s="3"/>
      <c r="K310" s="3">
        <v>-3478.63</v>
      </c>
      <c r="L310" s="3"/>
      <c r="M310" s="3">
        <v>-2938.04</v>
      </c>
      <c r="N310" s="3">
        <v>-1042.19</v>
      </c>
      <c r="O310" s="3">
        <v>-1275.83</v>
      </c>
      <c r="P310" s="3">
        <f>SUM(D310:O310)</f>
        <v>-12685.02</v>
      </c>
    </row>
    <row r="311" spans="2:16">
      <c r="B311" s="873" t="str">
        <f t="shared" si="42"/>
        <v>CNGWA511</v>
      </c>
      <c r="C311" s="873" t="s">
        <v>396</v>
      </c>
      <c r="D311" s="811">
        <v>-6286.55</v>
      </c>
      <c r="E311" s="811">
        <v>-5203.63</v>
      </c>
      <c r="F311" s="811">
        <v>-5282.04</v>
      </c>
      <c r="G311" s="811">
        <v>-5012.82</v>
      </c>
      <c r="H311" s="811">
        <v>-2453.4799999999996</v>
      </c>
      <c r="I311" s="811">
        <v>-3016.7200000000003</v>
      </c>
      <c r="J311" s="811">
        <v>-2836.25</v>
      </c>
      <c r="K311" s="811">
        <v>-2080.9</v>
      </c>
      <c r="L311" s="811">
        <v>-2124.4299999999998</v>
      </c>
      <c r="M311" s="811">
        <v>-2723.2200000000003</v>
      </c>
      <c r="N311" s="811">
        <v>-3653.2099999999996</v>
      </c>
      <c r="O311" s="811">
        <v>-5278.71</v>
      </c>
      <c r="P311" s="811">
        <f t="shared" si="41"/>
        <v>-45951.96</v>
      </c>
    </row>
    <row r="312" spans="2:16">
      <c r="B312" s="873" t="str">
        <f t="shared" si="42"/>
        <v>CNGWA511</v>
      </c>
      <c r="C312" s="873" t="s">
        <v>450</v>
      </c>
      <c r="D312" s="811">
        <v>2.6</v>
      </c>
      <c r="E312" s="811"/>
      <c r="F312" s="811">
        <v>45.82</v>
      </c>
      <c r="G312" s="811">
        <v>30.52</v>
      </c>
      <c r="H312" s="811">
        <v>1.29</v>
      </c>
      <c r="I312" s="811">
        <v>0.24</v>
      </c>
      <c r="J312" s="811"/>
      <c r="K312" s="811">
        <v>69.3</v>
      </c>
      <c r="L312" s="811"/>
      <c r="M312" s="811">
        <v>58.53</v>
      </c>
      <c r="N312" s="811">
        <v>20.76</v>
      </c>
      <c r="O312" s="811">
        <v>22.979999999999997</v>
      </c>
      <c r="P312" s="811">
        <f t="shared" si="41"/>
        <v>252.03999999999996</v>
      </c>
    </row>
    <row r="313" spans="2:16">
      <c r="B313" s="873" t="str">
        <f t="shared" si="42"/>
        <v>CNGWA511</v>
      </c>
      <c r="C313" s="873" t="s">
        <v>397</v>
      </c>
      <c r="D313" s="811">
        <v>11123.88</v>
      </c>
      <c r="E313" s="811">
        <v>9207.619999999999</v>
      </c>
      <c r="F313" s="811">
        <v>6518.57</v>
      </c>
      <c r="G313" s="811">
        <v>2112.8500000000004</v>
      </c>
      <c r="H313" s="811">
        <v>963.01</v>
      </c>
      <c r="I313" s="811">
        <v>1184.0800000000002</v>
      </c>
      <c r="J313" s="811">
        <v>1259.3799999999999</v>
      </c>
      <c r="K313" s="811">
        <v>816.80000000000007</v>
      </c>
      <c r="L313" s="811">
        <v>833.85</v>
      </c>
      <c r="M313" s="811">
        <v>1068.9100000000001</v>
      </c>
      <c r="N313" s="811">
        <v>1845.99</v>
      </c>
      <c r="O313" s="811">
        <v>4026.3599999999997</v>
      </c>
      <c r="P313" s="811">
        <f t="shared" si="41"/>
        <v>40961.300000000003</v>
      </c>
    </row>
    <row r="314" spans="2:16">
      <c r="B314" s="873" t="str">
        <f t="shared" si="42"/>
        <v>CNGWA511</v>
      </c>
      <c r="C314" s="873" t="s">
        <v>451</v>
      </c>
      <c r="D314" s="811">
        <v>-4.5999999999999996</v>
      </c>
      <c r="E314" s="811"/>
      <c r="F314" s="811">
        <v>-36.47</v>
      </c>
      <c r="G314" s="811">
        <v>-11.98</v>
      </c>
      <c r="H314" s="811">
        <v>-0.51</v>
      </c>
      <c r="I314" s="811">
        <v>-0.09</v>
      </c>
      <c r="J314" s="811"/>
      <c r="K314" s="811">
        <v>-27.21</v>
      </c>
      <c r="L314" s="811"/>
      <c r="M314" s="811">
        <v>-22.97</v>
      </c>
      <c r="N314" s="811">
        <v>-8.15</v>
      </c>
      <c r="O314" s="811">
        <v>-16.850000000000001</v>
      </c>
      <c r="P314" s="811">
        <f t="shared" si="41"/>
        <v>-128.83000000000001</v>
      </c>
    </row>
    <row r="315" spans="2:16">
      <c r="B315" s="873" t="str">
        <f t="shared" si="42"/>
        <v>CNGWA511</v>
      </c>
      <c r="C315" s="873" t="s">
        <v>452</v>
      </c>
      <c r="D315" s="811">
        <v>-2481.1099999999997</v>
      </c>
      <c r="E315" s="811">
        <v>-2269.6200000000003</v>
      </c>
      <c r="F315" s="811">
        <v>-2574.9299999999998</v>
      </c>
      <c r="G315" s="811">
        <v>-2302.86</v>
      </c>
      <c r="H315" s="811">
        <v>-812.64</v>
      </c>
      <c r="I315" s="811">
        <v>-2414.79</v>
      </c>
      <c r="J315" s="811">
        <v>-4191.83</v>
      </c>
      <c r="K315" s="811">
        <v>-2565.3199999999997</v>
      </c>
      <c r="L315" s="811">
        <v>-1077.17</v>
      </c>
      <c r="M315" s="811">
        <v>-2997.8100000000004</v>
      </c>
      <c r="N315" s="811">
        <v>-285.11</v>
      </c>
      <c r="O315" s="811">
        <v>-337.95</v>
      </c>
      <c r="P315" s="811">
        <f t="shared" si="41"/>
        <v>-24311.14</v>
      </c>
    </row>
    <row r="316" spans="2:16">
      <c r="B316" s="873" t="str">
        <f t="shared" si="42"/>
        <v>CNGWA511</v>
      </c>
      <c r="C316" s="873" t="s">
        <v>398</v>
      </c>
      <c r="D316" s="811">
        <v>264975.18999999994</v>
      </c>
      <c r="E316" s="811">
        <v>219330.32999999996</v>
      </c>
      <c r="F316" s="811">
        <v>222633.30999999997</v>
      </c>
      <c r="G316" s="811">
        <v>211287.16999999998</v>
      </c>
      <c r="H316" s="811">
        <v>103411.17</v>
      </c>
      <c r="I316" s="811">
        <v>127152.76000000001</v>
      </c>
      <c r="J316" s="811">
        <v>119547.28</v>
      </c>
      <c r="K316" s="811">
        <v>87708.1</v>
      </c>
      <c r="L316" s="811">
        <v>89543.960000000021</v>
      </c>
      <c r="M316" s="811">
        <v>114782.22</v>
      </c>
      <c r="N316" s="811">
        <v>164661.35999999999</v>
      </c>
      <c r="O316" s="811">
        <v>273147.36</v>
      </c>
      <c r="P316" s="811">
        <f t="shared" si="41"/>
        <v>1998180.2099999995</v>
      </c>
    </row>
    <row r="317" spans="2:16">
      <c r="B317" s="873" t="str">
        <f t="shared" si="42"/>
        <v>CNGWA511</v>
      </c>
      <c r="C317" s="873" t="s">
        <v>455</v>
      </c>
      <c r="D317" s="811">
        <v>-109.59</v>
      </c>
      <c r="E317" s="811"/>
      <c r="F317" s="811">
        <v>-1931.27</v>
      </c>
      <c r="G317" s="811">
        <v>-1286.57</v>
      </c>
      <c r="H317" s="811">
        <v>-54.26</v>
      </c>
      <c r="I317" s="811">
        <v>-10.15</v>
      </c>
      <c r="J317" s="811"/>
      <c r="K317" s="811">
        <v>-2920.9900000000002</v>
      </c>
      <c r="L317" s="811"/>
      <c r="M317" s="811">
        <v>-2467.06</v>
      </c>
      <c r="N317" s="811">
        <v>-875.12</v>
      </c>
      <c r="O317" s="811">
        <v>-1171.6300000000001</v>
      </c>
      <c r="P317" s="811">
        <f t="shared" si="41"/>
        <v>-10826.64</v>
      </c>
    </row>
    <row r="318" spans="2:16">
      <c r="B318" s="873" t="str">
        <f t="shared" si="42"/>
        <v>CNGWA511</v>
      </c>
      <c r="C318" s="873" t="s">
        <v>399</v>
      </c>
      <c r="D318" s="811">
        <v>-2344.2399999999998</v>
      </c>
      <c r="E318" s="811">
        <v>-1940.4199999999998</v>
      </c>
      <c r="F318" s="811">
        <v>-1969.68</v>
      </c>
      <c r="G318" s="811">
        <v>-1869.2700000000002</v>
      </c>
      <c r="H318" s="811">
        <v>-914.86</v>
      </c>
      <c r="I318" s="811">
        <v>-1124.94</v>
      </c>
      <c r="J318" s="811">
        <v>-1057.6399999999999</v>
      </c>
      <c r="K318" s="811">
        <v>-775.95</v>
      </c>
      <c r="L318" s="811">
        <v>-792.23</v>
      </c>
      <c r="M318" s="811">
        <v>-1015.4300000000001</v>
      </c>
      <c r="N318" s="811">
        <v>-1524.16</v>
      </c>
      <c r="O318" s="811">
        <v>-2736.59</v>
      </c>
      <c r="P318" s="811">
        <f t="shared" si="41"/>
        <v>-18065.410000000003</v>
      </c>
    </row>
    <row r="319" spans="2:16">
      <c r="B319" s="873" t="str">
        <f t="shared" si="42"/>
        <v>CNGWA511</v>
      </c>
      <c r="C319" s="873" t="s">
        <v>456</v>
      </c>
      <c r="D319" s="811">
        <v>0.97</v>
      </c>
      <c r="E319" s="811"/>
      <c r="F319" s="811">
        <v>17.09</v>
      </c>
      <c r="G319" s="811">
        <v>11.38</v>
      </c>
      <c r="H319" s="811">
        <v>0.48</v>
      </c>
      <c r="I319" s="811">
        <v>0.09</v>
      </c>
      <c r="J319" s="811"/>
      <c r="K319" s="811">
        <v>25.84</v>
      </c>
      <c r="L319" s="811"/>
      <c r="M319" s="811">
        <v>21.83</v>
      </c>
      <c r="N319" s="811">
        <v>7.74</v>
      </c>
      <c r="O319" s="811">
        <v>11.65</v>
      </c>
      <c r="P319" s="811">
        <f t="shared" si="41"/>
        <v>97.07</v>
      </c>
    </row>
    <row r="320" spans="2:16">
      <c r="B320" s="873" t="str">
        <f t="shared" si="42"/>
        <v>CNGWA511</v>
      </c>
      <c r="C320" s="873" t="s">
        <v>457</v>
      </c>
      <c r="D320" s="811">
        <v>720.1</v>
      </c>
      <c r="E320" s="811">
        <v>564.17999999999995</v>
      </c>
      <c r="F320" s="811">
        <v>561.16</v>
      </c>
      <c r="G320" s="811">
        <v>361.41</v>
      </c>
      <c r="H320" s="811">
        <v>134.68</v>
      </c>
      <c r="I320" s="811">
        <v>81.14</v>
      </c>
      <c r="J320" s="811">
        <v>51.34</v>
      </c>
      <c r="K320" s="811">
        <v>33.44</v>
      </c>
      <c r="L320" s="811">
        <v>128.61000000000001</v>
      </c>
      <c r="M320" s="811">
        <v>130.28</v>
      </c>
      <c r="N320" s="811">
        <v>423.92</v>
      </c>
      <c r="O320" s="811">
        <v>700.47</v>
      </c>
      <c r="P320" s="811">
        <f t="shared" si="41"/>
        <v>3890.7300000000005</v>
      </c>
    </row>
    <row r="321" spans="1:16">
      <c r="C321" s="481" t="s">
        <v>400</v>
      </c>
      <c r="D321" s="811">
        <f t="shared" ref="D321:O321" si="43">SUM(D290:D320)</f>
        <v>1419497.0599999994</v>
      </c>
      <c r="E321" s="811">
        <f t="shared" si="43"/>
        <v>1182440.78</v>
      </c>
      <c r="F321" s="811">
        <f t="shared" si="43"/>
        <v>1193862.8599999999</v>
      </c>
      <c r="G321" s="811">
        <f t="shared" si="43"/>
        <v>1141235.1500000001</v>
      </c>
      <c r="H321" s="811">
        <f t="shared" si="43"/>
        <v>574540.69000000006</v>
      </c>
      <c r="I321" s="811">
        <f t="shared" si="43"/>
        <v>690445.38</v>
      </c>
      <c r="J321" s="811">
        <f t="shared" si="43"/>
        <v>653112.76000000013</v>
      </c>
      <c r="K321" s="811">
        <f t="shared" si="43"/>
        <v>466981.69</v>
      </c>
      <c r="L321" s="811">
        <f t="shared" si="43"/>
        <v>494778.42</v>
      </c>
      <c r="M321" s="811">
        <f t="shared" si="43"/>
        <v>615729.5199999999</v>
      </c>
      <c r="N321" s="811">
        <f t="shared" si="43"/>
        <v>876780.53000000014</v>
      </c>
      <c r="O321" s="811">
        <f t="shared" si="43"/>
        <v>1364413.69</v>
      </c>
      <c r="P321" s="811">
        <f t="shared" si="41"/>
        <v>10673818.529999999</v>
      </c>
    </row>
    <row r="322" spans="1:16">
      <c r="C322" s="481"/>
      <c r="D322" s="811"/>
      <c r="E322" s="811"/>
      <c r="F322" s="811"/>
      <c r="G322" s="811"/>
      <c r="H322" s="811"/>
      <c r="I322" s="811"/>
      <c r="J322" s="811"/>
      <c r="K322" s="812"/>
      <c r="L322" s="812"/>
      <c r="M322" s="812"/>
      <c r="N322" s="812"/>
      <c r="O322" s="812"/>
      <c r="P322" s="811"/>
    </row>
    <row r="323" spans="1:16">
      <c r="C323" s="481" t="s">
        <v>401</v>
      </c>
      <c r="D323" s="341">
        <v>1958427</v>
      </c>
      <c r="E323" s="341">
        <v>1621067</v>
      </c>
      <c r="F323" s="341">
        <v>1596433</v>
      </c>
      <c r="G323" s="341">
        <v>1561620</v>
      </c>
      <c r="H323" s="341">
        <v>764310</v>
      </c>
      <c r="I323" s="341">
        <f>939784</f>
        <v>939784</v>
      </c>
      <c r="J323" s="341">
        <v>883572</v>
      </c>
      <c r="K323" s="452">
        <v>648249</v>
      </c>
      <c r="L323" s="452">
        <v>661818</v>
      </c>
      <c r="M323" s="452">
        <v>848353</v>
      </c>
      <c r="N323" s="452">
        <v>1177994</v>
      </c>
      <c r="O323" s="452">
        <v>1833758</v>
      </c>
      <c r="P323" s="815">
        <f>SUM(D323:O323)</f>
        <v>14495385</v>
      </c>
    </row>
    <row r="324" spans="1:16">
      <c r="A324" s="882"/>
      <c r="C324" s="822" t="s">
        <v>408</v>
      </c>
      <c r="D324" s="879">
        <v>1207350.3838101884</v>
      </c>
      <c r="E324" s="879">
        <v>1066036.7759944173</v>
      </c>
      <c r="F324" s="879">
        <v>1043295</v>
      </c>
      <c r="G324" s="879">
        <v>918349</v>
      </c>
      <c r="H324" s="879">
        <v>534971.82399304921</v>
      </c>
      <c r="I324" s="879">
        <v>480715.69540122885</v>
      </c>
      <c r="J324" s="879">
        <v>526937</v>
      </c>
      <c r="K324" s="879">
        <v>373258.23868925718</v>
      </c>
      <c r="L324" s="879">
        <v>381700.98678086023</v>
      </c>
      <c r="M324" s="879">
        <v>491969.77595730155</v>
      </c>
      <c r="N324" s="879">
        <v>726955.1293986222</v>
      </c>
      <c r="O324" s="879">
        <v>1083616.8311301433</v>
      </c>
      <c r="P324" s="815">
        <f>SUM(D324:O324)</f>
        <v>8835156.6411550678</v>
      </c>
    </row>
    <row r="325" spans="1:16">
      <c r="A325" s="882"/>
      <c r="C325" s="822" t="s">
        <v>409</v>
      </c>
      <c r="D325" s="879">
        <v>585185.90677348885</v>
      </c>
      <c r="E325" s="879">
        <v>450503.00436999276</v>
      </c>
      <c r="F325" s="879">
        <v>439405</v>
      </c>
      <c r="G325" s="879">
        <v>448922</v>
      </c>
      <c r="H325" s="879">
        <v>205229.97353860957</v>
      </c>
      <c r="I325" s="879">
        <v>405488.97442065593</v>
      </c>
      <c r="J325" s="879">
        <v>352580.94779889338</v>
      </c>
      <c r="K325" s="879">
        <v>273736.98981637397</v>
      </c>
      <c r="L325" s="879">
        <v>265242.88348969613</v>
      </c>
      <c r="M325" s="879">
        <v>347458.02261246095</v>
      </c>
      <c r="N325" s="879">
        <v>379043.94194531313</v>
      </c>
      <c r="O325" s="879">
        <v>524512.95004410238</v>
      </c>
      <c r="P325" s="815">
        <f>SUM(D325:O325)</f>
        <v>4677310.5948095871</v>
      </c>
    </row>
    <row r="326" spans="1:16">
      <c r="A326" s="882"/>
      <c r="C326" s="822" t="s">
        <v>410</v>
      </c>
      <c r="D326" s="879">
        <v>165891.10372831303</v>
      </c>
      <c r="E326" s="879">
        <v>104527.13178294574</v>
      </c>
      <c r="F326" s="879">
        <v>113733</v>
      </c>
      <c r="G326" s="879">
        <v>194349</v>
      </c>
      <c r="H326" s="879">
        <v>24107.967667436493</v>
      </c>
      <c r="I326" s="879">
        <v>53578.810623556579</v>
      </c>
      <c r="J326" s="879">
        <v>4053.9838337182455</v>
      </c>
      <c r="K326" s="879">
        <v>1254.041570438799</v>
      </c>
      <c r="L326" s="879">
        <v>14873.845265588916</v>
      </c>
      <c r="M326" s="879">
        <v>8924.9422632794467</v>
      </c>
      <c r="N326" s="879">
        <v>71995.092378752888</v>
      </c>
      <c r="O326" s="879">
        <v>225628.17551963049</v>
      </c>
      <c r="P326" s="815">
        <f>SUM(D326:O326)</f>
        <v>982917.09463366051</v>
      </c>
    </row>
    <row r="327" spans="1:16">
      <c r="D327" s="828"/>
      <c r="E327" s="828"/>
      <c r="F327" s="828"/>
      <c r="G327" s="828"/>
      <c r="H327" s="828"/>
      <c r="I327" s="828"/>
      <c r="J327" s="828"/>
      <c r="K327" s="828"/>
      <c r="L327" s="828"/>
      <c r="M327" s="828"/>
      <c r="N327" s="828"/>
      <c r="O327" s="828"/>
      <c r="P327" s="811"/>
    </row>
    <row r="328" spans="1:16">
      <c r="D328" s="811"/>
      <c r="E328" s="812"/>
      <c r="F328" s="812"/>
      <c r="G328" s="812"/>
      <c r="H328" s="812"/>
      <c r="I328" s="812"/>
      <c r="J328" s="812"/>
      <c r="K328" s="812"/>
      <c r="L328" s="812"/>
      <c r="M328" s="812"/>
      <c r="N328" s="812"/>
      <c r="O328" s="812"/>
      <c r="P328" s="811"/>
    </row>
    <row r="329" spans="1:16">
      <c r="C329" s="873" t="s">
        <v>186</v>
      </c>
      <c r="D329" s="811"/>
      <c r="E329" s="812"/>
      <c r="F329" s="812"/>
      <c r="G329" s="812"/>
      <c r="H329" s="812"/>
      <c r="I329" s="812"/>
      <c r="J329" s="812"/>
      <c r="K329" s="812"/>
      <c r="L329" s="812"/>
      <c r="M329" s="812"/>
      <c r="N329" s="812"/>
      <c r="O329" s="812"/>
      <c r="P329" s="811"/>
    </row>
    <row r="330" spans="1:16">
      <c r="B330" s="873" t="str">
        <f t="shared" ref="B330:B346" si="44">$C$329</f>
        <v>CNGWA570</v>
      </c>
      <c r="C330" s="873" t="s">
        <v>389</v>
      </c>
      <c r="D330" s="811">
        <v>103739.73</v>
      </c>
      <c r="E330" s="812">
        <v>104633.31</v>
      </c>
      <c r="F330" s="812">
        <v>93519.930000000008</v>
      </c>
      <c r="G330" s="812">
        <v>93631.82</v>
      </c>
      <c r="H330" s="812">
        <v>77400.37999999999</v>
      </c>
      <c r="I330" s="812">
        <v>57008.159999999996</v>
      </c>
      <c r="J330" s="812">
        <v>44674.87</v>
      </c>
      <c r="K330" s="812">
        <v>43446.82</v>
      </c>
      <c r="L330" s="812">
        <v>41044.199999999997</v>
      </c>
      <c r="M330" s="812">
        <v>38617.89</v>
      </c>
      <c r="N330" s="812">
        <v>73038.259999999995</v>
      </c>
      <c r="O330" s="812">
        <v>89501.98000000001</v>
      </c>
      <c r="P330" s="811">
        <f t="shared" ref="P330:P347" si="45">SUM(D330:O330)</f>
        <v>860257.34999999986</v>
      </c>
    </row>
    <row r="331" spans="1:16">
      <c r="B331" s="873" t="str">
        <f t="shared" si="44"/>
        <v>CNGWA570</v>
      </c>
      <c r="C331" s="873" t="s">
        <v>403</v>
      </c>
      <c r="D331" s="811">
        <v>1304</v>
      </c>
      <c r="E331" s="812">
        <v>1304</v>
      </c>
      <c r="F331" s="812">
        <v>1304</v>
      </c>
      <c r="G331" s="812">
        <v>1304</v>
      </c>
      <c r="H331" s="812">
        <v>1304</v>
      </c>
      <c r="I331" s="812">
        <v>1304</v>
      </c>
      <c r="J331" s="812">
        <v>1141</v>
      </c>
      <c r="K331" s="812">
        <v>1141</v>
      </c>
      <c r="L331" s="812">
        <v>1141</v>
      </c>
      <c r="M331" s="812">
        <v>1141</v>
      </c>
      <c r="N331" s="812">
        <v>1141</v>
      </c>
      <c r="O331" s="812">
        <v>1141</v>
      </c>
      <c r="P331" s="811">
        <f t="shared" si="45"/>
        <v>14670</v>
      </c>
    </row>
    <row r="332" spans="1:16">
      <c r="B332" s="873" t="str">
        <f t="shared" si="44"/>
        <v>CNGWA570</v>
      </c>
      <c r="C332" s="873" t="s">
        <v>440</v>
      </c>
      <c r="D332" s="811"/>
      <c r="E332" s="812"/>
      <c r="F332" s="812"/>
      <c r="G332" s="812"/>
      <c r="H332" s="812"/>
      <c r="I332" s="812">
        <v>-63.25</v>
      </c>
      <c r="J332" s="812"/>
      <c r="K332" s="812"/>
      <c r="L332" s="812"/>
      <c r="M332" s="812"/>
      <c r="N332" s="812"/>
      <c r="O332" s="812"/>
      <c r="P332" s="811">
        <f t="shared" si="45"/>
        <v>-63.25</v>
      </c>
    </row>
    <row r="333" spans="1:16">
      <c r="B333" s="873" t="str">
        <f t="shared" si="44"/>
        <v>CNGWA570</v>
      </c>
      <c r="C333" s="873" t="s">
        <v>392</v>
      </c>
      <c r="D333" s="811">
        <v>2558.4199999999996</v>
      </c>
      <c r="E333" s="812">
        <v>2284.39</v>
      </c>
      <c r="F333" s="812">
        <v>1887.0100000000002</v>
      </c>
      <c r="G333" s="812">
        <v>1906.31</v>
      </c>
      <c r="H333" s="812">
        <v>1418.12</v>
      </c>
      <c r="I333" s="812">
        <v>990.7</v>
      </c>
      <c r="J333" s="812">
        <v>757.71</v>
      </c>
      <c r="K333" s="812">
        <v>613.42999999999995</v>
      </c>
      <c r="L333" s="812">
        <v>610.99</v>
      </c>
      <c r="M333" s="812">
        <v>780.47</v>
      </c>
      <c r="N333" s="812">
        <v>1398.48</v>
      </c>
      <c r="O333" s="812">
        <v>1681.12</v>
      </c>
      <c r="P333" s="811">
        <f t="shared" si="45"/>
        <v>16887.149999999998</v>
      </c>
    </row>
    <row r="334" spans="1:16">
      <c r="B334" s="873" t="str">
        <f t="shared" si="44"/>
        <v>CNGWA570</v>
      </c>
      <c r="C334" s="873" t="s">
        <v>441</v>
      </c>
      <c r="D334" s="811"/>
      <c r="E334" s="812"/>
      <c r="F334" s="812"/>
      <c r="G334" s="812"/>
      <c r="H334" s="812"/>
      <c r="I334" s="812">
        <v>-4.03</v>
      </c>
      <c r="J334" s="812"/>
      <c r="K334" s="812"/>
      <c r="L334" s="812"/>
      <c r="M334" s="812"/>
      <c r="N334" s="812"/>
      <c r="O334" s="812"/>
      <c r="P334" s="811">
        <f t="shared" si="45"/>
        <v>-4.03</v>
      </c>
    </row>
    <row r="335" spans="1:16">
      <c r="B335" s="873" t="str">
        <f t="shared" si="44"/>
        <v>CNGWA570</v>
      </c>
      <c r="C335" s="873" t="s">
        <v>462</v>
      </c>
      <c r="D335" s="811">
        <v>6680.6</v>
      </c>
      <c r="E335" s="812">
        <v>6738.1399999999994</v>
      </c>
      <c r="F335" s="812">
        <v>6022.45</v>
      </c>
      <c r="G335" s="812">
        <v>6029.67</v>
      </c>
      <c r="H335" s="812">
        <v>4984.41</v>
      </c>
      <c r="I335" s="812">
        <v>3671.1800000000003</v>
      </c>
      <c r="J335" s="812">
        <v>2876.95</v>
      </c>
      <c r="K335" s="812">
        <v>2797.87</v>
      </c>
      <c r="L335" s="812">
        <v>2643.14</v>
      </c>
      <c r="M335" s="812">
        <v>2486.8999999999996</v>
      </c>
      <c r="N335" s="812">
        <v>4703.4800000000005</v>
      </c>
      <c r="O335" s="812">
        <v>5789.9699999999993</v>
      </c>
      <c r="P335" s="811">
        <f t="shared" si="45"/>
        <v>55424.76</v>
      </c>
    </row>
    <row r="336" spans="1:16">
      <c r="B336" s="873" t="str">
        <f t="shared" si="44"/>
        <v>CNGWA570</v>
      </c>
      <c r="C336" s="873" t="s">
        <v>394</v>
      </c>
      <c r="D336" s="811">
        <v>4841.51</v>
      </c>
      <c r="E336" s="812">
        <v>4883.2300000000005</v>
      </c>
      <c r="F336" s="812">
        <v>4364.5800000000008</v>
      </c>
      <c r="G336" s="812">
        <v>4369.79</v>
      </c>
      <c r="H336" s="812">
        <v>3612.28</v>
      </c>
      <c r="I336" s="812">
        <v>2660.56</v>
      </c>
      <c r="J336" s="812">
        <v>2084.9700000000003</v>
      </c>
      <c r="K336" s="812">
        <v>2027.66</v>
      </c>
      <c r="L336" s="812">
        <v>1915.53</v>
      </c>
      <c r="M336" s="812">
        <v>1802.2900000000002</v>
      </c>
      <c r="N336" s="812">
        <v>3408.6900000000005</v>
      </c>
      <c r="O336" s="812">
        <v>2641.61</v>
      </c>
      <c r="P336" s="811">
        <f t="shared" si="45"/>
        <v>38612.700000000004</v>
      </c>
    </row>
    <row r="337" spans="2:16">
      <c r="B337" s="873" t="str">
        <f t="shared" si="44"/>
        <v>CNGWA570</v>
      </c>
      <c r="C337" s="873" t="s">
        <v>395</v>
      </c>
      <c r="D337" s="811">
        <v>127.01</v>
      </c>
      <c r="E337" s="812">
        <v>128.11000000000001</v>
      </c>
      <c r="F337" s="812">
        <v>114.49999999999999</v>
      </c>
      <c r="G337" s="812">
        <v>114.61999999999999</v>
      </c>
      <c r="H337" s="812">
        <v>94.77000000000001</v>
      </c>
      <c r="I337" s="812">
        <v>69.8</v>
      </c>
      <c r="J337" s="812">
        <v>54.69</v>
      </c>
      <c r="K337" s="812">
        <v>53.19</v>
      </c>
      <c r="L337" s="812">
        <v>50.239999999999995</v>
      </c>
      <c r="M337" s="812">
        <v>47.28</v>
      </c>
      <c r="N337" s="812">
        <v>89.410000000000011</v>
      </c>
      <c r="O337" s="812">
        <v>110.16</v>
      </c>
      <c r="P337" s="811">
        <f t="shared" si="45"/>
        <v>1053.78</v>
      </c>
    </row>
    <row r="338" spans="2:16">
      <c r="B338" s="873" t="str">
        <f t="shared" si="44"/>
        <v>CNGWA570</v>
      </c>
      <c r="C338" s="873" t="s">
        <v>187</v>
      </c>
      <c r="D338" s="811">
        <v>9570.31</v>
      </c>
      <c r="E338" s="812">
        <v>9150.39</v>
      </c>
      <c r="F338" s="812"/>
      <c r="G338" s="812"/>
      <c r="H338" s="812"/>
      <c r="I338" s="812"/>
      <c r="J338" s="812"/>
      <c r="K338" s="812"/>
      <c r="L338" s="812"/>
      <c r="M338" s="812"/>
      <c r="N338" s="812"/>
      <c r="O338" s="812"/>
      <c r="P338" s="811">
        <f t="shared" si="45"/>
        <v>18720.699999999997</v>
      </c>
    </row>
    <row r="339" spans="2:16">
      <c r="B339" s="873" t="str">
        <f t="shared" si="44"/>
        <v>CNGWA570</v>
      </c>
      <c r="C339" s="873" t="s">
        <v>188</v>
      </c>
      <c r="F339" s="812">
        <v>8394.2000000000007</v>
      </c>
      <c r="G339" s="812">
        <v>9583.86</v>
      </c>
      <c r="H339" s="812">
        <v>8673.0300000000007</v>
      </c>
      <c r="I339" s="812">
        <v>7743.01</v>
      </c>
      <c r="J339" s="812">
        <v>6903.17</v>
      </c>
      <c r="K339" s="812">
        <v>7448.82</v>
      </c>
      <c r="L339" s="812">
        <v>7314.08</v>
      </c>
      <c r="M339" s="812">
        <v>6614.88</v>
      </c>
      <c r="N339" s="812">
        <v>10139.36</v>
      </c>
      <c r="O339" s="812">
        <v>9092.36</v>
      </c>
      <c r="P339" s="811">
        <f t="shared" si="45"/>
        <v>81906.77</v>
      </c>
    </row>
    <row r="340" spans="2:16">
      <c r="B340" s="873" t="str">
        <f t="shared" si="44"/>
        <v>CNGWA570</v>
      </c>
      <c r="C340" s="1" t="s">
        <v>189</v>
      </c>
      <c r="D340" s="811">
        <v>2985.23</v>
      </c>
      <c r="E340" s="812">
        <v>3153.98</v>
      </c>
      <c r="P340" s="811">
        <f t="shared" si="45"/>
        <v>6139.21</v>
      </c>
    </row>
    <row r="341" spans="2:16">
      <c r="B341" s="873" t="str">
        <f t="shared" si="44"/>
        <v>CNGWA570</v>
      </c>
      <c r="C341" s="873" t="s">
        <v>190</v>
      </c>
      <c r="D341" s="811"/>
      <c r="E341" s="812"/>
      <c r="F341" s="812">
        <v>2757.58</v>
      </c>
      <c r="G341" s="812">
        <v>3446.6</v>
      </c>
      <c r="H341" s="812">
        <v>2613.25</v>
      </c>
      <c r="I341" s="812">
        <v>1498.92</v>
      </c>
      <c r="J341" s="812">
        <v>912.14</v>
      </c>
      <c r="K341" s="812">
        <v>655.97</v>
      </c>
      <c r="L341" s="812">
        <v>532.58000000000004</v>
      </c>
      <c r="M341" s="812">
        <v>584.95000000000005</v>
      </c>
      <c r="N341" s="812">
        <v>1851.56</v>
      </c>
      <c r="O341" s="812">
        <v>3349.01</v>
      </c>
      <c r="P341" s="811">
        <f>SUM(D341:O341)</f>
        <v>18202.559999999998</v>
      </c>
    </row>
    <row r="342" spans="2:16">
      <c r="B342" s="873" t="str">
        <f t="shared" si="44"/>
        <v>CNGWA570</v>
      </c>
      <c r="C342" s="873" t="s">
        <v>396</v>
      </c>
      <c r="D342" s="811">
        <v>-302.27999999999997</v>
      </c>
      <c r="E342" s="812">
        <v>-304.88</v>
      </c>
      <c r="F342" s="812">
        <v>-272.5</v>
      </c>
      <c r="G342" s="812">
        <v>-272.82000000000005</v>
      </c>
      <c r="H342" s="812">
        <v>-225.54</v>
      </c>
      <c r="I342" s="812">
        <v>-166.11</v>
      </c>
      <c r="J342" s="812">
        <v>-130.17000000000002</v>
      </c>
      <c r="K342" s="812">
        <v>-126.60000000000001</v>
      </c>
      <c r="L342" s="812">
        <v>-119.60000000000001</v>
      </c>
      <c r="M342" s="812">
        <v>-112.52</v>
      </c>
      <c r="N342" s="812">
        <v>-212.82</v>
      </c>
      <c r="O342" s="812">
        <v>-233.51999999999998</v>
      </c>
      <c r="P342" s="811">
        <f t="shared" si="45"/>
        <v>-2479.36</v>
      </c>
    </row>
    <row r="343" spans="2:16">
      <c r="B343" s="873" t="str">
        <f t="shared" si="44"/>
        <v>CNGWA570</v>
      </c>
      <c r="C343" s="873" t="s">
        <v>397</v>
      </c>
      <c r="D343" s="811">
        <v>1356.45</v>
      </c>
      <c r="E343" s="812">
        <v>1368.12</v>
      </c>
      <c r="F343" s="812">
        <v>1222.8100000000002</v>
      </c>
      <c r="G343" s="812">
        <v>272.82</v>
      </c>
      <c r="H343" s="812">
        <v>225.53999999999996</v>
      </c>
      <c r="I343" s="812">
        <v>166.11</v>
      </c>
      <c r="J343" s="812">
        <v>130.17000000000002</v>
      </c>
      <c r="K343" s="812">
        <v>126.6</v>
      </c>
      <c r="L343" s="812">
        <v>119.60000000000001</v>
      </c>
      <c r="M343" s="812">
        <v>112.52000000000001</v>
      </c>
      <c r="N343" s="812">
        <v>212.81999999999996</v>
      </c>
      <c r="O343" s="812">
        <v>570.6099999999999</v>
      </c>
      <c r="P343" s="811">
        <f t="shared" si="45"/>
        <v>5884.17</v>
      </c>
    </row>
    <row r="344" spans="2:16">
      <c r="B344" s="873" t="str">
        <f t="shared" si="44"/>
        <v>CNGWA570</v>
      </c>
      <c r="C344" s="873" t="s">
        <v>398</v>
      </c>
      <c r="D344" s="811">
        <v>34368.229999999996</v>
      </c>
      <c r="E344" s="812">
        <v>34664.26</v>
      </c>
      <c r="F344" s="812">
        <v>30982.480000000003</v>
      </c>
      <c r="G344" s="812">
        <v>31019.55</v>
      </c>
      <c r="H344" s="812">
        <v>25642.2</v>
      </c>
      <c r="I344" s="812">
        <v>18886.390000000003</v>
      </c>
      <c r="J344" s="812">
        <v>14800.46</v>
      </c>
      <c r="K344" s="812">
        <v>14393.63</v>
      </c>
      <c r="L344" s="812">
        <v>13597.650000000001</v>
      </c>
      <c r="M344" s="812">
        <v>12793.82</v>
      </c>
      <c r="N344" s="812">
        <v>24197.050000000003</v>
      </c>
      <c r="O344" s="812">
        <v>32895.69</v>
      </c>
      <c r="P344" s="811">
        <f t="shared" si="45"/>
        <v>288241.41000000003</v>
      </c>
    </row>
    <row r="345" spans="2:16">
      <c r="B345" s="873" t="str">
        <f t="shared" si="44"/>
        <v>CNGWA570</v>
      </c>
      <c r="C345" s="873" t="s">
        <v>399</v>
      </c>
      <c r="D345" s="811">
        <v>-112.02</v>
      </c>
      <c r="E345" s="812">
        <v>-112.99000000000001</v>
      </c>
      <c r="F345" s="812">
        <v>-100.98</v>
      </c>
      <c r="G345" s="812">
        <v>-101.08999999999999</v>
      </c>
      <c r="H345" s="812">
        <v>-83.570000000000007</v>
      </c>
      <c r="I345" s="812">
        <v>-61.559999999999995</v>
      </c>
      <c r="J345" s="812">
        <v>-48.25</v>
      </c>
      <c r="K345" s="812">
        <v>-46.910000000000004</v>
      </c>
      <c r="L345" s="812">
        <v>-44.33</v>
      </c>
      <c r="M345" s="812">
        <v>-41.7</v>
      </c>
      <c r="N345" s="812">
        <v>-78.859999999999985</v>
      </c>
      <c r="O345" s="812">
        <v>-121.17</v>
      </c>
      <c r="P345" s="811">
        <f t="shared" si="45"/>
        <v>-953.43</v>
      </c>
    </row>
    <row r="346" spans="2:16">
      <c r="B346" s="873" t="str">
        <f t="shared" si="44"/>
        <v>CNGWA570</v>
      </c>
      <c r="C346" s="873" t="s">
        <v>457</v>
      </c>
      <c r="D346" s="811">
        <v>4.8899999999999997</v>
      </c>
      <c r="E346" s="812">
        <v>4.8899999999999997</v>
      </c>
      <c r="F346" s="812">
        <v>4.8899999999999997</v>
      </c>
      <c r="G346" s="812">
        <v>4.8899999999999997</v>
      </c>
      <c r="H346" s="812">
        <v>4.8899999999999997</v>
      </c>
      <c r="I346" s="812">
        <v>4.93</v>
      </c>
      <c r="J346" s="812">
        <v>4.8899999999999997</v>
      </c>
      <c r="K346" s="812">
        <v>249.81</v>
      </c>
      <c r="L346" s="812">
        <v>239.98</v>
      </c>
      <c r="M346" s="812">
        <v>4.8899999999999997</v>
      </c>
      <c r="N346" s="812">
        <v>362.44</v>
      </c>
      <c r="O346" s="812">
        <v>4.8899999999999997</v>
      </c>
      <c r="P346" s="811">
        <f t="shared" si="45"/>
        <v>896.27999999999986</v>
      </c>
    </row>
    <row r="347" spans="2:16">
      <c r="C347" s="481" t="s">
        <v>400</v>
      </c>
      <c r="D347" s="811">
        <f t="shared" ref="D347:O347" si="46">SUM(D330:D346)</f>
        <v>167122.08000000005</v>
      </c>
      <c r="E347" s="812">
        <f t="shared" si="46"/>
        <v>167894.95</v>
      </c>
      <c r="F347" s="812">
        <f t="shared" si="46"/>
        <v>150200.95000000001</v>
      </c>
      <c r="G347" s="812">
        <f t="shared" si="46"/>
        <v>151310.02000000002</v>
      </c>
      <c r="H347" s="812">
        <f t="shared" si="46"/>
        <v>125663.75999999998</v>
      </c>
      <c r="I347" s="812">
        <f t="shared" si="46"/>
        <v>93708.809999999983</v>
      </c>
      <c r="J347" s="812">
        <f t="shared" si="46"/>
        <v>74162.599999999991</v>
      </c>
      <c r="K347" s="812">
        <f t="shared" si="46"/>
        <v>72781.290000000008</v>
      </c>
      <c r="L347" s="812">
        <f t="shared" si="46"/>
        <v>69045.06</v>
      </c>
      <c r="M347" s="812">
        <f t="shared" si="46"/>
        <v>64832.67</v>
      </c>
      <c r="N347" s="812">
        <f t="shared" si="46"/>
        <v>120250.87</v>
      </c>
      <c r="O347" s="812">
        <f t="shared" si="46"/>
        <v>146423.71</v>
      </c>
      <c r="P347" s="811">
        <f t="shared" si="45"/>
        <v>1403396.77</v>
      </c>
    </row>
    <row r="348" spans="2:16">
      <c r="C348" s="481" t="s">
        <v>401</v>
      </c>
      <c r="D348" s="341">
        <v>254015</v>
      </c>
      <c r="E348" s="452">
        <v>256203</v>
      </c>
      <c r="F348" s="452">
        <v>228991</v>
      </c>
      <c r="G348" s="452">
        <v>229265</v>
      </c>
      <c r="H348" s="452">
        <v>189521</v>
      </c>
      <c r="I348" s="452">
        <v>139589</v>
      </c>
      <c r="J348" s="452">
        <v>109390</v>
      </c>
      <c r="K348" s="341">
        <v>106383</v>
      </c>
      <c r="L348" s="341">
        <v>100500</v>
      </c>
      <c r="M348" s="341">
        <v>94559</v>
      </c>
      <c r="N348" s="341">
        <v>178840</v>
      </c>
      <c r="O348" s="341">
        <v>220318</v>
      </c>
      <c r="P348" s="815">
        <f>SUM(D348:O348)</f>
        <v>2107574</v>
      </c>
    </row>
    <row r="349" spans="2:16">
      <c r="C349" s="822" t="s">
        <v>463</v>
      </c>
      <c r="D349" s="879">
        <v>121219.88600379985</v>
      </c>
      <c r="E349" s="879">
        <v>115901.07663077896</v>
      </c>
      <c r="F349" s="879">
        <v>106322.98923369221</v>
      </c>
      <c r="G349" s="879">
        <v>106914.99330655958</v>
      </c>
      <c r="H349" s="879">
        <v>96754.016064257041</v>
      </c>
      <c r="I349" s="879">
        <v>86378.9602855868</v>
      </c>
      <c r="J349" s="879">
        <v>77009.928603302105</v>
      </c>
      <c r="K349" s="829">
        <v>83097.05488621151</v>
      </c>
      <c r="L349" s="829">
        <v>81593.931280678269</v>
      </c>
      <c r="M349" s="829">
        <v>73793.842034805901</v>
      </c>
      <c r="N349" s="829">
        <v>113112.00356983491</v>
      </c>
      <c r="O349" s="829">
        <v>101431.95002231147</v>
      </c>
      <c r="P349" s="830">
        <f>SUM(D349:O349)</f>
        <v>1163530.6319218185</v>
      </c>
    </row>
    <row r="350" spans="2:16">
      <c r="C350" s="822" t="s">
        <v>464</v>
      </c>
      <c r="D350" s="879">
        <v>132794.92882562277</v>
      </c>
      <c r="E350" s="879">
        <v>140301.60142348753</v>
      </c>
      <c r="F350" s="879">
        <v>122668.14946619216</v>
      </c>
      <c r="G350" s="879">
        <v>122350.01774937876</v>
      </c>
      <c r="H350" s="879">
        <v>92767.128150514734</v>
      </c>
      <c r="I350" s="879">
        <v>53209.797657082003</v>
      </c>
      <c r="J350" s="879">
        <v>32379.836705715297</v>
      </c>
      <c r="K350" s="829">
        <v>23286.119985800498</v>
      </c>
      <c r="L350" s="829">
        <v>18905.928292509765</v>
      </c>
      <c r="M350" s="829">
        <v>20764.998225062125</v>
      </c>
      <c r="N350" s="829">
        <v>65728.079517216887</v>
      </c>
      <c r="O350" s="829">
        <v>118885.69400070998</v>
      </c>
      <c r="P350" s="830">
        <f>SUM(D350:O350)</f>
        <v>944042.27999929246</v>
      </c>
    </row>
    <row r="351" spans="2:16">
      <c r="D351" s="828">
        <f t="shared" ref="D351:O351" si="47">SUM(D349:D350)-D348</f>
        <v>-0.18517057737335563</v>
      </c>
      <c r="E351" s="828">
        <f t="shared" si="47"/>
        <v>-0.32194573350716382</v>
      </c>
      <c r="F351" s="828">
        <f t="shared" si="47"/>
        <v>0.13869988435180858</v>
      </c>
      <c r="G351" s="828">
        <f t="shared" si="47"/>
        <v>1.1055938346544281E-2</v>
      </c>
      <c r="H351" s="828">
        <f t="shared" si="47"/>
        <v>0.14421477177529596</v>
      </c>
      <c r="I351" s="828">
        <f t="shared" si="47"/>
        <v>-0.24205733119742945</v>
      </c>
      <c r="J351" s="828">
        <f t="shared" si="47"/>
        <v>-0.23469098260102328</v>
      </c>
      <c r="K351" s="831">
        <f t="shared" si="47"/>
        <v>0.17487201200856362</v>
      </c>
      <c r="L351" s="831">
        <f t="shared" si="47"/>
        <v>-0.14042681196588092</v>
      </c>
      <c r="M351" s="831">
        <f t="shared" si="47"/>
        <v>-0.15974013197410386</v>
      </c>
      <c r="N351" s="831">
        <f t="shared" si="47"/>
        <v>8.3087051811162382E-2</v>
      </c>
      <c r="O351" s="831">
        <f t="shared" si="47"/>
        <v>-0.35597697854973376</v>
      </c>
      <c r="P351" s="832">
        <f>SUM(D351:O351)</f>
        <v>-1.0880788888753159</v>
      </c>
    </row>
    <row r="352" spans="2:16">
      <c r="D352" s="811"/>
      <c r="E352" s="812"/>
      <c r="F352" s="812"/>
      <c r="G352" s="812"/>
      <c r="H352" s="812"/>
      <c r="I352" s="812"/>
      <c r="J352" s="812"/>
      <c r="K352" s="812"/>
      <c r="L352" s="812"/>
      <c r="M352" s="812"/>
      <c r="N352" s="812"/>
      <c r="O352" s="812"/>
      <c r="P352" s="811"/>
    </row>
    <row r="353" spans="2:16">
      <c r="D353" s="811"/>
      <c r="E353" s="812"/>
      <c r="F353" s="812"/>
      <c r="G353" s="812"/>
      <c r="H353" s="812"/>
      <c r="I353" s="812"/>
      <c r="J353" s="812"/>
      <c r="K353" s="812"/>
      <c r="L353" s="812"/>
      <c r="M353" s="812"/>
      <c r="N353" s="812"/>
      <c r="O353" s="812"/>
      <c r="P353" s="811"/>
    </row>
    <row r="354" spans="2:16">
      <c r="C354" s="873" t="s">
        <v>233</v>
      </c>
      <c r="D354" s="811">
        <v>142269.72999999998</v>
      </c>
      <c r="E354" s="812">
        <v>141687.36000000002</v>
      </c>
      <c r="F354" s="812">
        <v>127755.74</v>
      </c>
      <c r="G354" s="812">
        <v>113661.85</v>
      </c>
      <c r="H354" s="812">
        <v>111178.53</v>
      </c>
      <c r="I354" s="812">
        <v>149289.38</v>
      </c>
      <c r="J354" s="812">
        <v>124691.47</v>
      </c>
      <c r="K354" s="812">
        <v>135091.54999999999</v>
      </c>
      <c r="L354" s="812">
        <v>154215</v>
      </c>
      <c r="M354" s="812">
        <v>103319.73999999999</v>
      </c>
      <c r="N354" s="812">
        <v>141470.11000000002</v>
      </c>
      <c r="O354" s="812">
        <v>143616.04</v>
      </c>
      <c r="P354" s="811">
        <f>SUM(D354:O354)</f>
        <v>1588246.5</v>
      </c>
    </row>
    <row r="355" spans="2:16">
      <c r="B355" s="873" t="str">
        <f>$C$354</f>
        <v>CNGWA901</v>
      </c>
      <c r="C355" s="873" t="s">
        <v>465</v>
      </c>
      <c r="D355" s="811">
        <v>111980.61</v>
      </c>
      <c r="E355" s="812">
        <v>111437.28</v>
      </c>
      <c r="F355" s="812">
        <v>98439.71</v>
      </c>
      <c r="G355" s="812">
        <v>85360.87</v>
      </c>
      <c r="H355" s="812">
        <v>83042.509999999995</v>
      </c>
      <c r="I355" s="812">
        <v>118621.7</v>
      </c>
      <c r="J355" s="812">
        <v>95657.8</v>
      </c>
      <c r="K355" s="812">
        <v>105367.01</v>
      </c>
      <c r="L355" s="812">
        <v>123194.64</v>
      </c>
      <c r="M355" s="812">
        <v>75678.48</v>
      </c>
      <c r="N355" s="812">
        <v>111295.93</v>
      </c>
      <c r="O355" s="812">
        <v>113299.39</v>
      </c>
      <c r="P355" s="811">
        <v>1233375.93</v>
      </c>
    </row>
    <row r="356" spans="2:16">
      <c r="B356" s="873" t="str">
        <f>$C$354</f>
        <v>CNGWA901</v>
      </c>
      <c r="C356" s="873" t="s">
        <v>415</v>
      </c>
      <c r="D356" s="811">
        <v>20673.04</v>
      </c>
      <c r="E356" s="812">
        <v>20673.04</v>
      </c>
      <c r="F356" s="812">
        <v>20673.04</v>
      </c>
      <c r="G356" s="812">
        <v>20673.04</v>
      </c>
      <c r="H356" s="812">
        <v>20673.04</v>
      </c>
      <c r="I356" s="812">
        <v>20673.04</v>
      </c>
      <c r="J356" s="812">
        <v>20673.04</v>
      </c>
      <c r="K356" s="812">
        <v>20673.04</v>
      </c>
      <c r="L356" s="812">
        <v>20704.04</v>
      </c>
      <c r="M356" s="812">
        <v>20704.04</v>
      </c>
      <c r="N356" s="812">
        <v>20704.04</v>
      </c>
      <c r="O356" s="812">
        <v>20704.04</v>
      </c>
      <c r="P356" s="811">
        <v>248200.48000000007</v>
      </c>
    </row>
    <row r="357" spans="2:16">
      <c r="B357" s="873" t="str">
        <f>$C$354</f>
        <v>CNGWA901</v>
      </c>
      <c r="C357" s="873" t="s">
        <v>417</v>
      </c>
      <c r="D357" s="811">
        <v>2954.59</v>
      </c>
      <c r="E357" s="812">
        <v>2940.26</v>
      </c>
      <c r="F357" s="812">
        <v>2597.3200000000002</v>
      </c>
      <c r="G357" s="812">
        <v>2252.2399999999998</v>
      </c>
      <c r="H357" s="812">
        <v>2191.0700000000002</v>
      </c>
      <c r="I357" s="812">
        <v>3129.82</v>
      </c>
      <c r="J357" s="812">
        <v>2523.92</v>
      </c>
      <c r="K357" s="812">
        <v>2780.1</v>
      </c>
      <c r="L357" s="812">
        <v>3245.62</v>
      </c>
      <c r="M357" s="812">
        <v>1993.78</v>
      </c>
      <c r="N357" s="812">
        <v>2932.14</v>
      </c>
      <c r="O357" s="812">
        <v>2984.92</v>
      </c>
      <c r="P357" s="811">
        <v>32525.78</v>
      </c>
    </row>
    <row r="358" spans="2:16">
      <c r="B358" s="873" t="str">
        <f>$C$354</f>
        <v>CNGWA901</v>
      </c>
      <c r="C358" s="873" t="s">
        <v>419</v>
      </c>
      <c r="D358" s="811">
        <v>625</v>
      </c>
      <c r="E358" s="812">
        <v>625</v>
      </c>
      <c r="F358" s="812">
        <v>625</v>
      </c>
      <c r="G358" s="812">
        <v>625</v>
      </c>
      <c r="H358" s="812">
        <v>625</v>
      </c>
      <c r="I358" s="812">
        <v>625</v>
      </c>
      <c r="J358" s="812">
        <v>625</v>
      </c>
      <c r="K358" s="812">
        <v>625</v>
      </c>
      <c r="L358" s="812">
        <v>625</v>
      </c>
      <c r="M358" s="812">
        <v>625</v>
      </c>
      <c r="N358" s="812">
        <v>625</v>
      </c>
      <c r="O358" s="812">
        <v>625</v>
      </c>
      <c r="P358" s="811">
        <v>7500</v>
      </c>
    </row>
    <row r="359" spans="2:16">
      <c r="B359" s="873" t="str">
        <f>$C$354</f>
        <v>CNGWA901</v>
      </c>
      <c r="C359" s="873" t="s">
        <v>422</v>
      </c>
      <c r="D359" s="811">
        <v>6036.49</v>
      </c>
      <c r="E359" s="812">
        <v>6011.78</v>
      </c>
      <c r="F359" s="812">
        <v>5420.67</v>
      </c>
      <c r="G359" s="812">
        <v>4750.7</v>
      </c>
      <c r="H359" s="812">
        <v>4646.91</v>
      </c>
      <c r="I359" s="812">
        <v>6239.82</v>
      </c>
      <c r="J359" s="812">
        <v>5211.71</v>
      </c>
      <c r="K359" s="812">
        <v>5646.4</v>
      </c>
      <c r="L359" s="812">
        <v>6445.7</v>
      </c>
      <c r="M359" s="812">
        <v>4318.4399999999996</v>
      </c>
      <c r="N359" s="812">
        <v>5913</v>
      </c>
      <c r="O359" s="812">
        <v>6002.69</v>
      </c>
      <c r="P359" s="811">
        <v>66644.31</v>
      </c>
    </row>
    <row r="360" spans="2:16">
      <c r="C360" s="481" t="s">
        <v>400</v>
      </c>
      <c r="D360" s="811">
        <f t="shared" ref="D360:O360" si="48">SUM(D355:D359)</f>
        <v>142269.72999999998</v>
      </c>
      <c r="E360" s="812">
        <f t="shared" si="48"/>
        <v>141687.36000000002</v>
      </c>
      <c r="F360" s="812">
        <f t="shared" si="48"/>
        <v>127755.74</v>
      </c>
      <c r="G360" s="812">
        <f t="shared" si="48"/>
        <v>113661.85</v>
      </c>
      <c r="H360" s="812">
        <f t="shared" si="48"/>
        <v>111178.53</v>
      </c>
      <c r="I360" s="812">
        <f t="shared" si="48"/>
        <v>149289.38</v>
      </c>
      <c r="J360" s="812">
        <f t="shared" si="48"/>
        <v>124691.47</v>
      </c>
      <c r="K360" s="812">
        <f t="shared" si="48"/>
        <v>135091.54999999999</v>
      </c>
      <c r="L360" s="812">
        <f t="shared" si="48"/>
        <v>154215</v>
      </c>
      <c r="M360" s="812">
        <f t="shared" si="48"/>
        <v>103319.73999999999</v>
      </c>
      <c r="N360" s="812">
        <f t="shared" si="48"/>
        <v>141470.11000000002</v>
      </c>
      <c r="O360" s="812">
        <f t="shared" si="48"/>
        <v>143616.04</v>
      </c>
      <c r="P360" s="811">
        <f>SUM(D360:O360)</f>
        <v>1588246.5</v>
      </c>
    </row>
    <row r="361" spans="2:16">
      <c r="C361" s="481" t="s">
        <v>401</v>
      </c>
      <c r="D361" s="341">
        <v>7386486</v>
      </c>
      <c r="E361" s="452">
        <v>7350647</v>
      </c>
      <c r="F361" s="452">
        <v>6493299</v>
      </c>
      <c r="G361" s="452">
        <v>5630590</v>
      </c>
      <c r="H361" s="452">
        <v>5477666</v>
      </c>
      <c r="I361" s="452">
        <v>7824547</v>
      </c>
      <c r="J361" s="452">
        <v>6309798</v>
      </c>
      <c r="K361" s="452">
        <v>6950239</v>
      </c>
      <c r="L361" s="452">
        <v>8114039</v>
      </c>
      <c r="M361" s="452">
        <v>4984455</v>
      </c>
      <c r="N361" s="452">
        <v>7330347</v>
      </c>
      <c r="O361" s="452">
        <v>7462302</v>
      </c>
      <c r="P361" s="815">
        <f>SUM(D361:O361)</f>
        <v>81314415</v>
      </c>
    </row>
    <row r="362" spans="2:16">
      <c r="D362" s="811"/>
      <c r="E362" s="812"/>
      <c r="F362" s="812"/>
      <c r="G362" s="812"/>
      <c r="H362" s="812"/>
      <c r="I362" s="812"/>
      <c r="J362" s="812"/>
      <c r="K362" s="812"/>
      <c r="L362" s="812"/>
      <c r="M362" s="812"/>
      <c r="N362" s="812"/>
      <c r="O362" s="812"/>
      <c r="P362" s="811"/>
    </row>
    <row r="363" spans="2:16">
      <c r="C363" s="873" t="s">
        <v>235</v>
      </c>
      <c r="D363" s="811"/>
      <c r="E363" s="812"/>
      <c r="F363" s="812"/>
      <c r="G363" s="812"/>
      <c r="H363" s="812"/>
      <c r="I363" s="812"/>
      <c r="J363" s="812"/>
      <c r="K363" s="812"/>
      <c r="L363" s="812"/>
      <c r="M363" s="812"/>
      <c r="N363" s="812"/>
      <c r="O363" s="812"/>
      <c r="P363" s="811"/>
    </row>
    <row r="364" spans="2:16">
      <c r="B364" s="873" t="str">
        <f>$C$363</f>
        <v>CNGWA903</v>
      </c>
      <c r="C364" s="873" t="s">
        <v>392</v>
      </c>
      <c r="D364" s="811"/>
      <c r="E364" s="812"/>
      <c r="F364" s="812"/>
      <c r="G364" s="812"/>
      <c r="H364" s="812"/>
      <c r="I364" s="812"/>
      <c r="J364" s="812"/>
      <c r="K364" s="812">
        <v>2629.09</v>
      </c>
      <c r="L364" s="812">
        <v>-2629.09</v>
      </c>
      <c r="M364" s="812"/>
      <c r="N364" s="812"/>
      <c r="O364" s="812"/>
      <c r="P364" s="811">
        <v>0</v>
      </c>
    </row>
    <row r="365" spans="2:16">
      <c r="B365" s="873" t="str">
        <f t="shared" ref="B365:B370" si="49">$C$363</f>
        <v>CNGWA903</v>
      </c>
      <c r="C365" s="873" t="s">
        <v>412</v>
      </c>
      <c r="D365" s="811">
        <v>7901.06</v>
      </c>
      <c r="E365" s="812">
        <v>5256.52</v>
      </c>
      <c r="F365" s="812">
        <v>2702.66</v>
      </c>
      <c r="G365" s="812">
        <v>8606.49</v>
      </c>
      <c r="H365" s="812">
        <v>6163.52</v>
      </c>
      <c r="I365" s="812">
        <v>1527.92</v>
      </c>
      <c r="J365" s="812">
        <v>1019.49</v>
      </c>
      <c r="K365" s="812"/>
      <c r="L365" s="812">
        <v>7869.52</v>
      </c>
      <c r="M365" s="812">
        <v>7620.09</v>
      </c>
      <c r="N365" s="812">
        <v>2173.2399999999998</v>
      </c>
      <c r="O365" s="812">
        <v>1045.68</v>
      </c>
      <c r="P365" s="811">
        <v>51886.19</v>
      </c>
    </row>
    <row r="366" spans="2:16">
      <c r="B366" s="873" t="str">
        <f t="shared" si="49"/>
        <v>CNGWA903</v>
      </c>
      <c r="C366" s="873" t="s">
        <v>465</v>
      </c>
      <c r="D366" s="811">
        <v>100488.22</v>
      </c>
      <c r="E366" s="812">
        <v>61867.47</v>
      </c>
      <c r="F366" s="812">
        <v>24571.06</v>
      </c>
      <c r="G366" s="812">
        <v>110873.35</v>
      </c>
      <c r="H366" s="812">
        <v>75172.75</v>
      </c>
      <c r="I366" s="812">
        <v>7430.03</v>
      </c>
      <c r="J366" s="812"/>
      <c r="K366" s="812">
        <v>23419.439999999999</v>
      </c>
      <c r="L366" s="812">
        <v>61588.099999999991</v>
      </c>
      <c r="M366" s="812">
        <v>96370.3</v>
      </c>
      <c r="N366" s="812">
        <v>16756.599999999999</v>
      </c>
      <c r="O366" s="812">
        <v>275.60000000000002</v>
      </c>
      <c r="P366" s="811">
        <v>578812.91999999993</v>
      </c>
    </row>
    <row r="367" spans="2:16">
      <c r="B367" s="873" t="str">
        <f t="shared" si="49"/>
        <v>CNGWA903</v>
      </c>
      <c r="C367" s="873" t="s">
        <v>415</v>
      </c>
      <c r="D367" s="811">
        <v>14679.38</v>
      </c>
      <c r="E367" s="812">
        <v>14679.38</v>
      </c>
      <c r="F367" s="812">
        <v>14679.38</v>
      </c>
      <c r="G367" s="812">
        <v>14679.38</v>
      </c>
      <c r="H367" s="812">
        <v>14679.38</v>
      </c>
      <c r="I367" s="812">
        <v>14679.38</v>
      </c>
      <c r="J367" s="812">
        <v>14679.38</v>
      </c>
      <c r="K367" s="812">
        <v>14789.49</v>
      </c>
      <c r="L367" s="812">
        <v>14789.49</v>
      </c>
      <c r="M367" s="812">
        <v>14789.49</v>
      </c>
      <c r="N367" s="812">
        <v>14789.49</v>
      </c>
      <c r="O367" s="812">
        <v>14789.49</v>
      </c>
      <c r="P367" s="811">
        <v>176703.11</v>
      </c>
    </row>
    <row r="368" spans="2:16">
      <c r="B368" s="873" t="str">
        <f t="shared" si="49"/>
        <v>CNGWA903</v>
      </c>
      <c r="C368" s="873" t="s">
        <v>417</v>
      </c>
      <c r="D368" s="811">
        <v>2738.23</v>
      </c>
      <c r="E368" s="812">
        <v>1685.84</v>
      </c>
      <c r="F368" s="812">
        <v>669.54</v>
      </c>
      <c r="G368" s="812">
        <v>3021.22</v>
      </c>
      <c r="H368" s="812">
        <v>2048.4</v>
      </c>
      <c r="I368" s="812">
        <v>202.46</v>
      </c>
      <c r="J368" s="812"/>
      <c r="K368" s="812">
        <v>633.41</v>
      </c>
      <c r="L368" s="812">
        <v>1665.7399999999998</v>
      </c>
      <c r="M368" s="812">
        <v>2606.4699999999998</v>
      </c>
      <c r="N368" s="812">
        <v>453.21</v>
      </c>
      <c r="O368" s="812">
        <v>7.45</v>
      </c>
      <c r="P368" s="811">
        <v>15731.969999999998</v>
      </c>
    </row>
    <row r="369" spans="2:16">
      <c r="B369" s="873" t="str">
        <f t="shared" si="49"/>
        <v>CNGWA903</v>
      </c>
      <c r="C369" s="873" t="s">
        <v>419</v>
      </c>
      <c r="D369" s="811">
        <v>625</v>
      </c>
      <c r="E369" s="812">
        <v>625</v>
      </c>
      <c r="F369" s="812">
        <v>625</v>
      </c>
      <c r="G369" s="812">
        <v>625</v>
      </c>
      <c r="H369" s="812">
        <v>625</v>
      </c>
      <c r="I369" s="812">
        <v>625</v>
      </c>
      <c r="J369" s="812">
        <v>625</v>
      </c>
      <c r="K369" s="812">
        <v>625</v>
      </c>
      <c r="L369" s="812">
        <v>625</v>
      </c>
      <c r="M369" s="812">
        <v>625</v>
      </c>
      <c r="N369" s="812">
        <v>625</v>
      </c>
      <c r="O369" s="812">
        <v>625</v>
      </c>
      <c r="P369" s="811">
        <v>7500</v>
      </c>
    </row>
    <row r="370" spans="2:16">
      <c r="B370" s="873" t="str">
        <f t="shared" si="49"/>
        <v>CNGWA903</v>
      </c>
      <c r="C370" s="873" t="s">
        <v>422</v>
      </c>
      <c r="D370" s="811">
        <v>5252.1</v>
      </c>
      <c r="E370" s="812">
        <v>3494.18</v>
      </c>
      <c r="F370" s="812">
        <v>1796.55</v>
      </c>
      <c r="G370" s="812">
        <v>5635.66</v>
      </c>
      <c r="H370" s="812">
        <v>4035.96</v>
      </c>
      <c r="I370" s="812">
        <v>1000.51</v>
      </c>
      <c r="J370" s="812">
        <v>667.58</v>
      </c>
      <c r="K370" s="812">
        <v>1721.57</v>
      </c>
      <c r="L370" s="812">
        <v>3431.51</v>
      </c>
      <c r="M370" s="812">
        <v>4989.75</v>
      </c>
      <c r="N370" s="812">
        <v>1423.07</v>
      </c>
      <c r="O370" s="812">
        <v>684.73</v>
      </c>
      <c r="P370" s="811">
        <v>34133.170000000006</v>
      </c>
    </row>
    <row r="371" spans="2:16">
      <c r="C371" s="481" t="s">
        <v>400</v>
      </c>
      <c r="D371" s="811">
        <f t="shared" ref="D371:O371" si="50">SUM(D364:D370)</f>
        <v>131683.99</v>
      </c>
      <c r="E371" s="812">
        <f t="shared" si="50"/>
        <v>87608.39</v>
      </c>
      <c r="F371" s="812">
        <f t="shared" si="50"/>
        <v>45044.19</v>
      </c>
      <c r="G371" s="812">
        <f t="shared" si="50"/>
        <v>143441.1</v>
      </c>
      <c r="H371" s="812">
        <f t="shared" si="50"/>
        <v>102725.01000000001</v>
      </c>
      <c r="I371" s="812">
        <f t="shared" si="50"/>
        <v>25465.3</v>
      </c>
      <c r="J371" s="812">
        <f t="shared" si="50"/>
        <v>16991.45</v>
      </c>
      <c r="K371" s="812">
        <f t="shared" si="50"/>
        <v>43818</v>
      </c>
      <c r="L371" s="812">
        <f t="shared" si="50"/>
        <v>87340.27</v>
      </c>
      <c r="M371" s="812">
        <f t="shared" si="50"/>
        <v>127001.1</v>
      </c>
      <c r="N371" s="812">
        <f t="shared" si="50"/>
        <v>36220.609999999993</v>
      </c>
      <c r="O371" s="812">
        <f t="shared" si="50"/>
        <v>17427.95</v>
      </c>
      <c r="P371" s="811">
        <f>SUM(D371:O371)</f>
        <v>864767.36</v>
      </c>
    </row>
    <row r="372" spans="2:16">
      <c r="C372" s="481" t="s">
        <v>401</v>
      </c>
      <c r="D372" s="341">
        <v>6845573</v>
      </c>
      <c r="E372" s="452">
        <v>4214606</v>
      </c>
      <c r="F372" s="452">
        <v>1673858</v>
      </c>
      <c r="G372" s="452">
        <v>7553041</v>
      </c>
      <c r="H372" s="452">
        <v>5121004</v>
      </c>
      <c r="I372" s="452">
        <v>506157</v>
      </c>
      <c r="J372" s="452">
        <v>0</v>
      </c>
      <c r="K372" s="452">
        <v>1583529</v>
      </c>
      <c r="L372" s="452">
        <v>4164341</v>
      </c>
      <c r="M372" s="452">
        <v>6516174</v>
      </c>
      <c r="N372" s="452">
        <v>1133014</v>
      </c>
      <c r="O372" s="452">
        <v>18635</v>
      </c>
      <c r="P372" s="815">
        <f>SUM(D372:O372)</f>
        <v>39329932</v>
      </c>
    </row>
    <row r="373" spans="2:16">
      <c r="D373" s="811"/>
      <c r="E373" s="812"/>
      <c r="F373" s="812"/>
      <c r="G373" s="812"/>
      <c r="H373" s="812"/>
      <c r="I373" s="812"/>
      <c r="J373" s="812"/>
      <c r="K373" s="812"/>
      <c r="L373" s="812"/>
      <c r="M373" s="812"/>
      <c r="N373" s="812"/>
      <c r="O373" s="812"/>
      <c r="P373" s="811"/>
    </row>
    <row r="374" spans="2:16">
      <c r="C374" s="824" t="s">
        <v>213</v>
      </c>
      <c r="D374" s="811"/>
      <c r="E374" s="812"/>
      <c r="F374" s="812"/>
      <c r="G374" s="812"/>
      <c r="H374" s="812"/>
      <c r="I374" s="812"/>
      <c r="J374" s="812"/>
      <c r="K374" s="812"/>
      <c r="L374" s="812"/>
      <c r="M374" s="812"/>
      <c r="N374" s="812"/>
      <c r="O374" s="812"/>
      <c r="P374" s="811"/>
    </row>
    <row r="375" spans="2:16">
      <c r="B375" s="873" t="str">
        <f>$C$374</f>
        <v>CNGWA906</v>
      </c>
      <c r="C375" s="873" t="s">
        <v>465</v>
      </c>
      <c r="D375" s="811">
        <v>66149.31</v>
      </c>
      <c r="E375" s="812">
        <v>66599.210000000006</v>
      </c>
      <c r="F375" s="812">
        <v>56964.959999999999</v>
      </c>
      <c r="G375" s="812">
        <v>57809.440000000002</v>
      </c>
      <c r="H375" s="812">
        <v>49647.09</v>
      </c>
      <c r="I375" s="812"/>
      <c r="J375" s="812"/>
      <c r="K375" s="812"/>
      <c r="L375" s="812"/>
      <c r="M375" s="812"/>
      <c r="N375" s="812"/>
      <c r="O375" s="812"/>
      <c r="P375" s="811">
        <v>297170.01</v>
      </c>
    </row>
    <row r="376" spans="2:16">
      <c r="B376" s="873" t="str">
        <f>$C$374</f>
        <v>CNGWA906</v>
      </c>
      <c r="C376" s="873" t="s">
        <v>415</v>
      </c>
      <c r="D376" s="811">
        <v>13344.87</v>
      </c>
      <c r="E376" s="812">
        <v>13344.87</v>
      </c>
      <c r="F376" s="812">
        <v>13344.87</v>
      </c>
      <c r="G376" s="812">
        <v>13344.87</v>
      </c>
      <c r="H376" s="812">
        <v>13344.87</v>
      </c>
      <c r="I376" s="812"/>
      <c r="J376" s="812"/>
      <c r="K376" s="812"/>
      <c r="L376" s="812"/>
      <c r="M376" s="812"/>
      <c r="N376" s="812"/>
      <c r="O376" s="812"/>
      <c r="P376" s="811">
        <v>66724.350000000006</v>
      </c>
    </row>
    <row r="377" spans="2:16">
      <c r="B377" s="873" t="str">
        <f>$C$374</f>
        <v>CNGWA906</v>
      </c>
      <c r="C377" s="873" t="s">
        <v>417</v>
      </c>
      <c r="D377" s="811">
        <v>1673.02</v>
      </c>
      <c r="E377" s="812">
        <v>1682.46</v>
      </c>
      <c r="F377" s="812">
        <v>1458.82</v>
      </c>
      <c r="G377" s="812">
        <v>1498.08</v>
      </c>
      <c r="H377" s="812">
        <v>1308.04</v>
      </c>
      <c r="I377" s="812"/>
      <c r="J377" s="812"/>
      <c r="K377" s="812"/>
      <c r="L377" s="812"/>
      <c r="M377" s="812"/>
      <c r="N377" s="812"/>
      <c r="O377" s="812"/>
      <c r="P377" s="811">
        <v>7620.42</v>
      </c>
    </row>
    <row r="378" spans="2:16">
      <c r="B378" s="873" t="str">
        <f>$C$374</f>
        <v>CNGWA906</v>
      </c>
      <c r="C378" s="873" t="s">
        <v>419</v>
      </c>
      <c r="D378" s="811">
        <v>625</v>
      </c>
      <c r="E378" s="812">
        <v>625</v>
      </c>
      <c r="F378" s="812">
        <v>625</v>
      </c>
      <c r="G378" s="812">
        <v>625</v>
      </c>
      <c r="H378" s="812">
        <v>625</v>
      </c>
      <c r="I378" s="812"/>
      <c r="J378" s="812"/>
      <c r="K378" s="812"/>
      <c r="L378" s="812"/>
      <c r="M378" s="812"/>
      <c r="N378" s="812"/>
      <c r="O378" s="812"/>
      <c r="P378" s="811">
        <v>3125</v>
      </c>
    </row>
    <row r="379" spans="2:16">
      <c r="B379" s="873" t="str">
        <f>$C$374</f>
        <v>CNGWA906</v>
      </c>
      <c r="C379" s="873" t="s">
        <v>422</v>
      </c>
      <c r="D379" s="811">
        <v>3624.21</v>
      </c>
      <c r="E379" s="812">
        <v>3644.57</v>
      </c>
      <c r="F379" s="812">
        <v>3207.76</v>
      </c>
      <c r="G379" s="812">
        <v>3196.36</v>
      </c>
      <c r="H379" s="812">
        <v>2832.03</v>
      </c>
      <c r="I379" s="812"/>
      <c r="J379" s="812"/>
      <c r="K379" s="812"/>
      <c r="L379" s="812"/>
      <c r="M379" s="812"/>
      <c r="N379" s="812"/>
      <c r="O379" s="812"/>
      <c r="P379" s="811">
        <v>16504.93</v>
      </c>
    </row>
    <row r="380" spans="2:16">
      <c r="C380" s="481" t="s">
        <v>400</v>
      </c>
      <c r="D380" s="811">
        <f t="shared" ref="D380:P380" si="51">SUM(D375:D379)</f>
        <v>85416.41</v>
      </c>
      <c r="E380" s="812">
        <f t="shared" si="51"/>
        <v>85896.110000000015</v>
      </c>
      <c r="F380" s="812">
        <f t="shared" si="51"/>
        <v>75601.41</v>
      </c>
      <c r="G380" s="812">
        <f t="shared" si="51"/>
        <v>76473.75</v>
      </c>
      <c r="H380" s="812">
        <f t="shared" si="51"/>
        <v>67757.03</v>
      </c>
      <c r="I380" s="812">
        <f t="shared" si="51"/>
        <v>0</v>
      </c>
      <c r="J380" s="812">
        <f t="shared" si="51"/>
        <v>0</v>
      </c>
      <c r="K380" s="812">
        <f t="shared" si="51"/>
        <v>0</v>
      </c>
      <c r="L380" s="812">
        <f t="shared" si="51"/>
        <v>0</v>
      </c>
      <c r="M380" s="812">
        <f t="shared" si="51"/>
        <v>0</v>
      </c>
      <c r="N380" s="812">
        <f t="shared" si="51"/>
        <v>0</v>
      </c>
      <c r="O380" s="812">
        <f t="shared" si="51"/>
        <v>0</v>
      </c>
      <c r="P380" s="811">
        <f t="shared" si="51"/>
        <v>391144.70999999996</v>
      </c>
    </row>
    <row r="381" spans="2:16">
      <c r="C381" s="481" t="s">
        <v>401</v>
      </c>
      <c r="D381" s="341">
        <v>4182562</v>
      </c>
      <c r="E381" s="452">
        <v>4206155</v>
      </c>
      <c r="F381" s="452">
        <v>3647038</v>
      </c>
      <c r="G381" s="452">
        <v>3745212</v>
      </c>
      <c r="H381" s="452">
        <v>3270112</v>
      </c>
      <c r="I381" s="452"/>
      <c r="J381" s="452"/>
      <c r="K381" s="452"/>
      <c r="L381" s="452"/>
      <c r="M381" s="452"/>
      <c r="N381" s="452"/>
      <c r="O381" s="452"/>
      <c r="P381" s="815">
        <f>SUM(D381:O381)</f>
        <v>19051079</v>
      </c>
    </row>
    <row r="382" spans="2:16">
      <c r="D382" s="811"/>
      <c r="E382" s="812"/>
      <c r="F382" s="812"/>
      <c r="G382" s="812"/>
      <c r="H382" s="812"/>
      <c r="I382" s="812"/>
      <c r="J382" s="812"/>
      <c r="K382" s="812"/>
      <c r="L382" s="812"/>
      <c r="M382" s="812"/>
      <c r="N382" s="812"/>
      <c r="O382" s="812"/>
      <c r="P382" s="811"/>
    </row>
    <row r="383" spans="2:16">
      <c r="C383" s="873" t="s">
        <v>237</v>
      </c>
      <c r="D383" s="811"/>
      <c r="E383" s="812"/>
      <c r="F383" s="812"/>
      <c r="G383" s="812"/>
      <c r="H383" s="812"/>
      <c r="I383" s="812"/>
      <c r="J383" s="812"/>
      <c r="K383" s="812"/>
      <c r="L383" s="812"/>
      <c r="M383" s="812"/>
      <c r="N383" s="812"/>
      <c r="O383" s="812"/>
      <c r="P383" s="811"/>
    </row>
    <row r="384" spans="2:16">
      <c r="B384" s="873" t="str">
        <f>$C$383</f>
        <v>CNGWA908</v>
      </c>
      <c r="C384" s="873" t="s">
        <v>465</v>
      </c>
      <c r="D384" s="811"/>
      <c r="E384" s="812">
        <v>138.99</v>
      </c>
      <c r="F384" s="812">
        <v>1844.28</v>
      </c>
      <c r="G384" s="812">
        <v>2498.21</v>
      </c>
      <c r="H384" s="812"/>
      <c r="I384" s="812">
        <v>82.54</v>
      </c>
      <c r="J384" s="812">
        <v>394.26</v>
      </c>
      <c r="K384" s="812">
        <v>1349.99</v>
      </c>
      <c r="L384" s="812">
        <v>777.45</v>
      </c>
      <c r="M384" s="812">
        <v>679.03</v>
      </c>
      <c r="N384" s="812">
        <v>546.70000000000005</v>
      </c>
      <c r="O384" s="812">
        <v>37.97</v>
      </c>
      <c r="P384" s="811">
        <v>8349.4199999999983</v>
      </c>
    </row>
    <row r="385" spans="2:16">
      <c r="B385" s="873" t="str">
        <f>$C$383</f>
        <v>CNGWA908</v>
      </c>
      <c r="C385" s="873" t="s">
        <v>414</v>
      </c>
      <c r="D385" s="811">
        <v>13900</v>
      </c>
      <c r="E385" s="812">
        <v>13761.01</v>
      </c>
      <c r="F385" s="812">
        <v>12055.72</v>
      </c>
      <c r="G385" s="812">
        <v>11401.79</v>
      </c>
      <c r="H385" s="812">
        <v>13900</v>
      </c>
      <c r="I385" s="812">
        <v>13817.46</v>
      </c>
      <c r="J385" s="812">
        <v>13505.74</v>
      </c>
      <c r="K385" s="812">
        <v>12550.01</v>
      </c>
      <c r="L385" s="812">
        <v>13122.55</v>
      </c>
      <c r="M385" s="812">
        <v>13220.97</v>
      </c>
      <c r="N385" s="812">
        <v>13353.3</v>
      </c>
      <c r="O385" s="812">
        <v>13862.03</v>
      </c>
      <c r="P385" s="811">
        <v>158450.57999999999</v>
      </c>
    </row>
    <row r="386" spans="2:16">
      <c r="B386" s="873" t="str">
        <f>$C$383</f>
        <v>CNGWA908</v>
      </c>
      <c r="C386" s="873" t="s">
        <v>417</v>
      </c>
      <c r="D386" s="811"/>
      <c r="E386" s="812">
        <v>5.56</v>
      </c>
      <c r="F386" s="812">
        <v>73.77</v>
      </c>
      <c r="G386" s="812">
        <v>99.93</v>
      </c>
      <c r="H386" s="812"/>
      <c r="I386" s="812">
        <v>3.3</v>
      </c>
      <c r="J386" s="812">
        <v>15.77</v>
      </c>
      <c r="K386" s="812">
        <v>54</v>
      </c>
      <c r="L386" s="812">
        <v>31.1</v>
      </c>
      <c r="M386" s="812">
        <v>27.16</v>
      </c>
      <c r="N386" s="812">
        <v>21.87</v>
      </c>
      <c r="O386" s="812">
        <v>1.52</v>
      </c>
      <c r="P386" s="811">
        <v>333.98</v>
      </c>
    </row>
    <row r="387" spans="2:16">
      <c r="B387" s="873" t="str">
        <f>$C$383</f>
        <v>CNGWA908</v>
      </c>
      <c r="C387" s="873" t="s">
        <v>419</v>
      </c>
      <c r="D387" s="811">
        <v>625</v>
      </c>
      <c r="E387" s="812">
        <v>625</v>
      </c>
      <c r="F387" s="812">
        <v>625</v>
      </c>
      <c r="G387" s="812">
        <v>625</v>
      </c>
      <c r="H387" s="812">
        <v>625</v>
      </c>
      <c r="I387" s="812">
        <v>625</v>
      </c>
      <c r="J387" s="812">
        <v>625</v>
      </c>
      <c r="K387" s="812">
        <v>625</v>
      </c>
      <c r="L387" s="812">
        <v>625</v>
      </c>
      <c r="M387" s="812">
        <v>625</v>
      </c>
      <c r="N387" s="812">
        <v>625</v>
      </c>
      <c r="O387" s="812">
        <v>625</v>
      </c>
      <c r="P387" s="811">
        <v>7500</v>
      </c>
    </row>
    <row r="388" spans="2:16">
      <c r="B388" s="873" t="str">
        <f>$C$383</f>
        <v>CNGWA908</v>
      </c>
      <c r="C388" s="873" t="s">
        <v>422</v>
      </c>
      <c r="D388" s="811">
        <v>643.6</v>
      </c>
      <c r="E388" s="812">
        <v>643.85</v>
      </c>
      <c r="F388" s="812">
        <v>646.87</v>
      </c>
      <c r="G388" s="812">
        <v>637.94000000000005</v>
      </c>
      <c r="H388" s="812">
        <v>633.58000000000004</v>
      </c>
      <c r="I388" s="812">
        <v>633.72</v>
      </c>
      <c r="J388" s="812">
        <v>634.27</v>
      </c>
      <c r="K388" s="812">
        <v>635.94000000000005</v>
      </c>
      <c r="L388" s="812">
        <v>634.94000000000005</v>
      </c>
      <c r="M388" s="812">
        <v>634.77</v>
      </c>
      <c r="N388" s="812">
        <v>634.53</v>
      </c>
      <c r="O388" s="812">
        <v>633.65</v>
      </c>
      <c r="P388" s="811">
        <v>7647.6600000000008</v>
      </c>
    </row>
    <row r="389" spans="2:16">
      <c r="C389" s="481" t="s">
        <v>400</v>
      </c>
      <c r="D389" s="811">
        <f t="shared" ref="D389:P389" si="52">SUM(D384:D388)</f>
        <v>15168.6</v>
      </c>
      <c r="E389" s="812">
        <f t="shared" si="52"/>
        <v>15174.41</v>
      </c>
      <c r="F389" s="812">
        <f t="shared" si="52"/>
        <v>15245.640000000001</v>
      </c>
      <c r="G389" s="812">
        <f t="shared" si="52"/>
        <v>15262.87</v>
      </c>
      <c r="H389" s="812">
        <f t="shared" si="52"/>
        <v>15158.58</v>
      </c>
      <c r="I389" s="812">
        <f t="shared" si="52"/>
        <v>15162.019999999999</v>
      </c>
      <c r="J389" s="812">
        <f t="shared" si="52"/>
        <v>15175.04</v>
      </c>
      <c r="K389" s="812">
        <f t="shared" si="52"/>
        <v>15214.94</v>
      </c>
      <c r="L389" s="812">
        <f t="shared" si="52"/>
        <v>15191.04</v>
      </c>
      <c r="M389" s="812">
        <f t="shared" si="52"/>
        <v>15186.93</v>
      </c>
      <c r="N389" s="812">
        <f t="shared" si="52"/>
        <v>15181.400000000001</v>
      </c>
      <c r="O389" s="812">
        <f t="shared" si="52"/>
        <v>15160.17</v>
      </c>
      <c r="P389" s="811">
        <f t="shared" si="52"/>
        <v>182281.64</v>
      </c>
    </row>
    <row r="390" spans="2:16">
      <c r="C390" s="481" t="s">
        <v>401</v>
      </c>
      <c r="D390" s="341">
        <v>0</v>
      </c>
      <c r="E390" s="452">
        <v>13899</v>
      </c>
      <c r="F390" s="452">
        <v>184428</v>
      </c>
      <c r="G390" s="452">
        <v>249821</v>
      </c>
      <c r="H390" s="452">
        <v>0</v>
      </c>
      <c r="I390" s="452">
        <v>8254</v>
      </c>
      <c r="J390" s="452">
        <v>39426</v>
      </c>
      <c r="K390" s="452">
        <v>134999</v>
      </c>
      <c r="L390" s="452">
        <v>77745</v>
      </c>
      <c r="M390" s="452">
        <v>67903</v>
      </c>
      <c r="N390" s="452">
        <v>54670</v>
      </c>
      <c r="O390" s="452">
        <v>3797</v>
      </c>
      <c r="P390" s="815">
        <f>SUM(D390:O390)</f>
        <v>834942</v>
      </c>
    </row>
    <row r="391" spans="2:16">
      <c r="D391" s="811"/>
      <c r="E391" s="812"/>
      <c r="F391" s="812"/>
      <c r="G391" s="812"/>
      <c r="H391" s="812"/>
      <c r="I391" s="812"/>
      <c r="J391" s="812"/>
      <c r="K391" s="812"/>
      <c r="L391" s="812"/>
      <c r="M391" s="812"/>
      <c r="N391" s="812"/>
      <c r="O391" s="812"/>
      <c r="P391" s="811"/>
    </row>
    <row r="392" spans="2:16">
      <c r="C392" s="873" t="s">
        <v>216</v>
      </c>
      <c r="D392" s="811"/>
      <c r="E392" s="812"/>
      <c r="F392" s="812"/>
      <c r="G392" s="812"/>
      <c r="H392" s="812"/>
      <c r="I392" s="812"/>
      <c r="J392" s="812"/>
      <c r="K392" s="812"/>
      <c r="L392" s="812"/>
      <c r="M392" s="812"/>
      <c r="N392" s="812"/>
      <c r="O392" s="812"/>
      <c r="P392" s="811"/>
    </row>
    <row r="393" spans="2:16">
      <c r="B393" s="873" t="str">
        <f>$C$392</f>
        <v>CNGWA909</v>
      </c>
      <c r="C393" s="873" t="s">
        <v>465</v>
      </c>
      <c r="D393" s="811">
        <v>46494.85</v>
      </c>
      <c r="E393" s="812">
        <v>47586.91</v>
      </c>
      <c r="F393" s="812">
        <v>53857.919999999998</v>
      </c>
      <c r="G393" s="812">
        <v>48504.959999999999</v>
      </c>
      <c r="H393" s="812">
        <v>44283.05</v>
      </c>
      <c r="I393" s="812">
        <v>44675.01</v>
      </c>
      <c r="J393" s="812">
        <v>52682.51</v>
      </c>
      <c r="K393" s="812">
        <v>53877.32</v>
      </c>
      <c r="L393" s="812">
        <v>52721.16</v>
      </c>
      <c r="M393" s="812">
        <v>54058.080000000002</v>
      </c>
      <c r="N393" s="812">
        <v>49389.69</v>
      </c>
      <c r="O393" s="812">
        <v>57223.68</v>
      </c>
      <c r="P393" s="811">
        <v>605355.14000000013</v>
      </c>
    </row>
    <row r="394" spans="2:16">
      <c r="B394" s="873" t="str">
        <f>$C$392</f>
        <v>CNGWA909</v>
      </c>
      <c r="C394" s="873" t="s">
        <v>415</v>
      </c>
      <c r="D394" s="811">
        <v>2000</v>
      </c>
      <c r="E394" s="812">
        <v>2000</v>
      </c>
      <c r="F394" s="812">
        <v>2000</v>
      </c>
      <c r="G394" s="812">
        <v>2000</v>
      </c>
      <c r="H394" s="812">
        <v>2000</v>
      </c>
      <c r="I394" s="812">
        <v>2000</v>
      </c>
      <c r="J394" s="812">
        <v>2000</v>
      </c>
      <c r="K394" s="812">
        <v>2000</v>
      </c>
      <c r="L394" s="812">
        <v>2000</v>
      </c>
      <c r="M394" s="812">
        <v>2000</v>
      </c>
      <c r="N394" s="812">
        <v>2000</v>
      </c>
      <c r="O394" s="812">
        <v>2000</v>
      </c>
      <c r="P394" s="811">
        <v>24000</v>
      </c>
    </row>
    <row r="395" spans="2:16">
      <c r="B395" s="873" t="str">
        <f>$C$392</f>
        <v>CNGWA909</v>
      </c>
      <c r="C395" s="873" t="s">
        <v>417</v>
      </c>
      <c r="D395" s="811">
        <v>1157.75</v>
      </c>
      <c r="E395" s="812">
        <v>1184.94</v>
      </c>
      <c r="F395" s="812">
        <v>1341.09</v>
      </c>
      <c r="G395" s="812">
        <v>1207.8</v>
      </c>
      <c r="H395" s="812">
        <v>1102.67</v>
      </c>
      <c r="I395" s="812">
        <v>1112.43</v>
      </c>
      <c r="J395" s="812">
        <v>1311.82</v>
      </c>
      <c r="K395" s="812">
        <v>1341.58</v>
      </c>
      <c r="L395" s="812">
        <v>1312.79</v>
      </c>
      <c r="M395" s="812">
        <v>1346.08</v>
      </c>
      <c r="N395" s="812">
        <v>1288.99</v>
      </c>
      <c r="O395" s="812">
        <v>1493.45</v>
      </c>
      <c r="P395" s="811">
        <v>15201.39</v>
      </c>
    </row>
    <row r="396" spans="2:16">
      <c r="B396" s="873" t="str">
        <f>$C$392</f>
        <v>CNGWA909</v>
      </c>
      <c r="C396" s="873" t="s">
        <v>419</v>
      </c>
      <c r="D396" s="811">
        <v>625</v>
      </c>
      <c r="E396" s="812">
        <v>625</v>
      </c>
      <c r="F396" s="812">
        <v>625</v>
      </c>
      <c r="G396" s="812">
        <v>625</v>
      </c>
      <c r="H396" s="812">
        <v>625</v>
      </c>
      <c r="I396" s="812">
        <v>625</v>
      </c>
      <c r="J396" s="812">
        <v>625</v>
      </c>
      <c r="K396" s="812">
        <v>625</v>
      </c>
      <c r="L396" s="812">
        <v>625</v>
      </c>
      <c r="M396" s="812">
        <v>625</v>
      </c>
      <c r="N396" s="812">
        <v>625</v>
      </c>
      <c r="O396" s="812">
        <v>625</v>
      </c>
      <c r="P396" s="811">
        <v>7500</v>
      </c>
    </row>
    <row r="397" spans="2:16">
      <c r="B397" s="873" t="str">
        <f>$C$392</f>
        <v>CNGWA909</v>
      </c>
      <c r="C397" s="873" t="s">
        <v>422</v>
      </c>
      <c r="D397" s="811">
        <v>2227.8000000000002</v>
      </c>
      <c r="E397" s="812">
        <v>2277.39</v>
      </c>
      <c r="F397" s="812">
        <v>2562.1799999999998</v>
      </c>
      <c r="G397" s="812">
        <v>2282.9699999999998</v>
      </c>
      <c r="H397" s="812">
        <v>2094.23</v>
      </c>
      <c r="I397" s="812">
        <v>2111.75</v>
      </c>
      <c r="J397" s="812">
        <v>2469.7399999999998</v>
      </c>
      <c r="K397" s="812">
        <v>2523.15</v>
      </c>
      <c r="L397" s="812">
        <v>2471.46</v>
      </c>
      <c r="M397" s="812">
        <v>2531.23</v>
      </c>
      <c r="N397" s="812">
        <v>2325.11</v>
      </c>
      <c r="O397" s="812">
        <v>2675.74</v>
      </c>
      <c r="P397" s="811">
        <v>28552.75</v>
      </c>
    </row>
    <row r="398" spans="2:16">
      <c r="C398" s="481" t="s">
        <v>400</v>
      </c>
      <c r="D398" s="811">
        <f t="shared" ref="D398:P398" si="53">SUM(D393:D397)</f>
        <v>52505.4</v>
      </c>
      <c r="E398" s="812">
        <f t="shared" si="53"/>
        <v>53674.240000000005</v>
      </c>
      <c r="F398" s="812">
        <f t="shared" si="53"/>
        <v>60386.189999999995</v>
      </c>
      <c r="G398" s="812">
        <f t="shared" si="53"/>
        <v>54620.73</v>
      </c>
      <c r="H398" s="812">
        <f t="shared" si="53"/>
        <v>50104.950000000004</v>
      </c>
      <c r="I398" s="812">
        <f t="shared" si="53"/>
        <v>50524.19</v>
      </c>
      <c r="J398" s="812">
        <f t="shared" si="53"/>
        <v>59089.07</v>
      </c>
      <c r="K398" s="812">
        <f t="shared" si="53"/>
        <v>60367.05</v>
      </c>
      <c r="L398" s="812">
        <f t="shared" si="53"/>
        <v>59130.41</v>
      </c>
      <c r="M398" s="812">
        <f t="shared" si="53"/>
        <v>60560.390000000007</v>
      </c>
      <c r="N398" s="812">
        <f t="shared" si="53"/>
        <v>55628.79</v>
      </c>
      <c r="O398" s="812">
        <f t="shared" si="53"/>
        <v>64017.869999999995</v>
      </c>
      <c r="P398" s="811">
        <f t="shared" si="53"/>
        <v>680609.28000000014</v>
      </c>
    </row>
    <row r="399" spans="2:16">
      <c r="C399" s="481" t="s">
        <v>401</v>
      </c>
      <c r="D399" s="341">
        <v>2894369</v>
      </c>
      <c r="E399" s="452">
        <v>2962351</v>
      </c>
      <c r="F399" s="452">
        <v>3352730</v>
      </c>
      <c r="G399" s="452">
        <v>3019501</v>
      </c>
      <c r="H399" s="452">
        <v>2756681</v>
      </c>
      <c r="I399" s="452">
        <v>2781081</v>
      </c>
      <c r="J399" s="452">
        <v>3279559</v>
      </c>
      <c r="K399" s="452">
        <v>3353938</v>
      </c>
      <c r="L399" s="452">
        <v>3281965</v>
      </c>
      <c r="M399" s="452">
        <v>3365190</v>
      </c>
      <c r="N399" s="452">
        <v>3222482</v>
      </c>
      <c r="O399" s="452">
        <v>3733619</v>
      </c>
      <c r="P399" s="815">
        <f>SUM(D399:O399)</f>
        <v>38003466</v>
      </c>
    </row>
    <row r="400" spans="2:16">
      <c r="D400" s="811"/>
      <c r="E400" s="812"/>
      <c r="F400" s="812"/>
      <c r="G400" s="812"/>
      <c r="H400" s="812"/>
      <c r="I400" s="812"/>
      <c r="J400" s="812"/>
      <c r="K400" s="812"/>
      <c r="L400" s="812"/>
      <c r="M400" s="812"/>
      <c r="N400" s="812"/>
      <c r="O400" s="812"/>
      <c r="P400" s="811"/>
    </row>
    <row r="401" spans="2:16">
      <c r="C401" s="873" t="s">
        <v>217</v>
      </c>
      <c r="D401" s="811"/>
      <c r="E401" s="812"/>
      <c r="F401" s="812"/>
      <c r="G401" s="812"/>
      <c r="H401" s="812"/>
      <c r="I401" s="812"/>
      <c r="J401" s="812"/>
      <c r="K401" s="812"/>
      <c r="L401" s="812"/>
      <c r="M401" s="812"/>
      <c r="N401" s="812"/>
      <c r="O401" s="812"/>
      <c r="P401" s="811"/>
    </row>
    <row r="402" spans="2:16">
      <c r="B402" s="873" t="str">
        <f>$C$401</f>
        <v>CNGWA910</v>
      </c>
      <c r="C402" s="873" t="s">
        <v>465</v>
      </c>
      <c r="D402" s="811">
        <v>9151.09</v>
      </c>
      <c r="E402" s="812">
        <v>10279.879999999999</v>
      </c>
      <c r="F402" s="812">
        <v>8941.4</v>
      </c>
      <c r="G402" s="812">
        <v>8517.93</v>
      </c>
      <c r="H402" s="812">
        <v>2261.91</v>
      </c>
      <c r="I402" s="812">
        <v>5123.4799999999996</v>
      </c>
      <c r="J402" s="812">
        <v>8003.6</v>
      </c>
      <c r="K402" s="812">
        <v>4781.37</v>
      </c>
      <c r="L402" s="812">
        <v>7493.03</v>
      </c>
      <c r="M402" s="812">
        <v>7603.8</v>
      </c>
      <c r="N402" s="812">
        <v>9496.57</v>
      </c>
      <c r="O402" s="812">
        <v>7803.31</v>
      </c>
      <c r="P402" s="811">
        <v>89457.37</v>
      </c>
    </row>
    <row r="403" spans="2:16">
      <c r="B403" s="873" t="str">
        <f>$C$401</f>
        <v>CNGWA910</v>
      </c>
      <c r="C403" s="873" t="s">
        <v>415</v>
      </c>
      <c r="D403" s="811">
        <v>2250</v>
      </c>
      <c r="E403" s="812">
        <v>2250</v>
      </c>
      <c r="F403" s="812">
        <v>2250</v>
      </c>
      <c r="G403" s="812">
        <v>2250</v>
      </c>
      <c r="H403" s="812">
        <v>2250</v>
      </c>
      <c r="I403" s="812">
        <v>2250</v>
      </c>
      <c r="J403" s="812">
        <v>2250</v>
      </c>
      <c r="K403" s="812">
        <v>2250</v>
      </c>
      <c r="L403" s="812">
        <v>2250</v>
      </c>
      <c r="M403" s="812">
        <v>2250</v>
      </c>
      <c r="N403" s="812">
        <v>2250</v>
      </c>
      <c r="O403" s="812">
        <v>2250</v>
      </c>
      <c r="P403" s="811">
        <v>27000</v>
      </c>
    </row>
    <row r="404" spans="2:16">
      <c r="B404" s="873" t="str">
        <f>$C$401</f>
        <v>CNGWA910</v>
      </c>
      <c r="C404" s="873" t="s">
        <v>417</v>
      </c>
      <c r="D404" s="811">
        <v>310.81</v>
      </c>
      <c r="E404" s="812">
        <v>349.15</v>
      </c>
      <c r="F404" s="812">
        <v>303.69</v>
      </c>
      <c r="G404" s="812">
        <v>289.31</v>
      </c>
      <c r="H404" s="812">
        <v>76.819999999999993</v>
      </c>
      <c r="I404" s="812">
        <v>174.02</v>
      </c>
      <c r="J404" s="812">
        <v>271.83999999999997</v>
      </c>
      <c r="K404" s="812">
        <v>162.4</v>
      </c>
      <c r="L404" s="812">
        <v>254.5</v>
      </c>
      <c r="M404" s="812">
        <v>258.26</v>
      </c>
      <c r="N404" s="812">
        <v>320.62</v>
      </c>
      <c r="O404" s="812">
        <v>263.45</v>
      </c>
      <c r="P404" s="811">
        <v>3034.87</v>
      </c>
    </row>
    <row r="405" spans="2:16">
      <c r="B405" s="873" t="str">
        <f>$C$401</f>
        <v>CNGWA910</v>
      </c>
      <c r="C405" s="873" t="s">
        <v>419</v>
      </c>
      <c r="D405" s="811">
        <v>625</v>
      </c>
      <c r="E405" s="812">
        <v>625</v>
      </c>
      <c r="F405" s="812">
        <v>625</v>
      </c>
      <c r="G405" s="812">
        <v>625</v>
      </c>
      <c r="H405" s="812">
        <v>625</v>
      </c>
      <c r="I405" s="812">
        <v>625</v>
      </c>
      <c r="J405" s="812">
        <v>625</v>
      </c>
      <c r="K405" s="812">
        <v>625</v>
      </c>
      <c r="L405" s="812">
        <v>625</v>
      </c>
      <c r="M405" s="812">
        <v>625</v>
      </c>
      <c r="N405" s="812">
        <v>625</v>
      </c>
      <c r="O405" s="812">
        <v>625</v>
      </c>
      <c r="P405" s="811">
        <v>7500</v>
      </c>
    </row>
    <row r="406" spans="2:16">
      <c r="B406" s="873" t="str">
        <f>$C$401</f>
        <v>CNGWA910</v>
      </c>
      <c r="C406" s="873" t="s">
        <v>422</v>
      </c>
      <c r="D406" s="811">
        <v>546.65</v>
      </c>
      <c r="E406" s="812">
        <v>598.36</v>
      </c>
      <c r="F406" s="812">
        <v>537.04</v>
      </c>
      <c r="G406" s="812">
        <v>509.58</v>
      </c>
      <c r="H406" s="812">
        <v>227.42</v>
      </c>
      <c r="I406" s="812">
        <v>356.48</v>
      </c>
      <c r="J406" s="812">
        <v>486.38</v>
      </c>
      <c r="K406" s="812">
        <v>341.05</v>
      </c>
      <c r="L406" s="812">
        <v>463.35</v>
      </c>
      <c r="M406" s="812">
        <v>468.35</v>
      </c>
      <c r="N406" s="812">
        <v>553.63</v>
      </c>
      <c r="O406" s="812">
        <v>477.28</v>
      </c>
      <c r="P406" s="811">
        <v>5565.5700000000006</v>
      </c>
    </row>
    <row r="407" spans="2:16">
      <c r="C407" s="481" t="s">
        <v>400</v>
      </c>
      <c r="D407" s="811">
        <f t="shared" ref="D407:P407" si="54">SUM(D402:D406)</f>
        <v>12883.55</v>
      </c>
      <c r="E407" s="812">
        <f t="shared" si="54"/>
        <v>14102.39</v>
      </c>
      <c r="F407" s="812">
        <f t="shared" si="54"/>
        <v>12657.130000000001</v>
      </c>
      <c r="G407" s="812">
        <f t="shared" si="54"/>
        <v>12191.82</v>
      </c>
      <c r="H407" s="812">
        <f t="shared" si="54"/>
        <v>5441.15</v>
      </c>
      <c r="I407" s="812">
        <f t="shared" si="54"/>
        <v>8528.98</v>
      </c>
      <c r="J407" s="812">
        <f t="shared" si="54"/>
        <v>11636.82</v>
      </c>
      <c r="K407" s="812">
        <f t="shared" si="54"/>
        <v>8159.82</v>
      </c>
      <c r="L407" s="812">
        <f t="shared" si="54"/>
        <v>11085.88</v>
      </c>
      <c r="M407" s="812">
        <f t="shared" si="54"/>
        <v>11205.41</v>
      </c>
      <c r="N407" s="812">
        <f t="shared" si="54"/>
        <v>13245.82</v>
      </c>
      <c r="O407" s="812">
        <f t="shared" si="54"/>
        <v>11419.040000000003</v>
      </c>
      <c r="P407" s="811">
        <f t="shared" si="54"/>
        <v>132557.81</v>
      </c>
    </row>
    <row r="408" spans="2:16">
      <c r="C408" s="481" t="s">
        <v>401</v>
      </c>
      <c r="D408" s="341">
        <v>777031</v>
      </c>
      <c r="E408" s="452">
        <v>872878</v>
      </c>
      <c r="F408" s="452">
        <v>759226</v>
      </c>
      <c r="G408" s="452">
        <v>723268</v>
      </c>
      <c r="H408" s="452">
        <v>192062</v>
      </c>
      <c r="I408" s="452">
        <v>435041</v>
      </c>
      <c r="J408" s="452">
        <v>679596</v>
      </c>
      <c r="K408" s="452">
        <v>405992</v>
      </c>
      <c r="L408" s="452">
        <v>636243</v>
      </c>
      <c r="M408" s="452">
        <v>645648</v>
      </c>
      <c r="N408" s="452">
        <v>801554</v>
      </c>
      <c r="O408" s="452">
        <v>658635</v>
      </c>
      <c r="P408" s="815">
        <f>SUM(D408:O408)</f>
        <v>7587174</v>
      </c>
    </row>
    <row r="409" spans="2:16">
      <c r="D409" s="811"/>
      <c r="E409" s="812"/>
      <c r="F409" s="812"/>
      <c r="G409" s="812"/>
      <c r="H409" s="812"/>
      <c r="I409" s="812"/>
      <c r="J409" s="812"/>
      <c r="K409" s="812"/>
      <c r="L409" s="812"/>
      <c r="M409" s="812"/>
      <c r="N409" s="812"/>
      <c r="O409" s="812"/>
      <c r="P409" s="811"/>
    </row>
    <row r="410" spans="2:16">
      <c r="C410" s="873" t="s">
        <v>219</v>
      </c>
      <c r="D410" s="811"/>
      <c r="E410" s="812"/>
      <c r="F410" s="812"/>
      <c r="G410" s="812"/>
      <c r="H410" s="812"/>
      <c r="I410" s="812"/>
      <c r="J410" s="812"/>
      <c r="K410" s="812"/>
      <c r="L410" s="812"/>
      <c r="M410" s="812"/>
      <c r="N410" s="812"/>
      <c r="O410" s="812"/>
      <c r="P410" s="811"/>
    </row>
    <row r="411" spans="2:16">
      <c r="B411" s="873" t="str">
        <f>$C$410</f>
        <v>CNGWA911</v>
      </c>
      <c r="C411" s="873" t="s">
        <v>465</v>
      </c>
      <c r="D411" s="811">
        <v>8865.8799999999992</v>
      </c>
      <c r="E411" s="812">
        <v>6966.23</v>
      </c>
      <c r="F411" s="812">
        <v>6135.94</v>
      </c>
      <c r="G411" s="812">
        <v>6551.8</v>
      </c>
      <c r="H411" s="812">
        <v>5051.43</v>
      </c>
      <c r="I411" s="812">
        <v>4935.91</v>
      </c>
      <c r="J411" s="812">
        <v>5030.6099999999997</v>
      </c>
      <c r="K411" s="812">
        <v>5163.8900000000003</v>
      </c>
      <c r="L411" s="812">
        <v>6615.26</v>
      </c>
      <c r="M411" s="812">
        <v>7225.51</v>
      </c>
      <c r="N411" s="812">
        <v>7777.75</v>
      </c>
      <c r="O411" s="812">
        <v>8295.31</v>
      </c>
      <c r="P411" s="811">
        <v>78615.520000000004</v>
      </c>
    </row>
    <row r="412" spans="2:16">
      <c r="B412" s="873" t="str">
        <f>$C$410</f>
        <v>CNGWA911</v>
      </c>
      <c r="C412" s="873" t="s">
        <v>415</v>
      </c>
      <c r="D412" s="811">
        <v>3950</v>
      </c>
      <c r="E412" s="812">
        <v>3950</v>
      </c>
      <c r="F412" s="812">
        <v>3950</v>
      </c>
      <c r="G412" s="812">
        <v>3950</v>
      </c>
      <c r="H412" s="812">
        <v>3950</v>
      </c>
      <c r="I412" s="812">
        <v>3950</v>
      </c>
      <c r="J412" s="812">
        <v>3950</v>
      </c>
      <c r="K412" s="812">
        <v>3950</v>
      </c>
      <c r="L412" s="812">
        <v>3950</v>
      </c>
      <c r="M412" s="812">
        <v>3950</v>
      </c>
      <c r="N412" s="812">
        <v>3950</v>
      </c>
      <c r="O412" s="812">
        <v>3950</v>
      </c>
      <c r="P412" s="811">
        <v>47400</v>
      </c>
    </row>
    <row r="413" spans="2:16">
      <c r="B413" s="873" t="str">
        <f>$C$410</f>
        <v>CNGWA911</v>
      </c>
      <c r="C413" s="873" t="s">
        <v>417</v>
      </c>
      <c r="D413" s="811">
        <v>196.93</v>
      </c>
      <c r="E413" s="812">
        <v>154.74</v>
      </c>
      <c r="F413" s="812">
        <v>136.29</v>
      </c>
      <c r="G413" s="812">
        <v>145.53</v>
      </c>
      <c r="H413" s="812">
        <v>112.2</v>
      </c>
      <c r="I413" s="812">
        <v>109.64</v>
      </c>
      <c r="J413" s="812">
        <v>111.74</v>
      </c>
      <c r="K413" s="812">
        <v>114.7</v>
      </c>
      <c r="L413" s="812">
        <v>146.94</v>
      </c>
      <c r="M413" s="812">
        <v>160.5</v>
      </c>
      <c r="N413" s="812">
        <v>171.73</v>
      </c>
      <c r="O413" s="812">
        <v>183.16</v>
      </c>
      <c r="P413" s="811">
        <v>1744.1000000000001</v>
      </c>
    </row>
    <row r="414" spans="2:16">
      <c r="B414" s="873" t="str">
        <f>$C$410</f>
        <v>CNGWA911</v>
      </c>
      <c r="C414" s="873" t="s">
        <v>419</v>
      </c>
      <c r="D414" s="811">
        <v>625</v>
      </c>
      <c r="E414" s="812">
        <v>625</v>
      </c>
      <c r="F414" s="812">
        <v>625</v>
      </c>
      <c r="G414" s="812">
        <v>625</v>
      </c>
      <c r="H414" s="812">
        <v>625</v>
      </c>
      <c r="I414" s="812">
        <v>625</v>
      </c>
      <c r="J414" s="812">
        <v>625</v>
      </c>
      <c r="K414" s="812">
        <v>625</v>
      </c>
      <c r="L414" s="812">
        <v>625</v>
      </c>
      <c r="M414" s="812">
        <v>625</v>
      </c>
      <c r="N414" s="812">
        <v>625</v>
      </c>
      <c r="O414" s="812">
        <v>625</v>
      </c>
      <c r="P414" s="811">
        <v>7500</v>
      </c>
    </row>
    <row r="415" spans="2:16">
      <c r="B415" s="873" t="str">
        <f>$C$410</f>
        <v>CNGWA911</v>
      </c>
      <c r="C415" s="873" t="s">
        <v>422</v>
      </c>
      <c r="D415" s="811">
        <v>604.29</v>
      </c>
      <c r="E415" s="812">
        <v>518.25</v>
      </c>
      <c r="F415" s="812">
        <v>480.64</v>
      </c>
      <c r="G415" s="812">
        <v>491.7</v>
      </c>
      <c r="H415" s="812">
        <v>424.8</v>
      </c>
      <c r="I415" s="812">
        <v>419.65</v>
      </c>
      <c r="J415" s="812">
        <v>423.87</v>
      </c>
      <c r="K415" s="812">
        <v>429.81</v>
      </c>
      <c r="L415" s="812">
        <v>494.53</v>
      </c>
      <c r="M415" s="812">
        <v>521.74</v>
      </c>
      <c r="N415" s="812">
        <v>546.32000000000005</v>
      </c>
      <c r="O415" s="812">
        <v>569.39</v>
      </c>
      <c r="P415" s="811">
        <v>5924.99</v>
      </c>
    </row>
    <row r="416" spans="2:16">
      <c r="C416" s="481" t="s">
        <v>400</v>
      </c>
      <c r="D416" s="811">
        <f t="shared" ref="D416:P416" si="55">SUM(D411:D415)</f>
        <v>14242.099999999999</v>
      </c>
      <c r="E416" s="812">
        <f t="shared" si="55"/>
        <v>12214.22</v>
      </c>
      <c r="F416" s="812">
        <f t="shared" si="55"/>
        <v>11327.869999999999</v>
      </c>
      <c r="G416" s="812">
        <f t="shared" si="55"/>
        <v>11764.03</v>
      </c>
      <c r="H416" s="812">
        <f t="shared" si="55"/>
        <v>10163.43</v>
      </c>
      <c r="I416" s="812">
        <f t="shared" si="55"/>
        <v>10040.199999999999</v>
      </c>
      <c r="J416" s="812">
        <f t="shared" si="55"/>
        <v>10141.220000000001</v>
      </c>
      <c r="K416" s="812">
        <f t="shared" si="55"/>
        <v>10283.4</v>
      </c>
      <c r="L416" s="812">
        <f t="shared" si="55"/>
        <v>11831.730000000001</v>
      </c>
      <c r="M416" s="812">
        <f t="shared" si="55"/>
        <v>12482.75</v>
      </c>
      <c r="N416" s="812">
        <f t="shared" si="55"/>
        <v>13070.8</v>
      </c>
      <c r="O416" s="812">
        <f t="shared" si="55"/>
        <v>13622.859999999999</v>
      </c>
      <c r="P416" s="811">
        <f t="shared" si="55"/>
        <v>141184.60999999999</v>
      </c>
    </row>
    <row r="417" spans="2:16">
      <c r="C417" s="481" t="s">
        <v>401</v>
      </c>
      <c r="D417" s="341">
        <v>492333</v>
      </c>
      <c r="E417" s="452">
        <v>386843</v>
      </c>
      <c r="F417" s="452">
        <v>340736</v>
      </c>
      <c r="G417" s="452">
        <v>363829</v>
      </c>
      <c r="H417" s="452">
        <v>280512</v>
      </c>
      <c r="I417" s="452">
        <v>274097</v>
      </c>
      <c r="J417" s="452">
        <v>279356</v>
      </c>
      <c r="K417" s="452">
        <v>286757</v>
      </c>
      <c r="L417" s="452">
        <v>367353</v>
      </c>
      <c r="M417" s="452">
        <v>401241</v>
      </c>
      <c r="N417" s="452">
        <v>429333</v>
      </c>
      <c r="O417" s="452">
        <v>457902</v>
      </c>
      <c r="P417" s="815">
        <f>SUM(D417:O417)</f>
        <v>4360292</v>
      </c>
    </row>
    <row r="418" spans="2:16">
      <c r="D418" s="811"/>
      <c r="E418" s="812"/>
      <c r="F418" s="812"/>
      <c r="G418" s="812"/>
      <c r="H418" s="812"/>
      <c r="I418" s="812"/>
      <c r="J418" s="812"/>
      <c r="K418" s="812"/>
      <c r="L418" s="812"/>
      <c r="M418" s="812"/>
      <c r="N418" s="812"/>
      <c r="O418" s="812"/>
      <c r="P418" s="811"/>
    </row>
    <row r="419" spans="2:16">
      <c r="C419" s="873" t="s">
        <v>221</v>
      </c>
      <c r="D419" s="811"/>
      <c r="E419" s="812"/>
      <c r="F419" s="812"/>
      <c r="G419" s="812"/>
      <c r="H419" s="812"/>
      <c r="I419" s="812"/>
      <c r="J419" s="812"/>
      <c r="K419" s="812"/>
      <c r="L419" s="812"/>
      <c r="M419" s="812"/>
      <c r="N419" s="812"/>
      <c r="O419" s="812"/>
      <c r="P419" s="811"/>
    </row>
    <row r="420" spans="2:16">
      <c r="B420" s="873" t="str">
        <f>$C$419</f>
        <v>CNGWA914</v>
      </c>
      <c r="C420" s="873" t="s">
        <v>465</v>
      </c>
      <c r="D420" s="811">
        <v>12337.35</v>
      </c>
      <c r="E420" s="812">
        <v>12784.77</v>
      </c>
      <c r="F420" s="812">
        <v>10465.51</v>
      </c>
      <c r="G420" s="812">
        <v>12252.94</v>
      </c>
      <c r="H420" s="812">
        <v>12604.9</v>
      </c>
      <c r="I420" s="812">
        <v>12826.03</v>
      </c>
      <c r="J420" s="812">
        <v>11505.18</v>
      </c>
      <c r="K420" s="812">
        <v>10393.39</v>
      </c>
      <c r="L420" s="812">
        <v>9628.81</v>
      </c>
      <c r="M420" s="812">
        <v>9718.1299999999992</v>
      </c>
      <c r="N420" s="812">
        <v>10716.53</v>
      </c>
      <c r="O420" s="812">
        <v>10877.52</v>
      </c>
      <c r="P420" s="811">
        <v>136111.06000000003</v>
      </c>
    </row>
    <row r="421" spans="2:16">
      <c r="B421" s="873" t="str">
        <f>$C$419</f>
        <v>CNGWA914</v>
      </c>
      <c r="C421" s="873" t="s">
        <v>415</v>
      </c>
      <c r="D421" s="811">
        <v>6725</v>
      </c>
      <c r="E421" s="812">
        <v>6725</v>
      </c>
      <c r="F421" s="812">
        <v>6725</v>
      </c>
      <c r="G421" s="812">
        <v>6725</v>
      </c>
      <c r="H421" s="812">
        <v>6725</v>
      </c>
      <c r="I421" s="812">
        <v>6725</v>
      </c>
      <c r="J421" s="812">
        <v>6725</v>
      </c>
      <c r="K421" s="812">
        <v>6725</v>
      </c>
      <c r="L421" s="812">
        <v>6725</v>
      </c>
      <c r="M421" s="812">
        <v>6725</v>
      </c>
      <c r="N421" s="812">
        <v>6725</v>
      </c>
      <c r="O421" s="812">
        <v>6725</v>
      </c>
      <c r="P421" s="811">
        <v>80700</v>
      </c>
    </row>
    <row r="422" spans="2:16">
      <c r="B422" s="873" t="str">
        <f>$C$419</f>
        <v>CNGWA914</v>
      </c>
      <c r="C422" s="873" t="s">
        <v>417</v>
      </c>
      <c r="D422" s="811">
        <v>448.04</v>
      </c>
      <c r="E422" s="812">
        <v>464.28</v>
      </c>
      <c r="F422" s="812">
        <v>380.06</v>
      </c>
      <c r="G422" s="812">
        <v>444.97</v>
      </c>
      <c r="H422" s="812">
        <v>457.75</v>
      </c>
      <c r="I422" s="812">
        <v>465.78</v>
      </c>
      <c r="J422" s="812">
        <v>417.82</v>
      </c>
      <c r="K422" s="812">
        <v>377.44</v>
      </c>
      <c r="L422" s="812">
        <v>349.67</v>
      </c>
      <c r="M422" s="812">
        <v>352.92</v>
      </c>
      <c r="N422" s="812">
        <v>386.85</v>
      </c>
      <c r="O422" s="812">
        <v>392.67</v>
      </c>
      <c r="P422" s="811">
        <v>4938.2500000000009</v>
      </c>
    </row>
    <row r="423" spans="2:16">
      <c r="B423" s="873" t="str">
        <f>$C$419</f>
        <v>CNGWA914</v>
      </c>
      <c r="C423" s="873" t="s">
        <v>419</v>
      </c>
      <c r="D423" s="811">
        <v>625</v>
      </c>
      <c r="E423" s="812">
        <v>625</v>
      </c>
      <c r="F423" s="812">
        <v>625</v>
      </c>
      <c r="G423" s="812">
        <v>625</v>
      </c>
      <c r="H423" s="812">
        <v>625</v>
      </c>
      <c r="I423" s="812">
        <v>625</v>
      </c>
      <c r="J423" s="812">
        <v>625</v>
      </c>
      <c r="K423" s="812">
        <v>625</v>
      </c>
      <c r="L423" s="812">
        <v>625</v>
      </c>
      <c r="M423" s="812">
        <v>625</v>
      </c>
      <c r="N423" s="812">
        <v>625</v>
      </c>
      <c r="O423" s="812">
        <v>625</v>
      </c>
      <c r="P423" s="811">
        <v>7500</v>
      </c>
    </row>
    <row r="424" spans="2:16">
      <c r="B424" s="873" t="str">
        <f>$C$419</f>
        <v>CNGWA914</v>
      </c>
      <c r="C424" s="873" t="s">
        <v>422</v>
      </c>
      <c r="D424" s="811">
        <v>892.2</v>
      </c>
      <c r="E424" s="812">
        <v>912.74</v>
      </c>
      <c r="F424" s="812">
        <v>806.25</v>
      </c>
      <c r="G424" s="812">
        <v>874.49</v>
      </c>
      <c r="H424" s="812">
        <v>890.4</v>
      </c>
      <c r="I424" s="812">
        <v>900.4</v>
      </c>
      <c r="J424" s="812">
        <v>840.69</v>
      </c>
      <c r="K424" s="812">
        <v>790.43</v>
      </c>
      <c r="L424" s="812">
        <v>755.87</v>
      </c>
      <c r="M424" s="812">
        <v>759.91</v>
      </c>
      <c r="N424" s="812">
        <v>804.94</v>
      </c>
      <c r="O424" s="812">
        <v>812.21</v>
      </c>
      <c r="P424" s="811">
        <v>10040.530000000002</v>
      </c>
    </row>
    <row r="425" spans="2:16">
      <c r="C425" s="481" t="s">
        <v>400</v>
      </c>
      <c r="D425" s="811">
        <f t="shared" ref="D425:P425" si="56">SUM(D420:D424)</f>
        <v>21027.59</v>
      </c>
      <c r="E425" s="812">
        <f t="shared" si="56"/>
        <v>21511.79</v>
      </c>
      <c r="F425" s="812">
        <f t="shared" si="56"/>
        <v>19001.820000000003</v>
      </c>
      <c r="G425" s="812">
        <f t="shared" si="56"/>
        <v>20922.400000000005</v>
      </c>
      <c r="H425" s="812">
        <f t="shared" si="56"/>
        <v>21303.050000000003</v>
      </c>
      <c r="I425" s="812">
        <f t="shared" si="56"/>
        <v>21542.21</v>
      </c>
      <c r="J425" s="812">
        <f t="shared" si="56"/>
        <v>20113.689999999999</v>
      </c>
      <c r="K425" s="812">
        <f t="shared" si="56"/>
        <v>18911.259999999998</v>
      </c>
      <c r="L425" s="812">
        <f t="shared" si="56"/>
        <v>18084.349999999999</v>
      </c>
      <c r="M425" s="812">
        <f t="shared" si="56"/>
        <v>18180.959999999995</v>
      </c>
      <c r="N425" s="812">
        <f t="shared" si="56"/>
        <v>19258.319999999996</v>
      </c>
      <c r="O425" s="812">
        <f t="shared" si="56"/>
        <v>19432.399999999998</v>
      </c>
      <c r="P425" s="811">
        <f t="shared" si="56"/>
        <v>239289.84000000003</v>
      </c>
    </row>
    <row r="426" spans="2:16">
      <c r="C426" s="481" t="s">
        <v>401</v>
      </c>
      <c r="D426" s="341">
        <v>1120091</v>
      </c>
      <c r="E426" s="452">
        <v>1160711</v>
      </c>
      <c r="F426" s="452">
        <v>950149</v>
      </c>
      <c r="G426" s="452">
        <v>1112427</v>
      </c>
      <c r="H426" s="452">
        <v>1144381</v>
      </c>
      <c r="I426" s="452">
        <v>1164457</v>
      </c>
      <c r="J426" s="452">
        <v>1044539</v>
      </c>
      <c r="K426" s="452">
        <v>943601</v>
      </c>
      <c r="L426" s="452">
        <v>874186</v>
      </c>
      <c r="M426" s="452">
        <v>882295</v>
      </c>
      <c r="N426" s="452">
        <v>967135</v>
      </c>
      <c r="O426" s="452">
        <v>981664</v>
      </c>
      <c r="P426" s="815">
        <f>SUM(D426:O426)</f>
        <v>12345636</v>
      </c>
    </row>
    <row r="427" spans="2:16">
      <c r="D427" s="811"/>
      <c r="E427" s="812"/>
      <c r="F427" s="812"/>
      <c r="G427" s="812"/>
      <c r="H427" s="812"/>
      <c r="I427" s="812"/>
      <c r="J427" s="812"/>
      <c r="K427" s="812"/>
      <c r="L427" s="812"/>
      <c r="M427" s="812"/>
      <c r="N427" s="812"/>
      <c r="O427" s="812"/>
      <c r="P427" s="811"/>
    </row>
    <row r="428" spans="2:16">
      <c r="C428" s="873" t="s">
        <v>466</v>
      </c>
      <c r="D428" s="811">
        <v>40379798.990000024</v>
      </c>
      <c r="E428" s="812">
        <v>34060190.649999984</v>
      </c>
      <c r="F428" s="812">
        <v>34113866.609999992</v>
      </c>
      <c r="G428" s="812">
        <v>28207838.119999979</v>
      </c>
      <c r="H428" s="812">
        <v>15972043.059999993</v>
      </c>
      <c r="I428" s="812">
        <v>12854033.770000001</v>
      </c>
      <c r="J428" s="812">
        <v>11339562.609999994</v>
      </c>
      <c r="K428" s="812">
        <v>9377831.2399999723</v>
      </c>
      <c r="L428" s="812">
        <v>10118045.76999999</v>
      </c>
      <c r="M428" s="812">
        <v>12505543.829999991</v>
      </c>
      <c r="N428" s="812">
        <v>21259907.520000014</v>
      </c>
      <c r="O428" s="812">
        <v>34673392.429999985</v>
      </c>
      <c r="P428" s="811">
        <v>264862054.59999973</v>
      </c>
    </row>
    <row r="430" spans="2:16">
      <c r="C430" s="873" t="s">
        <v>467</v>
      </c>
      <c r="D430" s="833">
        <f t="shared" ref="D430:M430" si="57">SUMIF($C$5:$C$426,"Therms",D5:D426)</f>
        <v>126006671</v>
      </c>
      <c r="E430" s="833">
        <f t="shared" si="57"/>
        <v>110369317</v>
      </c>
      <c r="F430" s="833">
        <f t="shared" si="57"/>
        <v>102121944</v>
      </c>
      <c r="G430" s="833">
        <f t="shared" si="57"/>
        <v>115018455</v>
      </c>
      <c r="H430" s="833">
        <f t="shared" si="57"/>
        <v>87370735</v>
      </c>
      <c r="I430" s="833">
        <f t="shared" si="57"/>
        <v>56484423</v>
      </c>
      <c r="J430" s="833">
        <f t="shared" si="57"/>
        <v>51985527</v>
      </c>
      <c r="K430" s="833">
        <f t="shared" si="57"/>
        <v>67981683</v>
      </c>
      <c r="L430" s="833">
        <f t="shared" si="57"/>
        <v>85038660</v>
      </c>
      <c r="M430" s="833">
        <f t="shared" si="57"/>
        <v>93166801</v>
      </c>
      <c r="N430" s="833">
        <f>SUMIF($C$5:$C$426,"Therms",N5:N426)</f>
        <v>89262547</v>
      </c>
      <c r="O430" s="833">
        <f>SUMIF($C$5:$C$426,"Therms",O5:O426)</f>
        <v>95942325</v>
      </c>
      <c r="P430" s="815">
        <f>SUM(D430:O430)</f>
        <v>1080749088</v>
      </c>
    </row>
    <row r="432" spans="2:16">
      <c r="D432" s="875"/>
    </row>
    <row r="433" spans="3:16">
      <c r="C433" s="1020"/>
      <c r="D433" s="1020"/>
      <c r="E433" s="1020"/>
      <c r="F433" s="1020"/>
      <c r="G433" s="1020"/>
      <c r="H433" s="1020" t="s">
        <v>3261</v>
      </c>
      <c r="I433" s="1387">
        <f>10700000/P430</f>
        <v>9.9005403925911065E-3</v>
      </c>
      <c r="J433" s="1020"/>
      <c r="K433" s="1020"/>
      <c r="L433" s="1020"/>
    </row>
    <row r="434" spans="3:16">
      <c r="C434" s="1020"/>
      <c r="D434" s="1020"/>
      <c r="E434" s="1020"/>
      <c r="F434" s="1020"/>
      <c r="G434" s="1020"/>
      <c r="H434" s="1020"/>
      <c r="I434" s="1020"/>
      <c r="J434" s="1020"/>
      <c r="K434" s="1020"/>
      <c r="L434" s="1020"/>
    </row>
    <row r="435" spans="3:16">
      <c r="C435" s="1020"/>
      <c r="D435" s="1020"/>
      <c r="E435" s="1020"/>
      <c r="F435" s="1020"/>
      <c r="G435" s="1020"/>
      <c r="H435" s="1020"/>
      <c r="I435" s="1020"/>
      <c r="J435" s="1020"/>
      <c r="K435" s="1020"/>
      <c r="L435" s="1020"/>
    </row>
    <row r="436" spans="3:16">
      <c r="C436" s="1020"/>
      <c r="D436" s="1020"/>
      <c r="E436" s="1020"/>
      <c r="F436" s="1020"/>
      <c r="G436" s="1020"/>
      <c r="H436" s="1020" t="s">
        <v>3262</v>
      </c>
      <c r="I436" s="812">
        <f>$I$433*I430</f>
        <v>559226.31146370212</v>
      </c>
      <c r="J436" s="812">
        <f>$I$433*J430</f>
        <v>514684.80989363557</v>
      </c>
      <c r="K436" s="812">
        <f>$I$433*K430</f>
        <v>673055.39849782421</v>
      </c>
      <c r="L436" s="1388">
        <f>SUM(I436:K436)</f>
        <v>1746966.5198551617</v>
      </c>
    </row>
    <row r="437" spans="3:16">
      <c r="C437" s="1020"/>
      <c r="D437" s="1020"/>
      <c r="E437" s="1020"/>
      <c r="F437" s="1020"/>
      <c r="G437" s="1020"/>
      <c r="H437" s="1020" t="s">
        <v>3263</v>
      </c>
      <c r="I437" s="1020"/>
      <c r="J437" s="1020"/>
      <c r="K437" s="1020"/>
      <c r="L437" s="1388">
        <f>'Exh IDM-5, Decoupling Baseline'!K27</f>
        <v>0</v>
      </c>
    </row>
    <row r="438" spans="3:16">
      <c r="C438" s="1020"/>
      <c r="D438" s="1020"/>
      <c r="E438" s="1020"/>
      <c r="F438" s="1020"/>
      <c r="G438" s="1020"/>
      <c r="H438" s="1020"/>
      <c r="I438" s="1020"/>
      <c r="J438" s="1020"/>
      <c r="K438" s="1020"/>
      <c r="L438" s="1388">
        <f>L436-L437</f>
        <v>1746966.5198551617</v>
      </c>
      <c r="M438" s="873" t="s">
        <v>3264</v>
      </c>
    </row>
    <row r="439" spans="3:16">
      <c r="C439" s="1020"/>
      <c r="D439" s="1020"/>
      <c r="E439" s="1020"/>
      <c r="F439" s="1020"/>
      <c r="G439" s="1020"/>
      <c r="H439" s="1020"/>
      <c r="I439" s="1020"/>
      <c r="J439" s="1020"/>
      <c r="K439" s="1020"/>
      <c r="L439" s="1020"/>
    </row>
    <row r="440" spans="3:16">
      <c r="C440" s="1020"/>
      <c r="D440" s="1020"/>
      <c r="E440" s="1020"/>
      <c r="F440" s="1020"/>
      <c r="G440" s="1020"/>
      <c r="H440" s="1020"/>
      <c r="I440" s="1020"/>
      <c r="J440" s="1020"/>
      <c r="K440" s="1020"/>
      <c r="L440" s="1020"/>
    </row>
    <row r="441" spans="3:16">
      <c r="C441" s="1020"/>
      <c r="D441" s="1020"/>
      <c r="E441" s="1020"/>
      <c r="F441" s="1020"/>
      <c r="G441" s="1020"/>
      <c r="H441" s="1020"/>
      <c r="I441" s="1020"/>
      <c r="J441" s="1020"/>
      <c r="K441" s="1406"/>
      <c r="L441" s="1020"/>
      <c r="O441" s="1406"/>
      <c r="P441" s="1406"/>
    </row>
    <row r="442" spans="3:16">
      <c r="C442" s="1020"/>
      <c r="D442" s="1020"/>
      <c r="E442" s="1021"/>
      <c r="F442" s="1020"/>
      <c r="G442" s="1020"/>
      <c r="H442" s="1020"/>
      <c r="I442" s="1020"/>
      <c r="J442" s="1020"/>
      <c r="K442" s="1020"/>
      <c r="L442" s="1020"/>
    </row>
    <row r="443" spans="3:16">
      <c r="C443" s="1020"/>
      <c r="D443" s="1020"/>
      <c r="E443" s="1020"/>
      <c r="F443" s="1020"/>
      <c r="G443" s="1020"/>
      <c r="H443" s="1020"/>
      <c r="I443" s="1020"/>
      <c r="J443" s="1020"/>
      <c r="K443" s="1020"/>
      <c r="L443" s="1020"/>
    </row>
    <row r="444" spans="3:16">
      <c r="C444" s="1020"/>
      <c r="D444" s="1020"/>
      <c r="E444" s="1020"/>
      <c r="F444" s="1020"/>
      <c r="G444" s="1020"/>
      <c r="H444" s="1020"/>
      <c r="I444" s="1020"/>
      <c r="J444" s="1020"/>
      <c r="K444" s="1020"/>
      <c r="L444" s="1020"/>
    </row>
    <row r="445" spans="3:16">
      <c r="C445" s="1020"/>
      <c r="D445" s="1020"/>
      <c r="E445" s="1020"/>
      <c r="F445" s="1020"/>
      <c r="G445" s="1020"/>
      <c r="H445" s="1020"/>
      <c r="I445" s="1020"/>
      <c r="J445" s="1020"/>
      <c r="K445" s="1020"/>
      <c r="L445" s="1020"/>
    </row>
    <row r="446" spans="3:16">
      <c r="C446" s="1020"/>
      <c r="D446" s="1020"/>
      <c r="E446" s="1020"/>
      <c r="F446" s="1020"/>
      <c r="G446" s="1020"/>
      <c r="H446" s="1020"/>
      <c r="I446" s="1020"/>
      <c r="J446" s="1020"/>
      <c r="K446" s="1407"/>
      <c r="L446" s="1020"/>
    </row>
    <row r="447" spans="3:16">
      <c r="C447" s="1020"/>
      <c r="D447" s="1020"/>
      <c r="E447" s="1020"/>
      <c r="F447" s="1020"/>
      <c r="G447" s="1020"/>
      <c r="H447" s="1020"/>
      <c r="I447" s="1020"/>
      <c r="J447" s="1020"/>
      <c r="K447" s="1408"/>
      <c r="L447" s="1020"/>
    </row>
    <row r="448" spans="3:16">
      <c r="C448" s="1022"/>
      <c r="D448" s="1020"/>
      <c r="E448" s="1020"/>
      <c r="F448" s="1020"/>
      <c r="G448" s="1020"/>
      <c r="H448" s="1020"/>
      <c r="I448" s="1020"/>
      <c r="J448" s="1020"/>
      <c r="K448" s="1020"/>
      <c r="L448" s="1020"/>
    </row>
    <row r="449" spans="3:12">
      <c r="C449" s="1020"/>
      <c r="D449" s="1020"/>
      <c r="E449" s="1020"/>
      <c r="F449" s="1020"/>
      <c r="G449" s="1020"/>
      <c r="H449" s="1020"/>
      <c r="I449" s="1020"/>
      <c r="J449" s="1020"/>
      <c r="K449" s="1020"/>
      <c r="L449" s="1020"/>
    </row>
    <row r="450" spans="3:12">
      <c r="C450" s="1022"/>
      <c r="D450" s="1020"/>
      <c r="E450" s="1020"/>
      <c r="F450" s="1020"/>
      <c r="G450" s="1020"/>
      <c r="H450" s="1020"/>
      <c r="I450" s="1020"/>
      <c r="J450" s="1020"/>
      <c r="K450" s="1020"/>
      <c r="L450" s="1020"/>
    </row>
    <row r="451" spans="3:12">
      <c r="C451" s="1020"/>
      <c r="D451" s="1020"/>
      <c r="E451" s="1020"/>
      <c r="F451" s="1020"/>
      <c r="G451" s="1020"/>
      <c r="H451" s="1020"/>
      <c r="I451" s="1020"/>
      <c r="J451" s="1020"/>
      <c r="K451" s="1020"/>
      <c r="L451" s="1020"/>
    </row>
    <row r="452" spans="3:12">
      <c r="C452" s="1022"/>
      <c r="D452" s="1020"/>
      <c r="E452" s="1020"/>
      <c r="F452" s="1020"/>
      <c r="G452" s="1020"/>
      <c r="H452" s="1020"/>
      <c r="I452" s="1020"/>
      <c r="J452" s="1020"/>
      <c r="K452" s="1020"/>
      <c r="L452" s="1020"/>
    </row>
    <row r="453" spans="3:12">
      <c r="C453" s="1020"/>
      <c r="D453" s="1020"/>
      <c r="E453" s="1020"/>
      <c r="F453" s="1020"/>
      <c r="G453" s="1020"/>
      <c r="H453" s="1020"/>
      <c r="I453" s="1020"/>
      <c r="J453" s="1020"/>
      <c r="K453" s="1020"/>
      <c r="L453" s="1020"/>
    </row>
    <row r="454" spans="3:12">
      <c r="C454" s="1020"/>
      <c r="D454" s="1020"/>
      <c r="E454" s="1020"/>
      <c r="F454" s="1020"/>
      <c r="G454" s="1020"/>
      <c r="H454" s="1020"/>
      <c r="I454" s="1020"/>
      <c r="J454" s="1020"/>
      <c r="K454" s="1020"/>
      <c r="L454" s="1020"/>
    </row>
  </sheetData>
  <pageMargins left="0.7" right="0.7" top="0.75" bottom="0.75" header="0.3" footer="0.3"/>
  <pageSetup orientation="portrait" horizontalDpi="1200" verticalDpi="1200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6789F-0334-45BC-9319-7480F7205DB3}">
  <sheetPr codeName="Sheet18">
    <tabColor theme="8" tint="0.79998168889431442"/>
    <pageSetUpPr fitToPage="1"/>
  </sheetPr>
  <dimension ref="A1:S448"/>
  <sheetViews>
    <sheetView topLeftCell="A178" zoomScale="80" zoomScaleNormal="80" workbookViewId="0">
      <selection activeCell="R13" sqref="R13"/>
    </sheetView>
  </sheetViews>
  <sheetFormatPr defaultColWidth="7.5703125" defaultRowHeight="15"/>
  <cols>
    <col min="1" max="1" width="11.140625" style="34" customWidth="1"/>
    <col min="2" max="2" width="16.7109375" style="34" customWidth="1"/>
    <col min="3" max="3" width="26.85546875" style="34" customWidth="1"/>
    <col min="4" max="4" width="18.28515625" style="34" customWidth="1"/>
    <col min="5" max="5" width="16.140625" style="34" customWidth="1"/>
    <col min="6" max="6" width="17.7109375" style="34" customWidth="1"/>
    <col min="7" max="7" width="17.42578125" style="34" customWidth="1"/>
    <col min="8" max="8" width="17.140625" style="34" customWidth="1"/>
    <col min="9" max="9" width="16.7109375" style="34" customWidth="1"/>
    <col min="10" max="10" width="17.28515625" style="34" customWidth="1"/>
    <col min="11" max="11" width="16.140625" style="34" customWidth="1"/>
    <col min="12" max="12" width="16.5703125" style="34" customWidth="1"/>
    <col min="13" max="13" width="19.7109375" style="34" customWidth="1"/>
    <col min="14" max="14" width="18.5703125" style="34" customWidth="1"/>
    <col min="15" max="15" width="19.85546875" style="34" customWidth="1"/>
    <col min="16" max="16" width="15" style="783" bestFit="1" customWidth="1"/>
    <col min="17" max="17" width="6.5703125" style="34" customWidth="1"/>
    <col min="18" max="18" width="7.5703125" style="34"/>
    <col min="19" max="19" width="16.28515625" style="34" customWidth="1"/>
    <col min="20" max="16384" width="7.5703125" style="34"/>
  </cols>
  <sheetData>
    <row r="1" spans="2:19">
      <c r="B1" s="34" t="s">
        <v>11</v>
      </c>
    </row>
    <row r="2" spans="2:19">
      <c r="D2" s="834" t="s">
        <v>468</v>
      </c>
      <c r="E2" s="834" t="s">
        <v>469</v>
      </c>
      <c r="F2" s="834" t="s">
        <v>470</v>
      </c>
      <c r="G2" s="834" t="s">
        <v>471</v>
      </c>
      <c r="H2" s="834" t="s">
        <v>472</v>
      </c>
      <c r="I2" s="834" t="s">
        <v>473</v>
      </c>
      <c r="J2" s="834" t="s">
        <v>474</v>
      </c>
      <c r="K2" s="834" t="s">
        <v>475</v>
      </c>
      <c r="L2" s="834" t="s">
        <v>476</v>
      </c>
      <c r="M2" s="769" t="s">
        <v>477</v>
      </c>
      <c r="N2" s="769" t="s">
        <v>478</v>
      </c>
      <c r="O2" s="769" t="s">
        <v>479</v>
      </c>
    </row>
    <row r="4" spans="2:19">
      <c r="D4" s="41">
        <v>43831</v>
      </c>
      <c r="E4" s="41">
        <v>43862</v>
      </c>
      <c r="F4" s="41">
        <v>43891</v>
      </c>
      <c r="G4" s="41">
        <v>43922</v>
      </c>
      <c r="H4" s="41">
        <v>43952</v>
      </c>
      <c r="I4" s="41">
        <v>43983</v>
      </c>
      <c r="J4" s="41">
        <v>44013</v>
      </c>
      <c r="K4" s="41">
        <v>44044</v>
      </c>
      <c r="L4" s="41">
        <v>44075</v>
      </c>
      <c r="M4" s="41">
        <v>44105</v>
      </c>
      <c r="N4" s="41">
        <v>44136</v>
      </c>
      <c r="O4" s="41">
        <v>44166</v>
      </c>
      <c r="P4" s="835" t="s">
        <v>294</v>
      </c>
    </row>
    <row r="5" spans="2:19">
      <c r="B5" s="34" t="s">
        <v>480</v>
      </c>
      <c r="C5" s="783" t="s">
        <v>123</v>
      </c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Q5" s="836"/>
    </row>
    <row r="6" spans="2:19">
      <c r="B6" s="34" t="str">
        <f>$C$5</f>
        <v>CNGWA503</v>
      </c>
      <c r="C6" s="34" t="s">
        <v>401</v>
      </c>
      <c r="D6" s="837">
        <v>21443608</v>
      </c>
      <c r="E6" s="837">
        <v>17506775</v>
      </c>
      <c r="F6" s="837">
        <v>17635811</v>
      </c>
      <c r="G6" s="837">
        <v>13930299</v>
      </c>
      <c r="H6" s="837">
        <v>6809502</v>
      </c>
      <c r="I6" s="837">
        <v>5005480</v>
      </c>
      <c r="J6" s="837">
        <v>4024864</v>
      </c>
      <c r="K6" s="837">
        <v>2732363</v>
      </c>
      <c r="L6" s="837">
        <v>2948480</v>
      </c>
      <c r="M6" s="837">
        <v>4232461</v>
      </c>
      <c r="N6" s="837">
        <v>10451912</v>
      </c>
      <c r="O6" s="837">
        <v>18475354</v>
      </c>
      <c r="P6" s="1412">
        <f t="shared" ref="P6:P69" si="0">SUM(D6:O6)</f>
        <v>125196909</v>
      </c>
      <c r="Q6" s="836"/>
      <c r="S6" s="836">
        <f>P6+S7</f>
        <v>124568552</v>
      </c>
    </row>
    <row r="7" spans="2:19">
      <c r="B7" s="34" t="str">
        <f t="shared" ref="B7:B22" si="1">$C$5</f>
        <v>CNGWA503</v>
      </c>
      <c r="C7" s="34" t="s">
        <v>481</v>
      </c>
      <c r="D7" s="837">
        <v>11533219</v>
      </c>
      <c r="E7" s="837">
        <v>10865780</v>
      </c>
      <c r="F7" s="837">
        <v>8736040</v>
      </c>
      <c r="G7" s="837">
        <v>3624357</v>
      </c>
      <c r="H7" s="837">
        <v>2235478</v>
      </c>
      <c r="I7" s="837">
        <v>1199677</v>
      </c>
      <c r="J7" s="837">
        <v>786164</v>
      </c>
      <c r="K7" s="837">
        <v>1291073</v>
      </c>
      <c r="L7" s="837">
        <v>1851788</v>
      </c>
      <c r="M7" s="837">
        <v>5866478</v>
      </c>
      <c r="N7" s="837">
        <v>12357910</v>
      </c>
      <c r="O7" s="837">
        <v>13204857</v>
      </c>
      <c r="P7" s="838">
        <f t="shared" si="0"/>
        <v>73552821</v>
      </c>
      <c r="Q7" s="836"/>
      <c r="S7" s="836">
        <f>P7-P8</f>
        <v>-628357</v>
      </c>
    </row>
    <row r="8" spans="2:19">
      <c r="B8" s="34" t="str">
        <f t="shared" si="1"/>
        <v>CNGWA503</v>
      </c>
      <c r="C8" s="34" t="s">
        <v>482</v>
      </c>
      <c r="D8" s="837">
        <v>13833214</v>
      </c>
      <c r="E8" s="837">
        <v>11533219</v>
      </c>
      <c r="F8" s="837">
        <v>10865780</v>
      </c>
      <c r="G8" s="837">
        <v>8736040</v>
      </c>
      <c r="H8" s="837">
        <v>3624357</v>
      </c>
      <c r="I8" s="837">
        <v>2235478</v>
      </c>
      <c r="J8" s="837">
        <v>1199677</v>
      </c>
      <c r="K8" s="837">
        <v>786164</v>
      </c>
      <c r="L8" s="837">
        <v>1291073</v>
      </c>
      <c r="M8" s="837">
        <v>1851788</v>
      </c>
      <c r="N8" s="837">
        <v>5866478</v>
      </c>
      <c r="O8" s="837">
        <v>12357910</v>
      </c>
      <c r="P8" s="838">
        <f t="shared" si="0"/>
        <v>74181178</v>
      </c>
      <c r="Q8" s="836"/>
    </row>
    <row r="9" spans="2:19">
      <c r="B9" s="34" t="str">
        <f t="shared" si="1"/>
        <v>CNGWA503</v>
      </c>
      <c r="C9" s="34" t="s">
        <v>483</v>
      </c>
      <c r="D9" s="837">
        <v>0</v>
      </c>
      <c r="E9" s="837">
        <v>0</v>
      </c>
      <c r="F9" s="837">
        <v>0</v>
      </c>
      <c r="G9" s="837">
        <v>0</v>
      </c>
      <c r="H9" s="837">
        <v>0</v>
      </c>
      <c r="I9" s="837">
        <v>0</v>
      </c>
      <c r="J9" s="837">
        <v>0</v>
      </c>
      <c r="K9" s="837">
        <v>0</v>
      </c>
      <c r="L9" s="837">
        <v>0</v>
      </c>
      <c r="M9" s="837">
        <v>0</v>
      </c>
      <c r="N9" s="837">
        <v>0</v>
      </c>
      <c r="O9" s="837">
        <v>0</v>
      </c>
      <c r="P9" s="838">
        <f t="shared" si="0"/>
        <v>0</v>
      </c>
      <c r="Q9" s="836"/>
    </row>
    <row r="10" spans="2:19">
      <c r="B10" s="34" t="str">
        <f t="shared" si="1"/>
        <v>CNGWA503</v>
      </c>
      <c r="C10" s="34" t="s">
        <v>484</v>
      </c>
      <c r="D10" s="837">
        <v>0</v>
      </c>
      <c r="E10" s="837">
        <v>0</v>
      </c>
      <c r="F10" s="837">
        <v>0</v>
      </c>
      <c r="G10" s="837">
        <v>0</v>
      </c>
      <c r="H10" s="837">
        <v>0</v>
      </c>
      <c r="I10" s="837">
        <v>0</v>
      </c>
      <c r="J10" s="837">
        <v>0</v>
      </c>
      <c r="K10" s="837">
        <v>0</v>
      </c>
      <c r="L10" s="837">
        <v>0</v>
      </c>
      <c r="M10" s="837">
        <v>0</v>
      </c>
      <c r="N10" s="837">
        <v>0</v>
      </c>
      <c r="O10" s="837">
        <v>0</v>
      </c>
      <c r="P10" s="838">
        <f t="shared" si="0"/>
        <v>0</v>
      </c>
      <c r="Q10" s="836"/>
    </row>
    <row r="11" spans="2:19">
      <c r="B11" s="34" t="str">
        <f t="shared" si="1"/>
        <v>CNGWA503</v>
      </c>
      <c r="C11" s="34" t="s">
        <v>485</v>
      </c>
      <c r="D11" s="837">
        <v>19143613</v>
      </c>
      <c r="E11" s="837">
        <v>16839336</v>
      </c>
      <c r="F11" s="837">
        <v>15506071</v>
      </c>
      <c r="G11" s="837">
        <v>8818616</v>
      </c>
      <c r="H11" s="837">
        <v>5420623</v>
      </c>
      <c r="I11" s="837">
        <v>3969679</v>
      </c>
      <c r="J11" s="837">
        <v>3611351</v>
      </c>
      <c r="K11" s="837">
        <v>3237272</v>
      </c>
      <c r="L11" s="837">
        <v>3509195</v>
      </c>
      <c r="M11" s="837">
        <v>8247151</v>
      </c>
      <c r="N11" s="837">
        <v>16943344</v>
      </c>
      <c r="O11" s="837">
        <v>19322301</v>
      </c>
      <c r="P11" s="1412">
        <f t="shared" si="0"/>
        <v>124568552</v>
      </c>
      <c r="Q11" s="836"/>
    </row>
    <row r="12" spans="2:19">
      <c r="B12" s="34" t="str">
        <f t="shared" si="1"/>
        <v>CNGWA503</v>
      </c>
      <c r="C12" s="839" t="s">
        <v>149</v>
      </c>
      <c r="D12" s="837"/>
      <c r="E12" s="837"/>
      <c r="F12" s="837"/>
      <c r="G12" s="837"/>
      <c r="H12" s="837"/>
      <c r="I12" s="837"/>
      <c r="J12" s="837"/>
      <c r="K12" s="837"/>
      <c r="L12" s="837"/>
      <c r="M12" s="837"/>
      <c r="N12" s="837"/>
      <c r="O12" s="837"/>
      <c r="P12" s="838">
        <f t="shared" si="0"/>
        <v>0</v>
      </c>
      <c r="Q12" s="836"/>
    </row>
    <row r="13" spans="2:19">
      <c r="B13" s="34" t="str">
        <f t="shared" si="1"/>
        <v>CNGWA503</v>
      </c>
      <c r="C13" s="34" t="s">
        <v>486</v>
      </c>
      <c r="D13" s="840">
        <v>21158969.539999999</v>
      </c>
      <c r="E13" s="837">
        <v>17457409.73</v>
      </c>
      <c r="F13" s="837">
        <v>17730438.09</v>
      </c>
      <c r="G13" s="837">
        <v>14466103.73</v>
      </c>
      <c r="H13" s="837">
        <v>7596899.2599999998</v>
      </c>
      <c r="I13" s="837">
        <v>5857972.8499999996</v>
      </c>
      <c r="J13" s="837">
        <v>4915580.18</v>
      </c>
      <c r="K13" s="837">
        <v>3671493.9</v>
      </c>
      <c r="L13" s="837">
        <v>3879253.27</v>
      </c>
      <c r="M13" s="837">
        <v>5117505.0199999996</v>
      </c>
      <c r="N13" s="837">
        <v>11091595.84</v>
      </c>
      <c r="O13" s="837">
        <v>18754371.039999999</v>
      </c>
      <c r="P13" s="838">
        <f t="shared" si="0"/>
        <v>131697592.44999999</v>
      </c>
      <c r="Q13" s="836"/>
    </row>
    <row r="14" spans="2:19">
      <c r="B14" s="34" t="str">
        <f t="shared" si="1"/>
        <v>CNGWA503</v>
      </c>
      <c r="C14" s="34" t="s">
        <v>143</v>
      </c>
      <c r="D14" s="841">
        <v>10110769.440000001</v>
      </c>
      <c r="E14" s="837">
        <v>9525649.0299999993</v>
      </c>
      <c r="F14" s="837">
        <v>7890522.3700000001</v>
      </c>
      <c r="G14" s="837">
        <v>3273573.61</v>
      </c>
      <c r="H14" s="837">
        <v>2019117.26</v>
      </c>
      <c r="I14" s="837">
        <v>1083566.26</v>
      </c>
      <c r="J14" s="837">
        <v>710075.11</v>
      </c>
      <c r="K14" s="837">
        <v>1166116.5</v>
      </c>
      <c r="L14" s="837">
        <v>1672562.7</v>
      </c>
      <c r="M14" s="837">
        <v>5298690.93</v>
      </c>
      <c r="N14" s="837">
        <v>11344190.65</v>
      </c>
      <c r="O14" s="837">
        <v>12121662.58</v>
      </c>
      <c r="P14" s="838">
        <f t="shared" si="0"/>
        <v>66216496.439999998</v>
      </c>
      <c r="Q14" s="836"/>
    </row>
    <row r="15" spans="2:19">
      <c r="B15" s="34" t="str">
        <f t="shared" si="1"/>
        <v>CNGWA503</v>
      </c>
      <c r="C15" s="1" t="s">
        <v>144</v>
      </c>
      <c r="D15" s="842">
        <v>-12127094.550000001</v>
      </c>
      <c r="E15" s="842">
        <v>-10110769.440000001</v>
      </c>
      <c r="F15" s="842">
        <v>-9525649.0299999993</v>
      </c>
      <c r="G15" s="842">
        <v>-7890522.3700000001</v>
      </c>
      <c r="H15" s="842">
        <v>-3273573.61</v>
      </c>
      <c r="I15" s="842">
        <v>-2019117.26</v>
      </c>
      <c r="J15" s="842">
        <v>-1083566.26</v>
      </c>
      <c r="K15" s="842">
        <v>-710075.11</v>
      </c>
      <c r="L15" s="842">
        <v>-1166116.5</v>
      </c>
      <c r="M15" s="842">
        <v>-1672562.7</v>
      </c>
      <c r="N15" s="842">
        <v>-5298690.93</v>
      </c>
      <c r="O15" s="842">
        <v>-11344190.65</v>
      </c>
      <c r="P15" s="838">
        <f t="shared" si="0"/>
        <v>-66221928.409999996</v>
      </c>
      <c r="Q15" s="836"/>
    </row>
    <row r="16" spans="2:19">
      <c r="B16" s="34" t="str">
        <f t="shared" si="1"/>
        <v>CNGWA503</v>
      </c>
      <c r="C16" s="34" t="s">
        <v>145</v>
      </c>
      <c r="D16" s="841">
        <v>104974.89</v>
      </c>
      <c r="E16" s="837">
        <v>-243424.02</v>
      </c>
      <c r="F16" s="837">
        <v>-247268.01</v>
      </c>
      <c r="G16" s="837">
        <v>382823.67</v>
      </c>
      <c r="H16" s="837">
        <v>182532.61</v>
      </c>
      <c r="I16" s="837">
        <v>-42721.84</v>
      </c>
      <c r="J16" s="837">
        <v>-204925.41</v>
      </c>
      <c r="K16" s="837">
        <v>-555710.47</v>
      </c>
      <c r="L16" s="837">
        <v>208416.82</v>
      </c>
      <c r="M16" s="837">
        <v>235838.47</v>
      </c>
      <c r="N16" s="837">
        <v>342428.45</v>
      </c>
      <c r="O16" s="837">
        <v>1185449.25</v>
      </c>
      <c r="P16" s="838">
        <f t="shared" si="0"/>
        <v>1348414.41</v>
      </c>
      <c r="Q16" s="836"/>
    </row>
    <row r="17" spans="2:19">
      <c r="B17" s="34" t="str">
        <f t="shared" si="1"/>
        <v>CNGWA503</v>
      </c>
      <c r="C17" s="34" t="s">
        <v>487</v>
      </c>
      <c r="D17" s="841">
        <v>-366256.82</v>
      </c>
      <c r="E17" s="837">
        <v>-299015.71000000002</v>
      </c>
      <c r="F17" s="837">
        <v>-301219.65000000002</v>
      </c>
      <c r="G17" s="837">
        <v>-237929.51</v>
      </c>
      <c r="H17" s="837">
        <v>-116306.3</v>
      </c>
      <c r="I17" s="837">
        <v>-85493.6</v>
      </c>
      <c r="J17" s="837">
        <v>-68744.679999999993</v>
      </c>
      <c r="K17" s="837">
        <v>-46668.76</v>
      </c>
      <c r="L17" s="837">
        <v>-50360.04</v>
      </c>
      <c r="M17" s="837">
        <v>-72290.44</v>
      </c>
      <c r="N17" s="837">
        <v>-96524.54</v>
      </c>
      <c r="O17" s="837">
        <v>109374.09</v>
      </c>
      <c r="P17" s="838">
        <f t="shared" si="0"/>
        <v>-1631435.96</v>
      </c>
      <c r="Q17" s="836"/>
    </row>
    <row r="18" spans="2:19">
      <c r="B18" s="34" t="str">
        <f t="shared" si="1"/>
        <v>CNGWA503</v>
      </c>
      <c r="C18" s="34" t="s">
        <v>488</v>
      </c>
      <c r="D18" s="841">
        <v>0</v>
      </c>
      <c r="E18" s="837">
        <v>0</v>
      </c>
      <c r="F18" s="837">
        <v>0</v>
      </c>
      <c r="G18" s="837">
        <v>0</v>
      </c>
      <c r="H18" s="837">
        <v>0</v>
      </c>
      <c r="I18" s="837">
        <v>0</v>
      </c>
      <c r="J18" s="837">
        <v>0</v>
      </c>
      <c r="K18" s="837">
        <v>0</v>
      </c>
      <c r="L18" s="837">
        <v>0</v>
      </c>
      <c r="M18" s="837">
        <v>0</v>
      </c>
      <c r="N18" s="837">
        <v>0</v>
      </c>
      <c r="O18" s="837">
        <v>0</v>
      </c>
      <c r="P18" s="838">
        <f t="shared" si="0"/>
        <v>0</v>
      </c>
      <c r="Q18" s="836"/>
    </row>
    <row r="19" spans="2:19">
      <c r="B19" s="34" t="str">
        <f t="shared" si="1"/>
        <v>CNGWA503</v>
      </c>
      <c r="C19" s="1" t="s">
        <v>147</v>
      </c>
      <c r="D19" s="841">
        <v>0</v>
      </c>
      <c r="E19" s="837">
        <v>2.0499999999999998</v>
      </c>
      <c r="F19" s="837">
        <v>0</v>
      </c>
      <c r="G19" s="837">
        <v>-1.05</v>
      </c>
      <c r="H19" s="837">
        <v>0</v>
      </c>
      <c r="I19" s="837">
        <v>2.0099999999999998</v>
      </c>
      <c r="J19" s="837">
        <v>0.68</v>
      </c>
      <c r="K19" s="837">
        <v>0</v>
      </c>
      <c r="L19" s="837">
        <v>0</v>
      </c>
      <c r="M19" s="837">
        <v>0</v>
      </c>
      <c r="N19" s="837">
        <v>0</v>
      </c>
      <c r="O19" s="837">
        <v>0</v>
      </c>
      <c r="P19" s="838">
        <f t="shared" si="0"/>
        <v>3.69</v>
      </c>
      <c r="Q19" s="836"/>
    </row>
    <row r="20" spans="2:19">
      <c r="B20" s="34" t="str">
        <f t="shared" si="1"/>
        <v>CNGWA503</v>
      </c>
      <c r="C20" s="34" t="s">
        <v>175</v>
      </c>
      <c r="D20" s="841">
        <v>0</v>
      </c>
      <c r="E20" s="837">
        <v>0</v>
      </c>
      <c r="F20" s="837">
        <v>0</v>
      </c>
      <c r="G20" s="837">
        <v>0</v>
      </c>
      <c r="H20" s="837">
        <v>0</v>
      </c>
      <c r="I20" s="837">
        <v>0</v>
      </c>
      <c r="J20" s="837">
        <v>0</v>
      </c>
      <c r="K20" s="837">
        <v>0</v>
      </c>
      <c r="L20" s="837">
        <v>0</v>
      </c>
      <c r="M20" s="837">
        <v>0</v>
      </c>
      <c r="N20" s="837">
        <v>0</v>
      </c>
      <c r="O20" s="837">
        <v>0</v>
      </c>
      <c r="P20" s="838">
        <f t="shared" si="0"/>
        <v>0</v>
      </c>
      <c r="Q20" s="836"/>
    </row>
    <row r="21" spans="2:19">
      <c r="B21" s="34" t="str">
        <f t="shared" si="1"/>
        <v>CNGWA503</v>
      </c>
      <c r="C21" s="34" t="s">
        <v>176</v>
      </c>
      <c r="D21" s="841">
        <v>0</v>
      </c>
      <c r="E21" s="837">
        <v>0</v>
      </c>
      <c r="F21" s="837">
        <v>0</v>
      </c>
      <c r="G21" s="837">
        <v>0</v>
      </c>
      <c r="H21" s="837">
        <v>0</v>
      </c>
      <c r="I21" s="837">
        <v>0</v>
      </c>
      <c r="J21" s="837">
        <v>0</v>
      </c>
      <c r="K21" s="837">
        <v>0</v>
      </c>
      <c r="L21" s="837">
        <v>0</v>
      </c>
      <c r="M21" s="837">
        <v>0</v>
      </c>
      <c r="N21" s="837">
        <v>0</v>
      </c>
      <c r="O21" s="837">
        <v>0</v>
      </c>
      <c r="P21" s="838">
        <f t="shared" si="0"/>
        <v>0</v>
      </c>
      <c r="Q21" s="836"/>
    </row>
    <row r="22" spans="2:19">
      <c r="B22" s="34" t="str">
        <f t="shared" si="1"/>
        <v>CNGWA503</v>
      </c>
      <c r="C22" s="34" t="s">
        <v>400</v>
      </c>
      <c r="D22" s="841">
        <f>SUM(D13:D21)</f>
        <v>18881362.5</v>
      </c>
      <c r="E22" s="841">
        <f t="shared" ref="E22:O22" si="2">SUM(E13:E21)</f>
        <v>16329851.639999997</v>
      </c>
      <c r="F22" s="841">
        <f t="shared" si="2"/>
        <v>15546823.770000001</v>
      </c>
      <c r="G22" s="841">
        <f t="shared" si="2"/>
        <v>9994048.0799999982</v>
      </c>
      <c r="H22" s="841">
        <f t="shared" si="2"/>
        <v>6408669.2200000007</v>
      </c>
      <c r="I22" s="841">
        <f t="shared" si="2"/>
        <v>4794208.42</v>
      </c>
      <c r="J22" s="841">
        <f t="shared" si="2"/>
        <v>4268419.62</v>
      </c>
      <c r="K22" s="841">
        <f t="shared" si="2"/>
        <v>3525156.0600000005</v>
      </c>
      <c r="L22" s="841">
        <f t="shared" si="2"/>
        <v>4543756.25</v>
      </c>
      <c r="M22" s="841">
        <f t="shared" si="2"/>
        <v>8907181.2800000012</v>
      </c>
      <c r="N22" s="841">
        <f t="shared" si="2"/>
        <v>17382999.470000003</v>
      </c>
      <c r="O22" s="841">
        <f t="shared" si="2"/>
        <v>20826666.309999999</v>
      </c>
      <c r="P22" s="838">
        <f t="shared" si="0"/>
        <v>131409142.62000002</v>
      </c>
      <c r="Q22" s="836"/>
      <c r="S22" s="836">
        <f>+P22+P42</f>
        <v>211500314.91000003</v>
      </c>
    </row>
    <row r="23" spans="2:19">
      <c r="C23" s="839" t="s">
        <v>149</v>
      </c>
      <c r="D23" s="837"/>
      <c r="E23" s="837"/>
      <c r="F23" s="837"/>
      <c r="G23" s="837"/>
      <c r="H23" s="837"/>
      <c r="I23" s="837"/>
      <c r="J23" s="837"/>
      <c r="K23" s="837"/>
      <c r="L23" s="837"/>
      <c r="M23" s="837"/>
      <c r="N23" s="837"/>
      <c r="O23" s="837"/>
      <c r="P23" s="838">
        <f t="shared" si="0"/>
        <v>0</v>
      </c>
      <c r="Q23" s="836"/>
    </row>
    <row r="24" spans="2:19">
      <c r="D24" s="842"/>
      <c r="E24" s="842"/>
      <c r="F24" s="842"/>
      <c r="G24" s="842"/>
      <c r="H24" s="842"/>
      <c r="I24" s="842"/>
      <c r="J24" s="842"/>
      <c r="K24" s="842"/>
      <c r="L24" s="842"/>
      <c r="M24" s="842"/>
      <c r="N24" s="842"/>
      <c r="O24" s="842"/>
      <c r="P24" s="838">
        <f t="shared" si="0"/>
        <v>0</v>
      </c>
      <c r="Q24" s="836"/>
      <c r="S24" s="836">
        <f>+P62+P82+P102+P122+P142+P162+P282+P302+P322+P402</f>
        <v>49111275.370000005</v>
      </c>
    </row>
    <row r="25" spans="2:19">
      <c r="B25" s="34" t="s">
        <v>489</v>
      </c>
      <c r="C25" s="783" t="s">
        <v>150</v>
      </c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838">
        <f t="shared" si="0"/>
        <v>0</v>
      </c>
      <c r="Q25" s="836"/>
    </row>
    <row r="26" spans="2:19">
      <c r="B26" s="34" t="str">
        <f>$C$25</f>
        <v>CNGWA504</v>
      </c>
      <c r="C26" s="34" t="s">
        <v>401</v>
      </c>
      <c r="D26" s="837">
        <v>14478708</v>
      </c>
      <c r="E26" s="837">
        <v>11970901</v>
      </c>
      <c r="F26" s="837">
        <v>11812961</v>
      </c>
      <c r="G26" s="837">
        <v>8554564</v>
      </c>
      <c r="H26" s="837">
        <v>4127918</v>
      </c>
      <c r="I26" s="837">
        <v>3158885</v>
      </c>
      <c r="J26" s="837">
        <v>2836474</v>
      </c>
      <c r="K26" s="837">
        <v>2165794</v>
      </c>
      <c r="L26" s="837">
        <v>2450387</v>
      </c>
      <c r="M26" s="837">
        <v>3183599</v>
      </c>
      <c r="N26" s="837">
        <v>6488225</v>
      </c>
      <c r="O26" s="837">
        <v>11995310</v>
      </c>
      <c r="P26" s="838">
        <f t="shared" si="0"/>
        <v>83223726</v>
      </c>
      <c r="Q26" s="836"/>
      <c r="S26" s="836">
        <f>+S22+S24</f>
        <v>260611590.28000003</v>
      </c>
    </row>
    <row r="27" spans="2:19">
      <c r="B27" s="34" t="str">
        <f t="shared" ref="B27:B42" si="3">$C$25</f>
        <v>CNGWA504</v>
      </c>
      <c r="C27" s="34" t="s">
        <v>481</v>
      </c>
      <c r="D27" s="837">
        <v>9522833</v>
      </c>
      <c r="E27" s="837">
        <v>9324558</v>
      </c>
      <c r="F27" s="837">
        <v>7368968</v>
      </c>
      <c r="G27" s="837">
        <v>2944986</v>
      </c>
      <c r="H27" s="837">
        <v>1984707</v>
      </c>
      <c r="I27" s="837">
        <v>1103980</v>
      </c>
      <c r="J27" s="837">
        <v>801207</v>
      </c>
      <c r="K27" s="837">
        <v>1497403</v>
      </c>
      <c r="L27" s="837">
        <v>2130040</v>
      </c>
      <c r="M27" s="837">
        <v>5961158</v>
      </c>
      <c r="N27" s="837">
        <v>8615743</v>
      </c>
      <c r="O27" s="837">
        <v>9569772</v>
      </c>
      <c r="P27" s="838">
        <f t="shared" si="0"/>
        <v>60825355</v>
      </c>
      <c r="Q27" s="836"/>
      <c r="S27" s="1010">
        <f>+S26/S24</f>
        <v>5.3065530943062535</v>
      </c>
    </row>
    <row r="28" spans="2:19">
      <c r="B28" s="34" t="str">
        <f t="shared" si="3"/>
        <v>CNGWA504</v>
      </c>
      <c r="C28" s="34" t="s">
        <v>482</v>
      </c>
      <c r="D28" s="837">
        <v>11506709</v>
      </c>
      <c r="E28" s="837">
        <v>9522833</v>
      </c>
      <c r="F28" s="837">
        <v>9324558</v>
      </c>
      <c r="G28" s="837">
        <v>7368968</v>
      </c>
      <c r="H28" s="837">
        <v>2944986</v>
      </c>
      <c r="I28" s="837">
        <v>1984707</v>
      </c>
      <c r="J28" s="837">
        <v>1103980</v>
      </c>
      <c r="K28" s="837">
        <v>801207</v>
      </c>
      <c r="L28" s="837">
        <v>1497403</v>
      </c>
      <c r="M28" s="837">
        <v>2130040</v>
      </c>
      <c r="N28" s="837">
        <v>5961158</v>
      </c>
      <c r="O28" s="837">
        <v>8615743</v>
      </c>
      <c r="P28" s="838">
        <f t="shared" si="0"/>
        <v>62762292</v>
      </c>
      <c r="Q28" s="836"/>
    </row>
    <row r="29" spans="2:19">
      <c r="B29" s="34" t="str">
        <f t="shared" si="3"/>
        <v>CNGWA504</v>
      </c>
      <c r="C29" s="34" t="s">
        <v>483</v>
      </c>
      <c r="D29" s="837">
        <v>0</v>
      </c>
      <c r="E29" s="837">
        <v>0</v>
      </c>
      <c r="F29" s="837">
        <v>0</v>
      </c>
      <c r="G29" s="837">
        <v>0</v>
      </c>
      <c r="H29" s="837">
        <v>0</v>
      </c>
      <c r="I29" s="837">
        <v>0</v>
      </c>
      <c r="J29" s="837">
        <v>0</v>
      </c>
      <c r="K29" s="837">
        <v>0</v>
      </c>
      <c r="L29" s="837">
        <v>0</v>
      </c>
      <c r="M29" s="837">
        <v>0</v>
      </c>
      <c r="N29" s="837">
        <v>0</v>
      </c>
      <c r="O29" s="837">
        <v>0</v>
      </c>
      <c r="P29" s="838">
        <f t="shared" si="0"/>
        <v>0</v>
      </c>
      <c r="Q29" s="836"/>
      <c r="S29" s="34">
        <f>+S24*S27</f>
        <v>260611590.28000003</v>
      </c>
    </row>
    <row r="30" spans="2:19">
      <c r="B30" s="34" t="str">
        <f t="shared" si="3"/>
        <v>CNGWA504</v>
      </c>
      <c r="C30" s="34" t="s">
        <v>484</v>
      </c>
      <c r="D30" s="837">
        <v>0</v>
      </c>
      <c r="E30" s="837">
        <v>0</v>
      </c>
      <c r="F30" s="837">
        <v>0</v>
      </c>
      <c r="G30" s="837">
        <v>0</v>
      </c>
      <c r="H30" s="837">
        <v>0</v>
      </c>
      <c r="I30" s="837">
        <v>0</v>
      </c>
      <c r="J30" s="837">
        <v>0</v>
      </c>
      <c r="K30" s="837">
        <v>0</v>
      </c>
      <c r="L30" s="837">
        <v>0</v>
      </c>
      <c r="M30" s="837">
        <v>0</v>
      </c>
      <c r="N30" s="837">
        <v>0</v>
      </c>
      <c r="O30" s="837">
        <v>56288</v>
      </c>
      <c r="P30" s="838">
        <f t="shared" si="0"/>
        <v>56288</v>
      </c>
      <c r="Q30" s="836"/>
    </row>
    <row r="31" spans="2:19">
      <c r="B31" s="34" t="str">
        <f t="shared" si="3"/>
        <v>CNGWA504</v>
      </c>
      <c r="C31" s="34" t="s">
        <v>485</v>
      </c>
      <c r="D31" s="837">
        <v>12494832</v>
      </c>
      <c r="E31" s="837">
        <v>11772626</v>
      </c>
      <c r="F31" s="837">
        <v>9857371</v>
      </c>
      <c r="G31" s="837">
        <v>4130582</v>
      </c>
      <c r="H31" s="837">
        <v>3167639</v>
      </c>
      <c r="I31" s="837">
        <v>2278158</v>
      </c>
      <c r="J31" s="837">
        <v>2533701</v>
      </c>
      <c r="K31" s="837">
        <v>2861990</v>
      </c>
      <c r="L31" s="837">
        <v>3083024</v>
      </c>
      <c r="M31" s="837">
        <v>7014717</v>
      </c>
      <c r="N31" s="837">
        <v>9142810</v>
      </c>
      <c r="O31" s="837">
        <v>13005627</v>
      </c>
      <c r="P31" s="838">
        <f t="shared" si="0"/>
        <v>81343077</v>
      </c>
      <c r="Q31" s="836"/>
    </row>
    <row r="32" spans="2:19">
      <c r="B32" s="34" t="str">
        <f t="shared" si="3"/>
        <v>CNGWA504</v>
      </c>
      <c r="C32" s="839" t="s">
        <v>149</v>
      </c>
      <c r="D32" s="837"/>
      <c r="E32" s="837"/>
      <c r="F32" s="837"/>
      <c r="G32" s="837"/>
      <c r="H32" s="837"/>
      <c r="I32" s="837"/>
      <c r="J32" s="837"/>
      <c r="K32" s="837"/>
      <c r="L32" s="837"/>
      <c r="M32" s="837"/>
      <c r="N32" s="837"/>
      <c r="O32" s="837"/>
      <c r="P32" s="838">
        <f t="shared" si="0"/>
        <v>0</v>
      </c>
      <c r="Q32" s="836"/>
    </row>
    <row r="33" spans="2:17">
      <c r="B33" s="34" t="str">
        <f t="shared" si="3"/>
        <v>CNGWA504</v>
      </c>
      <c r="C33" s="34" t="s">
        <v>486</v>
      </c>
      <c r="D33" s="837">
        <v>13134269.52</v>
      </c>
      <c r="E33" s="837">
        <v>10923206.41</v>
      </c>
      <c r="F33" s="837">
        <v>10865507.74</v>
      </c>
      <c r="G33" s="837">
        <v>8101211.71</v>
      </c>
      <c r="H33" s="837">
        <v>4100769.2</v>
      </c>
      <c r="I33" s="837">
        <v>3228619.31</v>
      </c>
      <c r="J33" s="837">
        <v>2933274.03</v>
      </c>
      <c r="K33" s="837">
        <v>2328433.5299999998</v>
      </c>
      <c r="L33" s="837">
        <v>2581994.29</v>
      </c>
      <c r="M33" s="837">
        <v>3244093.43</v>
      </c>
      <c r="N33" s="837">
        <v>6212567.9299999997</v>
      </c>
      <c r="O33" s="837">
        <v>11102327.1</v>
      </c>
      <c r="P33" s="838">
        <f t="shared" si="0"/>
        <v>78756274.200000003</v>
      </c>
      <c r="Q33" s="836"/>
    </row>
    <row r="34" spans="2:17">
      <c r="B34" s="34" t="str">
        <f t="shared" si="3"/>
        <v>CNGWA504</v>
      </c>
      <c r="C34" s="34" t="s">
        <v>143</v>
      </c>
      <c r="D34" s="837">
        <v>7766060.5099999998</v>
      </c>
      <c r="E34" s="837">
        <v>7607781.3900000006</v>
      </c>
      <c r="F34" s="837">
        <v>6159146.71</v>
      </c>
      <c r="G34" s="837">
        <v>2459225.5799999996</v>
      </c>
      <c r="H34" s="837">
        <v>1654052.69</v>
      </c>
      <c r="I34" s="837">
        <v>915929.96000000008</v>
      </c>
      <c r="J34" s="837">
        <v>661516.34000000008</v>
      </c>
      <c r="K34" s="837">
        <v>1244000.43</v>
      </c>
      <c r="L34" s="837">
        <v>1775295.03</v>
      </c>
      <c r="M34" s="837">
        <v>4954626.17</v>
      </c>
      <c r="N34" s="837">
        <v>7321074.4199999999</v>
      </c>
      <c r="O34" s="837">
        <v>8144955.1299999999</v>
      </c>
      <c r="P34" s="838">
        <f t="shared" si="0"/>
        <v>50663664.360000007</v>
      </c>
      <c r="Q34" s="836"/>
    </row>
    <row r="35" spans="2:17">
      <c r="B35" s="34" t="str">
        <f t="shared" si="3"/>
        <v>CNGWA504</v>
      </c>
      <c r="C35" s="1" t="s">
        <v>144</v>
      </c>
      <c r="D35" s="836">
        <v>-9383013.959999999</v>
      </c>
      <c r="E35" s="836">
        <v>-7766060.5099999998</v>
      </c>
      <c r="F35" s="836">
        <v>-7607781.3900000006</v>
      </c>
      <c r="G35" s="836">
        <v>-6159146.71</v>
      </c>
      <c r="H35" s="836">
        <v>-2459225.5799999996</v>
      </c>
      <c r="I35" s="836">
        <v>-1654052.69</v>
      </c>
      <c r="J35" s="836">
        <v>-915929.96000000008</v>
      </c>
      <c r="K35" s="836">
        <v>-661516.34000000008</v>
      </c>
      <c r="L35" s="836">
        <v>-1244000.43</v>
      </c>
      <c r="M35" s="836">
        <v>-1775295.03</v>
      </c>
      <c r="N35" s="836">
        <v>-4954626.17</v>
      </c>
      <c r="O35" s="836">
        <v>-7321074.4199999999</v>
      </c>
      <c r="P35" s="838">
        <f t="shared" si="0"/>
        <v>-51901723.190000005</v>
      </c>
      <c r="Q35" s="836"/>
    </row>
    <row r="36" spans="2:17">
      <c r="B36" s="34" t="str">
        <f t="shared" si="3"/>
        <v>CNGWA504</v>
      </c>
      <c r="C36" s="34" t="s">
        <v>145</v>
      </c>
      <c r="D36" s="837">
        <v>483067.85</v>
      </c>
      <c r="E36" s="837">
        <v>-216588.46</v>
      </c>
      <c r="F36" s="837">
        <v>-213005.75</v>
      </c>
      <c r="G36" s="837">
        <v>615916.75</v>
      </c>
      <c r="H36" s="837">
        <v>174258</v>
      </c>
      <c r="I36" s="837">
        <v>284004.8</v>
      </c>
      <c r="J36" s="837">
        <v>78836.98</v>
      </c>
      <c r="K36" s="837">
        <v>-314898.49</v>
      </c>
      <c r="L36" s="837">
        <v>229863.79</v>
      </c>
      <c r="M36" s="837">
        <v>118094.24</v>
      </c>
      <c r="N36" s="837">
        <v>643793.12</v>
      </c>
      <c r="O36" s="837">
        <v>570284.31999999995</v>
      </c>
      <c r="P36" s="838">
        <f t="shared" si="0"/>
        <v>2453627.15</v>
      </c>
      <c r="Q36" s="836"/>
    </row>
    <row r="37" spans="2:17">
      <c r="B37" s="34" t="str">
        <f t="shared" si="3"/>
        <v>CNGWA504</v>
      </c>
      <c r="C37" s="34" t="s">
        <v>487</v>
      </c>
      <c r="D37" s="837">
        <v>-48938.03</v>
      </c>
      <c r="E37" s="837">
        <v>-40461.65</v>
      </c>
      <c r="F37" s="837">
        <v>-39927.81</v>
      </c>
      <c r="G37" s="837">
        <v>-28914.43</v>
      </c>
      <c r="H37" s="837">
        <v>-13952.36</v>
      </c>
      <c r="I37" s="837">
        <v>-10677.03</v>
      </c>
      <c r="J37" s="837">
        <v>-9587.2800000000007</v>
      </c>
      <c r="K37" s="837">
        <v>-7320.38</v>
      </c>
      <c r="L37" s="837">
        <v>-8282.2999999999993</v>
      </c>
      <c r="M37" s="837">
        <v>-10760.57</v>
      </c>
      <c r="N37" s="837">
        <v>29462.87</v>
      </c>
      <c r="O37" s="837">
        <v>259952.97</v>
      </c>
      <c r="P37" s="838">
        <f t="shared" si="0"/>
        <v>70594.000000000029</v>
      </c>
      <c r="Q37" s="836"/>
    </row>
    <row r="38" spans="2:17">
      <c r="B38" s="34" t="str">
        <f t="shared" si="3"/>
        <v>CNGWA504</v>
      </c>
      <c r="C38" s="34" t="s">
        <v>488</v>
      </c>
      <c r="D38" s="837">
        <v>0</v>
      </c>
      <c r="E38" s="837">
        <v>0</v>
      </c>
      <c r="F38" s="837">
        <v>0</v>
      </c>
      <c r="G38" s="837">
        <v>0</v>
      </c>
      <c r="H38" s="837">
        <v>0</v>
      </c>
      <c r="I38" s="837">
        <v>0</v>
      </c>
      <c r="J38" s="837">
        <v>0</v>
      </c>
      <c r="K38" s="837">
        <v>0</v>
      </c>
      <c r="L38" s="837">
        <v>0</v>
      </c>
      <c r="M38" s="837">
        <v>0</v>
      </c>
      <c r="N38" s="837">
        <v>0</v>
      </c>
      <c r="O38" s="837">
        <v>0</v>
      </c>
      <c r="P38" s="838">
        <f t="shared" si="0"/>
        <v>0</v>
      </c>
      <c r="Q38" s="836"/>
    </row>
    <row r="39" spans="2:17">
      <c r="B39" s="34" t="str">
        <f t="shared" si="3"/>
        <v>CNGWA504</v>
      </c>
      <c r="C39" s="1" t="s">
        <v>147</v>
      </c>
      <c r="D39" s="837">
        <v>0</v>
      </c>
      <c r="E39" s="837">
        <v>0</v>
      </c>
      <c r="F39" s="837">
        <v>0</v>
      </c>
      <c r="G39" s="837">
        <v>1.05</v>
      </c>
      <c r="H39" s="837">
        <v>0</v>
      </c>
      <c r="I39" s="837">
        <v>-2.0099999999999998</v>
      </c>
      <c r="J39" s="837">
        <v>-1.26</v>
      </c>
      <c r="K39" s="837">
        <v>0</v>
      </c>
      <c r="L39" s="837">
        <v>0</v>
      </c>
      <c r="M39" s="837">
        <v>0</v>
      </c>
      <c r="N39" s="837">
        <v>15.9</v>
      </c>
      <c r="O39" s="837">
        <v>0</v>
      </c>
      <c r="P39" s="838">
        <f t="shared" si="0"/>
        <v>13.68</v>
      </c>
      <c r="Q39" s="836"/>
    </row>
    <row r="40" spans="2:17">
      <c r="B40" s="34" t="str">
        <f t="shared" si="3"/>
        <v>CNGWA504</v>
      </c>
      <c r="C40" s="34" t="s">
        <v>175</v>
      </c>
      <c r="D40" s="837">
        <v>0</v>
      </c>
      <c r="E40" s="837">
        <v>0</v>
      </c>
      <c r="F40" s="837">
        <v>0</v>
      </c>
      <c r="G40" s="837">
        <v>0</v>
      </c>
      <c r="H40" s="837">
        <v>0</v>
      </c>
      <c r="I40" s="837">
        <v>0</v>
      </c>
      <c r="J40" s="837">
        <v>0</v>
      </c>
      <c r="K40" s="837">
        <v>0</v>
      </c>
      <c r="L40" s="837">
        <v>0</v>
      </c>
      <c r="M40" s="837">
        <v>0</v>
      </c>
      <c r="N40" s="837">
        <v>0</v>
      </c>
      <c r="O40" s="837">
        <v>0</v>
      </c>
      <c r="P40" s="838">
        <f t="shared" si="0"/>
        <v>0</v>
      </c>
      <c r="Q40" s="836"/>
    </row>
    <row r="41" spans="2:17">
      <c r="B41" s="34" t="str">
        <f t="shared" si="3"/>
        <v>CNGWA504</v>
      </c>
      <c r="C41" s="34" t="s">
        <v>176</v>
      </c>
      <c r="D41" s="837">
        <v>0</v>
      </c>
      <c r="E41" s="837">
        <v>0</v>
      </c>
      <c r="F41" s="837">
        <v>0</v>
      </c>
      <c r="G41" s="837">
        <v>0</v>
      </c>
      <c r="H41" s="837">
        <v>0</v>
      </c>
      <c r="I41" s="837">
        <v>0</v>
      </c>
      <c r="J41" s="837">
        <v>0</v>
      </c>
      <c r="K41" s="837">
        <v>0</v>
      </c>
      <c r="L41" s="837">
        <v>0</v>
      </c>
      <c r="M41" s="837">
        <v>0</v>
      </c>
      <c r="N41" s="837">
        <v>0</v>
      </c>
      <c r="O41" s="837">
        <v>48722.09</v>
      </c>
      <c r="P41" s="838">
        <f t="shared" si="0"/>
        <v>48722.09</v>
      </c>
      <c r="Q41" s="836"/>
    </row>
    <row r="42" spans="2:17">
      <c r="B42" s="34" t="str">
        <f t="shared" si="3"/>
        <v>CNGWA504</v>
      </c>
      <c r="C42" s="34" t="s">
        <v>400</v>
      </c>
      <c r="D42" s="841">
        <f>SUM(D33:D41)</f>
        <v>11951445.890000002</v>
      </c>
      <c r="E42" s="841">
        <f t="shared" ref="E42:M42" si="4">SUM(E33:E41)</f>
        <v>10507877.18</v>
      </c>
      <c r="F42" s="841">
        <f t="shared" si="4"/>
        <v>9163939.4999999981</v>
      </c>
      <c r="G42" s="841">
        <f t="shared" si="4"/>
        <v>4988293.9499999993</v>
      </c>
      <c r="H42" s="841">
        <f t="shared" si="4"/>
        <v>3455901.9500000011</v>
      </c>
      <c r="I42" s="841">
        <f t="shared" si="4"/>
        <v>2763822.3400000003</v>
      </c>
      <c r="J42" s="841">
        <f t="shared" si="4"/>
        <v>2748108.8500000006</v>
      </c>
      <c r="K42" s="841">
        <f t="shared" si="4"/>
        <v>2588698.75</v>
      </c>
      <c r="L42" s="841">
        <f t="shared" si="4"/>
        <v>3334870.3800000008</v>
      </c>
      <c r="M42" s="841">
        <f t="shared" si="4"/>
        <v>6530758.2399999993</v>
      </c>
      <c r="N42" s="841">
        <f>SUM(N33:N41)</f>
        <v>9252288.0699999984</v>
      </c>
      <c r="O42" s="841">
        <f>SUM(O33:O41)</f>
        <v>12805167.190000001</v>
      </c>
      <c r="P42" s="838">
        <f t="shared" si="0"/>
        <v>80091172.290000007</v>
      </c>
      <c r="Q42" s="836"/>
    </row>
    <row r="43" spans="2:17">
      <c r="C43" s="839" t="s">
        <v>149</v>
      </c>
      <c r="D43" s="841"/>
      <c r="E43" s="841"/>
      <c r="F43" s="841"/>
      <c r="G43" s="841"/>
      <c r="H43" s="841"/>
      <c r="I43" s="841"/>
      <c r="J43" s="843"/>
      <c r="K43" s="843"/>
      <c r="L43" s="841"/>
      <c r="M43" s="841"/>
      <c r="N43" s="841"/>
      <c r="O43" s="841"/>
      <c r="P43" s="838"/>
      <c r="Q43" s="836"/>
    </row>
    <row r="44" spans="2:17">
      <c r="J44" s="842"/>
      <c r="P44" s="838">
        <f t="shared" si="0"/>
        <v>0</v>
      </c>
      <c r="Q44" s="836"/>
    </row>
    <row r="45" spans="2:17">
      <c r="B45" s="34" t="s">
        <v>490</v>
      </c>
      <c r="C45" s="783" t="s">
        <v>153</v>
      </c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838">
        <f t="shared" si="0"/>
        <v>0</v>
      </c>
      <c r="Q45" s="836"/>
    </row>
    <row r="46" spans="2:17">
      <c r="B46" s="34" t="str">
        <f>$C$45</f>
        <v>CNGWA505</v>
      </c>
      <c r="C46" s="34" t="s">
        <v>401</v>
      </c>
      <c r="D46" s="837">
        <v>1522757</v>
      </c>
      <c r="E46" s="837">
        <v>1322495</v>
      </c>
      <c r="F46" s="837">
        <v>1356275</v>
      </c>
      <c r="G46" s="837">
        <v>1128418</v>
      </c>
      <c r="H46" s="837">
        <v>713209</v>
      </c>
      <c r="I46" s="837">
        <v>637229</v>
      </c>
      <c r="J46" s="837">
        <v>562464</v>
      </c>
      <c r="K46" s="837">
        <v>497342</v>
      </c>
      <c r="L46" s="837">
        <v>620797</v>
      </c>
      <c r="M46" s="837">
        <v>1000739</v>
      </c>
      <c r="N46" s="837">
        <v>870287</v>
      </c>
      <c r="O46" s="837">
        <v>1356324</v>
      </c>
      <c r="P46" s="838">
        <f t="shared" si="0"/>
        <v>11588336</v>
      </c>
      <c r="Q46" s="836"/>
    </row>
    <row r="47" spans="2:17">
      <c r="B47" s="34" t="str">
        <f t="shared" ref="B47:B62" si="5">$C$45</f>
        <v>CNGWA505</v>
      </c>
      <c r="C47" s="34" t="s">
        <v>481</v>
      </c>
      <c r="D47" s="837">
        <v>0</v>
      </c>
      <c r="E47" s="837">
        <v>0</v>
      </c>
      <c r="F47" s="837">
        <v>0</v>
      </c>
      <c r="G47" s="837">
        <v>0</v>
      </c>
      <c r="H47" s="837">
        <v>0</v>
      </c>
      <c r="I47" s="837">
        <v>0</v>
      </c>
      <c r="J47" s="837">
        <v>0</v>
      </c>
      <c r="K47" s="837">
        <v>0</v>
      </c>
      <c r="L47" s="837">
        <v>0</v>
      </c>
      <c r="M47" s="837">
        <v>0</v>
      </c>
      <c r="N47" s="837">
        <v>0</v>
      </c>
      <c r="O47" s="837">
        <v>0</v>
      </c>
      <c r="P47" s="838">
        <f t="shared" si="0"/>
        <v>0</v>
      </c>
      <c r="Q47" s="836"/>
    </row>
    <row r="48" spans="2:17">
      <c r="B48" s="34" t="str">
        <f t="shared" si="5"/>
        <v>CNGWA505</v>
      </c>
      <c r="C48" s="34" t="s">
        <v>482</v>
      </c>
      <c r="D48" s="837">
        <v>0</v>
      </c>
      <c r="E48" s="837">
        <v>0</v>
      </c>
      <c r="F48" s="837">
        <v>0</v>
      </c>
      <c r="G48" s="837">
        <v>0</v>
      </c>
      <c r="H48" s="837">
        <v>0</v>
      </c>
      <c r="I48" s="837">
        <v>0</v>
      </c>
      <c r="J48" s="837">
        <v>0</v>
      </c>
      <c r="K48" s="837">
        <v>0</v>
      </c>
      <c r="L48" s="837">
        <v>0</v>
      </c>
      <c r="M48" s="837">
        <v>0</v>
      </c>
      <c r="N48" s="837">
        <v>0</v>
      </c>
      <c r="O48" s="837">
        <v>0</v>
      </c>
      <c r="P48" s="838">
        <f t="shared" si="0"/>
        <v>0</v>
      </c>
      <c r="Q48" s="836"/>
    </row>
    <row r="49" spans="2:17">
      <c r="B49" s="34" t="str">
        <f t="shared" si="5"/>
        <v>CNGWA505</v>
      </c>
      <c r="C49" s="34" t="s">
        <v>483</v>
      </c>
      <c r="D49" s="837">
        <v>0</v>
      </c>
      <c r="E49" s="837">
        <v>0</v>
      </c>
      <c r="F49" s="837">
        <v>0</v>
      </c>
      <c r="G49" s="837">
        <v>0</v>
      </c>
      <c r="H49" s="837">
        <v>0</v>
      </c>
      <c r="I49" s="837">
        <v>0</v>
      </c>
      <c r="J49" s="837">
        <v>0</v>
      </c>
      <c r="K49" s="837">
        <v>0</v>
      </c>
      <c r="L49" s="837">
        <v>0</v>
      </c>
      <c r="M49" s="837">
        <v>0</v>
      </c>
      <c r="N49" s="837">
        <v>0</v>
      </c>
      <c r="O49" s="837">
        <v>0</v>
      </c>
      <c r="P49" s="838">
        <f t="shared" si="0"/>
        <v>0</v>
      </c>
      <c r="Q49" s="836"/>
    </row>
    <row r="50" spans="2:17">
      <c r="B50" s="34" t="str">
        <f t="shared" si="5"/>
        <v>CNGWA505</v>
      </c>
      <c r="C50" s="34" t="s">
        <v>484</v>
      </c>
      <c r="D50" s="837">
        <v>0</v>
      </c>
      <c r="E50" s="837">
        <v>0</v>
      </c>
      <c r="F50" s="837">
        <v>0</v>
      </c>
      <c r="G50" s="837">
        <v>0</v>
      </c>
      <c r="H50" s="837">
        <v>0</v>
      </c>
      <c r="I50" s="837">
        <v>0</v>
      </c>
      <c r="J50" s="837">
        <v>0</v>
      </c>
      <c r="K50" s="837">
        <v>0</v>
      </c>
      <c r="L50" s="837">
        <v>0</v>
      </c>
      <c r="M50" s="837">
        <v>0</v>
      </c>
      <c r="N50" s="837">
        <v>0</v>
      </c>
      <c r="O50" s="837">
        <v>0</v>
      </c>
      <c r="P50" s="838">
        <f t="shared" si="0"/>
        <v>0</v>
      </c>
      <c r="Q50" s="836"/>
    </row>
    <row r="51" spans="2:17">
      <c r="B51" s="34" t="str">
        <f t="shared" si="5"/>
        <v>CNGWA505</v>
      </c>
      <c r="C51" s="34" t="s">
        <v>485</v>
      </c>
      <c r="D51" s="837">
        <v>1522757</v>
      </c>
      <c r="E51" s="837">
        <v>1322495</v>
      </c>
      <c r="F51" s="837">
        <v>1356275</v>
      </c>
      <c r="G51" s="837">
        <v>1128418</v>
      </c>
      <c r="H51" s="837">
        <v>713209</v>
      </c>
      <c r="I51" s="837">
        <v>637229</v>
      </c>
      <c r="J51" s="837">
        <v>562464</v>
      </c>
      <c r="K51" s="837">
        <v>497342</v>
      </c>
      <c r="L51" s="837">
        <v>620797</v>
      </c>
      <c r="M51" s="837">
        <v>1000739</v>
      </c>
      <c r="N51" s="837">
        <v>870287</v>
      </c>
      <c r="O51" s="837">
        <v>1356324</v>
      </c>
      <c r="P51" s="838">
        <f t="shared" si="0"/>
        <v>11588336</v>
      </c>
      <c r="Q51" s="836"/>
    </row>
    <row r="52" spans="2:17">
      <c r="B52" s="34" t="str">
        <f t="shared" si="5"/>
        <v>CNGWA505</v>
      </c>
      <c r="C52" s="839" t="s">
        <v>149</v>
      </c>
      <c r="D52" s="837"/>
      <c r="E52" s="837"/>
      <c r="F52" s="837"/>
      <c r="G52" s="837"/>
      <c r="H52" s="837"/>
      <c r="I52" s="837"/>
      <c r="J52" s="837"/>
      <c r="K52" s="837"/>
      <c r="L52" s="837"/>
      <c r="M52" s="837"/>
      <c r="N52" s="837"/>
      <c r="O52" s="837"/>
      <c r="P52" s="838">
        <f t="shared" si="0"/>
        <v>0</v>
      </c>
      <c r="Q52" s="836"/>
    </row>
    <row r="53" spans="2:17">
      <c r="B53" s="34" t="str">
        <f t="shared" si="5"/>
        <v>CNGWA505</v>
      </c>
      <c r="C53" s="34" t="s">
        <v>486</v>
      </c>
      <c r="D53" s="837">
        <v>1191209.23</v>
      </c>
      <c r="E53" s="837">
        <v>1039100.83</v>
      </c>
      <c r="F53" s="837">
        <v>1070702.94</v>
      </c>
      <c r="G53" s="837">
        <v>905120.17</v>
      </c>
      <c r="H53" s="837">
        <v>584370.77</v>
      </c>
      <c r="I53" s="837">
        <v>523976.5</v>
      </c>
      <c r="J53" s="837">
        <v>466663.81</v>
      </c>
      <c r="K53" s="837">
        <v>416112.87</v>
      </c>
      <c r="L53" s="837">
        <v>507415.9</v>
      </c>
      <c r="M53" s="837">
        <v>791837.37</v>
      </c>
      <c r="N53" s="837">
        <v>709487.74</v>
      </c>
      <c r="O53" s="837">
        <v>1091688.28</v>
      </c>
      <c r="P53" s="838">
        <f t="shared" si="0"/>
        <v>9297686.4100000001</v>
      </c>
      <c r="Q53" s="836"/>
    </row>
    <row r="54" spans="2:17">
      <c r="B54" s="34" t="str">
        <f t="shared" si="5"/>
        <v>CNGWA505</v>
      </c>
      <c r="C54" s="34" t="s">
        <v>143</v>
      </c>
      <c r="D54" s="837">
        <v>0</v>
      </c>
      <c r="E54" s="837">
        <v>0</v>
      </c>
      <c r="F54" s="837">
        <v>0</v>
      </c>
      <c r="G54" s="837">
        <v>0</v>
      </c>
      <c r="H54" s="837">
        <v>0</v>
      </c>
      <c r="I54" s="837">
        <v>0</v>
      </c>
      <c r="J54" s="837">
        <v>0</v>
      </c>
      <c r="K54" s="837">
        <v>0</v>
      </c>
      <c r="L54" s="837">
        <v>0</v>
      </c>
      <c r="M54" s="837">
        <v>0</v>
      </c>
      <c r="N54" s="837">
        <v>0</v>
      </c>
      <c r="O54" s="837">
        <v>0</v>
      </c>
      <c r="P54" s="838">
        <f t="shared" si="0"/>
        <v>0</v>
      </c>
      <c r="Q54" s="836"/>
    </row>
    <row r="55" spans="2:17">
      <c r="B55" s="34" t="str">
        <f t="shared" si="5"/>
        <v>CNGWA505</v>
      </c>
      <c r="C55" s="1" t="s">
        <v>144</v>
      </c>
      <c r="D55" s="837">
        <v>0</v>
      </c>
      <c r="E55" s="837">
        <v>0</v>
      </c>
      <c r="F55" s="837">
        <v>0</v>
      </c>
      <c r="G55" s="837">
        <v>0</v>
      </c>
      <c r="H55" s="837">
        <v>0</v>
      </c>
      <c r="I55" s="837">
        <v>0</v>
      </c>
      <c r="J55" s="837">
        <v>0</v>
      </c>
      <c r="K55" s="837">
        <v>0</v>
      </c>
      <c r="L55" s="837">
        <v>0</v>
      </c>
      <c r="M55" s="837">
        <v>0</v>
      </c>
      <c r="N55" s="837">
        <v>0</v>
      </c>
      <c r="O55" s="837">
        <v>0</v>
      </c>
      <c r="P55" s="838">
        <f t="shared" si="0"/>
        <v>0</v>
      </c>
      <c r="Q55" s="836"/>
    </row>
    <row r="56" spans="2:17">
      <c r="B56" s="34" t="str">
        <f t="shared" si="5"/>
        <v>CNGWA505</v>
      </c>
      <c r="C56" s="34" t="s">
        <v>145</v>
      </c>
      <c r="D56" s="837">
        <v>14969.43</v>
      </c>
      <c r="E56" s="837">
        <v>7432.86</v>
      </c>
      <c r="F56" s="837">
        <v>28958.22</v>
      </c>
      <c r="G56" s="837">
        <v>-1790.42</v>
      </c>
      <c r="H56" s="837">
        <v>15089.02</v>
      </c>
      <c r="I56" s="837">
        <v>-6373.33</v>
      </c>
      <c r="J56" s="837">
        <v>-5560.76</v>
      </c>
      <c r="K56" s="837">
        <v>11481.75</v>
      </c>
      <c r="L56" s="837">
        <v>5361.68</v>
      </c>
      <c r="M56" s="837">
        <v>11274.51</v>
      </c>
      <c r="N56" s="837">
        <v>21184.52</v>
      </c>
      <c r="O56" s="837">
        <v>24343.7</v>
      </c>
      <c r="P56" s="838">
        <f t="shared" si="0"/>
        <v>126371.18</v>
      </c>
      <c r="Q56" s="836"/>
    </row>
    <row r="57" spans="2:17">
      <c r="B57" s="34" t="str">
        <f t="shared" si="5"/>
        <v>CNGWA505</v>
      </c>
      <c r="C57" s="34" t="s">
        <v>487</v>
      </c>
      <c r="D57" s="837">
        <v>6471.72</v>
      </c>
      <c r="E57" s="837">
        <v>5620.61</v>
      </c>
      <c r="F57" s="837">
        <v>5764.17</v>
      </c>
      <c r="G57" s="837">
        <v>4795.78</v>
      </c>
      <c r="H57" s="837">
        <v>3031.14</v>
      </c>
      <c r="I57" s="837">
        <v>2708.22</v>
      </c>
      <c r="J57" s="837">
        <v>2390.4699999999998</v>
      </c>
      <c r="K57" s="837">
        <v>2113.6999999999998</v>
      </c>
      <c r="L57" s="837">
        <v>2638.38</v>
      </c>
      <c r="M57" s="837">
        <v>4253.1400000000003</v>
      </c>
      <c r="N57" s="837">
        <v>5820.75</v>
      </c>
      <c r="O57" s="837">
        <v>17048.990000000002</v>
      </c>
      <c r="P57" s="838">
        <f t="shared" si="0"/>
        <v>62657.069999999992</v>
      </c>
      <c r="Q57" s="836"/>
    </row>
    <row r="58" spans="2:17">
      <c r="B58" s="34" t="str">
        <f t="shared" si="5"/>
        <v>CNGWA505</v>
      </c>
      <c r="C58" s="34" t="s">
        <v>488</v>
      </c>
      <c r="D58" s="837">
        <v>0</v>
      </c>
      <c r="E58" s="837">
        <v>0</v>
      </c>
      <c r="F58" s="837">
        <v>0</v>
      </c>
      <c r="G58" s="837">
        <v>0</v>
      </c>
      <c r="H58" s="837">
        <v>0</v>
      </c>
      <c r="I58" s="837">
        <v>0</v>
      </c>
      <c r="J58" s="837">
        <v>0</v>
      </c>
      <c r="K58" s="837">
        <v>0</v>
      </c>
      <c r="L58" s="837">
        <v>0</v>
      </c>
      <c r="M58" s="837">
        <v>0</v>
      </c>
      <c r="N58" s="837">
        <v>0</v>
      </c>
      <c r="O58" s="837">
        <v>0</v>
      </c>
      <c r="P58" s="838">
        <f t="shared" si="0"/>
        <v>0</v>
      </c>
      <c r="Q58" s="836"/>
    </row>
    <row r="59" spans="2:17">
      <c r="B59" s="34" t="str">
        <f t="shared" si="5"/>
        <v>CNGWA505</v>
      </c>
      <c r="C59" s="1" t="s">
        <v>147</v>
      </c>
      <c r="D59" s="837">
        <v>0</v>
      </c>
      <c r="E59" s="837">
        <v>0</v>
      </c>
      <c r="F59" s="837">
        <v>0</v>
      </c>
      <c r="G59" s="837">
        <v>0</v>
      </c>
      <c r="H59" s="837">
        <v>0</v>
      </c>
      <c r="I59" s="837">
        <v>0</v>
      </c>
      <c r="J59" s="837">
        <v>0</v>
      </c>
      <c r="K59" s="837">
        <v>0</v>
      </c>
      <c r="L59" s="837">
        <v>0</v>
      </c>
      <c r="M59" s="837">
        <v>0</v>
      </c>
      <c r="N59" s="837">
        <v>-15.9</v>
      </c>
      <c r="O59" s="837">
        <v>0</v>
      </c>
      <c r="P59" s="838">
        <f t="shared" si="0"/>
        <v>-15.9</v>
      </c>
      <c r="Q59" s="836"/>
    </row>
    <row r="60" spans="2:17">
      <c r="B60" s="34" t="str">
        <f t="shared" si="5"/>
        <v>CNGWA505</v>
      </c>
      <c r="C60" s="34" t="s">
        <v>175</v>
      </c>
      <c r="D60" s="837">
        <v>0</v>
      </c>
      <c r="E60" s="837">
        <v>0</v>
      </c>
      <c r="F60" s="837">
        <v>0</v>
      </c>
      <c r="G60" s="837">
        <v>0</v>
      </c>
      <c r="H60" s="837">
        <v>0</v>
      </c>
      <c r="I60" s="837">
        <v>0</v>
      </c>
      <c r="J60" s="837">
        <v>0</v>
      </c>
      <c r="K60" s="837">
        <v>0</v>
      </c>
      <c r="L60" s="837">
        <v>0</v>
      </c>
      <c r="M60" s="837">
        <v>0</v>
      </c>
      <c r="N60" s="837">
        <v>0</v>
      </c>
      <c r="O60" s="837">
        <v>0</v>
      </c>
      <c r="P60" s="838">
        <f t="shared" si="0"/>
        <v>0</v>
      </c>
      <c r="Q60" s="836"/>
    </row>
    <row r="61" spans="2:17">
      <c r="B61" s="34" t="str">
        <f t="shared" si="5"/>
        <v>CNGWA505</v>
      </c>
      <c r="C61" s="34" t="s">
        <v>176</v>
      </c>
      <c r="D61" s="837">
        <v>0</v>
      </c>
      <c r="E61" s="837">
        <v>0</v>
      </c>
      <c r="F61" s="837">
        <v>0</v>
      </c>
      <c r="G61" s="837">
        <v>0</v>
      </c>
      <c r="H61" s="837">
        <v>0</v>
      </c>
      <c r="I61" s="837">
        <v>0</v>
      </c>
      <c r="J61" s="837">
        <v>0</v>
      </c>
      <c r="K61" s="837">
        <v>0</v>
      </c>
      <c r="L61" s="837">
        <v>0</v>
      </c>
      <c r="M61" s="837">
        <v>0</v>
      </c>
      <c r="N61" s="837">
        <v>0</v>
      </c>
      <c r="O61" s="837">
        <v>0</v>
      </c>
      <c r="P61" s="838">
        <f t="shared" si="0"/>
        <v>0</v>
      </c>
      <c r="Q61" s="836"/>
    </row>
    <row r="62" spans="2:17">
      <c r="B62" s="34" t="str">
        <f t="shared" si="5"/>
        <v>CNGWA505</v>
      </c>
      <c r="C62" s="34" t="s">
        <v>400</v>
      </c>
      <c r="D62" s="837">
        <f>SUM(D53:D61)</f>
        <v>1212650.3799999999</v>
      </c>
      <c r="E62" s="837">
        <f t="shared" ref="E62:O62" si="6">SUM(E53:E61)</f>
        <v>1052154.3</v>
      </c>
      <c r="F62" s="837">
        <f t="shared" si="6"/>
        <v>1105425.3299999998</v>
      </c>
      <c r="G62" s="837">
        <f t="shared" si="6"/>
        <v>908125.53</v>
      </c>
      <c r="H62" s="837">
        <f t="shared" si="6"/>
        <v>602490.93000000005</v>
      </c>
      <c r="I62" s="837">
        <f t="shared" si="6"/>
        <v>520311.38999999996</v>
      </c>
      <c r="J62" s="837">
        <f t="shared" si="6"/>
        <v>463493.51999999996</v>
      </c>
      <c r="K62" s="837">
        <f t="shared" si="6"/>
        <v>429708.32</v>
      </c>
      <c r="L62" s="837">
        <f t="shared" si="6"/>
        <v>515415.96</v>
      </c>
      <c r="M62" s="837">
        <f t="shared" si="6"/>
        <v>807365.02</v>
      </c>
      <c r="N62" s="837">
        <f>SUM(N53:N61)</f>
        <v>736477.11</v>
      </c>
      <c r="O62" s="837">
        <f t="shared" si="6"/>
        <v>1133080.97</v>
      </c>
      <c r="P62" s="838">
        <f t="shared" si="0"/>
        <v>9486698.7599999998</v>
      </c>
      <c r="Q62" s="836"/>
    </row>
    <row r="63" spans="2:17">
      <c r="C63" s="839" t="s">
        <v>149</v>
      </c>
      <c r="D63" s="837"/>
      <c r="E63" s="837"/>
      <c r="F63" s="837"/>
      <c r="G63" s="837"/>
      <c r="H63" s="837"/>
      <c r="I63" s="837"/>
      <c r="J63" s="837"/>
      <c r="K63" s="837"/>
      <c r="L63" s="837"/>
      <c r="M63" s="837"/>
      <c r="N63" s="837"/>
      <c r="O63" s="837"/>
      <c r="P63" s="838">
        <f t="shared" si="0"/>
        <v>0</v>
      </c>
      <c r="Q63" s="836"/>
    </row>
    <row r="64" spans="2:17">
      <c r="P64" s="838">
        <f t="shared" si="0"/>
        <v>0</v>
      </c>
      <c r="Q64" s="836"/>
    </row>
    <row r="65" spans="2:17">
      <c r="C65" s="783" t="s">
        <v>161</v>
      </c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838">
        <f t="shared" si="0"/>
        <v>0</v>
      </c>
      <c r="Q65" s="836"/>
    </row>
    <row r="66" spans="2:17">
      <c r="B66" s="34" t="str">
        <f>$C$65</f>
        <v>CNGWA511</v>
      </c>
      <c r="C66" s="34" t="s">
        <v>401</v>
      </c>
      <c r="D66" s="837">
        <v>431249</v>
      </c>
      <c r="E66" s="837">
        <v>393372</v>
      </c>
      <c r="F66" s="837">
        <v>297569</v>
      </c>
      <c r="G66" s="837">
        <v>537766</v>
      </c>
      <c r="H66" s="837">
        <v>222952</v>
      </c>
      <c r="I66" s="837">
        <v>433558</v>
      </c>
      <c r="J66" s="837">
        <v>335278</v>
      </c>
      <c r="K66" s="837">
        <v>298740</v>
      </c>
      <c r="L66" s="837">
        <v>341767</v>
      </c>
      <c r="M66" s="837">
        <v>374010</v>
      </c>
      <c r="N66" s="837">
        <v>332482</v>
      </c>
      <c r="O66" s="837">
        <v>419977</v>
      </c>
      <c r="P66" s="838">
        <f t="shared" si="0"/>
        <v>4418720</v>
      </c>
      <c r="Q66" s="836"/>
    </row>
    <row r="67" spans="2:17">
      <c r="B67" s="34" t="str">
        <f t="shared" ref="B67:B82" si="7">$C$65</f>
        <v>CNGWA511</v>
      </c>
      <c r="C67" s="34" t="s">
        <v>481</v>
      </c>
      <c r="D67" s="837">
        <v>0</v>
      </c>
      <c r="E67" s="837">
        <v>0</v>
      </c>
      <c r="F67" s="837">
        <v>0</v>
      </c>
      <c r="G67" s="837">
        <v>0</v>
      </c>
      <c r="H67" s="837">
        <v>0</v>
      </c>
      <c r="I67" s="837">
        <v>0</v>
      </c>
      <c r="J67" s="837">
        <v>0</v>
      </c>
      <c r="K67" s="837">
        <v>0</v>
      </c>
      <c r="L67" s="837">
        <v>0</v>
      </c>
      <c r="M67" s="837">
        <v>0</v>
      </c>
      <c r="N67" s="837">
        <v>0</v>
      </c>
      <c r="O67" s="837">
        <v>0</v>
      </c>
      <c r="P67" s="838">
        <f t="shared" si="0"/>
        <v>0</v>
      </c>
      <c r="Q67" s="836"/>
    </row>
    <row r="68" spans="2:17">
      <c r="B68" s="34" t="str">
        <f t="shared" si="7"/>
        <v>CNGWA511</v>
      </c>
      <c r="C68" s="34" t="s">
        <v>482</v>
      </c>
      <c r="D68" s="837">
        <v>0</v>
      </c>
      <c r="E68" s="837">
        <v>0</v>
      </c>
      <c r="F68" s="837">
        <v>0</v>
      </c>
      <c r="G68" s="837">
        <v>0</v>
      </c>
      <c r="H68" s="837">
        <v>0</v>
      </c>
      <c r="I68" s="837">
        <v>0</v>
      </c>
      <c r="J68" s="837">
        <v>0</v>
      </c>
      <c r="K68" s="837">
        <v>0</v>
      </c>
      <c r="L68" s="837">
        <v>0</v>
      </c>
      <c r="M68" s="837">
        <v>0</v>
      </c>
      <c r="N68" s="837">
        <v>0</v>
      </c>
      <c r="O68" s="837">
        <v>0</v>
      </c>
      <c r="P68" s="838">
        <f t="shared" si="0"/>
        <v>0</v>
      </c>
      <c r="Q68" s="836"/>
    </row>
    <row r="69" spans="2:17">
      <c r="B69" s="34" t="str">
        <f t="shared" si="7"/>
        <v>CNGWA511</v>
      </c>
      <c r="C69" s="34" t="s">
        <v>483</v>
      </c>
      <c r="D69" s="837">
        <v>0</v>
      </c>
      <c r="E69" s="837">
        <v>0</v>
      </c>
      <c r="F69" s="837">
        <v>0</v>
      </c>
      <c r="G69" s="837">
        <v>0</v>
      </c>
      <c r="H69" s="837">
        <v>0</v>
      </c>
      <c r="I69" s="837">
        <v>0</v>
      </c>
      <c r="J69" s="837">
        <v>0</v>
      </c>
      <c r="K69" s="837">
        <v>0</v>
      </c>
      <c r="L69" s="837">
        <v>0</v>
      </c>
      <c r="M69" s="837">
        <v>0</v>
      </c>
      <c r="N69" s="837">
        <v>0</v>
      </c>
      <c r="O69" s="837">
        <v>0</v>
      </c>
      <c r="P69" s="838">
        <f t="shared" si="0"/>
        <v>0</v>
      </c>
      <c r="Q69" s="836"/>
    </row>
    <row r="70" spans="2:17">
      <c r="B70" s="34" t="str">
        <f t="shared" si="7"/>
        <v>CNGWA511</v>
      </c>
      <c r="C70" s="34" t="s">
        <v>484</v>
      </c>
      <c r="D70" s="837">
        <v>0</v>
      </c>
      <c r="E70" s="837">
        <v>0</v>
      </c>
      <c r="F70" s="837">
        <v>0</v>
      </c>
      <c r="G70" s="837">
        <v>0</v>
      </c>
      <c r="H70" s="837">
        <v>0</v>
      </c>
      <c r="I70" s="837">
        <v>0</v>
      </c>
      <c r="J70" s="837">
        <v>0</v>
      </c>
      <c r="K70" s="837">
        <v>0</v>
      </c>
      <c r="L70" s="837">
        <v>0</v>
      </c>
      <c r="M70" s="837">
        <v>0</v>
      </c>
      <c r="N70" s="837">
        <v>0</v>
      </c>
      <c r="O70" s="837">
        <v>0</v>
      </c>
      <c r="P70" s="838">
        <f t="shared" ref="P70:P133" si="8">SUM(D70:O70)</f>
        <v>0</v>
      </c>
      <c r="Q70" s="836"/>
    </row>
    <row r="71" spans="2:17">
      <c r="B71" s="34" t="str">
        <f t="shared" si="7"/>
        <v>CNGWA511</v>
      </c>
      <c r="C71" s="34" t="s">
        <v>485</v>
      </c>
      <c r="D71" s="837">
        <v>431249</v>
      </c>
      <c r="E71" s="837">
        <v>393372</v>
      </c>
      <c r="F71" s="837">
        <v>297569</v>
      </c>
      <c r="G71" s="837">
        <v>537766</v>
      </c>
      <c r="H71" s="837">
        <v>222952</v>
      </c>
      <c r="I71" s="837">
        <v>433558</v>
      </c>
      <c r="J71" s="837">
        <v>335278</v>
      </c>
      <c r="K71" s="837">
        <v>298740</v>
      </c>
      <c r="L71" s="837">
        <v>341767</v>
      </c>
      <c r="M71" s="837">
        <v>374010</v>
      </c>
      <c r="N71" s="837">
        <v>332482</v>
      </c>
      <c r="O71" s="837">
        <v>419977</v>
      </c>
      <c r="P71" s="838">
        <f t="shared" si="8"/>
        <v>4418720</v>
      </c>
      <c r="Q71" s="836"/>
    </row>
    <row r="72" spans="2:17">
      <c r="B72" s="34" t="str">
        <f t="shared" si="7"/>
        <v>CNGWA511</v>
      </c>
      <c r="C72" s="839" t="s">
        <v>149</v>
      </c>
      <c r="D72" s="837"/>
      <c r="E72" s="837"/>
      <c r="F72" s="837"/>
      <c r="G72" s="837"/>
      <c r="H72" s="837"/>
      <c r="I72" s="837"/>
      <c r="J72" s="837"/>
      <c r="K72" s="837"/>
      <c r="L72" s="837"/>
      <c r="M72" s="837"/>
      <c r="N72" s="837"/>
      <c r="O72" s="837"/>
      <c r="P72" s="838">
        <f t="shared" si="8"/>
        <v>0</v>
      </c>
      <c r="Q72" s="836"/>
    </row>
    <row r="73" spans="2:17">
      <c r="B73" s="34" t="str">
        <f t="shared" si="7"/>
        <v>CNGWA511</v>
      </c>
      <c r="C73" s="34" t="s">
        <v>486</v>
      </c>
      <c r="D73" s="837">
        <v>1419497.06</v>
      </c>
      <c r="E73" s="837">
        <v>1182440.78</v>
      </c>
      <c r="F73" s="837">
        <v>1193862.8600000001</v>
      </c>
      <c r="G73" s="837">
        <v>1141235.1499999999</v>
      </c>
      <c r="H73" s="837">
        <v>574540.68999999994</v>
      </c>
      <c r="I73" s="837">
        <v>690445.38</v>
      </c>
      <c r="J73" s="837">
        <v>653112.76</v>
      </c>
      <c r="K73" s="837">
        <v>466981.69</v>
      </c>
      <c r="L73" s="837">
        <v>494778.42000000004</v>
      </c>
      <c r="M73" s="837">
        <v>615729.52</v>
      </c>
      <c r="N73" s="837">
        <v>876780.53</v>
      </c>
      <c r="O73" s="837">
        <v>1364413.69</v>
      </c>
      <c r="P73" s="838">
        <f t="shared" si="8"/>
        <v>10673818.529999997</v>
      </c>
      <c r="Q73" s="836"/>
    </row>
    <row r="74" spans="2:17">
      <c r="B74" s="34" t="str">
        <f t="shared" si="7"/>
        <v>CNGWA511</v>
      </c>
      <c r="C74" s="34" t="s">
        <v>143</v>
      </c>
      <c r="D74" s="837">
        <v>0</v>
      </c>
      <c r="E74" s="837">
        <v>0</v>
      </c>
      <c r="F74" s="837">
        <v>0</v>
      </c>
      <c r="G74" s="837">
        <v>0</v>
      </c>
      <c r="H74" s="837">
        <v>0</v>
      </c>
      <c r="I74" s="837">
        <v>0</v>
      </c>
      <c r="J74" s="837">
        <v>0</v>
      </c>
      <c r="K74" s="837">
        <v>0</v>
      </c>
      <c r="L74" s="837">
        <v>0</v>
      </c>
      <c r="M74" s="837">
        <v>0</v>
      </c>
      <c r="N74" s="837">
        <v>0</v>
      </c>
      <c r="O74" s="837">
        <v>0</v>
      </c>
      <c r="P74" s="838">
        <f t="shared" si="8"/>
        <v>0</v>
      </c>
      <c r="Q74" s="836"/>
    </row>
    <row r="75" spans="2:17">
      <c r="B75" s="34" t="str">
        <f t="shared" si="7"/>
        <v>CNGWA511</v>
      </c>
      <c r="C75" s="1" t="s">
        <v>144</v>
      </c>
      <c r="D75" s="837">
        <v>0</v>
      </c>
      <c r="E75" s="837">
        <v>0</v>
      </c>
      <c r="F75" s="837">
        <v>0</v>
      </c>
      <c r="G75" s="837">
        <v>0</v>
      </c>
      <c r="H75" s="837">
        <v>0</v>
      </c>
      <c r="I75" s="837">
        <v>0</v>
      </c>
      <c r="J75" s="837">
        <v>0</v>
      </c>
      <c r="K75" s="837">
        <v>0</v>
      </c>
      <c r="L75" s="837">
        <v>0</v>
      </c>
      <c r="M75" s="837">
        <v>0</v>
      </c>
      <c r="N75" s="837">
        <v>0</v>
      </c>
      <c r="O75" s="837">
        <v>0</v>
      </c>
      <c r="P75" s="838">
        <f t="shared" si="8"/>
        <v>0</v>
      </c>
      <c r="Q75" s="836"/>
    </row>
    <row r="76" spans="2:17">
      <c r="B76" s="34" t="str">
        <f t="shared" si="7"/>
        <v>CNGWA511</v>
      </c>
      <c r="C76" s="34" t="s">
        <v>145</v>
      </c>
      <c r="D76" s="837">
        <v>-25998.949999999997</v>
      </c>
      <c r="E76" s="837">
        <v>-45560.130000000005</v>
      </c>
      <c r="F76" s="837">
        <v>37418.69</v>
      </c>
      <c r="G76" s="837">
        <v>56945.64</v>
      </c>
      <c r="H76" s="837">
        <v>60095.67</v>
      </c>
      <c r="I76" s="837">
        <v>-4268.4799999999996</v>
      </c>
      <c r="J76" s="837">
        <v>-25150.37</v>
      </c>
      <c r="K76" s="837">
        <v>-1191.1399999999994</v>
      </c>
      <c r="L76" s="837">
        <v>-4511.2000000000007</v>
      </c>
      <c r="M76" s="837">
        <v>-28473.07</v>
      </c>
      <c r="N76" s="837">
        <v>-46633.599999999999</v>
      </c>
      <c r="O76" s="837">
        <v>-86399.59</v>
      </c>
      <c r="P76" s="838">
        <f t="shared" si="8"/>
        <v>-113726.52999999998</v>
      </c>
      <c r="Q76" s="836"/>
    </row>
    <row r="77" spans="2:17">
      <c r="B77" s="34" t="str">
        <f t="shared" si="7"/>
        <v>CNGWA511</v>
      </c>
      <c r="C77" s="34" t="s">
        <v>487</v>
      </c>
      <c r="D77" s="837">
        <v>35609.050000000003</v>
      </c>
      <c r="E77" s="837">
        <v>29487.21</v>
      </c>
      <c r="F77" s="837">
        <v>29671.62</v>
      </c>
      <c r="G77" s="837">
        <v>28232.9</v>
      </c>
      <c r="H77" s="837">
        <v>13895.5</v>
      </c>
      <c r="I77" s="837">
        <v>17093.309999999998</v>
      </c>
      <c r="J77" s="837">
        <v>16072.16</v>
      </c>
      <c r="K77" s="837">
        <v>11398.95</v>
      </c>
      <c r="L77" s="837">
        <v>12038.47</v>
      </c>
      <c r="M77" s="837">
        <v>15398.19</v>
      </c>
      <c r="N77" s="837">
        <v>21136.739999999998</v>
      </c>
      <c r="O77" s="837">
        <v>32372.14</v>
      </c>
      <c r="P77" s="838">
        <f t="shared" si="8"/>
        <v>262406.24</v>
      </c>
      <c r="Q77" s="836"/>
    </row>
    <row r="78" spans="2:17">
      <c r="B78" s="34" t="str">
        <f t="shared" si="7"/>
        <v>CNGWA511</v>
      </c>
      <c r="C78" s="34" t="s">
        <v>488</v>
      </c>
      <c r="D78" s="837">
        <v>0</v>
      </c>
      <c r="E78" s="837">
        <v>0</v>
      </c>
      <c r="F78" s="837">
        <v>0</v>
      </c>
      <c r="G78" s="837">
        <v>13979.8</v>
      </c>
      <c r="H78" s="837">
        <v>0</v>
      </c>
      <c r="I78" s="837">
        <v>0</v>
      </c>
      <c r="J78" s="837">
        <v>0</v>
      </c>
      <c r="K78" s="837">
        <v>0</v>
      </c>
      <c r="L78" s="837">
        <v>0</v>
      </c>
      <c r="M78" s="837">
        <v>0</v>
      </c>
      <c r="N78" s="837">
        <v>0</v>
      </c>
      <c r="O78" s="837">
        <v>0</v>
      </c>
      <c r="P78" s="838">
        <f t="shared" si="8"/>
        <v>13979.8</v>
      </c>
      <c r="Q78" s="836"/>
    </row>
    <row r="79" spans="2:17">
      <c r="B79" s="34" t="str">
        <f t="shared" si="7"/>
        <v>CNGWA511</v>
      </c>
      <c r="C79" s="1" t="s">
        <v>147</v>
      </c>
      <c r="D79" s="837">
        <v>0</v>
      </c>
      <c r="E79" s="837">
        <v>0</v>
      </c>
      <c r="F79" s="837">
        <v>0</v>
      </c>
      <c r="G79" s="837">
        <v>0</v>
      </c>
      <c r="H79" s="837">
        <v>0</v>
      </c>
      <c r="I79" s="837">
        <v>0</v>
      </c>
      <c r="J79" s="837">
        <v>0</v>
      </c>
      <c r="K79" s="837">
        <v>0</v>
      </c>
      <c r="L79" s="837">
        <v>0</v>
      </c>
      <c r="M79" s="837">
        <v>0</v>
      </c>
      <c r="N79" s="837">
        <v>0</v>
      </c>
      <c r="O79" s="837">
        <v>0</v>
      </c>
      <c r="P79" s="838">
        <f t="shared" si="8"/>
        <v>0</v>
      </c>
      <c r="Q79" s="836"/>
    </row>
    <row r="80" spans="2:17">
      <c r="B80" s="34" t="str">
        <f t="shared" si="7"/>
        <v>CNGWA511</v>
      </c>
      <c r="C80" s="34" t="s">
        <v>175</v>
      </c>
      <c r="D80" s="837">
        <v>0</v>
      </c>
      <c r="E80" s="837">
        <v>0</v>
      </c>
      <c r="F80" s="837">
        <v>0</v>
      </c>
      <c r="G80" s="837">
        <v>0</v>
      </c>
      <c r="H80" s="837">
        <v>0</v>
      </c>
      <c r="I80" s="837">
        <v>0</v>
      </c>
      <c r="J80" s="837">
        <v>0</v>
      </c>
      <c r="K80" s="837">
        <v>0</v>
      </c>
      <c r="L80" s="837">
        <v>0</v>
      </c>
      <c r="M80" s="837">
        <v>0</v>
      </c>
      <c r="N80" s="837">
        <v>0</v>
      </c>
      <c r="O80" s="837">
        <v>0</v>
      </c>
      <c r="P80" s="838">
        <f t="shared" si="8"/>
        <v>0</v>
      </c>
      <c r="Q80" s="836"/>
    </row>
    <row r="81" spans="2:17">
      <c r="B81" s="34" t="str">
        <f t="shared" si="7"/>
        <v>CNGWA511</v>
      </c>
      <c r="C81" s="34" t="s">
        <v>176</v>
      </c>
      <c r="D81" s="837">
        <v>0</v>
      </c>
      <c r="E81" s="837">
        <v>0</v>
      </c>
      <c r="F81" s="837">
        <v>0</v>
      </c>
      <c r="G81" s="837">
        <v>0</v>
      </c>
      <c r="H81" s="837">
        <v>0</v>
      </c>
      <c r="I81" s="837">
        <v>0</v>
      </c>
      <c r="J81" s="837">
        <v>0</v>
      </c>
      <c r="K81" s="837">
        <v>0</v>
      </c>
      <c r="L81" s="837">
        <v>0</v>
      </c>
      <c r="M81" s="837">
        <v>0</v>
      </c>
      <c r="N81" s="837">
        <v>0</v>
      </c>
      <c r="O81" s="837">
        <v>0</v>
      </c>
      <c r="P81" s="838">
        <f t="shared" si="8"/>
        <v>0</v>
      </c>
      <c r="Q81" s="836"/>
    </row>
    <row r="82" spans="2:17">
      <c r="B82" s="34" t="str">
        <f t="shared" si="7"/>
        <v>CNGWA511</v>
      </c>
      <c r="C82" s="34" t="s">
        <v>400</v>
      </c>
      <c r="D82" s="837">
        <f>SUM(D73:D81)</f>
        <v>1429107.1600000001</v>
      </c>
      <c r="E82" s="837">
        <f t="shared" ref="E82:O82" si="9">SUM(E73:E81)</f>
        <v>1166367.8599999999</v>
      </c>
      <c r="F82" s="837">
        <f t="shared" si="9"/>
        <v>1260953.1700000002</v>
      </c>
      <c r="G82" s="837">
        <f t="shared" si="9"/>
        <v>1240393.4899999998</v>
      </c>
      <c r="H82" s="837">
        <f t="shared" si="9"/>
        <v>648531.86</v>
      </c>
      <c r="I82" s="837">
        <f t="shared" si="9"/>
        <v>703270.21</v>
      </c>
      <c r="J82" s="837">
        <f t="shared" si="9"/>
        <v>644034.55000000005</v>
      </c>
      <c r="K82" s="837">
        <f t="shared" si="9"/>
        <v>477189.5</v>
      </c>
      <c r="L82" s="837">
        <f t="shared" si="9"/>
        <v>502305.69</v>
      </c>
      <c r="M82" s="837">
        <f t="shared" si="9"/>
        <v>602654.64</v>
      </c>
      <c r="N82" s="837">
        <f t="shared" si="9"/>
        <v>851283.67</v>
      </c>
      <c r="O82" s="837">
        <f t="shared" si="9"/>
        <v>1310386.2399999998</v>
      </c>
      <c r="P82" s="838">
        <f t="shared" si="8"/>
        <v>10836478.040000001</v>
      </c>
      <c r="Q82" s="836"/>
    </row>
    <row r="83" spans="2:17">
      <c r="C83" s="839" t="s">
        <v>149</v>
      </c>
      <c r="D83" s="837"/>
      <c r="E83" s="837"/>
      <c r="F83" s="837"/>
      <c r="G83" s="837"/>
      <c r="H83" s="837"/>
      <c r="I83" s="837"/>
      <c r="J83" s="837"/>
      <c r="K83" s="837"/>
      <c r="L83" s="837"/>
      <c r="M83" s="837"/>
      <c r="N83" s="837"/>
      <c r="O83" s="837"/>
      <c r="P83" s="838">
        <f t="shared" si="8"/>
        <v>0</v>
      </c>
      <c r="Q83" s="836"/>
    </row>
    <row r="84" spans="2:17">
      <c r="C84" s="839"/>
      <c r="D84" s="837"/>
      <c r="E84" s="837"/>
      <c r="F84" s="837"/>
      <c r="G84" s="837"/>
      <c r="H84" s="837"/>
      <c r="I84" s="837"/>
      <c r="J84" s="837"/>
      <c r="K84" s="837"/>
      <c r="L84" s="837"/>
      <c r="M84" s="837"/>
      <c r="N84" s="837"/>
      <c r="O84" s="837"/>
      <c r="P84" s="838">
        <f t="shared" si="8"/>
        <v>0</v>
      </c>
      <c r="Q84" s="836"/>
    </row>
    <row r="85" spans="2:17">
      <c r="C85" s="783" t="s">
        <v>172</v>
      </c>
      <c r="D85" s="904"/>
      <c r="E85" s="904"/>
      <c r="F85" s="904"/>
      <c r="G85" s="904"/>
      <c r="H85" s="904"/>
      <c r="I85" s="904"/>
      <c r="J85" s="904"/>
      <c r="K85" s="904"/>
      <c r="L85" s="904"/>
      <c r="M85" s="904"/>
      <c r="N85" s="904"/>
      <c r="O85" s="904"/>
      <c r="P85" s="838">
        <f t="shared" si="8"/>
        <v>0</v>
      </c>
      <c r="Q85" s="836"/>
    </row>
    <row r="86" spans="2:17">
      <c r="B86" s="34" t="str">
        <f>$C$85</f>
        <v>CNGW04LV</v>
      </c>
      <c r="C86" s="34" t="s">
        <v>401</v>
      </c>
      <c r="D86" s="837">
        <v>4552</v>
      </c>
      <c r="E86" s="837">
        <v>4887</v>
      </c>
      <c r="F86" s="837">
        <v>4650</v>
      </c>
      <c r="G86" s="837">
        <v>4903</v>
      </c>
      <c r="H86" s="837">
        <v>3889</v>
      </c>
      <c r="I86" s="837">
        <v>2219</v>
      </c>
      <c r="J86" s="837">
        <v>2099</v>
      </c>
      <c r="K86" s="837">
        <v>943</v>
      </c>
      <c r="L86" s="837">
        <v>816</v>
      </c>
      <c r="M86" s="837">
        <v>643</v>
      </c>
      <c r="N86" s="837">
        <v>3290</v>
      </c>
      <c r="O86" s="837">
        <v>5658</v>
      </c>
      <c r="P86" s="838">
        <f t="shared" si="8"/>
        <v>38549</v>
      </c>
      <c r="Q86" s="836"/>
    </row>
    <row r="87" spans="2:17">
      <c r="B87" s="34" t="str">
        <f t="shared" ref="B87:B102" si="10">$C$85</f>
        <v>CNGW04LV</v>
      </c>
      <c r="C87" s="34" t="s">
        <v>481</v>
      </c>
      <c r="D87" s="837">
        <v>0</v>
      </c>
      <c r="E87" s="837">
        <v>0</v>
      </c>
      <c r="F87" s="837">
        <v>0</v>
      </c>
      <c r="G87" s="837">
        <v>0</v>
      </c>
      <c r="H87" s="837">
        <v>0</v>
      </c>
      <c r="I87" s="837">
        <v>0</v>
      </c>
      <c r="J87" s="837">
        <v>0</v>
      </c>
      <c r="K87" s="837">
        <v>0</v>
      </c>
      <c r="L87" s="837">
        <v>0</v>
      </c>
      <c r="M87" s="837">
        <v>0</v>
      </c>
      <c r="N87" s="837">
        <v>0</v>
      </c>
      <c r="O87" s="837">
        <v>0</v>
      </c>
      <c r="P87" s="838">
        <f t="shared" si="8"/>
        <v>0</v>
      </c>
      <c r="Q87" s="836"/>
    </row>
    <row r="88" spans="2:17">
      <c r="B88" s="34" t="str">
        <f t="shared" si="10"/>
        <v>CNGW04LV</v>
      </c>
      <c r="C88" s="34" t="s">
        <v>482</v>
      </c>
      <c r="D88" s="837">
        <v>0</v>
      </c>
      <c r="E88" s="837">
        <v>0</v>
      </c>
      <c r="F88" s="837">
        <v>0</v>
      </c>
      <c r="G88" s="837">
        <v>0</v>
      </c>
      <c r="H88" s="837">
        <v>0</v>
      </c>
      <c r="I88" s="837">
        <v>0</v>
      </c>
      <c r="J88" s="837">
        <v>0</v>
      </c>
      <c r="K88" s="837">
        <v>0</v>
      </c>
      <c r="L88" s="837">
        <v>0</v>
      </c>
      <c r="M88" s="837">
        <v>0</v>
      </c>
      <c r="N88" s="837">
        <v>0</v>
      </c>
      <c r="O88" s="837">
        <v>0</v>
      </c>
      <c r="P88" s="838">
        <f t="shared" si="8"/>
        <v>0</v>
      </c>
      <c r="Q88" s="836"/>
    </row>
    <row r="89" spans="2:17">
      <c r="B89" s="34" t="str">
        <f t="shared" si="10"/>
        <v>CNGW04LV</v>
      </c>
      <c r="C89" s="34" t="s">
        <v>483</v>
      </c>
      <c r="D89" s="837">
        <v>4552</v>
      </c>
      <c r="E89" s="837">
        <v>4887</v>
      </c>
      <c r="F89" s="837">
        <v>4650</v>
      </c>
      <c r="G89" s="837">
        <v>4903</v>
      </c>
      <c r="H89" s="837">
        <v>3889</v>
      </c>
      <c r="I89" s="837">
        <v>2219</v>
      </c>
      <c r="J89" s="837">
        <v>2099</v>
      </c>
      <c r="K89" s="837">
        <v>943</v>
      </c>
      <c r="L89" s="837">
        <v>816</v>
      </c>
      <c r="M89" s="837">
        <v>643</v>
      </c>
      <c r="N89" s="837">
        <v>3290</v>
      </c>
      <c r="O89" s="837">
        <v>5658</v>
      </c>
      <c r="P89" s="838">
        <f t="shared" si="8"/>
        <v>38549</v>
      </c>
      <c r="Q89" s="836"/>
    </row>
    <row r="90" spans="2:17">
      <c r="B90" s="34" t="str">
        <f t="shared" si="10"/>
        <v>CNGW04LV</v>
      </c>
      <c r="C90" s="34" t="s">
        <v>484</v>
      </c>
      <c r="D90" s="837">
        <v>4887</v>
      </c>
      <c r="E90" s="837">
        <v>4650</v>
      </c>
      <c r="F90" s="837">
        <v>4903</v>
      </c>
      <c r="G90" s="837">
        <v>3889</v>
      </c>
      <c r="H90" s="837">
        <v>2219</v>
      </c>
      <c r="I90" s="837">
        <v>2099</v>
      </c>
      <c r="J90" s="837">
        <v>943</v>
      </c>
      <c r="K90" s="837">
        <v>816</v>
      </c>
      <c r="L90" s="837">
        <v>643</v>
      </c>
      <c r="M90" s="837">
        <v>3290</v>
      </c>
      <c r="N90" s="837">
        <v>5658</v>
      </c>
      <c r="O90" s="837">
        <v>7535</v>
      </c>
      <c r="P90" s="838">
        <f t="shared" si="8"/>
        <v>41532</v>
      </c>
      <c r="Q90" s="836"/>
    </row>
    <row r="91" spans="2:17">
      <c r="B91" s="34" t="str">
        <f t="shared" si="10"/>
        <v>CNGW04LV</v>
      </c>
      <c r="C91" s="34" t="s">
        <v>485</v>
      </c>
      <c r="D91" s="837">
        <v>4887</v>
      </c>
      <c r="E91" s="837">
        <v>4650</v>
      </c>
      <c r="F91" s="837">
        <v>4903</v>
      </c>
      <c r="G91" s="837">
        <v>3889</v>
      </c>
      <c r="H91" s="837">
        <v>2219</v>
      </c>
      <c r="I91" s="837">
        <v>2099</v>
      </c>
      <c r="J91" s="837">
        <v>943</v>
      </c>
      <c r="K91" s="837">
        <v>816</v>
      </c>
      <c r="L91" s="837">
        <v>643</v>
      </c>
      <c r="M91" s="837">
        <v>3290</v>
      </c>
      <c r="N91" s="837">
        <v>5658</v>
      </c>
      <c r="O91" s="837">
        <v>7535</v>
      </c>
      <c r="P91" s="838">
        <f t="shared" si="8"/>
        <v>41532</v>
      </c>
      <c r="Q91" s="836"/>
    </row>
    <row r="92" spans="2:17">
      <c r="B92" s="34" t="str">
        <f t="shared" si="10"/>
        <v>CNGW04LV</v>
      </c>
      <c r="C92" s="839" t="s">
        <v>149</v>
      </c>
      <c r="D92" s="837"/>
      <c r="E92" s="837"/>
      <c r="F92" s="837"/>
      <c r="G92" s="837"/>
      <c r="H92" s="837"/>
      <c r="I92" s="837"/>
      <c r="J92" s="837"/>
      <c r="K92" s="837"/>
      <c r="L92" s="837"/>
      <c r="M92" s="837"/>
      <c r="N92" s="837"/>
      <c r="O92" s="837"/>
      <c r="P92" s="838">
        <f t="shared" si="8"/>
        <v>0</v>
      </c>
      <c r="Q92" s="836"/>
    </row>
    <row r="93" spans="2:17">
      <c r="B93" s="34" t="str">
        <f t="shared" si="10"/>
        <v>CNGW04LV</v>
      </c>
      <c r="C93" s="34" t="s">
        <v>486</v>
      </c>
      <c r="D93" s="837">
        <v>4036.85</v>
      </c>
      <c r="E93" s="837">
        <v>4332.9399999999996</v>
      </c>
      <c r="F93" s="837">
        <v>4123.4799999999996</v>
      </c>
      <c r="G93" s="837">
        <v>4463.8599999999997</v>
      </c>
      <c r="H93" s="837">
        <v>3543.52</v>
      </c>
      <c r="I93" s="837">
        <v>2027.78</v>
      </c>
      <c r="J93" s="837">
        <v>1918.88</v>
      </c>
      <c r="K93" s="837">
        <v>869.67</v>
      </c>
      <c r="L93" s="837">
        <v>754.39</v>
      </c>
      <c r="M93" s="837">
        <v>597.38</v>
      </c>
      <c r="N93" s="837">
        <v>2999.85</v>
      </c>
      <c r="O93" s="837">
        <v>5079.4399999999996</v>
      </c>
      <c r="P93" s="838">
        <f t="shared" si="8"/>
        <v>34748.039999999994</v>
      </c>
      <c r="Q93" s="836"/>
    </row>
    <row r="94" spans="2:17">
      <c r="B94" s="34" t="str">
        <f t="shared" si="10"/>
        <v>CNGW04LV</v>
      </c>
      <c r="C94" s="34" t="s">
        <v>143</v>
      </c>
      <c r="D94" s="837">
        <v>0</v>
      </c>
      <c r="E94" s="837">
        <v>0</v>
      </c>
      <c r="F94" s="837">
        <v>0</v>
      </c>
      <c r="G94" s="837">
        <v>0</v>
      </c>
      <c r="H94" s="837">
        <v>0</v>
      </c>
      <c r="I94" s="837">
        <v>0</v>
      </c>
      <c r="J94" s="837">
        <v>0</v>
      </c>
      <c r="K94" s="837">
        <v>0</v>
      </c>
      <c r="L94" s="837">
        <v>0</v>
      </c>
      <c r="M94" s="837">
        <v>0</v>
      </c>
      <c r="N94" s="837">
        <v>0</v>
      </c>
      <c r="O94" s="837">
        <v>0</v>
      </c>
      <c r="P94" s="838">
        <f t="shared" si="8"/>
        <v>0</v>
      </c>
      <c r="Q94" s="836"/>
    </row>
    <row r="95" spans="2:17">
      <c r="B95" s="34" t="str">
        <f t="shared" si="10"/>
        <v>CNGW04LV</v>
      </c>
      <c r="C95" s="34" t="s">
        <v>144</v>
      </c>
      <c r="D95" s="837">
        <v>0</v>
      </c>
      <c r="E95" s="837">
        <v>0</v>
      </c>
      <c r="F95" s="837">
        <v>0</v>
      </c>
      <c r="G95" s="837">
        <v>0</v>
      </c>
      <c r="H95" s="837">
        <v>0</v>
      </c>
      <c r="I95" s="837">
        <v>0</v>
      </c>
      <c r="J95" s="837">
        <v>0</v>
      </c>
      <c r="K95" s="837">
        <v>0</v>
      </c>
      <c r="L95" s="837">
        <v>0</v>
      </c>
      <c r="M95" s="837">
        <v>0</v>
      </c>
      <c r="N95" s="837">
        <v>0</v>
      </c>
      <c r="O95" s="837">
        <v>0</v>
      </c>
      <c r="P95" s="838">
        <f t="shared" si="8"/>
        <v>0</v>
      </c>
      <c r="Q95" s="836"/>
    </row>
    <row r="96" spans="2:17">
      <c r="B96" s="34" t="str">
        <f t="shared" si="10"/>
        <v>CNGW04LV</v>
      </c>
      <c r="C96" s="34" t="s">
        <v>145</v>
      </c>
      <c r="D96" s="837">
        <v>-3110.14</v>
      </c>
      <c r="E96" s="837">
        <v>-982.17</v>
      </c>
      <c r="F96" s="837">
        <v>-1193.6300000000001</v>
      </c>
      <c r="G96" s="837">
        <v>-950.35</v>
      </c>
      <c r="H96" s="837">
        <v>-542.34</v>
      </c>
      <c r="I96" s="837">
        <v>-515.52</v>
      </c>
      <c r="J96" s="837">
        <v>-218.64</v>
      </c>
      <c r="K96" s="837">
        <v>-197.84</v>
      </c>
      <c r="L96" s="837">
        <v>-129.71</v>
      </c>
      <c r="M96" s="837">
        <v>-793.33</v>
      </c>
      <c r="N96" s="837">
        <v>-1370.18</v>
      </c>
      <c r="O96" s="837">
        <v>-1825.07</v>
      </c>
      <c r="P96" s="838">
        <f t="shared" si="8"/>
        <v>-11828.920000000002</v>
      </c>
      <c r="Q96" s="836"/>
    </row>
    <row r="97" spans="2:17">
      <c r="B97" s="34" t="str">
        <f t="shared" si="10"/>
        <v>CNGW04LV</v>
      </c>
      <c r="C97" s="34" t="s">
        <v>487</v>
      </c>
      <c r="D97" s="837">
        <v>-15.66</v>
      </c>
      <c r="E97" s="837">
        <v>-16.329999999999998</v>
      </c>
      <c r="F97" s="837">
        <v>-15.92</v>
      </c>
      <c r="G97" s="837">
        <v>-15.75</v>
      </c>
      <c r="H97" s="837">
        <v>-11.79</v>
      </c>
      <c r="I97" s="837">
        <v>-7.4</v>
      </c>
      <c r="J97" s="837">
        <v>-6.15</v>
      </c>
      <c r="K97" s="837">
        <v>-3.08</v>
      </c>
      <c r="L97" s="837">
        <v>-2.62</v>
      </c>
      <c r="M97" s="837">
        <v>-4.3099999999999996</v>
      </c>
      <c r="N97" s="837">
        <v>128.12</v>
      </c>
      <c r="O97" s="837">
        <v>167.35</v>
      </c>
      <c r="P97" s="838">
        <f t="shared" si="8"/>
        <v>196.45999999999998</v>
      </c>
      <c r="Q97" s="836"/>
    </row>
    <row r="98" spans="2:17">
      <c r="B98" s="34" t="str">
        <f t="shared" si="10"/>
        <v>CNGW04LV</v>
      </c>
      <c r="C98" s="34" t="s">
        <v>488</v>
      </c>
      <c r="D98" s="837">
        <v>0</v>
      </c>
      <c r="E98" s="837">
        <v>5344.32</v>
      </c>
      <c r="F98" s="837">
        <v>984.42</v>
      </c>
      <c r="G98" s="837">
        <v>0</v>
      </c>
      <c r="H98" s="837">
        <v>0</v>
      </c>
      <c r="I98" s="837">
        <v>8412.4500000000007</v>
      </c>
      <c r="J98" s="837">
        <v>0.3</v>
      </c>
      <c r="K98" s="837">
        <v>4122.34</v>
      </c>
      <c r="L98" s="837">
        <v>0</v>
      </c>
      <c r="M98" s="837">
        <v>2668.52</v>
      </c>
      <c r="N98" s="837">
        <v>-11292.02</v>
      </c>
      <c r="O98" s="837">
        <v>15025.1</v>
      </c>
      <c r="P98" s="838">
        <f t="shared" si="8"/>
        <v>25265.43</v>
      </c>
      <c r="Q98" s="836"/>
    </row>
    <row r="99" spans="2:17">
      <c r="B99" s="34" t="str">
        <f t="shared" si="10"/>
        <v>CNGW04LV</v>
      </c>
      <c r="C99" s="34" t="s">
        <v>174</v>
      </c>
      <c r="D99" s="837">
        <v>0</v>
      </c>
      <c r="E99" s="837">
        <v>0</v>
      </c>
      <c r="F99" s="837">
        <v>0</v>
      </c>
      <c r="G99" s="837">
        <v>0</v>
      </c>
      <c r="H99" s="837">
        <v>0</v>
      </c>
      <c r="I99" s="837">
        <v>0</v>
      </c>
      <c r="J99" s="837">
        <v>0</v>
      </c>
      <c r="K99" s="837">
        <v>0</v>
      </c>
      <c r="L99" s="837">
        <v>0</v>
      </c>
      <c r="M99" s="837">
        <v>0</v>
      </c>
      <c r="N99" s="837">
        <v>15.9</v>
      </c>
      <c r="O99" s="837">
        <v>0</v>
      </c>
      <c r="P99" s="838">
        <f t="shared" si="8"/>
        <v>15.9</v>
      </c>
      <c r="Q99" s="836"/>
    </row>
    <row r="100" spans="2:17">
      <c r="B100" s="34" t="str">
        <f t="shared" si="10"/>
        <v>CNGW04LV</v>
      </c>
      <c r="C100" s="34" t="s">
        <v>175</v>
      </c>
      <c r="D100" s="837">
        <v>-4024.61</v>
      </c>
      <c r="E100" s="837">
        <v>-4319.79</v>
      </c>
      <c r="F100" s="837">
        <v>-4110.97</v>
      </c>
      <c r="G100" s="837">
        <v>-4450.67</v>
      </c>
      <c r="H100" s="837">
        <v>-3533.06</v>
      </c>
      <c r="I100" s="837">
        <v>-2021.81</v>
      </c>
      <c r="J100" s="837">
        <v>-1913.23</v>
      </c>
      <c r="K100" s="837">
        <v>-867.13</v>
      </c>
      <c r="L100" s="837">
        <v>-752.18999999999994</v>
      </c>
      <c r="M100" s="837">
        <v>-595.65</v>
      </c>
      <c r="N100" s="837">
        <v>-2991</v>
      </c>
      <c r="O100" s="837">
        <v>-5064.2199999999993</v>
      </c>
      <c r="P100" s="838">
        <f t="shared" si="8"/>
        <v>-34644.33</v>
      </c>
      <c r="Q100" s="836"/>
    </row>
    <row r="101" spans="2:17">
      <c r="B101" s="34" t="str">
        <f t="shared" si="10"/>
        <v>CNGW04LV</v>
      </c>
      <c r="C101" s="34" t="s">
        <v>176</v>
      </c>
      <c r="D101" s="837">
        <v>4319.79</v>
      </c>
      <c r="E101" s="837">
        <v>4110.9699999999993</v>
      </c>
      <c r="F101" s="837">
        <v>4450.67</v>
      </c>
      <c r="G101" s="837">
        <v>3533.06</v>
      </c>
      <c r="H101" s="837">
        <v>2021.81</v>
      </c>
      <c r="I101" s="837">
        <v>1913.23</v>
      </c>
      <c r="J101" s="837">
        <v>867.13</v>
      </c>
      <c r="K101" s="837">
        <v>752.18999999999994</v>
      </c>
      <c r="L101" s="837">
        <v>595.65</v>
      </c>
      <c r="M101" s="837">
        <v>2991</v>
      </c>
      <c r="N101" s="837">
        <v>5064.2199999999993</v>
      </c>
      <c r="O101" s="837">
        <v>6739.66</v>
      </c>
      <c r="P101" s="838">
        <f t="shared" si="8"/>
        <v>37359.380000000005</v>
      </c>
      <c r="Q101" s="836"/>
    </row>
    <row r="102" spans="2:17">
      <c r="B102" s="34" t="str">
        <f t="shared" si="10"/>
        <v>CNGW04LV</v>
      </c>
      <c r="C102" s="34" t="s">
        <v>400</v>
      </c>
      <c r="D102" s="837">
        <f>SUM(D93:D101)</f>
        <v>1206.23</v>
      </c>
      <c r="E102" s="837">
        <f t="shared" ref="E102:O102" si="11">SUM(E93:E101)</f>
        <v>8469.9399999999987</v>
      </c>
      <c r="F102" s="837">
        <f t="shared" si="11"/>
        <v>4238.0499999999993</v>
      </c>
      <c r="G102" s="837">
        <f t="shared" si="11"/>
        <v>2580.1499999999996</v>
      </c>
      <c r="H102" s="837">
        <f t="shared" si="11"/>
        <v>1478.1399999999999</v>
      </c>
      <c r="I102" s="837">
        <f t="shared" si="11"/>
        <v>9808.7300000000014</v>
      </c>
      <c r="J102" s="837">
        <f t="shared" si="11"/>
        <v>648.29000000000008</v>
      </c>
      <c r="K102" s="837">
        <f t="shared" si="11"/>
        <v>4676.1499999999996</v>
      </c>
      <c r="L102" s="837">
        <f t="shared" si="11"/>
        <v>465.52</v>
      </c>
      <c r="M102" s="837">
        <f t="shared" si="11"/>
        <v>4863.6099999999997</v>
      </c>
      <c r="N102" s="837">
        <f t="shared" si="11"/>
        <v>-7445.1100000000006</v>
      </c>
      <c r="O102" s="837">
        <f t="shared" si="11"/>
        <v>20122.260000000002</v>
      </c>
      <c r="P102" s="838">
        <f t="shared" si="8"/>
        <v>51111.96</v>
      </c>
      <c r="Q102" s="836"/>
    </row>
    <row r="103" spans="2:17">
      <c r="C103" s="839" t="s">
        <v>149</v>
      </c>
      <c r="D103" s="837"/>
      <c r="E103" s="837"/>
      <c r="F103" s="837"/>
      <c r="G103" s="837"/>
      <c r="P103" s="838">
        <f t="shared" si="8"/>
        <v>0</v>
      </c>
      <c r="Q103" s="836"/>
    </row>
    <row r="104" spans="2:17">
      <c r="C104" s="839"/>
      <c r="D104" s="837"/>
      <c r="E104" s="837"/>
      <c r="F104" s="837"/>
      <c r="G104" s="837"/>
      <c r="H104" s="837"/>
      <c r="I104" s="837"/>
      <c r="J104" s="837"/>
      <c r="K104" s="837"/>
      <c r="L104" s="837"/>
      <c r="M104" s="837"/>
      <c r="N104" s="837"/>
      <c r="O104" s="837"/>
      <c r="P104" s="838">
        <f t="shared" si="8"/>
        <v>0</v>
      </c>
      <c r="Q104" s="836"/>
    </row>
    <row r="105" spans="2:17">
      <c r="C105" s="783" t="s">
        <v>178</v>
      </c>
      <c r="D105" s="904"/>
      <c r="E105" s="904"/>
      <c r="F105" s="904"/>
      <c r="G105" s="904"/>
      <c r="H105" s="904"/>
      <c r="I105" s="904"/>
      <c r="J105" s="904"/>
      <c r="K105" s="904"/>
      <c r="L105" s="904"/>
      <c r="M105" s="904"/>
      <c r="N105" s="904"/>
      <c r="O105" s="904"/>
      <c r="P105" s="838">
        <f t="shared" si="8"/>
        <v>0</v>
      </c>
      <c r="Q105" s="836"/>
    </row>
    <row r="106" spans="2:17">
      <c r="B106" s="34" t="str">
        <f>$C$105</f>
        <v>CNGW05LV</v>
      </c>
      <c r="C106" s="34" t="s">
        <v>401</v>
      </c>
      <c r="D106" s="837">
        <v>261</v>
      </c>
      <c r="E106" s="837">
        <v>85</v>
      </c>
      <c r="F106" s="837">
        <v>341</v>
      </c>
      <c r="G106" s="837">
        <v>182</v>
      </c>
      <c r="H106" s="837">
        <v>193</v>
      </c>
      <c r="I106" s="837">
        <v>0</v>
      </c>
      <c r="J106" s="837">
        <v>0</v>
      </c>
      <c r="K106" s="837">
        <v>0</v>
      </c>
      <c r="L106" s="837">
        <v>0</v>
      </c>
      <c r="M106" s="837">
        <v>0</v>
      </c>
      <c r="N106" s="837">
        <v>0</v>
      </c>
      <c r="O106" s="837">
        <v>0</v>
      </c>
      <c r="P106" s="838">
        <f t="shared" si="8"/>
        <v>1062</v>
      </c>
      <c r="Q106" s="836"/>
    </row>
    <row r="107" spans="2:17">
      <c r="B107" s="34" t="str">
        <f t="shared" ref="B107:B122" si="12">$C$105</f>
        <v>CNGW05LV</v>
      </c>
      <c r="C107" s="34" t="s">
        <v>481</v>
      </c>
      <c r="D107" s="837">
        <v>0</v>
      </c>
      <c r="E107" s="837">
        <v>0</v>
      </c>
      <c r="F107" s="837">
        <v>0</v>
      </c>
      <c r="G107" s="837">
        <v>0</v>
      </c>
      <c r="H107" s="837">
        <v>0</v>
      </c>
      <c r="I107" s="837">
        <v>0</v>
      </c>
      <c r="J107" s="837">
        <v>0</v>
      </c>
      <c r="K107" s="837">
        <v>0</v>
      </c>
      <c r="L107" s="837">
        <v>0</v>
      </c>
      <c r="M107" s="837">
        <v>0</v>
      </c>
      <c r="N107" s="837">
        <v>0</v>
      </c>
      <c r="O107" s="837">
        <v>0</v>
      </c>
      <c r="P107" s="838">
        <f t="shared" si="8"/>
        <v>0</v>
      </c>
      <c r="Q107" s="836"/>
    </row>
    <row r="108" spans="2:17">
      <c r="B108" s="34" t="str">
        <f t="shared" si="12"/>
        <v>CNGW05LV</v>
      </c>
      <c r="C108" s="34" t="s">
        <v>482</v>
      </c>
      <c r="D108" s="837">
        <v>0</v>
      </c>
      <c r="E108" s="837">
        <v>0</v>
      </c>
      <c r="F108" s="837">
        <v>0</v>
      </c>
      <c r="G108" s="837">
        <v>0</v>
      </c>
      <c r="H108" s="837">
        <v>0</v>
      </c>
      <c r="I108" s="837">
        <v>0</v>
      </c>
      <c r="J108" s="837">
        <v>0</v>
      </c>
      <c r="K108" s="837">
        <v>0</v>
      </c>
      <c r="L108" s="837">
        <v>0</v>
      </c>
      <c r="M108" s="837">
        <v>0</v>
      </c>
      <c r="N108" s="837">
        <v>0</v>
      </c>
      <c r="O108" s="837">
        <v>0</v>
      </c>
      <c r="P108" s="838">
        <f t="shared" si="8"/>
        <v>0</v>
      </c>
      <c r="Q108" s="836"/>
    </row>
    <row r="109" spans="2:17">
      <c r="B109" s="34" t="str">
        <f t="shared" si="12"/>
        <v>CNGW05LV</v>
      </c>
      <c r="C109" s="34" t="s">
        <v>483</v>
      </c>
      <c r="D109" s="837">
        <v>261</v>
      </c>
      <c r="E109" s="837">
        <v>85</v>
      </c>
      <c r="F109" s="837">
        <v>341</v>
      </c>
      <c r="G109" s="837">
        <v>182</v>
      </c>
      <c r="H109" s="837">
        <v>193</v>
      </c>
      <c r="I109" s="837">
        <v>0</v>
      </c>
      <c r="J109" s="837">
        <v>0</v>
      </c>
      <c r="K109" s="837">
        <v>0</v>
      </c>
      <c r="L109" s="837">
        <v>0</v>
      </c>
      <c r="M109" s="837">
        <v>0</v>
      </c>
      <c r="N109" s="837">
        <v>0</v>
      </c>
      <c r="O109" s="837">
        <v>0</v>
      </c>
      <c r="P109" s="838">
        <f t="shared" si="8"/>
        <v>1062</v>
      </c>
      <c r="Q109" s="836"/>
    </row>
    <row r="110" spans="2:17">
      <c r="B110" s="34" t="str">
        <f t="shared" si="12"/>
        <v>CNGW05LV</v>
      </c>
      <c r="C110" s="34" t="s">
        <v>484</v>
      </c>
      <c r="D110" s="837">
        <v>85</v>
      </c>
      <c r="E110" s="837">
        <v>341</v>
      </c>
      <c r="F110" s="837">
        <v>182</v>
      </c>
      <c r="G110" s="837">
        <v>193</v>
      </c>
      <c r="H110" s="837">
        <v>0</v>
      </c>
      <c r="I110" s="837">
        <v>0</v>
      </c>
      <c r="J110" s="837">
        <v>0</v>
      </c>
      <c r="K110" s="837">
        <v>0</v>
      </c>
      <c r="L110" s="837">
        <v>0</v>
      </c>
      <c r="M110" s="837">
        <v>0</v>
      </c>
      <c r="N110" s="837">
        <v>0</v>
      </c>
      <c r="O110" s="837">
        <v>0</v>
      </c>
      <c r="P110" s="838">
        <f t="shared" si="8"/>
        <v>801</v>
      </c>
      <c r="Q110" s="836"/>
    </row>
    <row r="111" spans="2:17">
      <c r="B111" s="34" t="str">
        <f t="shared" si="12"/>
        <v>CNGW05LV</v>
      </c>
      <c r="C111" s="34" t="s">
        <v>485</v>
      </c>
      <c r="D111" s="837">
        <v>85</v>
      </c>
      <c r="E111" s="837">
        <v>341</v>
      </c>
      <c r="F111" s="837">
        <v>182</v>
      </c>
      <c r="G111" s="837">
        <v>193</v>
      </c>
      <c r="H111" s="837">
        <v>0</v>
      </c>
      <c r="I111" s="837">
        <v>0</v>
      </c>
      <c r="J111" s="837">
        <v>0</v>
      </c>
      <c r="K111" s="837">
        <v>0</v>
      </c>
      <c r="L111" s="837">
        <v>0</v>
      </c>
      <c r="M111" s="837">
        <v>0</v>
      </c>
      <c r="N111" s="837">
        <v>0</v>
      </c>
      <c r="O111" s="837">
        <v>0</v>
      </c>
      <c r="P111" s="838">
        <f t="shared" si="8"/>
        <v>801</v>
      </c>
      <c r="Q111" s="836"/>
    </row>
    <row r="112" spans="2:17">
      <c r="B112" s="34" t="str">
        <f t="shared" si="12"/>
        <v>CNGW05LV</v>
      </c>
      <c r="C112" s="839" t="s">
        <v>149</v>
      </c>
      <c r="D112" s="837"/>
      <c r="E112" s="837"/>
      <c r="F112" s="837"/>
      <c r="G112" s="837"/>
      <c r="H112" s="837"/>
      <c r="I112" s="837"/>
      <c r="J112" s="837"/>
      <c r="K112" s="837"/>
      <c r="L112" s="837"/>
      <c r="M112" s="837"/>
      <c r="N112" s="837"/>
      <c r="O112" s="837"/>
      <c r="P112" s="838">
        <f t="shared" si="8"/>
        <v>0</v>
      </c>
      <c r="Q112" s="836"/>
    </row>
    <row r="113" spans="2:17">
      <c r="B113" s="34" t="str">
        <f t="shared" si="12"/>
        <v>CNGW05LV</v>
      </c>
      <c r="C113" s="34" t="s">
        <v>486</v>
      </c>
      <c r="D113" s="837">
        <v>258.63</v>
      </c>
      <c r="E113" s="837">
        <v>124.7</v>
      </c>
      <c r="F113" s="837">
        <v>319.52</v>
      </c>
      <c r="G113" s="837">
        <v>201.54</v>
      </c>
      <c r="H113" s="837">
        <v>210.09</v>
      </c>
      <c r="I113" s="837">
        <v>60</v>
      </c>
      <c r="J113" s="837">
        <v>60</v>
      </c>
      <c r="K113" s="837">
        <v>60</v>
      </c>
      <c r="L113" s="837">
        <v>60</v>
      </c>
      <c r="M113" s="837">
        <v>60</v>
      </c>
      <c r="N113" s="837">
        <v>60</v>
      </c>
      <c r="O113" s="837">
        <v>60</v>
      </c>
      <c r="P113" s="838">
        <f t="shared" si="8"/>
        <v>1534.4799999999998</v>
      </c>
      <c r="Q113" s="836"/>
    </row>
    <row r="114" spans="2:17">
      <c r="B114" s="34" t="str">
        <f t="shared" si="12"/>
        <v>CNGW05LV</v>
      </c>
      <c r="C114" s="34" t="s">
        <v>143</v>
      </c>
      <c r="D114" s="837">
        <v>0</v>
      </c>
      <c r="E114" s="837">
        <v>0</v>
      </c>
      <c r="F114" s="837">
        <v>0</v>
      </c>
      <c r="G114" s="837">
        <v>0</v>
      </c>
      <c r="H114" s="837">
        <v>0</v>
      </c>
      <c r="I114" s="837">
        <v>0</v>
      </c>
      <c r="J114" s="837">
        <v>0</v>
      </c>
      <c r="K114" s="837">
        <v>0</v>
      </c>
      <c r="L114" s="837">
        <v>0</v>
      </c>
      <c r="M114" s="837">
        <v>0</v>
      </c>
      <c r="N114" s="837">
        <v>0</v>
      </c>
      <c r="O114" s="837">
        <v>0</v>
      </c>
      <c r="P114" s="838">
        <f t="shared" si="8"/>
        <v>0</v>
      </c>
      <c r="Q114" s="836"/>
    </row>
    <row r="115" spans="2:17">
      <c r="B115" s="34" t="str">
        <f t="shared" si="12"/>
        <v>CNGW05LV</v>
      </c>
      <c r="C115" s="34" t="s">
        <v>144</v>
      </c>
      <c r="D115" s="837">
        <v>0</v>
      </c>
      <c r="E115" s="837">
        <v>0</v>
      </c>
      <c r="F115" s="837">
        <v>0</v>
      </c>
      <c r="G115" s="837">
        <v>0</v>
      </c>
      <c r="H115" s="837">
        <v>0</v>
      </c>
      <c r="I115" s="837">
        <v>0</v>
      </c>
      <c r="J115" s="837">
        <v>0</v>
      </c>
      <c r="K115" s="837">
        <v>0</v>
      </c>
      <c r="L115" s="837">
        <v>0</v>
      </c>
      <c r="M115" s="837">
        <v>0</v>
      </c>
      <c r="N115" s="837">
        <v>0</v>
      </c>
      <c r="O115" s="837">
        <v>0</v>
      </c>
      <c r="P115" s="838">
        <f t="shared" si="8"/>
        <v>0</v>
      </c>
      <c r="Q115" s="836"/>
    </row>
    <row r="116" spans="2:17">
      <c r="B116" s="34" t="str">
        <f t="shared" si="12"/>
        <v>CNGW05LV</v>
      </c>
      <c r="C116" s="34" t="s">
        <v>145</v>
      </c>
      <c r="D116" s="837">
        <v>483.06</v>
      </c>
      <c r="E116" s="837">
        <v>362.25</v>
      </c>
      <c r="F116" s="837">
        <v>463.56</v>
      </c>
      <c r="G116" s="837">
        <v>353.91</v>
      </c>
      <c r="H116" s="837">
        <v>285.11</v>
      </c>
      <c r="I116" s="837">
        <v>211.79</v>
      </c>
      <c r="J116" s="837">
        <v>187.39</v>
      </c>
      <c r="K116" s="837">
        <v>198.78</v>
      </c>
      <c r="L116" s="837">
        <v>227.75</v>
      </c>
      <c r="M116" s="837">
        <v>364.68</v>
      </c>
      <c r="N116" s="837">
        <v>347.5</v>
      </c>
      <c r="O116" s="837">
        <v>516.03</v>
      </c>
      <c r="P116" s="838">
        <f t="shared" si="8"/>
        <v>4001.8099999999995</v>
      </c>
      <c r="Q116" s="836"/>
    </row>
    <row r="117" spans="2:17">
      <c r="B117" s="34" t="str">
        <f t="shared" si="12"/>
        <v>CNGW05LV</v>
      </c>
      <c r="C117" s="34" t="s">
        <v>487</v>
      </c>
      <c r="D117" s="837">
        <v>0.08</v>
      </c>
      <c r="E117" s="837">
        <v>1.85</v>
      </c>
      <c r="F117" s="837">
        <v>0.51</v>
      </c>
      <c r="G117" s="837">
        <v>0.84</v>
      </c>
      <c r="H117" s="837">
        <v>-0.31</v>
      </c>
      <c r="I117" s="837">
        <v>0</v>
      </c>
      <c r="J117" s="837">
        <v>0</v>
      </c>
      <c r="K117" s="837">
        <v>0</v>
      </c>
      <c r="L117" s="837">
        <v>0</v>
      </c>
      <c r="M117" s="837">
        <v>0</v>
      </c>
      <c r="N117" s="837">
        <v>0</v>
      </c>
      <c r="O117" s="837">
        <v>0</v>
      </c>
      <c r="P117" s="838">
        <f t="shared" si="8"/>
        <v>2.97</v>
      </c>
      <c r="Q117" s="836"/>
    </row>
    <row r="118" spans="2:17">
      <c r="B118" s="34" t="str">
        <f t="shared" si="12"/>
        <v>CNGW05LV</v>
      </c>
      <c r="C118" s="34" t="s">
        <v>488</v>
      </c>
      <c r="D118" s="837">
        <v>0</v>
      </c>
      <c r="E118" s="837">
        <v>0</v>
      </c>
      <c r="F118" s="837">
        <v>0</v>
      </c>
      <c r="G118" s="837">
        <v>0</v>
      </c>
      <c r="H118" s="837">
        <v>0</v>
      </c>
      <c r="I118" s="837">
        <v>0</v>
      </c>
      <c r="J118" s="837">
        <v>0</v>
      </c>
      <c r="K118" s="837">
        <v>0</v>
      </c>
      <c r="L118" s="837">
        <v>0</v>
      </c>
      <c r="M118" s="837">
        <v>0</v>
      </c>
      <c r="N118" s="837">
        <v>0</v>
      </c>
      <c r="O118" s="837">
        <v>0</v>
      </c>
      <c r="P118" s="838">
        <f t="shared" si="8"/>
        <v>0</v>
      </c>
      <c r="Q118" s="836"/>
    </row>
    <row r="119" spans="2:17">
      <c r="B119" s="34" t="str">
        <f t="shared" si="12"/>
        <v>CNGW05LV</v>
      </c>
      <c r="C119" s="34" t="s">
        <v>174</v>
      </c>
      <c r="D119" s="837">
        <v>0</v>
      </c>
      <c r="E119" s="837">
        <v>0</v>
      </c>
      <c r="F119" s="837">
        <v>0</v>
      </c>
      <c r="G119" s="837">
        <v>0</v>
      </c>
      <c r="H119" s="837">
        <v>0</v>
      </c>
      <c r="I119" s="837">
        <v>0</v>
      </c>
      <c r="J119" s="837">
        <v>0</v>
      </c>
      <c r="K119" s="837">
        <v>0</v>
      </c>
      <c r="L119" s="837">
        <v>0</v>
      </c>
      <c r="M119" s="837">
        <v>0</v>
      </c>
      <c r="N119" s="837">
        <v>-15.9</v>
      </c>
      <c r="O119" s="837">
        <v>0</v>
      </c>
      <c r="P119" s="838">
        <f t="shared" si="8"/>
        <v>-15.9</v>
      </c>
      <c r="Q119" s="836"/>
    </row>
    <row r="120" spans="2:17">
      <c r="B120" s="34" t="str">
        <f t="shared" si="12"/>
        <v>CNGW05LV</v>
      </c>
      <c r="C120" s="34" t="s">
        <v>175</v>
      </c>
      <c r="D120" s="837">
        <v>-258.19</v>
      </c>
      <c r="E120" s="837">
        <v>-124.56</v>
      </c>
      <c r="F120" s="837">
        <v>-318.95</v>
      </c>
      <c r="G120" s="837">
        <v>-201.23999999999998</v>
      </c>
      <c r="H120" s="837">
        <v>-209.77</v>
      </c>
      <c r="I120" s="837">
        <v>-60</v>
      </c>
      <c r="J120" s="837">
        <v>-60</v>
      </c>
      <c r="K120" s="837">
        <v>-60</v>
      </c>
      <c r="L120" s="837">
        <v>-60</v>
      </c>
      <c r="M120" s="837">
        <v>-60</v>
      </c>
      <c r="N120" s="837">
        <v>-60</v>
      </c>
      <c r="O120" s="837">
        <v>-60</v>
      </c>
      <c r="P120" s="838">
        <f t="shared" si="8"/>
        <v>-1532.71</v>
      </c>
      <c r="Q120" s="836"/>
    </row>
    <row r="121" spans="2:17">
      <c r="B121" s="34" t="str">
        <f t="shared" si="12"/>
        <v>CNGW05LV</v>
      </c>
      <c r="C121" s="34" t="s">
        <v>176</v>
      </c>
      <c r="D121" s="837">
        <v>124.56</v>
      </c>
      <c r="E121" s="837">
        <v>318.95</v>
      </c>
      <c r="F121" s="837">
        <v>201.23999999999998</v>
      </c>
      <c r="G121" s="837">
        <v>209.77</v>
      </c>
      <c r="H121" s="837">
        <v>60</v>
      </c>
      <c r="I121" s="837">
        <v>60</v>
      </c>
      <c r="J121" s="837">
        <v>60</v>
      </c>
      <c r="K121" s="837">
        <v>60</v>
      </c>
      <c r="L121" s="837">
        <v>60</v>
      </c>
      <c r="M121" s="837">
        <v>60</v>
      </c>
      <c r="N121" s="837">
        <v>60</v>
      </c>
      <c r="O121" s="837">
        <v>60</v>
      </c>
      <c r="P121" s="838">
        <f t="shared" si="8"/>
        <v>1334.52</v>
      </c>
      <c r="Q121" s="836"/>
    </row>
    <row r="122" spans="2:17">
      <c r="B122" s="34" t="str">
        <f t="shared" si="12"/>
        <v>CNGW05LV</v>
      </c>
      <c r="C122" s="34" t="s">
        <v>400</v>
      </c>
      <c r="D122" s="837">
        <f>SUM(D113:D121)</f>
        <v>608.1400000000001</v>
      </c>
      <c r="E122" s="837">
        <f t="shared" ref="E122:O122" si="13">SUM(E113:E121)</f>
        <v>683.19</v>
      </c>
      <c r="F122" s="837">
        <f t="shared" si="13"/>
        <v>665.87999999999988</v>
      </c>
      <c r="G122" s="837">
        <f t="shared" si="13"/>
        <v>564.82000000000005</v>
      </c>
      <c r="H122" s="837">
        <f t="shared" si="13"/>
        <v>345.12</v>
      </c>
      <c r="I122" s="837">
        <f t="shared" si="13"/>
        <v>271.78999999999996</v>
      </c>
      <c r="J122" s="837">
        <f t="shared" si="13"/>
        <v>247.39</v>
      </c>
      <c r="K122" s="837">
        <f t="shared" si="13"/>
        <v>258.77999999999997</v>
      </c>
      <c r="L122" s="837">
        <f t="shared" si="13"/>
        <v>287.75</v>
      </c>
      <c r="M122" s="837">
        <f t="shared" si="13"/>
        <v>424.68</v>
      </c>
      <c r="N122" s="837">
        <f t="shared" si="13"/>
        <v>391.6</v>
      </c>
      <c r="O122" s="837">
        <f t="shared" si="13"/>
        <v>576.03</v>
      </c>
      <c r="P122" s="838">
        <f t="shared" si="8"/>
        <v>5325.17</v>
      </c>
      <c r="Q122" s="836"/>
    </row>
    <row r="123" spans="2:17">
      <c r="C123" s="839" t="s">
        <v>149</v>
      </c>
      <c r="D123" s="837"/>
      <c r="E123" s="837"/>
      <c r="F123" s="837"/>
      <c r="G123" s="837"/>
      <c r="H123" s="837"/>
      <c r="I123" s="837"/>
      <c r="J123" s="837"/>
      <c r="K123" s="837"/>
      <c r="L123" s="837"/>
      <c r="M123" s="837"/>
      <c r="N123" s="837"/>
      <c r="O123" s="837"/>
      <c r="P123" s="838">
        <f t="shared" si="8"/>
        <v>0</v>
      </c>
      <c r="Q123" s="836"/>
    </row>
    <row r="124" spans="2:17">
      <c r="C124" s="839"/>
      <c r="P124" s="838">
        <f t="shared" si="8"/>
        <v>0</v>
      </c>
      <c r="Q124" s="836"/>
    </row>
    <row r="125" spans="2:17">
      <c r="C125" s="783" t="s">
        <v>186</v>
      </c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838">
        <f t="shared" si="8"/>
        <v>0</v>
      </c>
      <c r="Q125" s="836"/>
    </row>
    <row r="126" spans="2:17">
      <c r="B126" s="34" t="str">
        <f>$C$125</f>
        <v>CNGWA570</v>
      </c>
      <c r="C126" s="34" t="s">
        <v>401</v>
      </c>
      <c r="D126" s="837">
        <v>254015</v>
      </c>
      <c r="E126" s="837">
        <v>256203</v>
      </c>
      <c r="F126" s="837">
        <v>228991</v>
      </c>
      <c r="G126" s="837">
        <v>229265</v>
      </c>
      <c r="H126" s="837">
        <v>189521</v>
      </c>
      <c r="I126" s="837">
        <v>139589</v>
      </c>
      <c r="J126" s="837">
        <v>109390</v>
      </c>
      <c r="K126" s="837">
        <v>106383</v>
      </c>
      <c r="L126" s="837">
        <v>100500</v>
      </c>
      <c r="M126" s="837">
        <v>94559</v>
      </c>
      <c r="N126" s="837">
        <v>178840</v>
      </c>
      <c r="O126" s="837">
        <v>220318</v>
      </c>
      <c r="P126" s="838">
        <f t="shared" si="8"/>
        <v>2107574</v>
      </c>
      <c r="Q126" s="836"/>
    </row>
    <row r="127" spans="2:17">
      <c r="B127" s="34" t="str">
        <f t="shared" ref="B127:B142" si="14">$C$125</f>
        <v>CNGWA570</v>
      </c>
      <c r="C127" s="34" t="s">
        <v>481</v>
      </c>
      <c r="D127" s="837">
        <v>0</v>
      </c>
      <c r="E127" s="837">
        <v>0</v>
      </c>
      <c r="F127" s="837">
        <v>0</v>
      </c>
      <c r="G127" s="837">
        <v>0</v>
      </c>
      <c r="H127" s="837">
        <v>0</v>
      </c>
      <c r="I127" s="837">
        <v>0</v>
      </c>
      <c r="J127" s="837">
        <v>0</v>
      </c>
      <c r="K127" s="837">
        <v>0</v>
      </c>
      <c r="L127" s="837">
        <v>0</v>
      </c>
      <c r="M127" s="837">
        <v>0</v>
      </c>
      <c r="N127" s="837">
        <v>0</v>
      </c>
      <c r="O127" s="837">
        <v>0</v>
      </c>
      <c r="P127" s="838">
        <f t="shared" si="8"/>
        <v>0</v>
      </c>
      <c r="Q127" s="836"/>
    </row>
    <row r="128" spans="2:17">
      <c r="B128" s="34" t="str">
        <f t="shared" si="14"/>
        <v>CNGWA570</v>
      </c>
      <c r="C128" s="34" t="s">
        <v>482</v>
      </c>
      <c r="D128" s="837">
        <v>0</v>
      </c>
      <c r="E128" s="837">
        <v>0</v>
      </c>
      <c r="F128" s="837">
        <v>0</v>
      </c>
      <c r="G128" s="837">
        <v>0</v>
      </c>
      <c r="H128" s="837">
        <v>0</v>
      </c>
      <c r="I128" s="837">
        <v>0</v>
      </c>
      <c r="J128" s="837">
        <v>0</v>
      </c>
      <c r="K128" s="837">
        <v>0</v>
      </c>
      <c r="L128" s="837">
        <v>0</v>
      </c>
      <c r="M128" s="837">
        <v>0</v>
      </c>
      <c r="N128" s="837">
        <v>0</v>
      </c>
      <c r="O128" s="837">
        <v>0</v>
      </c>
      <c r="P128" s="838">
        <f t="shared" si="8"/>
        <v>0</v>
      </c>
      <c r="Q128" s="836"/>
    </row>
    <row r="129" spans="2:17">
      <c r="B129" s="34" t="str">
        <f t="shared" si="14"/>
        <v>CNGWA570</v>
      </c>
      <c r="C129" s="34" t="s">
        <v>483</v>
      </c>
      <c r="D129" s="837">
        <v>254015</v>
      </c>
      <c r="E129" s="837">
        <v>256203</v>
      </c>
      <c r="F129" s="837">
        <v>228991</v>
      </c>
      <c r="G129" s="837">
        <v>229265</v>
      </c>
      <c r="H129" s="837">
        <v>189521</v>
      </c>
      <c r="I129" s="837">
        <v>139474</v>
      </c>
      <c r="J129" s="837">
        <v>109390</v>
      </c>
      <c r="K129" s="837">
        <v>106383</v>
      </c>
      <c r="L129" s="837">
        <v>100500</v>
      </c>
      <c r="M129" s="837">
        <v>94559</v>
      </c>
      <c r="N129" s="837">
        <v>178840</v>
      </c>
      <c r="O129" s="837">
        <v>220318</v>
      </c>
      <c r="P129" s="838">
        <f t="shared" si="8"/>
        <v>2107459</v>
      </c>
      <c r="Q129" s="836"/>
    </row>
    <row r="130" spans="2:17">
      <c r="B130" s="34" t="str">
        <f t="shared" si="14"/>
        <v>CNGWA570</v>
      </c>
      <c r="C130" s="34" t="s">
        <v>484</v>
      </c>
      <c r="D130" s="837">
        <v>256203</v>
      </c>
      <c r="E130" s="837">
        <v>228991</v>
      </c>
      <c r="F130" s="837">
        <v>229265</v>
      </c>
      <c r="G130" s="837">
        <v>189521</v>
      </c>
      <c r="H130" s="837">
        <v>139474</v>
      </c>
      <c r="I130" s="837">
        <v>109390</v>
      </c>
      <c r="J130" s="837">
        <v>106383</v>
      </c>
      <c r="K130" s="837">
        <v>100500</v>
      </c>
      <c r="L130" s="837">
        <v>94559</v>
      </c>
      <c r="M130" s="837">
        <v>178840</v>
      </c>
      <c r="N130" s="837">
        <v>220318</v>
      </c>
      <c r="O130" s="837">
        <v>244469</v>
      </c>
      <c r="P130" s="838">
        <f t="shared" si="8"/>
        <v>2097913</v>
      </c>
      <c r="Q130" s="836"/>
    </row>
    <row r="131" spans="2:17">
      <c r="B131" s="34" t="str">
        <f t="shared" si="14"/>
        <v>CNGWA570</v>
      </c>
      <c r="C131" s="34" t="s">
        <v>485</v>
      </c>
      <c r="D131" s="837">
        <v>256203</v>
      </c>
      <c r="E131" s="837">
        <v>228991</v>
      </c>
      <c r="F131" s="837">
        <v>229265</v>
      </c>
      <c r="G131" s="837">
        <v>189521</v>
      </c>
      <c r="H131" s="837">
        <v>139474</v>
      </c>
      <c r="I131" s="837">
        <v>109505</v>
      </c>
      <c r="J131" s="837">
        <v>106383</v>
      </c>
      <c r="K131" s="837">
        <v>100500</v>
      </c>
      <c r="L131" s="837">
        <v>94559</v>
      </c>
      <c r="M131" s="837">
        <v>178840</v>
      </c>
      <c r="N131" s="837">
        <v>220318</v>
      </c>
      <c r="O131" s="837">
        <v>244469</v>
      </c>
      <c r="P131" s="838">
        <f t="shared" si="8"/>
        <v>2098028</v>
      </c>
      <c r="Q131" s="836"/>
    </row>
    <row r="132" spans="2:17">
      <c r="B132" s="34" t="str">
        <f t="shared" si="14"/>
        <v>CNGWA570</v>
      </c>
      <c r="C132" s="839" t="s">
        <v>149</v>
      </c>
      <c r="D132" s="837"/>
      <c r="E132" s="837"/>
      <c r="F132" s="837"/>
      <c r="G132" s="837"/>
      <c r="H132" s="837"/>
      <c r="I132" s="837"/>
      <c r="J132" s="837"/>
      <c r="K132" s="837"/>
      <c r="L132" s="837"/>
      <c r="M132" s="837"/>
      <c r="N132" s="837"/>
      <c r="O132" s="837"/>
      <c r="P132" s="838">
        <f t="shared" si="8"/>
        <v>0</v>
      </c>
      <c r="Q132" s="836"/>
    </row>
    <row r="133" spans="2:17">
      <c r="B133" s="34" t="str">
        <f t="shared" si="14"/>
        <v>CNGWA570</v>
      </c>
      <c r="C133" s="34" t="s">
        <v>486</v>
      </c>
      <c r="D133" s="837">
        <v>167122.07999999999</v>
      </c>
      <c r="E133" s="837">
        <v>167894.95</v>
      </c>
      <c r="F133" s="837">
        <v>150200.95000000001</v>
      </c>
      <c r="G133" s="837">
        <v>151310.01999999999</v>
      </c>
      <c r="H133" s="837">
        <v>125663.76</v>
      </c>
      <c r="I133" s="837">
        <v>93708.81</v>
      </c>
      <c r="J133" s="837">
        <v>74162.600000000006</v>
      </c>
      <c r="K133" s="837">
        <v>72781.289999999994</v>
      </c>
      <c r="L133" s="837">
        <v>69045.06</v>
      </c>
      <c r="M133" s="837">
        <v>64832.67</v>
      </c>
      <c r="N133" s="837">
        <v>120250.87</v>
      </c>
      <c r="O133" s="837">
        <v>146423.71</v>
      </c>
      <c r="P133" s="838">
        <f t="shared" si="8"/>
        <v>1403396.77</v>
      </c>
      <c r="Q133" s="836"/>
    </row>
    <row r="134" spans="2:17">
      <c r="B134" s="34" t="str">
        <f t="shared" si="14"/>
        <v>CNGWA570</v>
      </c>
      <c r="C134" s="34" t="s">
        <v>143</v>
      </c>
      <c r="D134" s="837">
        <v>0</v>
      </c>
      <c r="E134" s="837">
        <v>0</v>
      </c>
      <c r="F134" s="837">
        <v>0</v>
      </c>
      <c r="G134" s="837">
        <v>0</v>
      </c>
      <c r="H134" s="837">
        <v>0</v>
      </c>
      <c r="I134" s="837">
        <v>0</v>
      </c>
      <c r="J134" s="837">
        <v>0</v>
      </c>
      <c r="K134" s="837">
        <v>0</v>
      </c>
      <c r="L134" s="837">
        <v>0</v>
      </c>
      <c r="M134" s="837">
        <v>0</v>
      </c>
      <c r="N134" s="837">
        <v>0</v>
      </c>
      <c r="O134" s="837">
        <v>0</v>
      </c>
      <c r="P134" s="838">
        <f t="shared" ref="P134:P197" si="15">SUM(D134:O134)</f>
        <v>0</v>
      </c>
      <c r="Q134" s="836"/>
    </row>
    <row r="135" spans="2:17">
      <c r="B135" s="34" t="str">
        <f t="shared" si="14"/>
        <v>CNGWA570</v>
      </c>
      <c r="C135" s="34" t="s">
        <v>144</v>
      </c>
      <c r="D135" s="837">
        <v>0</v>
      </c>
      <c r="E135" s="837">
        <v>0</v>
      </c>
      <c r="F135" s="837">
        <v>0</v>
      </c>
      <c r="G135" s="837">
        <v>0</v>
      </c>
      <c r="H135" s="837">
        <v>0</v>
      </c>
      <c r="I135" s="837">
        <v>0</v>
      </c>
      <c r="J135" s="837">
        <v>0</v>
      </c>
      <c r="K135" s="837">
        <v>0</v>
      </c>
      <c r="L135" s="837">
        <v>0</v>
      </c>
      <c r="M135" s="837">
        <v>0</v>
      </c>
      <c r="N135" s="837">
        <v>0</v>
      </c>
      <c r="O135" s="837">
        <v>0</v>
      </c>
      <c r="P135" s="838">
        <f t="shared" si="15"/>
        <v>0</v>
      </c>
      <c r="Q135" s="836"/>
    </row>
    <row r="136" spans="2:17">
      <c r="B136" s="34" t="str">
        <f t="shared" si="14"/>
        <v>CNGWA570</v>
      </c>
      <c r="C136" s="34" t="s">
        <v>145</v>
      </c>
      <c r="D136" s="837">
        <v>6519.79</v>
      </c>
      <c r="E136" s="837">
        <v>7768.54</v>
      </c>
      <c r="F136" s="837">
        <v>606.66</v>
      </c>
      <c r="G136" s="837">
        <v>2245.08</v>
      </c>
      <c r="H136" s="837">
        <v>2041.74</v>
      </c>
      <c r="I136" s="837">
        <v>-704.03</v>
      </c>
      <c r="J136" s="837">
        <v>-2392.9299999999998</v>
      </c>
      <c r="K136" s="837">
        <v>-1736.08</v>
      </c>
      <c r="L136" s="837">
        <v>-2022.7</v>
      </c>
      <c r="M136" s="837">
        <v>-5413.86</v>
      </c>
      <c r="N136" s="837">
        <v>-1479.58</v>
      </c>
      <c r="O136" s="837">
        <v>-1334.75</v>
      </c>
      <c r="P136" s="838">
        <f t="shared" si="15"/>
        <v>4097.8800000000019</v>
      </c>
      <c r="Q136" s="836"/>
    </row>
    <row r="137" spans="2:17">
      <c r="B137" s="34" t="str">
        <f t="shared" si="14"/>
        <v>CNGWA570</v>
      </c>
      <c r="C137" s="34" t="s">
        <v>487</v>
      </c>
      <c r="D137" s="837">
        <v>-5005.16</v>
      </c>
      <c r="E137" s="837">
        <v>-4487.55</v>
      </c>
      <c r="F137" s="837">
        <v>-4479.71</v>
      </c>
      <c r="G137" s="837">
        <v>-3722.32</v>
      </c>
      <c r="H137" s="837">
        <v>-2749.34</v>
      </c>
      <c r="I137" s="837">
        <v>-2154.17</v>
      </c>
      <c r="J137" s="837">
        <v>-2080.17</v>
      </c>
      <c r="K137" s="837">
        <v>-1966.59</v>
      </c>
      <c r="L137" s="837">
        <v>-1850.53</v>
      </c>
      <c r="M137" s="837">
        <v>-3454.08</v>
      </c>
      <c r="N137" s="837">
        <v>-2727.45</v>
      </c>
      <c r="O137" s="837">
        <v>-3036.93</v>
      </c>
      <c r="P137" s="838">
        <f t="shared" si="15"/>
        <v>-37713.999999999993</v>
      </c>
      <c r="Q137" s="836"/>
    </row>
    <row r="138" spans="2:17">
      <c r="B138" s="34" t="str">
        <f t="shared" si="14"/>
        <v>CNGWA570</v>
      </c>
      <c r="C138" s="34" t="s">
        <v>488</v>
      </c>
      <c r="D138" s="837">
        <v>0</v>
      </c>
      <c r="E138" s="837">
        <v>0</v>
      </c>
      <c r="F138" s="837">
        <v>0</v>
      </c>
      <c r="G138" s="837">
        <v>0</v>
      </c>
      <c r="H138" s="837">
        <v>0</v>
      </c>
      <c r="I138" s="837">
        <v>0</v>
      </c>
      <c r="J138" s="837">
        <v>0</v>
      </c>
      <c r="K138" s="837">
        <v>0</v>
      </c>
      <c r="L138" s="837">
        <v>0</v>
      </c>
      <c r="M138" s="837">
        <v>0</v>
      </c>
      <c r="N138" s="837">
        <v>0</v>
      </c>
      <c r="O138" s="837">
        <v>0</v>
      </c>
      <c r="P138" s="838">
        <f t="shared" si="15"/>
        <v>0</v>
      </c>
      <c r="Q138" s="836"/>
    </row>
    <row r="139" spans="2:17">
      <c r="B139" s="34" t="str">
        <f t="shared" si="14"/>
        <v>CNGWA570</v>
      </c>
      <c r="C139" s="34" t="s">
        <v>192</v>
      </c>
      <c r="D139" s="837">
        <v>0</v>
      </c>
      <c r="E139" s="837">
        <v>0</v>
      </c>
      <c r="F139" s="837">
        <v>0</v>
      </c>
      <c r="G139" s="837">
        <v>0</v>
      </c>
      <c r="H139" s="837">
        <v>0</v>
      </c>
      <c r="I139" s="837">
        <v>0</v>
      </c>
      <c r="J139" s="837">
        <v>0</v>
      </c>
      <c r="K139" s="837">
        <v>0</v>
      </c>
      <c r="L139" s="837">
        <v>0</v>
      </c>
      <c r="M139" s="837">
        <v>0</v>
      </c>
      <c r="N139" s="837">
        <v>0</v>
      </c>
      <c r="O139" s="837">
        <v>0</v>
      </c>
      <c r="P139" s="838">
        <f t="shared" si="15"/>
        <v>0</v>
      </c>
      <c r="Q139" s="836"/>
    </row>
    <row r="140" spans="2:17">
      <c r="B140" s="34" t="str">
        <f t="shared" si="14"/>
        <v>CNGWA570</v>
      </c>
      <c r="C140" s="34" t="s">
        <v>175</v>
      </c>
      <c r="D140" s="837">
        <v>-166995.06999999998</v>
      </c>
      <c r="E140" s="837">
        <v>-167766.84000000003</v>
      </c>
      <c r="F140" s="837">
        <v>-150086.45000000001</v>
      </c>
      <c r="G140" s="837">
        <v>-151195.4</v>
      </c>
      <c r="H140" s="837">
        <v>-125568.98999999999</v>
      </c>
      <c r="I140" s="837">
        <v>-93449.9</v>
      </c>
      <c r="J140" s="837">
        <v>-74107.91</v>
      </c>
      <c r="K140" s="837">
        <v>-72728.099999999991</v>
      </c>
      <c r="L140" s="837">
        <v>-68994.819999999992</v>
      </c>
      <c r="M140" s="837">
        <v>-64785.39</v>
      </c>
      <c r="N140" s="837">
        <v>-120161.45999999999</v>
      </c>
      <c r="O140" s="837">
        <v>-146313.54999999999</v>
      </c>
      <c r="P140" s="838">
        <f t="shared" si="15"/>
        <v>-1402153.88</v>
      </c>
      <c r="Q140" s="836"/>
    </row>
    <row r="141" spans="2:17">
      <c r="B141" s="34" t="str">
        <f t="shared" si="14"/>
        <v>CNGWA570</v>
      </c>
      <c r="C141" s="34" t="s">
        <v>176</v>
      </c>
      <c r="D141" s="837">
        <v>167766.84000000003</v>
      </c>
      <c r="E141" s="837">
        <v>150086.45000000001</v>
      </c>
      <c r="F141" s="837">
        <v>151195.4</v>
      </c>
      <c r="G141" s="837">
        <v>125568.98999999999</v>
      </c>
      <c r="H141" s="837">
        <v>93449.9</v>
      </c>
      <c r="I141" s="837">
        <v>74107.91</v>
      </c>
      <c r="J141" s="837">
        <v>72728.099999999991</v>
      </c>
      <c r="K141" s="837">
        <v>68994.819999999992</v>
      </c>
      <c r="L141" s="837">
        <v>64785.39</v>
      </c>
      <c r="M141" s="837">
        <v>120161.45999999999</v>
      </c>
      <c r="N141" s="837">
        <v>146313.54999999999</v>
      </c>
      <c r="O141" s="837">
        <v>161875.90000000002</v>
      </c>
      <c r="P141" s="838">
        <f t="shared" si="15"/>
        <v>1397034.71</v>
      </c>
      <c r="Q141" s="836"/>
    </row>
    <row r="142" spans="2:17">
      <c r="B142" s="34" t="str">
        <f t="shared" si="14"/>
        <v>CNGWA570</v>
      </c>
      <c r="C142" s="34" t="s">
        <v>400</v>
      </c>
      <c r="D142" s="837">
        <f>SUM(D133:D141)</f>
        <v>169408.48000000004</v>
      </c>
      <c r="E142" s="837">
        <f t="shared" ref="E142:O142" si="16">SUM(E133:E141)</f>
        <v>153495.55000000002</v>
      </c>
      <c r="F142" s="837">
        <f t="shared" si="16"/>
        <v>147436.85</v>
      </c>
      <c r="G142" s="837">
        <f t="shared" si="16"/>
        <v>124206.36999999997</v>
      </c>
      <c r="H142" s="837">
        <f t="shared" si="16"/>
        <v>92837.07</v>
      </c>
      <c r="I142" s="837">
        <f t="shared" si="16"/>
        <v>71508.62000000001</v>
      </c>
      <c r="J142" s="837">
        <f t="shared" si="16"/>
        <v>68309.69</v>
      </c>
      <c r="K142" s="837">
        <f t="shared" si="16"/>
        <v>65345.34</v>
      </c>
      <c r="L142" s="837">
        <f t="shared" si="16"/>
        <v>60962.400000000009</v>
      </c>
      <c r="M142" s="837">
        <f t="shared" si="16"/>
        <v>111340.79999999999</v>
      </c>
      <c r="N142" s="837">
        <f t="shared" si="16"/>
        <v>142195.93</v>
      </c>
      <c r="O142" s="837">
        <f t="shared" si="16"/>
        <v>157614.38000000003</v>
      </c>
      <c r="P142" s="838">
        <f t="shared" si="15"/>
        <v>1364661.4800000002</v>
      </c>
      <c r="Q142" s="836"/>
    </row>
    <row r="143" spans="2:17">
      <c r="C143" s="839" t="s">
        <v>149</v>
      </c>
      <c r="D143" s="837"/>
      <c r="E143" s="837"/>
      <c r="F143" s="837"/>
      <c r="G143" s="837"/>
      <c r="H143" s="837"/>
      <c r="I143" s="837"/>
      <c r="J143" s="837"/>
      <c r="K143" s="837"/>
      <c r="L143" s="837"/>
      <c r="M143" s="837"/>
      <c r="N143" s="837"/>
      <c r="O143" s="837"/>
      <c r="P143" s="838">
        <f t="shared" si="15"/>
        <v>0</v>
      </c>
      <c r="Q143" s="836"/>
    </row>
    <row r="144" spans="2:17">
      <c r="C144" s="839"/>
      <c r="P144" s="838">
        <f t="shared" si="15"/>
        <v>0</v>
      </c>
      <c r="Q144" s="836"/>
    </row>
    <row r="145" spans="1:17">
      <c r="A145" s="844" t="s">
        <v>309</v>
      </c>
      <c r="C145" s="783" t="s">
        <v>491</v>
      </c>
      <c r="D145" s="845"/>
      <c r="E145" s="845"/>
      <c r="F145" s="845"/>
      <c r="G145" s="845"/>
      <c r="H145" s="845"/>
      <c r="I145" s="845"/>
      <c r="J145" s="845"/>
      <c r="K145" s="845"/>
      <c r="L145" s="845"/>
      <c r="M145" s="845"/>
      <c r="N145" s="845"/>
      <c r="O145" s="845"/>
      <c r="P145" s="838">
        <f t="shared" si="15"/>
        <v>0</v>
      </c>
      <c r="Q145" s="836"/>
    </row>
    <row r="146" spans="1:17">
      <c r="A146" s="844" t="s">
        <v>492</v>
      </c>
      <c r="B146" s="34" t="str">
        <f>$C$145</f>
        <v>CNGWA6631-NC</v>
      </c>
      <c r="C146" s="34" t="s">
        <v>401</v>
      </c>
      <c r="D146" s="837">
        <v>31598380</v>
      </c>
      <c r="E146" s="837">
        <v>32459607</v>
      </c>
      <c r="F146" s="837">
        <v>30355704</v>
      </c>
      <c r="G146" s="837">
        <v>32606618</v>
      </c>
      <c r="H146" s="837">
        <v>27153851</v>
      </c>
      <c r="I146" s="837">
        <v>29220599</v>
      </c>
      <c r="J146" s="837">
        <v>26165057</v>
      </c>
      <c r="K146" s="837">
        <v>30463827</v>
      </c>
      <c r="L146" s="837">
        <v>32369567</v>
      </c>
      <c r="M146" s="837">
        <v>34257314</v>
      </c>
      <c r="N146" s="837">
        <v>36288347</v>
      </c>
      <c r="O146" s="837">
        <v>37034864</v>
      </c>
      <c r="P146" s="838">
        <f t="shared" si="15"/>
        <v>379973735</v>
      </c>
      <c r="Q146" s="836"/>
    </row>
    <row r="147" spans="1:17">
      <c r="A147" s="846">
        <v>4861</v>
      </c>
      <c r="B147" s="34" t="str">
        <f t="shared" ref="B147:B162" si="17">$C$145</f>
        <v>CNGWA6631-NC</v>
      </c>
      <c r="C147" s="34" t="s">
        <v>481</v>
      </c>
      <c r="D147" s="837">
        <v>0</v>
      </c>
      <c r="E147" s="837">
        <v>0</v>
      </c>
      <c r="F147" s="837">
        <v>0</v>
      </c>
      <c r="G147" s="837">
        <v>0</v>
      </c>
      <c r="H147" s="837">
        <v>0</v>
      </c>
      <c r="I147" s="837">
        <v>0</v>
      </c>
      <c r="J147" s="837">
        <v>0</v>
      </c>
      <c r="K147" s="837">
        <v>0</v>
      </c>
      <c r="L147" s="837">
        <v>0</v>
      </c>
      <c r="M147" s="837">
        <v>0</v>
      </c>
      <c r="N147" s="837">
        <v>0</v>
      </c>
      <c r="O147" s="837">
        <v>0</v>
      </c>
      <c r="P147" s="838">
        <f t="shared" si="15"/>
        <v>0</v>
      </c>
      <c r="Q147" s="836"/>
    </row>
    <row r="148" spans="1:17">
      <c r="B148" s="34" t="str">
        <f t="shared" si="17"/>
        <v>CNGWA6631-NC</v>
      </c>
      <c r="C148" s="34" t="s">
        <v>482</v>
      </c>
      <c r="D148" s="837">
        <v>0</v>
      </c>
      <c r="E148" s="837">
        <v>0</v>
      </c>
      <c r="F148" s="837">
        <v>0</v>
      </c>
      <c r="G148" s="837">
        <v>0</v>
      </c>
      <c r="H148" s="837">
        <v>0</v>
      </c>
      <c r="I148" s="837">
        <v>0</v>
      </c>
      <c r="J148" s="837">
        <v>0</v>
      </c>
      <c r="K148" s="837">
        <v>0</v>
      </c>
      <c r="L148" s="837">
        <v>0</v>
      </c>
      <c r="M148" s="837">
        <v>0</v>
      </c>
      <c r="N148" s="837">
        <v>0</v>
      </c>
      <c r="O148" s="837">
        <v>0</v>
      </c>
      <c r="P148" s="838">
        <f t="shared" si="15"/>
        <v>0</v>
      </c>
      <c r="Q148" s="836"/>
    </row>
    <row r="149" spans="1:17">
      <c r="B149" s="34" t="str">
        <f t="shared" si="17"/>
        <v>CNGWA6631-NC</v>
      </c>
      <c r="C149" s="34" t="s">
        <v>483</v>
      </c>
      <c r="D149" s="837">
        <v>31590271</v>
      </c>
      <c r="E149" s="837">
        <v>32459607</v>
      </c>
      <c r="F149" s="837">
        <v>30355704</v>
      </c>
      <c r="G149" s="837">
        <v>32606618</v>
      </c>
      <c r="H149" s="837">
        <v>27153616</v>
      </c>
      <c r="I149" s="837">
        <v>29220599</v>
      </c>
      <c r="J149" s="837">
        <v>27661973</v>
      </c>
      <c r="K149" s="837">
        <v>30463827</v>
      </c>
      <c r="L149" s="837">
        <v>32340707</v>
      </c>
      <c r="M149" s="837">
        <v>34211779</v>
      </c>
      <c r="N149" s="837">
        <v>36331384</v>
      </c>
      <c r="O149" s="837">
        <v>37424714</v>
      </c>
      <c r="P149" s="838">
        <f t="shared" si="15"/>
        <v>381820799</v>
      </c>
      <c r="Q149" s="836"/>
    </row>
    <row r="150" spans="1:17">
      <c r="B150" s="34" t="str">
        <f t="shared" si="17"/>
        <v>CNGWA6631-NC</v>
      </c>
      <c r="C150" s="34" t="s">
        <v>484</v>
      </c>
      <c r="D150" s="837">
        <v>32459607</v>
      </c>
      <c r="E150" s="837">
        <v>30355704</v>
      </c>
      <c r="F150" s="837">
        <v>32606618</v>
      </c>
      <c r="G150" s="837">
        <v>27153616</v>
      </c>
      <c r="H150" s="837">
        <v>29220599</v>
      </c>
      <c r="I150" s="837">
        <v>27661973</v>
      </c>
      <c r="J150" s="837">
        <v>30463827</v>
      </c>
      <c r="K150" s="837">
        <v>32340707</v>
      </c>
      <c r="L150" s="837">
        <v>34211779</v>
      </c>
      <c r="M150" s="837">
        <v>36331384</v>
      </c>
      <c r="N150" s="837">
        <v>37424714</v>
      </c>
      <c r="O150" s="837">
        <v>36823390</v>
      </c>
      <c r="P150" s="838">
        <f t="shared" si="15"/>
        <v>387053918</v>
      </c>
      <c r="Q150" s="836"/>
    </row>
    <row r="151" spans="1:17">
      <c r="B151" s="34" t="str">
        <f t="shared" si="17"/>
        <v>CNGWA6631-NC</v>
      </c>
      <c r="C151" s="34" t="s">
        <v>485</v>
      </c>
      <c r="D151" s="837">
        <v>32467716</v>
      </c>
      <c r="E151" s="837">
        <v>30355704</v>
      </c>
      <c r="F151" s="837">
        <v>32606618</v>
      </c>
      <c r="G151" s="837">
        <v>27153616</v>
      </c>
      <c r="H151" s="837">
        <v>29220834</v>
      </c>
      <c r="I151" s="837">
        <v>27661973</v>
      </c>
      <c r="J151" s="837">
        <v>28966911</v>
      </c>
      <c r="K151" s="837">
        <v>32340707</v>
      </c>
      <c r="L151" s="837">
        <v>34240639</v>
      </c>
      <c r="M151" s="837">
        <v>36376919</v>
      </c>
      <c r="N151" s="837">
        <v>37381677</v>
      </c>
      <c r="O151" s="837">
        <v>36433540</v>
      </c>
      <c r="P151" s="838">
        <f t="shared" si="15"/>
        <v>385206854</v>
      </c>
      <c r="Q151" s="836"/>
    </row>
    <row r="152" spans="1:17">
      <c r="B152" s="34" t="str">
        <f t="shared" si="17"/>
        <v>CNGWA6631-NC</v>
      </c>
      <c r="C152" s="839" t="s">
        <v>149</v>
      </c>
      <c r="D152" s="837"/>
      <c r="E152" s="837"/>
      <c r="F152" s="837"/>
      <c r="G152" s="837"/>
      <c r="H152" s="837"/>
      <c r="I152" s="837"/>
      <c r="J152" s="837"/>
      <c r="K152" s="837"/>
      <c r="L152" s="837"/>
      <c r="M152" s="837"/>
      <c r="N152" s="837"/>
      <c r="O152" s="837"/>
      <c r="P152" s="838">
        <f t="shared" si="15"/>
        <v>0</v>
      </c>
      <c r="Q152" s="836"/>
    </row>
    <row r="153" spans="1:17">
      <c r="B153" s="34" t="str">
        <f t="shared" si="17"/>
        <v>CNGWA6631-NC</v>
      </c>
      <c r="C153" s="34" t="s">
        <v>486</v>
      </c>
      <c r="D153" s="837">
        <v>1165675.3999999999</v>
      </c>
      <c r="E153" s="837">
        <v>1179792.23</v>
      </c>
      <c r="F153" s="837">
        <v>1152219.82</v>
      </c>
      <c r="G153" s="837">
        <v>1252791.8500000001</v>
      </c>
      <c r="H153" s="837">
        <v>1122609.6399999999</v>
      </c>
      <c r="I153" s="837">
        <v>1155620.92</v>
      </c>
      <c r="J153" s="837">
        <v>1159099.73</v>
      </c>
      <c r="K153" s="837">
        <v>1181248.99</v>
      </c>
      <c r="L153" s="837">
        <v>1216931.8499999999</v>
      </c>
      <c r="M153" s="837">
        <v>1292494.99</v>
      </c>
      <c r="N153" s="837">
        <v>1387865.42</v>
      </c>
      <c r="O153" s="837">
        <v>1392502.45</v>
      </c>
      <c r="P153" s="838">
        <f t="shared" si="15"/>
        <v>14658853.289999999</v>
      </c>
      <c r="Q153" s="836"/>
    </row>
    <row r="154" spans="1:17">
      <c r="B154" s="34" t="str">
        <f t="shared" si="17"/>
        <v>CNGWA6631-NC</v>
      </c>
      <c r="C154" s="34" t="s">
        <v>143</v>
      </c>
      <c r="D154" s="837">
        <v>0</v>
      </c>
      <c r="E154" s="837">
        <v>0</v>
      </c>
      <c r="F154" s="837">
        <v>0</v>
      </c>
      <c r="G154" s="837">
        <v>0</v>
      </c>
      <c r="H154" s="837">
        <v>0</v>
      </c>
      <c r="I154" s="837">
        <v>0</v>
      </c>
      <c r="J154" s="837">
        <v>0</v>
      </c>
      <c r="K154" s="837">
        <v>0</v>
      </c>
      <c r="L154" s="837">
        <v>0</v>
      </c>
      <c r="M154" s="837">
        <v>0</v>
      </c>
      <c r="N154" s="837">
        <v>0</v>
      </c>
      <c r="O154" s="837">
        <v>0</v>
      </c>
      <c r="P154" s="838">
        <f t="shared" si="15"/>
        <v>0</v>
      </c>
      <c r="Q154" s="836"/>
    </row>
    <row r="155" spans="1:17">
      <c r="B155" s="34" t="str">
        <f t="shared" si="17"/>
        <v>CNGWA6631-NC</v>
      </c>
      <c r="C155" s="34" t="s">
        <v>144</v>
      </c>
      <c r="D155" s="837">
        <v>0</v>
      </c>
      <c r="E155" s="837">
        <v>0</v>
      </c>
      <c r="F155" s="837">
        <v>0</v>
      </c>
      <c r="G155" s="837">
        <v>0</v>
      </c>
      <c r="H155" s="837">
        <v>0</v>
      </c>
      <c r="I155" s="837">
        <v>0</v>
      </c>
      <c r="J155" s="837">
        <v>0</v>
      </c>
      <c r="K155" s="837">
        <v>0</v>
      </c>
      <c r="L155" s="837">
        <v>0</v>
      </c>
      <c r="M155" s="837">
        <v>0</v>
      </c>
      <c r="N155" s="837">
        <v>0</v>
      </c>
      <c r="O155" s="837">
        <v>0</v>
      </c>
      <c r="P155" s="838">
        <f t="shared" si="15"/>
        <v>0</v>
      </c>
      <c r="Q155" s="836"/>
    </row>
    <row r="156" spans="1:17">
      <c r="B156" s="34" t="str">
        <f t="shared" si="17"/>
        <v>CNGWA6631-NC</v>
      </c>
      <c r="C156" s="34" t="s">
        <v>145</v>
      </c>
      <c r="D156" s="837">
        <v>0</v>
      </c>
      <c r="E156" s="837">
        <v>0</v>
      </c>
      <c r="F156" s="837">
        <v>0</v>
      </c>
      <c r="G156" s="837">
        <v>0</v>
      </c>
      <c r="H156" s="837">
        <v>0</v>
      </c>
      <c r="I156" s="837">
        <v>0</v>
      </c>
      <c r="J156" s="837">
        <v>0</v>
      </c>
      <c r="K156" s="837">
        <v>0</v>
      </c>
      <c r="L156" s="837">
        <v>0</v>
      </c>
      <c r="M156" s="837">
        <v>0</v>
      </c>
      <c r="N156" s="837">
        <v>0</v>
      </c>
      <c r="O156" s="837">
        <v>0</v>
      </c>
      <c r="P156" s="838">
        <f t="shared" si="15"/>
        <v>0</v>
      </c>
      <c r="Q156" s="836"/>
    </row>
    <row r="157" spans="1:17">
      <c r="B157" s="34" t="str">
        <f t="shared" si="17"/>
        <v>CNGWA6631-NC</v>
      </c>
      <c r="C157" s="34" t="s">
        <v>487</v>
      </c>
      <c r="D157" s="837">
        <v>-9163.5300000000007</v>
      </c>
      <c r="E157" s="837">
        <v>-9413.2900000000009</v>
      </c>
      <c r="F157" s="837">
        <v>-8803.15</v>
      </c>
      <c r="G157" s="837">
        <v>-9455.92</v>
      </c>
      <c r="H157" s="837">
        <v>-7874.62</v>
      </c>
      <c r="I157" s="837">
        <v>-8473.9699999999993</v>
      </c>
      <c r="J157" s="837">
        <v>-7587.87</v>
      </c>
      <c r="K157" s="837">
        <v>-8834.51</v>
      </c>
      <c r="L157" s="837">
        <v>-9387.17</v>
      </c>
      <c r="M157" s="837">
        <v>-9934.6200000000008</v>
      </c>
      <c r="N157" s="837">
        <v>-10672.45</v>
      </c>
      <c r="O157" s="837">
        <v>-10966.05</v>
      </c>
      <c r="P157" s="838">
        <f t="shared" si="15"/>
        <v>-110567.15</v>
      </c>
      <c r="Q157" s="836"/>
    </row>
    <row r="158" spans="1:17">
      <c r="B158" s="34" t="str">
        <f t="shared" si="17"/>
        <v>CNGWA6631-NC</v>
      </c>
      <c r="C158" s="34" t="s">
        <v>488</v>
      </c>
      <c r="D158" s="837">
        <v>0</v>
      </c>
      <c r="E158" s="837">
        <v>0</v>
      </c>
      <c r="F158" s="837">
        <v>0</v>
      </c>
      <c r="G158" s="837">
        <v>0</v>
      </c>
      <c r="H158" s="837">
        <v>0</v>
      </c>
      <c r="I158" s="837">
        <v>0</v>
      </c>
      <c r="J158" s="837">
        <v>0</v>
      </c>
      <c r="K158" s="837">
        <v>0</v>
      </c>
      <c r="L158" s="837">
        <v>0</v>
      </c>
      <c r="M158" s="837">
        <v>0</v>
      </c>
      <c r="N158" s="837">
        <v>0</v>
      </c>
      <c r="O158" s="837">
        <v>0</v>
      </c>
      <c r="P158" s="838">
        <f t="shared" si="15"/>
        <v>0</v>
      </c>
      <c r="Q158" s="836"/>
    </row>
    <row r="159" spans="1:17">
      <c r="B159" s="34" t="str">
        <f t="shared" si="17"/>
        <v>CNGWA6631-NC</v>
      </c>
      <c r="C159" s="34" t="s">
        <v>174</v>
      </c>
      <c r="D159" s="837">
        <v>0</v>
      </c>
      <c r="E159" s="837">
        <v>0</v>
      </c>
      <c r="F159" s="837">
        <v>0</v>
      </c>
      <c r="G159" s="837">
        <v>0</v>
      </c>
      <c r="H159" s="837">
        <v>0</v>
      </c>
      <c r="I159" s="837">
        <v>0</v>
      </c>
      <c r="J159" s="837">
        <v>0</v>
      </c>
      <c r="K159" s="837">
        <v>0</v>
      </c>
      <c r="L159" s="837">
        <v>0</v>
      </c>
      <c r="M159" s="837">
        <v>0</v>
      </c>
      <c r="N159" s="837">
        <v>0</v>
      </c>
      <c r="O159" s="837">
        <v>0</v>
      </c>
      <c r="P159" s="838">
        <f t="shared" si="15"/>
        <v>0</v>
      </c>
      <c r="Q159" s="836"/>
    </row>
    <row r="160" spans="1:17">
      <c r="B160" s="34" t="str">
        <f t="shared" si="17"/>
        <v>CNGWA6631-NC</v>
      </c>
      <c r="C160" s="34" t="s">
        <v>175</v>
      </c>
      <c r="D160" s="847">
        <v>-1153795.03</v>
      </c>
      <c r="E160" s="847">
        <v>-1170054.3999999999</v>
      </c>
      <c r="F160" s="847">
        <v>-1143113.1100000001</v>
      </c>
      <c r="G160" s="847">
        <v>-1243009.8800000001</v>
      </c>
      <c r="H160" s="847">
        <v>-1114447.8900000001</v>
      </c>
      <c r="I160" s="847">
        <v>-1146854.67</v>
      </c>
      <c r="J160" s="847">
        <v>-1162349.96</v>
      </c>
      <c r="K160" s="847">
        <v>-1169480.7899999998</v>
      </c>
      <c r="L160" s="847">
        <v>-1208166.95</v>
      </c>
      <c r="M160" s="847">
        <v>-1278193.4099999999</v>
      </c>
      <c r="N160" s="847">
        <v>-1379833.8</v>
      </c>
      <c r="O160" s="847">
        <v>-1386985.4400000002</v>
      </c>
      <c r="P160" s="838">
        <f t="shared" si="15"/>
        <v>-14556285.33</v>
      </c>
      <c r="Q160" s="836"/>
    </row>
    <row r="161" spans="2:17">
      <c r="B161" s="34" t="str">
        <f t="shared" si="17"/>
        <v>CNGWA6631-NC</v>
      </c>
      <c r="C161" s="34" t="s">
        <v>176</v>
      </c>
      <c r="D161" s="837">
        <v>1170054.3999999999</v>
      </c>
      <c r="E161" s="837">
        <v>1143113.1100000001</v>
      </c>
      <c r="F161" s="837">
        <v>1243009.8800000001</v>
      </c>
      <c r="G161" s="837">
        <v>1114447.8900000001</v>
      </c>
      <c r="H161" s="837">
        <v>1146854.67</v>
      </c>
      <c r="I161" s="837">
        <v>1162349.96</v>
      </c>
      <c r="J161" s="837">
        <v>1169480.7899999998</v>
      </c>
      <c r="K161" s="837">
        <v>1208166.95</v>
      </c>
      <c r="L161" s="837">
        <v>1278193.4099999999</v>
      </c>
      <c r="M161" s="837">
        <v>1379833.8</v>
      </c>
      <c r="N161" s="837">
        <v>1386985.4400000002</v>
      </c>
      <c r="O161" s="837">
        <v>1376986.5</v>
      </c>
      <c r="P161" s="838">
        <f t="shared" si="15"/>
        <v>14779476.799999999</v>
      </c>
      <c r="Q161" s="836"/>
    </row>
    <row r="162" spans="2:17">
      <c r="B162" s="34" t="str">
        <f t="shared" si="17"/>
        <v>CNGWA6631-NC</v>
      </c>
      <c r="C162" s="34" t="s">
        <v>400</v>
      </c>
      <c r="D162" s="837">
        <f>SUM(D153:D161)</f>
        <v>1172771.2399999998</v>
      </c>
      <c r="E162" s="837">
        <f t="shared" ref="E162:O162" si="18">SUM(E153:E161)</f>
        <v>1143437.6500000001</v>
      </c>
      <c r="F162" s="837">
        <f t="shared" si="18"/>
        <v>1243313.4400000002</v>
      </c>
      <c r="G162" s="837">
        <f t="shared" si="18"/>
        <v>1114773.9400000002</v>
      </c>
      <c r="H162" s="837">
        <f t="shared" si="18"/>
        <v>1147141.7999999996</v>
      </c>
      <c r="I162" s="837">
        <f t="shared" si="18"/>
        <v>1162642.24</v>
      </c>
      <c r="J162" s="837">
        <f t="shared" si="18"/>
        <v>1158642.6899999997</v>
      </c>
      <c r="K162" s="837">
        <f t="shared" si="18"/>
        <v>1211100.6400000001</v>
      </c>
      <c r="L162" s="837">
        <f t="shared" si="18"/>
        <v>1277571.1399999999</v>
      </c>
      <c r="M162" s="837">
        <f t="shared" si="18"/>
        <v>1384200.76</v>
      </c>
      <c r="N162" s="837">
        <f t="shared" si="18"/>
        <v>1384344.61</v>
      </c>
      <c r="O162" s="837">
        <f t="shared" si="18"/>
        <v>1371537.4599999997</v>
      </c>
      <c r="P162" s="838">
        <f t="shared" si="15"/>
        <v>14771477.609999999</v>
      </c>
      <c r="Q162" s="836"/>
    </row>
    <row r="163" spans="2:17">
      <c r="C163" s="839" t="s">
        <v>149</v>
      </c>
      <c r="D163" s="837"/>
      <c r="E163" s="837"/>
      <c r="F163" s="837"/>
      <c r="G163" s="837"/>
      <c r="H163" s="837"/>
      <c r="I163" s="837"/>
      <c r="J163" s="837"/>
      <c r="K163" s="837"/>
      <c r="L163" s="837"/>
      <c r="M163" s="837"/>
      <c r="N163" s="837"/>
      <c r="O163" s="837"/>
      <c r="P163" s="838">
        <f t="shared" si="15"/>
        <v>0</v>
      </c>
      <c r="Q163" s="836"/>
    </row>
    <row r="164" spans="2:17">
      <c r="P164" s="838">
        <f t="shared" si="15"/>
        <v>0</v>
      </c>
      <c r="Q164" s="836"/>
    </row>
    <row r="165" spans="2:17">
      <c r="C165" s="783" t="s">
        <v>213</v>
      </c>
      <c r="D165" s="783"/>
      <c r="E165" s="837"/>
      <c r="F165" s="837"/>
      <c r="G165" s="837"/>
      <c r="H165" s="837"/>
      <c r="I165" s="837"/>
      <c r="J165" s="837"/>
      <c r="K165" s="837"/>
      <c r="L165" s="837"/>
      <c r="M165" s="837"/>
      <c r="N165" s="837"/>
      <c r="O165" s="837"/>
      <c r="P165" s="838">
        <f t="shared" si="15"/>
        <v>0</v>
      </c>
      <c r="Q165" s="836"/>
    </row>
    <row r="166" spans="2:17">
      <c r="B166" s="34" t="str">
        <f>$C$165</f>
        <v>CNGWA906</v>
      </c>
      <c r="C166" s="34" t="s">
        <v>401</v>
      </c>
      <c r="D166" s="34">
        <v>4182562</v>
      </c>
      <c r="E166" s="837">
        <v>4206155</v>
      </c>
      <c r="F166" s="837">
        <v>3647038</v>
      </c>
      <c r="G166" s="837">
        <v>3745212</v>
      </c>
      <c r="H166" s="837">
        <v>3270112</v>
      </c>
      <c r="I166" s="837">
        <v>0</v>
      </c>
      <c r="J166" s="837">
        <v>0</v>
      </c>
      <c r="K166" s="837">
        <v>0</v>
      </c>
      <c r="L166" s="837">
        <v>0</v>
      </c>
      <c r="M166" s="837">
        <v>0</v>
      </c>
      <c r="N166" s="837">
        <v>0</v>
      </c>
      <c r="O166" s="837">
        <v>0</v>
      </c>
      <c r="P166" s="838">
        <f t="shared" si="15"/>
        <v>19051079</v>
      </c>
      <c r="Q166" s="836"/>
    </row>
    <row r="167" spans="2:17">
      <c r="B167" s="34" t="str">
        <f t="shared" ref="B167:B182" si="19">$C$165</f>
        <v>CNGWA906</v>
      </c>
      <c r="C167" s="34" t="s">
        <v>481</v>
      </c>
      <c r="D167" s="34">
        <v>0</v>
      </c>
      <c r="E167" s="837">
        <v>0</v>
      </c>
      <c r="F167" s="837">
        <v>0</v>
      </c>
      <c r="G167" s="837">
        <v>0</v>
      </c>
      <c r="H167" s="837">
        <v>0</v>
      </c>
      <c r="I167" s="837">
        <v>0</v>
      </c>
      <c r="J167" s="837">
        <v>0</v>
      </c>
      <c r="K167" s="837">
        <v>0</v>
      </c>
      <c r="L167" s="837">
        <v>0</v>
      </c>
      <c r="M167" s="837">
        <v>0</v>
      </c>
      <c r="N167" s="837">
        <v>0</v>
      </c>
      <c r="O167" s="837">
        <v>0</v>
      </c>
      <c r="P167" s="838">
        <f t="shared" si="15"/>
        <v>0</v>
      </c>
      <c r="Q167" s="836"/>
    </row>
    <row r="168" spans="2:17">
      <c r="B168" s="34" t="str">
        <f t="shared" si="19"/>
        <v>CNGWA906</v>
      </c>
      <c r="C168" s="34" t="s">
        <v>482</v>
      </c>
      <c r="D168" s="34">
        <v>0</v>
      </c>
      <c r="E168" s="837">
        <v>0</v>
      </c>
      <c r="F168" s="837">
        <v>0</v>
      </c>
      <c r="G168" s="837">
        <v>0</v>
      </c>
      <c r="H168" s="837">
        <v>0</v>
      </c>
      <c r="I168" s="837">
        <v>0</v>
      </c>
      <c r="J168" s="837">
        <v>0</v>
      </c>
      <c r="K168" s="837">
        <v>0</v>
      </c>
      <c r="L168" s="837">
        <v>0</v>
      </c>
      <c r="M168" s="837">
        <v>0</v>
      </c>
      <c r="N168" s="837">
        <v>0</v>
      </c>
      <c r="O168" s="837">
        <v>0</v>
      </c>
      <c r="P168" s="838">
        <f t="shared" si="15"/>
        <v>0</v>
      </c>
      <c r="Q168" s="836"/>
    </row>
    <row r="169" spans="2:17">
      <c r="B169" s="34" t="str">
        <f t="shared" si="19"/>
        <v>CNGWA906</v>
      </c>
      <c r="C169" s="34" t="s">
        <v>483</v>
      </c>
      <c r="D169" s="34">
        <v>4182562</v>
      </c>
      <c r="E169" s="837">
        <v>4206155</v>
      </c>
      <c r="F169" s="837">
        <v>3647038</v>
      </c>
      <c r="G169" s="837">
        <v>3745212</v>
      </c>
      <c r="H169" s="837">
        <v>3270112</v>
      </c>
      <c r="I169" s="837">
        <v>0</v>
      </c>
      <c r="J169" s="837">
        <v>0</v>
      </c>
      <c r="K169" s="837">
        <v>0</v>
      </c>
      <c r="L169" s="837">
        <v>0</v>
      </c>
      <c r="M169" s="837">
        <v>0</v>
      </c>
      <c r="N169" s="837">
        <v>0</v>
      </c>
      <c r="O169" s="837">
        <v>0</v>
      </c>
      <c r="P169" s="838">
        <f t="shared" si="15"/>
        <v>19051079</v>
      </c>
      <c r="Q169" s="836"/>
    </row>
    <row r="170" spans="2:17">
      <c r="B170" s="34" t="str">
        <f t="shared" si="19"/>
        <v>CNGWA906</v>
      </c>
      <c r="C170" s="34" t="s">
        <v>484</v>
      </c>
      <c r="D170" s="34">
        <v>4206155</v>
      </c>
      <c r="E170" s="837">
        <v>3647038</v>
      </c>
      <c r="F170" s="837">
        <v>3745212</v>
      </c>
      <c r="G170" s="837">
        <v>3270112</v>
      </c>
      <c r="H170" s="837">
        <v>0</v>
      </c>
      <c r="I170" s="837">
        <v>0</v>
      </c>
      <c r="J170" s="837">
        <v>0</v>
      </c>
      <c r="K170" s="837">
        <v>0</v>
      </c>
      <c r="L170" s="837">
        <v>0</v>
      </c>
      <c r="M170" s="837">
        <v>0</v>
      </c>
      <c r="N170" s="837">
        <v>0</v>
      </c>
      <c r="O170" s="837">
        <v>0</v>
      </c>
      <c r="P170" s="838">
        <f t="shared" si="15"/>
        <v>14868517</v>
      </c>
      <c r="Q170" s="836"/>
    </row>
    <row r="171" spans="2:17">
      <c r="B171" s="34" t="str">
        <f t="shared" si="19"/>
        <v>CNGWA906</v>
      </c>
      <c r="C171" s="34" t="s">
        <v>485</v>
      </c>
      <c r="D171" s="34">
        <v>4206155</v>
      </c>
      <c r="E171" s="837">
        <v>3647038</v>
      </c>
      <c r="F171" s="837">
        <v>3745212</v>
      </c>
      <c r="G171" s="837">
        <v>3270112</v>
      </c>
      <c r="H171" s="837">
        <v>0</v>
      </c>
      <c r="I171" s="837">
        <v>0</v>
      </c>
      <c r="J171" s="837">
        <v>0</v>
      </c>
      <c r="K171" s="837">
        <v>0</v>
      </c>
      <c r="L171" s="837">
        <v>0</v>
      </c>
      <c r="M171" s="837">
        <v>0</v>
      </c>
      <c r="N171" s="837">
        <v>0</v>
      </c>
      <c r="O171" s="837">
        <v>0</v>
      </c>
      <c r="P171" s="838">
        <f t="shared" si="15"/>
        <v>14868517</v>
      </c>
      <c r="Q171" s="836"/>
    </row>
    <row r="172" spans="2:17">
      <c r="B172" s="34" t="str">
        <f t="shared" si="19"/>
        <v>CNGWA906</v>
      </c>
      <c r="C172" s="839" t="s">
        <v>149</v>
      </c>
      <c r="D172" s="848"/>
      <c r="E172" s="837"/>
      <c r="F172" s="837"/>
      <c r="G172" s="837"/>
      <c r="H172" s="837"/>
      <c r="I172" s="837"/>
      <c r="J172" s="837"/>
      <c r="K172" s="837"/>
      <c r="L172" s="837"/>
      <c r="M172" s="837"/>
      <c r="N172" s="837"/>
      <c r="O172" s="837"/>
      <c r="P172" s="838">
        <f t="shared" si="15"/>
        <v>0</v>
      </c>
      <c r="Q172" s="836"/>
    </row>
    <row r="173" spans="2:17">
      <c r="B173" s="34" t="str">
        <f t="shared" si="19"/>
        <v>CNGWA906</v>
      </c>
      <c r="C173" s="34" t="s">
        <v>486</v>
      </c>
      <c r="D173" s="34">
        <v>85416.41</v>
      </c>
      <c r="E173" s="837">
        <v>85896.11</v>
      </c>
      <c r="F173" s="837">
        <v>75601.41</v>
      </c>
      <c r="G173" s="837">
        <v>76473.75</v>
      </c>
      <c r="H173" s="837">
        <v>67757.03</v>
      </c>
      <c r="I173" s="837">
        <v>0</v>
      </c>
      <c r="J173" s="837">
        <v>0</v>
      </c>
      <c r="K173" s="837">
        <v>0</v>
      </c>
      <c r="L173" s="837">
        <v>0</v>
      </c>
      <c r="M173" s="837">
        <v>0</v>
      </c>
      <c r="N173" s="837">
        <v>0</v>
      </c>
      <c r="O173" s="837">
        <v>0</v>
      </c>
      <c r="P173" s="838">
        <f t="shared" si="15"/>
        <v>391144.71000000008</v>
      </c>
      <c r="Q173" s="836"/>
    </row>
    <row r="174" spans="2:17">
      <c r="B174" s="34" t="str">
        <f t="shared" si="19"/>
        <v>CNGWA906</v>
      </c>
      <c r="C174" s="34" t="s">
        <v>143</v>
      </c>
      <c r="D174" s="34">
        <v>0</v>
      </c>
      <c r="E174" s="837">
        <v>0</v>
      </c>
      <c r="F174" s="837">
        <v>0</v>
      </c>
      <c r="G174" s="837">
        <v>0</v>
      </c>
      <c r="H174" s="837">
        <v>0</v>
      </c>
      <c r="I174" s="837">
        <v>0</v>
      </c>
      <c r="J174" s="837">
        <v>0</v>
      </c>
      <c r="K174" s="837">
        <v>0</v>
      </c>
      <c r="L174" s="837">
        <v>0</v>
      </c>
      <c r="M174" s="837">
        <v>0</v>
      </c>
      <c r="N174" s="837">
        <v>0</v>
      </c>
      <c r="O174" s="837">
        <v>0</v>
      </c>
      <c r="P174" s="838">
        <f t="shared" si="15"/>
        <v>0</v>
      </c>
      <c r="Q174" s="836"/>
    </row>
    <row r="175" spans="2:17">
      <c r="B175" s="34" t="str">
        <f t="shared" si="19"/>
        <v>CNGWA906</v>
      </c>
      <c r="C175" s="34" t="s">
        <v>144</v>
      </c>
      <c r="D175" s="34">
        <v>0</v>
      </c>
      <c r="E175" s="837">
        <v>0</v>
      </c>
      <c r="F175" s="837">
        <v>0</v>
      </c>
      <c r="G175" s="837">
        <v>0</v>
      </c>
      <c r="H175" s="837">
        <v>0</v>
      </c>
      <c r="I175" s="837">
        <v>0</v>
      </c>
      <c r="J175" s="837">
        <v>0</v>
      </c>
      <c r="K175" s="837">
        <v>0</v>
      </c>
      <c r="L175" s="837">
        <v>0</v>
      </c>
      <c r="M175" s="837">
        <v>0</v>
      </c>
      <c r="N175" s="837">
        <v>0</v>
      </c>
      <c r="O175" s="837">
        <v>0</v>
      </c>
      <c r="P175" s="838">
        <f t="shared" si="15"/>
        <v>0</v>
      </c>
      <c r="Q175" s="836"/>
    </row>
    <row r="176" spans="2:17">
      <c r="B176" s="34" t="str">
        <f t="shared" si="19"/>
        <v>CNGWA906</v>
      </c>
      <c r="C176" s="34" t="s">
        <v>145</v>
      </c>
      <c r="D176" s="34">
        <v>0</v>
      </c>
      <c r="E176" s="837">
        <v>0</v>
      </c>
      <c r="F176" s="837">
        <v>0</v>
      </c>
      <c r="G176" s="837">
        <v>0</v>
      </c>
      <c r="H176" s="837">
        <v>0</v>
      </c>
      <c r="I176" s="837">
        <v>0</v>
      </c>
      <c r="J176" s="837">
        <v>0</v>
      </c>
      <c r="K176" s="837">
        <v>0</v>
      </c>
      <c r="L176" s="837">
        <v>0</v>
      </c>
      <c r="M176" s="837">
        <v>0</v>
      </c>
      <c r="N176" s="837">
        <v>0</v>
      </c>
      <c r="O176" s="837">
        <v>0</v>
      </c>
      <c r="P176" s="838">
        <f t="shared" si="15"/>
        <v>0</v>
      </c>
      <c r="Q176" s="836"/>
    </row>
    <row r="177" spans="2:17">
      <c r="B177" s="34" t="str">
        <f t="shared" si="19"/>
        <v>CNGWA906</v>
      </c>
      <c r="C177" s="34" t="s">
        <v>487</v>
      </c>
      <c r="D177" s="34">
        <v>0</v>
      </c>
      <c r="E177" s="837">
        <v>0</v>
      </c>
      <c r="F177" s="837">
        <v>0</v>
      </c>
      <c r="G177" s="837">
        <v>0</v>
      </c>
      <c r="H177" s="837">
        <v>0</v>
      </c>
      <c r="I177" s="837">
        <v>0</v>
      </c>
      <c r="J177" s="837">
        <v>0</v>
      </c>
      <c r="K177" s="837">
        <v>0</v>
      </c>
      <c r="L177" s="837">
        <v>0</v>
      </c>
      <c r="M177" s="837">
        <v>0</v>
      </c>
      <c r="N177" s="837">
        <v>0</v>
      </c>
      <c r="O177" s="837">
        <v>0</v>
      </c>
      <c r="P177" s="838">
        <f t="shared" si="15"/>
        <v>0</v>
      </c>
      <c r="Q177" s="836"/>
    </row>
    <row r="178" spans="2:17">
      <c r="B178" s="34" t="str">
        <f t="shared" si="19"/>
        <v>CNGWA906</v>
      </c>
      <c r="C178" s="34" t="s">
        <v>488</v>
      </c>
      <c r="D178" s="34">
        <v>0</v>
      </c>
      <c r="E178" s="837">
        <v>0</v>
      </c>
      <c r="F178" s="837">
        <v>0</v>
      </c>
      <c r="G178" s="837">
        <v>0</v>
      </c>
      <c r="H178" s="837">
        <v>0</v>
      </c>
      <c r="I178" s="837">
        <v>0</v>
      </c>
      <c r="J178" s="837">
        <v>0</v>
      </c>
      <c r="K178" s="837">
        <v>0</v>
      </c>
      <c r="L178" s="837">
        <v>0</v>
      </c>
      <c r="M178" s="837">
        <v>0</v>
      </c>
      <c r="N178" s="837">
        <v>0</v>
      </c>
      <c r="O178" s="837">
        <v>0</v>
      </c>
      <c r="P178" s="838">
        <f t="shared" si="15"/>
        <v>0</v>
      </c>
      <c r="Q178" s="836"/>
    </row>
    <row r="179" spans="2:17">
      <c r="B179" s="34" t="str">
        <f t="shared" si="19"/>
        <v>CNGWA906</v>
      </c>
      <c r="C179" s="34" t="s">
        <v>174</v>
      </c>
      <c r="D179" s="34">
        <v>0</v>
      </c>
      <c r="E179" s="837">
        <v>0</v>
      </c>
      <c r="F179" s="837">
        <v>0</v>
      </c>
      <c r="G179" s="837">
        <v>0</v>
      </c>
      <c r="H179" s="837">
        <v>0</v>
      </c>
      <c r="I179" s="837">
        <v>0</v>
      </c>
      <c r="J179" s="837">
        <v>0</v>
      </c>
      <c r="K179" s="837">
        <v>0</v>
      </c>
      <c r="L179" s="837">
        <v>0</v>
      </c>
      <c r="M179" s="837">
        <v>0</v>
      </c>
      <c r="N179" s="837">
        <v>0</v>
      </c>
      <c r="O179" s="837">
        <v>0</v>
      </c>
      <c r="P179" s="838">
        <f t="shared" si="15"/>
        <v>0</v>
      </c>
      <c r="Q179" s="836"/>
    </row>
    <row r="180" spans="2:17">
      <c r="B180" s="34" t="str">
        <f t="shared" si="19"/>
        <v>CNGWA906</v>
      </c>
      <c r="C180" s="34" t="s">
        <v>175</v>
      </c>
      <c r="D180" s="34">
        <v>-85416.41</v>
      </c>
      <c r="E180" s="34">
        <v>-85896.11</v>
      </c>
      <c r="F180" s="34">
        <v>-75601.41</v>
      </c>
      <c r="G180" s="34">
        <v>-76473.75</v>
      </c>
      <c r="H180" s="34">
        <v>-67757.03</v>
      </c>
      <c r="I180" s="34">
        <v>0</v>
      </c>
      <c r="J180" s="34">
        <v>0</v>
      </c>
      <c r="K180" s="34">
        <v>0</v>
      </c>
      <c r="L180" s="34">
        <v>0</v>
      </c>
      <c r="M180" s="34">
        <v>0</v>
      </c>
      <c r="N180" s="34">
        <v>0</v>
      </c>
      <c r="O180" s="34">
        <v>0</v>
      </c>
      <c r="P180" s="838">
        <f t="shared" si="15"/>
        <v>-391144.71000000008</v>
      </c>
      <c r="Q180" s="836"/>
    </row>
    <row r="181" spans="2:17">
      <c r="B181" s="34" t="str">
        <f t="shared" si="19"/>
        <v>CNGWA906</v>
      </c>
      <c r="C181" s="34" t="s">
        <v>176</v>
      </c>
      <c r="D181" s="34">
        <v>85896.11</v>
      </c>
      <c r="E181" s="34">
        <v>75601.41</v>
      </c>
      <c r="F181" s="34">
        <v>76473.75</v>
      </c>
      <c r="G181" s="34">
        <v>67757.03</v>
      </c>
      <c r="H181" s="34">
        <v>0</v>
      </c>
      <c r="I181" s="34">
        <v>0</v>
      </c>
      <c r="J181" s="34">
        <v>0</v>
      </c>
      <c r="K181" s="34">
        <v>0</v>
      </c>
      <c r="L181" s="34">
        <v>0</v>
      </c>
      <c r="M181" s="34">
        <v>0</v>
      </c>
      <c r="N181" s="34">
        <v>0</v>
      </c>
      <c r="O181" s="34">
        <v>0</v>
      </c>
      <c r="P181" s="838">
        <f t="shared" si="15"/>
        <v>305728.30000000005</v>
      </c>
      <c r="Q181" s="836"/>
    </row>
    <row r="182" spans="2:17">
      <c r="B182" s="34" t="str">
        <f t="shared" si="19"/>
        <v>CNGWA906</v>
      </c>
      <c r="C182" s="34" t="s">
        <v>400</v>
      </c>
      <c r="D182" s="34">
        <f>SUM(D173:D181)</f>
        <v>85896.11</v>
      </c>
      <c r="E182" s="34">
        <f t="shared" ref="E182:O182" si="20">SUM(E173:E181)</f>
        <v>75601.41</v>
      </c>
      <c r="F182" s="34">
        <f t="shared" si="20"/>
        <v>76473.75</v>
      </c>
      <c r="G182" s="34">
        <f t="shared" si="20"/>
        <v>67757.03</v>
      </c>
      <c r="H182" s="34">
        <f t="shared" si="20"/>
        <v>0</v>
      </c>
      <c r="I182" s="34">
        <f t="shared" si="20"/>
        <v>0</v>
      </c>
      <c r="J182" s="34">
        <f t="shared" si="20"/>
        <v>0</v>
      </c>
      <c r="K182" s="34">
        <f t="shared" si="20"/>
        <v>0</v>
      </c>
      <c r="L182" s="34">
        <f t="shared" si="20"/>
        <v>0</v>
      </c>
      <c r="M182" s="34">
        <f t="shared" si="20"/>
        <v>0</v>
      </c>
      <c r="N182" s="34">
        <f t="shared" si="20"/>
        <v>0</v>
      </c>
      <c r="O182" s="34">
        <f t="shared" si="20"/>
        <v>0</v>
      </c>
      <c r="P182" s="838">
        <f t="shared" si="15"/>
        <v>305728.30000000005</v>
      </c>
      <c r="Q182" s="836"/>
    </row>
    <row r="183" spans="2:17">
      <c r="C183" s="839" t="s">
        <v>149</v>
      </c>
      <c r="D183" s="848"/>
      <c r="P183" s="838">
        <f t="shared" si="15"/>
        <v>0</v>
      </c>
      <c r="Q183" s="836"/>
    </row>
    <row r="184" spans="2:17">
      <c r="P184" s="838">
        <f t="shared" si="15"/>
        <v>0</v>
      </c>
      <c r="Q184" s="836"/>
    </row>
    <row r="185" spans="2:17">
      <c r="C185" s="783" t="s">
        <v>216</v>
      </c>
      <c r="D185" s="783"/>
      <c r="P185" s="838">
        <f t="shared" si="15"/>
        <v>0</v>
      </c>
      <c r="Q185" s="836"/>
    </row>
    <row r="186" spans="2:17">
      <c r="B186" s="34" t="str">
        <f>$C$185</f>
        <v>CNGWA909</v>
      </c>
      <c r="C186" s="34" t="s">
        <v>401</v>
      </c>
      <c r="D186" s="34">
        <v>2894369</v>
      </c>
      <c r="E186" s="34">
        <v>2962351</v>
      </c>
      <c r="F186" s="34">
        <v>3352730</v>
      </c>
      <c r="G186" s="34">
        <v>3019501</v>
      </c>
      <c r="H186" s="34">
        <v>2756681</v>
      </c>
      <c r="I186" s="34">
        <v>2781081</v>
      </c>
      <c r="J186" s="34">
        <v>3279559</v>
      </c>
      <c r="K186" s="34">
        <v>3353938</v>
      </c>
      <c r="L186" s="34">
        <v>3281965</v>
      </c>
      <c r="M186" s="34">
        <v>3365190</v>
      </c>
      <c r="N186" s="34">
        <v>3222482</v>
      </c>
      <c r="O186" s="34">
        <v>3733619</v>
      </c>
      <c r="P186" s="838">
        <f t="shared" si="15"/>
        <v>38003466</v>
      </c>
      <c r="Q186" s="836"/>
    </row>
    <row r="187" spans="2:17">
      <c r="B187" s="34" t="str">
        <f t="shared" ref="B187:B202" si="21">$C$185</f>
        <v>CNGWA909</v>
      </c>
      <c r="C187" s="34" t="s">
        <v>481</v>
      </c>
      <c r="D187" s="34">
        <v>0</v>
      </c>
      <c r="E187" s="34">
        <v>0</v>
      </c>
      <c r="F187" s="34">
        <v>0</v>
      </c>
      <c r="G187" s="34">
        <v>0</v>
      </c>
      <c r="H187" s="34">
        <v>0</v>
      </c>
      <c r="I187" s="34">
        <v>0</v>
      </c>
      <c r="J187" s="34">
        <v>0</v>
      </c>
      <c r="K187" s="34">
        <v>0</v>
      </c>
      <c r="L187" s="34">
        <v>0</v>
      </c>
      <c r="M187" s="34">
        <v>0</v>
      </c>
      <c r="N187" s="34">
        <v>0</v>
      </c>
      <c r="O187" s="34">
        <v>0</v>
      </c>
      <c r="P187" s="838">
        <f t="shared" si="15"/>
        <v>0</v>
      </c>
      <c r="Q187" s="836"/>
    </row>
    <row r="188" spans="2:17">
      <c r="B188" s="34" t="str">
        <f t="shared" si="21"/>
        <v>CNGWA909</v>
      </c>
      <c r="C188" s="34" t="s">
        <v>482</v>
      </c>
      <c r="D188" s="34">
        <v>0</v>
      </c>
      <c r="E188" s="34">
        <v>0</v>
      </c>
      <c r="F188" s="34">
        <v>0</v>
      </c>
      <c r="G188" s="34">
        <v>0</v>
      </c>
      <c r="H188" s="34">
        <v>0</v>
      </c>
      <c r="I188" s="34">
        <v>0</v>
      </c>
      <c r="J188" s="34">
        <v>0</v>
      </c>
      <c r="K188" s="34">
        <v>0</v>
      </c>
      <c r="L188" s="34">
        <v>0</v>
      </c>
      <c r="M188" s="34">
        <v>0</v>
      </c>
      <c r="N188" s="34">
        <v>0</v>
      </c>
      <c r="O188" s="34">
        <v>0</v>
      </c>
      <c r="P188" s="838">
        <f t="shared" si="15"/>
        <v>0</v>
      </c>
      <c r="Q188" s="836"/>
    </row>
    <row r="189" spans="2:17">
      <c r="B189" s="34" t="str">
        <f t="shared" si="21"/>
        <v>CNGWA909</v>
      </c>
      <c r="C189" s="34" t="s">
        <v>483</v>
      </c>
      <c r="D189" s="34">
        <v>2894369</v>
      </c>
      <c r="E189" s="34">
        <v>2962351</v>
      </c>
      <c r="F189" s="34">
        <v>3352730</v>
      </c>
      <c r="G189" s="34">
        <v>3019501</v>
      </c>
      <c r="H189" s="34">
        <v>2756681</v>
      </c>
      <c r="I189" s="34">
        <v>2781081</v>
      </c>
      <c r="J189" s="34">
        <v>3279559</v>
      </c>
      <c r="K189" s="34">
        <v>3353938</v>
      </c>
      <c r="L189" s="34">
        <v>3281965</v>
      </c>
      <c r="M189" s="34">
        <v>3365190</v>
      </c>
      <c r="N189" s="34">
        <v>3222482</v>
      </c>
      <c r="O189" s="34">
        <v>3733619</v>
      </c>
      <c r="P189" s="838">
        <f t="shared" si="15"/>
        <v>38003466</v>
      </c>
      <c r="Q189" s="836"/>
    </row>
    <row r="190" spans="2:17">
      <c r="B190" s="34" t="str">
        <f t="shared" si="21"/>
        <v>CNGWA909</v>
      </c>
      <c r="C190" s="34" t="s">
        <v>484</v>
      </c>
      <c r="D190" s="34">
        <v>2962351</v>
      </c>
      <c r="E190" s="34">
        <v>3352730</v>
      </c>
      <c r="F190" s="34">
        <v>3019501</v>
      </c>
      <c r="G190" s="34">
        <v>2756681</v>
      </c>
      <c r="H190" s="34">
        <v>2781081</v>
      </c>
      <c r="I190" s="34">
        <v>3279559</v>
      </c>
      <c r="J190" s="34">
        <v>3353938</v>
      </c>
      <c r="K190" s="34">
        <v>3281965</v>
      </c>
      <c r="L190" s="34">
        <v>3365190</v>
      </c>
      <c r="M190" s="34">
        <v>3222482</v>
      </c>
      <c r="N190" s="34">
        <v>3733619</v>
      </c>
      <c r="O190" s="34">
        <v>3961371</v>
      </c>
      <c r="P190" s="838">
        <f t="shared" si="15"/>
        <v>39070468</v>
      </c>
      <c r="Q190" s="836"/>
    </row>
    <row r="191" spans="2:17">
      <c r="B191" s="34" t="str">
        <f t="shared" si="21"/>
        <v>CNGWA909</v>
      </c>
      <c r="C191" s="34" t="s">
        <v>485</v>
      </c>
      <c r="D191" s="34">
        <v>2962351</v>
      </c>
      <c r="E191" s="34">
        <v>3352730</v>
      </c>
      <c r="F191" s="34">
        <v>3019501</v>
      </c>
      <c r="G191" s="34">
        <v>2756681</v>
      </c>
      <c r="H191" s="34">
        <v>2781081</v>
      </c>
      <c r="I191" s="34">
        <v>3279559</v>
      </c>
      <c r="J191" s="34">
        <v>3353938</v>
      </c>
      <c r="K191" s="34">
        <v>3281965</v>
      </c>
      <c r="L191" s="34">
        <v>3365190</v>
      </c>
      <c r="M191" s="34">
        <v>3222482</v>
      </c>
      <c r="N191" s="34">
        <v>3733619</v>
      </c>
      <c r="O191" s="34">
        <v>3961371</v>
      </c>
      <c r="P191" s="838">
        <f t="shared" si="15"/>
        <v>39070468</v>
      </c>
      <c r="Q191" s="836"/>
    </row>
    <row r="192" spans="2:17">
      <c r="B192" s="34" t="str">
        <f t="shared" si="21"/>
        <v>CNGWA909</v>
      </c>
      <c r="C192" s="839" t="s">
        <v>149</v>
      </c>
      <c r="D192" s="848"/>
      <c r="P192" s="838">
        <f t="shared" si="15"/>
        <v>0</v>
      </c>
      <c r="Q192" s="836"/>
    </row>
    <row r="193" spans="2:17">
      <c r="B193" s="34" t="str">
        <f t="shared" si="21"/>
        <v>CNGWA909</v>
      </c>
      <c r="C193" s="34" t="s">
        <v>486</v>
      </c>
      <c r="D193" s="34">
        <v>52505.4</v>
      </c>
      <c r="E193" s="34">
        <v>53674.239999999998</v>
      </c>
      <c r="F193" s="34">
        <v>60386.19</v>
      </c>
      <c r="G193" s="34">
        <v>54620.73</v>
      </c>
      <c r="H193" s="34">
        <v>50104.95</v>
      </c>
      <c r="I193" s="34">
        <v>50524.19</v>
      </c>
      <c r="J193" s="34">
        <v>59089.07</v>
      </c>
      <c r="K193" s="34">
        <v>60367.05</v>
      </c>
      <c r="L193" s="34">
        <v>59130.41</v>
      </c>
      <c r="M193" s="34">
        <v>60560.39</v>
      </c>
      <c r="N193" s="34">
        <v>55628.79</v>
      </c>
      <c r="O193" s="34">
        <v>64017.87</v>
      </c>
      <c r="P193" s="838">
        <f t="shared" si="15"/>
        <v>680609.28000000003</v>
      </c>
      <c r="Q193" s="836"/>
    </row>
    <row r="194" spans="2:17">
      <c r="B194" s="34" t="str">
        <f t="shared" si="21"/>
        <v>CNGWA909</v>
      </c>
      <c r="C194" s="34" t="s">
        <v>143</v>
      </c>
      <c r="D194" s="34">
        <v>0</v>
      </c>
      <c r="E194" s="34">
        <v>0</v>
      </c>
      <c r="F194" s="34">
        <v>0</v>
      </c>
      <c r="G194" s="34">
        <v>0</v>
      </c>
      <c r="H194" s="34">
        <v>0</v>
      </c>
      <c r="I194" s="34">
        <v>0</v>
      </c>
      <c r="J194" s="34">
        <v>0</v>
      </c>
      <c r="K194" s="34">
        <v>0</v>
      </c>
      <c r="L194" s="34">
        <v>0</v>
      </c>
      <c r="M194" s="34">
        <v>0</v>
      </c>
      <c r="N194" s="34">
        <v>0</v>
      </c>
      <c r="O194" s="34">
        <v>0</v>
      </c>
      <c r="P194" s="838">
        <f t="shared" si="15"/>
        <v>0</v>
      </c>
      <c r="Q194" s="836"/>
    </row>
    <row r="195" spans="2:17">
      <c r="B195" s="34" t="str">
        <f t="shared" si="21"/>
        <v>CNGWA909</v>
      </c>
      <c r="C195" s="34" t="s">
        <v>144</v>
      </c>
      <c r="D195" s="34">
        <v>0</v>
      </c>
      <c r="E195" s="34">
        <v>0</v>
      </c>
      <c r="F195" s="34">
        <v>0</v>
      </c>
      <c r="G195" s="34">
        <v>0</v>
      </c>
      <c r="H195" s="34">
        <v>0</v>
      </c>
      <c r="I195" s="34">
        <v>0</v>
      </c>
      <c r="J195" s="34">
        <v>0</v>
      </c>
      <c r="K195" s="34">
        <v>0</v>
      </c>
      <c r="L195" s="34">
        <v>0</v>
      </c>
      <c r="M195" s="34">
        <v>0</v>
      </c>
      <c r="N195" s="34">
        <v>0</v>
      </c>
      <c r="O195" s="34">
        <v>0</v>
      </c>
      <c r="P195" s="838">
        <f t="shared" si="15"/>
        <v>0</v>
      </c>
      <c r="Q195" s="836"/>
    </row>
    <row r="196" spans="2:17">
      <c r="B196" s="34" t="str">
        <f t="shared" si="21"/>
        <v>CNGWA909</v>
      </c>
      <c r="C196" s="34" t="s">
        <v>145</v>
      </c>
      <c r="D196" s="34">
        <v>0</v>
      </c>
      <c r="E196" s="34">
        <v>0</v>
      </c>
      <c r="F196" s="34">
        <v>0</v>
      </c>
      <c r="G196" s="34">
        <v>0</v>
      </c>
      <c r="H196" s="34">
        <v>0</v>
      </c>
      <c r="I196" s="34">
        <v>0</v>
      </c>
      <c r="J196" s="34">
        <v>0</v>
      </c>
      <c r="K196" s="34">
        <v>0</v>
      </c>
      <c r="L196" s="34">
        <v>0</v>
      </c>
      <c r="M196" s="34">
        <v>0</v>
      </c>
      <c r="N196" s="34">
        <v>0</v>
      </c>
      <c r="O196" s="34">
        <v>0</v>
      </c>
      <c r="P196" s="838">
        <f t="shared" si="15"/>
        <v>0</v>
      </c>
      <c r="Q196" s="836"/>
    </row>
    <row r="197" spans="2:17">
      <c r="B197" s="34" t="str">
        <f t="shared" si="21"/>
        <v>CNGWA909</v>
      </c>
      <c r="C197" s="34" t="s">
        <v>487</v>
      </c>
      <c r="D197" s="34">
        <v>0</v>
      </c>
      <c r="E197" s="34">
        <v>0</v>
      </c>
      <c r="F197" s="34">
        <v>0</v>
      </c>
      <c r="G197" s="34">
        <v>0</v>
      </c>
      <c r="H197" s="34">
        <v>0</v>
      </c>
      <c r="I197" s="34">
        <v>0</v>
      </c>
      <c r="J197" s="34">
        <v>0</v>
      </c>
      <c r="K197" s="34">
        <v>0</v>
      </c>
      <c r="L197" s="34">
        <v>0</v>
      </c>
      <c r="M197" s="34">
        <v>0</v>
      </c>
      <c r="N197" s="34">
        <v>0</v>
      </c>
      <c r="O197" s="34">
        <v>0</v>
      </c>
      <c r="P197" s="838">
        <f t="shared" si="15"/>
        <v>0</v>
      </c>
      <c r="Q197" s="836"/>
    </row>
    <row r="198" spans="2:17">
      <c r="B198" s="34" t="str">
        <f t="shared" si="21"/>
        <v>CNGWA909</v>
      </c>
      <c r="C198" s="34" t="s">
        <v>488</v>
      </c>
      <c r="D198" s="34">
        <v>0</v>
      </c>
      <c r="E198" s="34">
        <v>0</v>
      </c>
      <c r="F198" s="34">
        <v>0</v>
      </c>
      <c r="G198" s="34">
        <v>0</v>
      </c>
      <c r="H198" s="34">
        <v>0</v>
      </c>
      <c r="I198" s="34">
        <v>0</v>
      </c>
      <c r="J198" s="34">
        <v>0</v>
      </c>
      <c r="K198" s="34">
        <v>0</v>
      </c>
      <c r="L198" s="34">
        <v>0</v>
      </c>
      <c r="M198" s="34">
        <v>0</v>
      </c>
      <c r="N198" s="34">
        <v>0</v>
      </c>
      <c r="O198" s="34">
        <v>0</v>
      </c>
      <c r="P198" s="838">
        <f t="shared" ref="P198:P261" si="22">SUM(D198:O198)</f>
        <v>0</v>
      </c>
      <c r="Q198" s="836"/>
    </row>
    <row r="199" spans="2:17">
      <c r="B199" s="34" t="str">
        <f t="shared" si="21"/>
        <v>CNGWA909</v>
      </c>
      <c r="C199" s="34" t="s">
        <v>174</v>
      </c>
      <c r="D199" s="34">
        <v>0</v>
      </c>
      <c r="E199" s="34">
        <v>0</v>
      </c>
      <c r="F199" s="34">
        <v>0</v>
      </c>
      <c r="G199" s="34">
        <v>0</v>
      </c>
      <c r="H199" s="34">
        <v>0</v>
      </c>
      <c r="I199" s="34">
        <v>0</v>
      </c>
      <c r="J199" s="34">
        <v>0</v>
      </c>
      <c r="K199" s="34">
        <v>0</v>
      </c>
      <c r="L199" s="34">
        <v>0</v>
      </c>
      <c r="M199" s="34">
        <v>0</v>
      </c>
      <c r="N199" s="34">
        <v>0</v>
      </c>
      <c r="O199" s="34">
        <v>0</v>
      </c>
      <c r="P199" s="838">
        <f t="shared" si="22"/>
        <v>0</v>
      </c>
      <c r="Q199" s="836"/>
    </row>
    <row r="200" spans="2:17">
      <c r="B200" s="34" t="str">
        <f t="shared" si="21"/>
        <v>CNGWA909</v>
      </c>
      <c r="C200" s="34" t="s">
        <v>175</v>
      </c>
      <c r="D200" s="34">
        <v>-52505.4</v>
      </c>
      <c r="E200" s="34">
        <v>-53674.239999999998</v>
      </c>
      <c r="F200" s="34">
        <v>-60386.19</v>
      </c>
      <c r="G200" s="34">
        <v>-54620.73</v>
      </c>
      <c r="H200" s="34">
        <v>-50104.95</v>
      </c>
      <c r="I200" s="34">
        <v>-50524.19</v>
      </c>
      <c r="J200" s="34">
        <v>-59089.07</v>
      </c>
      <c r="K200" s="34">
        <v>-60367.05</v>
      </c>
      <c r="L200" s="34">
        <v>-59130.41</v>
      </c>
      <c r="M200" s="34">
        <v>-60560.39</v>
      </c>
      <c r="N200" s="34">
        <v>-55628.79</v>
      </c>
      <c r="O200" s="34">
        <v>-64017.87</v>
      </c>
      <c r="P200" s="838">
        <f t="shared" si="22"/>
        <v>-680609.28000000003</v>
      </c>
      <c r="Q200" s="836"/>
    </row>
    <row r="201" spans="2:17">
      <c r="B201" s="34" t="str">
        <f t="shared" si="21"/>
        <v>CNGWA909</v>
      </c>
      <c r="C201" s="34" t="s">
        <v>176</v>
      </c>
      <c r="D201" s="34">
        <v>53674.239999999998</v>
      </c>
      <c r="E201" s="34">
        <v>60386.19</v>
      </c>
      <c r="F201" s="34">
        <v>54620.73</v>
      </c>
      <c r="G201" s="34">
        <v>50104.95</v>
      </c>
      <c r="H201" s="34">
        <v>50524.19</v>
      </c>
      <c r="I201" s="34">
        <v>59089.07</v>
      </c>
      <c r="J201" s="34">
        <v>60367.05</v>
      </c>
      <c r="K201" s="34">
        <v>59130.41</v>
      </c>
      <c r="L201" s="34">
        <v>60560.39</v>
      </c>
      <c r="M201" s="34">
        <v>55628.79</v>
      </c>
      <c r="N201" s="34">
        <v>64017.87</v>
      </c>
      <c r="O201" s="34">
        <v>67755.88</v>
      </c>
      <c r="P201" s="838">
        <f t="shared" si="22"/>
        <v>695859.76</v>
      </c>
      <c r="Q201" s="836"/>
    </row>
    <row r="202" spans="2:17">
      <c r="B202" s="34" t="str">
        <f t="shared" si="21"/>
        <v>CNGWA909</v>
      </c>
      <c r="C202" s="34" t="s">
        <v>400</v>
      </c>
      <c r="D202" s="34">
        <f>SUM(D193:D201)</f>
        <v>53674.239999999998</v>
      </c>
      <c r="E202" s="34">
        <f t="shared" ref="E202:O202" si="23">SUM(E193:E201)</f>
        <v>60386.19</v>
      </c>
      <c r="F202" s="34">
        <f t="shared" si="23"/>
        <v>54620.73</v>
      </c>
      <c r="G202" s="34">
        <f t="shared" si="23"/>
        <v>50104.95</v>
      </c>
      <c r="H202" s="34">
        <f t="shared" si="23"/>
        <v>50524.19</v>
      </c>
      <c r="I202" s="34">
        <f t="shared" si="23"/>
        <v>59089.07</v>
      </c>
      <c r="J202" s="34">
        <f t="shared" si="23"/>
        <v>60367.05</v>
      </c>
      <c r="K202" s="34">
        <f t="shared" si="23"/>
        <v>59130.41</v>
      </c>
      <c r="L202" s="34">
        <f t="shared" si="23"/>
        <v>60560.39</v>
      </c>
      <c r="M202" s="34">
        <f t="shared" si="23"/>
        <v>55628.79</v>
      </c>
      <c r="N202" s="34">
        <f t="shared" si="23"/>
        <v>64017.87</v>
      </c>
      <c r="O202" s="34">
        <f t="shared" si="23"/>
        <v>67755.88</v>
      </c>
      <c r="P202" s="838">
        <f t="shared" si="22"/>
        <v>695859.76</v>
      </c>
      <c r="Q202" s="836"/>
    </row>
    <row r="203" spans="2:17">
      <c r="C203" s="839" t="s">
        <v>149</v>
      </c>
      <c r="P203" s="838">
        <f t="shared" si="22"/>
        <v>0</v>
      </c>
      <c r="Q203" s="836"/>
    </row>
    <row r="204" spans="2:17">
      <c r="D204" s="848"/>
      <c r="P204" s="838">
        <f t="shared" si="22"/>
        <v>0</v>
      </c>
      <c r="Q204" s="836"/>
    </row>
    <row r="205" spans="2:17">
      <c r="C205" s="783" t="s">
        <v>217</v>
      </c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838">
        <f t="shared" si="22"/>
        <v>0</v>
      </c>
      <c r="Q205" s="836"/>
    </row>
    <row r="206" spans="2:17">
      <c r="B206" s="34" t="str">
        <f>$C$205</f>
        <v>CNGWA910</v>
      </c>
      <c r="C206" s="34" t="s">
        <v>401</v>
      </c>
      <c r="D206" s="34">
        <v>777031</v>
      </c>
      <c r="E206" s="837">
        <v>872878</v>
      </c>
      <c r="F206" s="837">
        <v>759226</v>
      </c>
      <c r="G206" s="837">
        <v>723268</v>
      </c>
      <c r="H206" s="837">
        <v>192062</v>
      </c>
      <c r="I206" s="837">
        <v>435041</v>
      </c>
      <c r="J206" s="837">
        <v>679596</v>
      </c>
      <c r="K206" s="837">
        <v>405992</v>
      </c>
      <c r="L206" s="837">
        <v>636243</v>
      </c>
      <c r="M206" s="837">
        <v>645648</v>
      </c>
      <c r="N206" s="837">
        <v>801554</v>
      </c>
      <c r="O206" s="837">
        <v>658635</v>
      </c>
      <c r="P206" s="838">
        <f t="shared" si="22"/>
        <v>7587174</v>
      </c>
      <c r="Q206" s="836"/>
    </row>
    <row r="207" spans="2:17">
      <c r="B207" s="34" t="str">
        <f t="shared" ref="B207:B222" si="24">$C$205</f>
        <v>CNGWA910</v>
      </c>
      <c r="C207" s="34" t="s">
        <v>481</v>
      </c>
      <c r="D207" s="34">
        <v>0</v>
      </c>
      <c r="E207" s="837">
        <v>0</v>
      </c>
      <c r="F207" s="837">
        <v>0</v>
      </c>
      <c r="G207" s="837">
        <v>0</v>
      </c>
      <c r="H207" s="837">
        <v>0</v>
      </c>
      <c r="I207" s="837">
        <v>0</v>
      </c>
      <c r="J207" s="837">
        <v>0</v>
      </c>
      <c r="K207" s="837">
        <v>0</v>
      </c>
      <c r="L207" s="837">
        <v>0</v>
      </c>
      <c r="M207" s="837">
        <v>0</v>
      </c>
      <c r="N207" s="837">
        <v>0</v>
      </c>
      <c r="O207" s="837">
        <v>0</v>
      </c>
      <c r="P207" s="838">
        <f t="shared" si="22"/>
        <v>0</v>
      </c>
      <c r="Q207" s="836"/>
    </row>
    <row r="208" spans="2:17">
      <c r="B208" s="34" t="str">
        <f t="shared" si="24"/>
        <v>CNGWA910</v>
      </c>
      <c r="C208" s="34" t="s">
        <v>482</v>
      </c>
      <c r="D208" s="34">
        <v>0</v>
      </c>
      <c r="E208" s="837">
        <v>0</v>
      </c>
      <c r="F208" s="837">
        <v>0</v>
      </c>
      <c r="G208" s="837">
        <v>0</v>
      </c>
      <c r="H208" s="837">
        <v>0</v>
      </c>
      <c r="I208" s="837">
        <v>0</v>
      </c>
      <c r="J208" s="837">
        <v>0</v>
      </c>
      <c r="K208" s="837">
        <v>0</v>
      </c>
      <c r="L208" s="837">
        <v>0</v>
      </c>
      <c r="M208" s="837">
        <v>0</v>
      </c>
      <c r="N208" s="837">
        <v>0</v>
      </c>
      <c r="O208" s="837">
        <v>0</v>
      </c>
      <c r="P208" s="838">
        <f t="shared" si="22"/>
        <v>0</v>
      </c>
      <c r="Q208" s="836"/>
    </row>
    <row r="209" spans="2:17">
      <c r="B209" s="34" t="str">
        <f t="shared" si="24"/>
        <v>CNGWA910</v>
      </c>
      <c r="C209" s="34" t="s">
        <v>483</v>
      </c>
      <c r="D209" s="34">
        <v>777031</v>
      </c>
      <c r="E209" s="837">
        <v>872878</v>
      </c>
      <c r="F209" s="837">
        <v>759226</v>
      </c>
      <c r="G209" s="837">
        <v>723268</v>
      </c>
      <c r="H209" s="837">
        <v>192062</v>
      </c>
      <c r="I209" s="837">
        <v>435041</v>
      </c>
      <c r="J209" s="837">
        <v>679596</v>
      </c>
      <c r="K209" s="837">
        <v>405992</v>
      </c>
      <c r="L209" s="837">
        <v>636243</v>
      </c>
      <c r="M209" s="837">
        <v>645648</v>
      </c>
      <c r="N209" s="837">
        <v>801554</v>
      </c>
      <c r="O209" s="837">
        <v>658635</v>
      </c>
      <c r="P209" s="838">
        <f t="shared" si="22"/>
        <v>7587174</v>
      </c>
      <c r="Q209" s="836"/>
    </row>
    <row r="210" spans="2:17">
      <c r="B210" s="34" t="str">
        <f t="shared" si="24"/>
        <v>CNGWA910</v>
      </c>
      <c r="C210" s="34" t="s">
        <v>484</v>
      </c>
      <c r="D210" s="34">
        <v>872878</v>
      </c>
      <c r="E210" s="837">
        <v>759226</v>
      </c>
      <c r="F210" s="837">
        <v>723268</v>
      </c>
      <c r="G210" s="837">
        <v>192062</v>
      </c>
      <c r="H210" s="837">
        <v>435041</v>
      </c>
      <c r="I210" s="837">
        <v>679596</v>
      </c>
      <c r="J210" s="837">
        <v>405992</v>
      </c>
      <c r="K210" s="837">
        <v>636243</v>
      </c>
      <c r="L210" s="837">
        <v>645648</v>
      </c>
      <c r="M210" s="837">
        <v>801554</v>
      </c>
      <c r="N210" s="837">
        <v>658635</v>
      </c>
      <c r="O210" s="837">
        <v>531780</v>
      </c>
      <c r="P210" s="838">
        <f t="shared" si="22"/>
        <v>7341923</v>
      </c>
      <c r="Q210" s="836"/>
    </row>
    <row r="211" spans="2:17">
      <c r="B211" s="34" t="str">
        <f t="shared" si="24"/>
        <v>CNGWA910</v>
      </c>
      <c r="C211" s="34" t="s">
        <v>485</v>
      </c>
      <c r="D211" s="34">
        <v>872878</v>
      </c>
      <c r="E211" s="837">
        <v>759226</v>
      </c>
      <c r="F211" s="837">
        <v>723268</v>
      </c>
      <c r="G211" s="837">
        <v>192062</v>
      </c>
      <c r="H211" s="837">
        <v>435041</v>
      </c>
      <c r="I211" s="837">
        <v>679596</v>
      </c>
      <c r="J211" s="837">
        <v>405992</v>
      </c>
      <c r="K211" s="837">
        <v>636243</v>
      </c>
      <c r="L211" s="837">
        <v>645648</v>
      </c>
      <c r="M211" s="837">
        <v>801554</v>
      </c>
      <c r="N211" s="837">
        <v>658635</v>
      </c>
      <c r="O211" s="837">
        <v>531780</v>
      </c>
      <c r="P211" s="838">
        <f t="shared" si="22"/>
        <v>7341923</v>
      </c>
      <c r="Q211" s="836"/>
    </row>
    <row r="212" spans="2:17">
      <c r="B212" s="34" t="str">
        <f t="shared" si="24"/>
        <v>CNGWA910</v>
      </c>
      <c r="C212" s="839" t="s">
        <v>149</v>
      </c>
      <c r="E212" s="837"/>
      <c r="F212" s="837"/>
      <c r="G212" s="837"/>
      <c r="H212" s="837"/>
      <c r="I212" s="837"/>
      <c r="J212" s="837"/>
      <c r="K212" s="837"/>
      <c r="L212" s="837"/>
      <c r="M212" s="837"/>
      <c r="N212" s="837"/>
      <c r="O212" s="837"/>
      <c r="P212" s="838">
        <f t="shared" si="22"/>
        <v>0</v>
      </c>
      <c r="Q212" s="836"/>
    </row>
    <row r="213" spans="2:17">
      <c r="B213" s="34" t="str">
        <f t="shared" si="24"/>
        <v>CNGWA910</v>
      </c>
      <c r="C213" s="34" t="s">
        <v>486</v>
      </c>
      <c r="D213" s="34">
        <v>12883.55</v>
      </c>
      <c r="E213" s="837">
        <v>14102.39</v>
      </c>
      <c r="F213" s="837">
        <v>12657.13</v>
      </c>
      <c r="G213" s="837">
        <v>12191.82</v>
      </c>
      <c r="H213" s="837">
        <v>5441.15</v>
      </c>
      <c r="I213" s="837">
        <v>8528.98</v>
      </c>
      <c r="J213" s="837">
        <v>11636.82</v>
      </c>
      <c r="K213" s="837">
        <v>8159.82</v>
      </c>
      <c r="L213" s="837">
        <v>11085.88</v>
      </c>
      <c r="M213" s="837">
        <v>11205.41</v>
      </c>
      <c r="N213" s="837">
        <v>13245.82</v>
      </c>
      <c r="O213" s="837">
        <v>11419.04</v>
      </c>
      <c r="P213" s="838">
        <f t="shared" si="22"/>
        <v>132557.81000000003</v>
      </c>
      <c r="Q213" s="836"/>
    </row>
    <row r="214" spans="2:17">
      <c r="B214" s="34" t="str">
        <f t="shared" si="24"/>
        <v>CNGWA910</v>
      </c>
      <c r="C214" s="34" t="s">
        <v>143</v>
      </c>
      <c r="D214" s="34">
        <v>0</v>
      </c>
      <c r="E214" s="837">
        <v>0</v>
      </c>
      <c r="F214" s="837">
        <v>0</v>
      </c>
      <c r="G214" s="837">
        <v>0</v>
      </c>
      <c r="H214" s="837">
        <v>0</v>
      </c>
      <c r="I214" s="837">
        <v>0</v>
      </c>
      <c r="J214" s="837">
        <v>0</v>
      </c>
      <c r="K214" s="837">
        <v>0</v>
      </c>
      <c r="L214" s="837">
        <v>0</v>
      </c>
      <c r="M214" s="837">
        <v>0</v>
      </c>
      <c r="N214" s="837">
        <v>0</v>
      </c>
      <c r="O214" s="837">
        <v>0</v>
      </c>
      <c r="P214" s="838">
        <f t="shared" si="22"/>
        <v>0</v>
      </c>
      <c r="Q214" s="836"/>
    </row>
    <row r="215" spans="2:17">
      <c r="B215" s="34" t="str">
        <f t="shared" si="24"/>
        <v>CNGWA910</v>
      </c>
      <c r="C215" s="34" t="s">
        <v>144</v>
      </c>
      <c r="D215" s="34">
        <v>0</v>
      </c>
      <c r="E215" s="837">
        <v>0</v>
      </c>
      <c r="F215" s="837">
        <v>0</v>
      </c>
      <c r="G215" s="837">
        <v>0</v>
      </c>
      <c r="H215" s="837">
        <v>0</v>
      </c>
      <c r="I215" s="837">
        <v>0</v>
      </c>
      <c r="J215" s="837">
        <v>0</v>
      </c>
      <c r="K215" s="837">
        <v>0</v>
      </c>
      <c r="L215" s="837">
        <v>0</v>
      </c>
      <c r="M215" s="837">
        <v>0</v>
      </c>
      <c r="N215" s="837">
        <v>0</v>
      </c>
      <c r="O215" s="837">
        <v>0</v>
      </c>
      <c r="P215" s="838">
        <f t="shared" si="22"/>
        <v>0</v>
      </c>
      <c r="Q215" s="836"/>
    </row>
    <row r="216" spans="2:17">
      <c r="B216" s="34" t="str">
        <f t="shared" si="24"/>
        <v>CNGWA910</v>
      </c>
      <c r="C216" s="34" t="s">
        <v>145</v>
      </c>
      <c r="D216" s="34">
        <v>0</v>
      </c>
      <c r="E216" s="837">
        <v>0</v>
      </c>
      <c r="F216" s="837">
        <v>0</v>
      </c>
      <c r="G216" s="837">
        <v>0</v>
      </c>
      <c r="H216" s="837">
        <v>0</v>
      </c>
      <c r="I216" s="837">
        <v>0</v>
      </c>
      <c r="J216" s="837">
        <v>0</v>
      </c>
      <c r="K216" s="837">
        <v>0</v>
      </c>
      <c r="L216" s="837">
        <v>0</v>
      </c>
      <c r="M216" s="837">
        <v>0</v>
      </c>
      <c r="N216" s="837">
        <v>0</v>
      </c>
      <c r="O216" s="837">
        <v>0</v>
      </c>
      <c r="P216" s="838">
        <f t="shared" si="22"/>
        <v>0</v>
      </c>
      <c r="Q216" s="836"/>
    </row>
    <row r="217" spans="2:17">
      <c r="B217" s="34" t="str">
        <f t="shared" si="24"/>
        <v>CNGWA910</v>
      </c>
      <c r="C217" s="34" t="s">
        <v>487</v>
      </c>
      <c r="D217" s="34">
        <v>0</v>
      </c>
      <c r="E217" s="837">
        <v>0</v>
      </c>
      <c r="F217" s="837">
        <v>0</v>
      </c>
      <c r="G217" s="837">
        <v>0</v>
      </c>
      <c r="H217" s="837">
        <v>0</v>
      </c>
      <c r="I217" s="837">
        <v>0</v>
      </c>
      <c r="J217" s="837">
        <v>0</v>
      </c>
      <c r="K217" s="837">
        <v>0</v>
      </c>
      <c r="L217" s="837">
        <v>0</v>
      </c>
      <c r="M217" s="837">
        <v>0</v>
      </c>
      <c r="N217" s="837">
        <v>0</v>
      </c>
      <c r="O217" s="837">
        <v>0</v>
      </c>
      <c r="P217" s="838">
        <f t="shared" si="22"/>
        <v>0</v>
      </c>
      <c r="Q217" s="836"/>
    </row>
    <row r="218" spans="2:17">
      <c r="B218" s="34" t="str">
        <f t="shared" si="24"/>
        <v>CNGWA910</v>
      </c>
      <c r="C218" s="34" t="s">
        <v>488</v>
      </c>
      <c r="D218" s="34">
        <v>0</v>
      </c>
      <c r="E218" s="837">
        <v>0</v>
      </c>
      <c r="F218" s="837">
        <v>0</v>
      </c>
      <c r="G218" s="837">
        <v>0</v>
      </c>
      <c r="H218" s="837">
        <v>0</v>
      </c>
      <c r="I218" s="837">
        <v>0</v>
      </c>
      <c r="J218" s="837">
        <v>0</v>
      </c>
      <c r="K218" s="837">
        <v>0</v>
      </c>
      <c r="L218" s="837">
        <v>0</v>
      </c>
      <c r="M218" s="837">
        <v>0</v>
      </c>
      <c r="N218" s="837">
        <v>0</v>
      </c>
      <c r="O218" s="837">
        <v>0</v>
      </c>
      <c r="P218" s="838">
        <f t="shared" si="22"/>
        <v>0</v>
      </c>
      <c r="Q218" s="836"/>
    </row>
    <row r="219" spans="2:17">
      <c r="B219" s="34" t="str">
        <f t="shared" si="24"/>
        <v>CNGWA910</v>
      </c>
      <c r="C219" s="34" t="s">
        <v>174</v>
      </c>
      <c r="D219" s="34">
        <v>0</v>
      </c>
      <c r="E219" s="837">
        <v>0</v>
      </c>
      <c r="F219" s="837">
        <v>0</v>
      </c>
      <c r="G219" s="837">
        <v>0</v>
      </c>
      <c r="H219" s="837">
        <v>0</v>
      </c>
      <c r="I219" s="837">
        <v>0</v>
      </c>
      <c r="J219" s="837">
        <v>0</v>
      </c>
      <c r="K219" s="837">
        <v>0</v>
      </c>
      <c r="L219" s="837">
        <v>0</v>
      </c>
      <c r="M219" s="837">
        <v>0</v>
      </c>
      <c r="N219" s="837">
        <v>0</v>
      </c>
      <c r="O219" s="837">
        <v>0</v>
      </c>
      <c r="P219" s="838">
        <f t="shared" si="22"/>
        <v>0</v>
      </c>
      <c r="Q219" s="836"/>
    </row>
    <row r="220" spans="2:17">
      <c r="B220" s="34" t="str">
        <f t="shared" si="24"/>
        <v>CNGWA910</v>
      </c>
      <c r="C220" s="34" t="s">
        <v>175</v>
      </c>
      <c r="D220" s="34">
        <v>-12883.55</v>
      </c>
      <c r="E220" s="34">
        <v>-14102.39</v>
      </c>
      <c r="F220" s="34">
        <v>-12657.13</v>
      </c>
      <c r="G220" s="34">
        <v>-12191.82</v>
      </c>
      <c r="H220" s="34">
        <v>-5441.15</v>
      </c>
      <c r="I220" s="34">
        <v>-8528.98</v>
      </c>
      <c r="J220" s="34">
        <v>-11636.82</v>
      </c>
      <c r="K220" s="34">
        <v>-8159.82</v>
      </c>
      <c r="L220" s="34">
        <v>-11085.88</v>
      </c>
      <c r="M220" s="34">
        <v>-11205.41</v>
      </c>
      <c r="N220" s="34">
        <v>-13245.82</v>
      </c>
      <c r="O220" s="34">
        <v>-11419.04</v>
      </c>
      <c r="P220" s="838">
        <f t="shared" si="22"/>
        <v>-132557.81000000003</v>
      </c>
      <c r="Q220" s="836"/>
    </row>
    <row r="221" spans="2:17">
      <c r="B221" s="34" t="str">
        <f t="shared" si="24"/>
        <v>CNGWA910</v>
      </c>
      <c r="C221" s="34" t="s">
        <v>176</v>
      </c>
      <c r="D221" s="34">
        <v>14102.39</v>
      </c>
      <c r="E221" s="837">
        <v>12657.13</v>
      </c>
      <c r="F221" s="837">
        <v>12191.82</v>
      </c>
      <c r="G221" s="837">
        <v>5441.15</v>
      </c>
      <c r="H221" s="837">
        <v>8528.98</v>
      </c>
      <c r="I221" s="837">
        <v>11636.82</v>
      </c>
      <c r="J221" s="837">
        <v>8159.82</v>
      </c>
      <c r="K221" s="837">
        <v>11085.88</v>
      </c>
      <c r="L221" s="837">
        <v>11205.41</v>
      </c>
      <c r="M221" s="837">
        <v>13245.82</v>
      </c>
      <c r="N221" s="837">
        <v>11419.04</v>
      </c>
      <c r="O221" s="837">
        <v>9797.59</v>
      </c>
      <c r="P221" s="838">
        <f t="shared" si="22"/>
        <v>129471.85</v>
      </c>
      <c r="Q221" s="836"/>
    </row>
    <row r="222" spans="2:17">
      <c r="B222" s="34" t="str">
        <f t="shared" si="24"/>
        <v>CNGWA910</v>
      </c>
      <c r="C222" s="34" t="s">
        <v>400</v>
      </c>
      <c r="D222" s="34">
        <f>SUM(D213:D221)</f>
        <v>14102.39</v>
      </c>
      <c r="E222" s="34">
        <f t="shared" ref="E222:O222" si="25">SUM(E213:E221)</f>
        <v>12657.13</v>
      </c>
      <c r="F222" s="34">
        <f t="shared" si="25"/>
        <v>12191.82</v>
      </c>
      <c r="G222" s="34">
        <f t="shared" si="25"/>
        <v>5441.15</v>
      </c>
      <c r="H222" s="34">
        <f t="shared" si="25"/>
        <v>8528.98</v>
      </c>
      <c r="I222" s="34">
        <f t="shared" si="25"/>
        <v>11636.82</v>
      </c>
      <c r="J222" s="34">
        <f t="shared" si="25"/>
        <v>8159.82</v>
      </c>
      <c r="K222" s="34">
        <f t="shared" si="25"/>
        <v>11085.88</v>
      </c>
      <c r="L222" s="34">
        <f t="shared" si="25"/>
        <v>11205.41</v>
      </c>
      <c r="M222" s="34">
        <f t="shared" si="25"/>
        <v>13245.82</v>
      </c>
      <c r="N222" s="34">
        <f t="shared" si="25"/>
        <v>11419.04</v>
      </c>
      <c r="O222" s="34">
        <f t="shared" si="25"/>
        <v>9797.59</v>
      </c>
      <c r="P222" s="838">
        <f t="shared" si="22"/>
        <v>129471.85</v>
      </c>
      <c r="Q222" s="836"/>
    </row>
    <row r="223" spans="2:17">
      <c r="C223" s="839" t="s">
        <v>149</v>
      </c>
      <c r="E223" s="837"/>
      <c r="F223" s="837"/>
      <c r="G223" s="837"/>
      <c r="H223" s="837"/>
      <c r="I223" s="837"/>
      <c r="J223" s="837"/>
      <c r="K223" s="837"/>
      <c r="L223" s="837"/>
      <c r="M223" s="837"/>
      <c r="N223" s="837"/>
      <c r="O223" s="837"/>
      <c r="P223" s="838">
        <f t="shared" si="22"/>
        <v>0</v>
      </c>
      <c r="Q223" s="836"/>
    </row>
    <row r="224" spans="2:17">
      <c r="P224" s="838">
        <f t="shared" si="22"/>
        <v>0</v>
      </c>
      <c r="Q224" s="836"/>
    </row>
    <row r="225" spans="2:17">
      <c r="C225" s="783" t="s">
        <v>219</v>
      </c>
      <c r="E225" s="837"/>
      <c r="F225" s="837"/>
      <c r="G225" s="837"/>
      <c r="H225" s="837"/>
      <c r="I225" s="837"/>
      <c r="J225" s="837"/>
      <c r="K225" s="837"/>
      <c r="L225" s="837"/>
      <c r="M225" s="837"/>
      <c r="N225" s="837"/>
      <c r="O225" s="837"/>
      <c r="P225" s="838">
        <f t="shared" si="22"/>
        <v>0</v>
      </c>
      <c r="Q225" s="836"/>
    </row>
    <row r="226" spans="2:17">
      <c r="B226" s="34" t="str">
        <f>$C$225</f>
        <v>CNGWA911</v>
      </c>
      <c r="C226" s="34" t="s">
        <v>401</v>
      </c>
      <c r="D226" s="34">
        <v>492333</v>
      </c>
      <c r="E226" s="837">
        <v>386843</v>
      </c>
      <c r="F226" s="837">
        <v>340736</v>
      </c>
      <c r="G226" s="837">
        <v>363829</v>
      </c>
      <c r="H226" s="837">
        <v>280512</v>
      </c>
      <c r="I226" s="837">
        <v>274097</v>
      </c>
      <c r="J226" s="837">
        <v>279356</v>
      </c>
      <c r="K226" s="837">
        <v>286757</v>
      </c>
      <c r="L226" s="837">
        <v>367353</v>
      </c>
      <c r="M226" s="837">
        <v>401241</v>
      </c>
      <c r="N226" s="837">
        <v>429333</v>
      </c>
      <c r="O226" s="837">
        <v>457902</v>
      </c>
      <c r="P226" s="838">
        <f t="shared" si="22"/>
        <v>4360292</v>
      </c>
      <c r="Q226" s="836"/>
    </row>
    <row r="227" spans="2:17">
      <c r="B227" s="34" t="str">
        <f t="shared" ref="B227:B242" si="26">$C$225</f>
        <v>CNGWA911</v>
      </c>
      <c r="C227" s="34" t="s">
        <v>481</v>
      </c>
      <c r="D227" s="849">
        <v>0</v>
      </c>
      <c r="E227" s="849">
        <v>0</v>
      </c>
      <c r="F227" s="849">
        <v>0</v>
      </c>
      <c r="G227" s="849">
        <v>0</v>
      </c>
      <c r="H227" s="849">
        <v>0</v>
      </c>
      <c r="I227" s="849">
        <v>0</v>
      </c>
      <c r="J227" s="849">
        <v>0</v>
      </c>
      <c r="K227" s="849">
        <v>0</v>
      </c>
      <c r="L227" s="849">
        <v>0</v>
      </c>
      <c r="M227" s="849">
        <v>0</v>
      </c>
      <c r="N227" s="849">
        <v>0</v>
      </c>
      <c r="O227" s="849">
        <v>0</v>
      </c>
      <c r="P227" s="838">
        <f t="shared" si="22"/>
        <v>0</v>
      </c>
      <c r="Q227" s="836"/>
    </row>
    <row r="228" spans="2:17">
      <c r="B228" s="34" t="str">
        <f t="shared" si="26"/>
        <v>CNGWA911</v>
      </c>
      <c r="C228" s="34" t="s">
        <v>482</v>
      </c>
      <c r="D228" s="849">
        <v>0</v>
      </c>
      <c r="E228" s="849">
        <v>0</v>
      </c>
      <c r="F228" s="849">
        <v>0</v>
      </c>
      <c r="G228" s="849">
        <v>0</v>
      </c>
      <c r="H228" s="849">
        <v>0</v>
      </c>
      <c r="I228" s="849">
        <v>0</v>
      </c>
      <c r="J228" s="849">
        <v>0</v>
      </c>
      <c r="K228" s="849">
        <v>0</v>
      </c>
      <c r="L228" s="849">
        <v>0</v>
      </c>
      <c r="M228" s="849">
        <v>0</v>
      </c>
      <c r="N228" s="849">
        <v>0</v>
      </c>
      <c r="O228" s="849">
        <v>0</v>
      </c>
      <c r="P228" s="838">
        <f t="shared" si="22"/>
        <v>0</v>
      </c>
      <c r="Q228" s="836"/>
    </row>
    <row r="229" spans="2:17">
      <c r="B229" s="34" t="str">
        <f t="shared" si="26"/>
        <v>CNGWA911</v>
      </c>
      <c r="C229" s="34" t="s">
        <v>483</v>
      </c>
      <c r="D229" s="34">
        <v>492333</v>
      </c>
      <c r="E229" s="837">
        <v>386843</v>
      </c>
      <c r="F229" s="837">
        <v>340736</v>
      </c>
      <c r="G229" s="837">
        <v>363829</v>
      </c>
      <c r="H229" s="837">
        <v>280512</v>
      </c>
      <c r="I229" s="837">
        <v>274097</v>
      </c>
      <c r="J229" s="837">
        <v>279356</v>
      </c>
      <c r="K229" s="837">
        <v>286757</v>
      </c>
      <c r="L229" s="837">
        <v>367353</v>
      </c>
      <c r="M229" s="837">
        <v>401241</v>
      </c>
      <c r="N229" s="837">
        <v>429333</v>
      </c>
      <c r="O229" s="837">
        <v>457902</v>
      </c>
      <c r="P229" s="838">
        <f t="shared" si="22"/>
        <v>4360292</v>
      </c>
      <c r="Q229" s="836"/>
    </row>
    <row r="230" spans="2:17">
      <c r="B230" s="34" t="str">
        <f t="shared" si="26"/>
        <v>CNGWA911</v>
      </c>
      <c r="C230" s="34" t="s">
        <v>484</v>
      </c>
      <c r="D230" s="34">
        <v>386843</v>
      </c>
      <c r="E230" s="837">
        <v>340736</v>
      </c>
      <c r="F230" s="837">
        <v>363829</v>
      </c>
      <c r="G230" s="837">
        <v>280512</v>
      </c>
      <c r="H230" s="837">
        <v>274097</v>
      </c>
      <c r="I230" s="837">
        <v>279356</v>
      </c>
      <c r="J230" s="837">
        <v>286757</v>
      </c>
      <c r="K230" s="837">
        <v>367353</v>
      </c>
      <c r="L230" s="837">
        <v>401241</v>
      </c>
      <c r="M230" s="837">
        <v>429333</v>
      </c>
      <c r="N230" s="837">
        <v>457902</v>
      </c>
      <c r="O230" s="837">
        <v>434089</v>
      </c>
      <c r="P230" s="838">
        <f t="shared" si="22"/>
        <v>4302048</v>
      </c>
      <c r="Q230" s="836"/>
    </row>
    <row r="231" spans="2:17">
      <c r="B231" s="34" t="str">
        <f t="shared" si="26"/>
        <v>CNGWA911</v>
      </c>
      <c r="C231" s="34" t="s">
        <v>485</v>
      </c>
      <c r="D231" s="34">
        <v>386843</v>
      </c>
      <c r="E231" s="837">
        <v>340736</v>
      </c>
      <c r="F231" s="837">
        <v>363829</v>
      </c>
      <c r="G231" s="837">
        <v>280512</v>
      </c>
      <c r="H231" s="837">
        <v>274097</v>
      </c>
      <c r="I231" s="837">
        <v>279356</v>
      </c>
      <c r="J231" s="837">
        <v>286757</v>
      </c>
      <c r="K231" s="837">
        <v>367353</v>
      </c>
      <c r="L231" s="837">
        <v>401241</v>
      </c>
      <c r="M231" s="837">
        <v>429333</v>
      </c>
      <c r="N231" s="837">
        <v>457902</v>
      </c>
      <c r="O231" s="837">
        <v>434089</v>
      </c>
      <c r="P231" s="838">
        <f t="shared" si="22"/>
        <v>4302048</v>
      </c>
      <c r="Q231" s="836"/>
    </row>
    <row r="232" spans="2:17">
      <c r="B232" s="34" t="str">
        <f t="shared" si="26"/>
        <v>CNGWA911</v>
      </c>
      <c r="C232" s="839" t="s">
        <v>149</v>
      </c>
      <c r="E232" s="837"/>
      <c r="F232" s="837"/>
      <c r="G232" s="837"/>
      <c r="H232" s="837"/>
      <c r="I232" s="837"/>
      <c r="J232" s="837"/>
      <c r="K232" s="837"/>
      <c r="L232" s="837"/>
      <c r="M232" s="837"/>
      <c r="N232" s="837"/>
      <c r="O232" s="837"/>
      <c r="P232" s="838">
        <f t="shared" si="22"/>
        <v>0</v>
      </c>
      <c r="Q232" s="836"/>
    </row>
    <row r="233" spans="2:17">
      <c r="B233" s="34" t="str">
        <f t="shared" si="26"/>
        <v>CNGWA911</v>
      </c>
      <c r="C233" s="34" t="s">
        <v>486</v>
      </c>
      <c r="D233" s="34">
        <v>14242.1</v>
      </c>
      <c r="E233" s="837">
        <v>12214.22</v>
      </c>
      <c r="F233" s="837">
        <v>11327.87</v>
      </c>
      <c r="G233" s="837">
        <v>11764.03</v>
      </c>
      <c r="H233" s="837">
        <v>10163.43</v>
      </c>
      <c r="I233" s="837">
        <v>10040.200000000001</v>
      </c>
      <c r="J233" s="837">
        <v>10141.219999999999</v>
      </c>
      <c r="K233" s="837">
        <v>10283.4</v>
      </c>
      <c r="L233" s="837">
        <v>11831.73</v>
      </c>
      <c r="M233" s="837">
        <v>12482.75</v>
      </c>
      <c r="N233" s="837">
        <v>13070.8</v>
      </c>
      <c r="O233" s="837">
        <v>13622.86</v>
      </c>
      <c r="P233" s="838">
        <f t="shared" si="22"/>
        <v>141184.60999999999</v>
      </c>
      <c r="Q233" s="836"/>
    </row>
    <row r="234" spans="2:17">
      <c r="B234" s="34" t="str">
        <f t="shared" si="26"/>
        <v>CNGWA911</v>
      </c>
      <c r="C234" s="34" t="s">
        <v>143</v>
      </c>
      <c r="D234" s="34">
        <v>0</v>
      </c>
      <c r="E234" s="837">
        <v>0</v>
      </c>
      <c r="F234" s="837">
        <v>0</v>
      </c>
      <c r="G234" s="837">
        <v>0</v>
      </c>
      <c r="H234" s="837">
        <v>0</v>
      </c>
      <c r="I234" s="837">
        <v>0</v>
      </c>
      <c r="J234" s="837">
        <v>0</v>
      </c>
      <c r="K234" s="837">
        <v>0</v>
      </c>
      <c r="L234" s="837">
        <v>0</v>
      </c>
      <c r="M234" s="837">
        <v>0</v>
      </c>
      <c r="N234" s="837">
        <v>0</v>
      </c>
      <c r="O234" s="837">
        <v>0</v>
      </c>
      <c r="P234" s="838">
        <f t="shared" si="22"/>
        <v>0</v>
      </c>
      <c r="Q234" s="836"/>
    </row>
    <row r="235" spans="2:17">
      <c r="B235" s="34" t="str">
        <f t="shared" si="26"/>
        <v>CNGWA911</v>
      </c>
      <c r="C235" s="34" t="s">
        <v>144</v>
      </c>
      <c r="D235" s="34">
        <v>0</v>
      </c>
      <c r="E235" s="837">
        <v>0</v>
      </c>
      <c r="F235" s="837">
        <v>0</v>
      </c>
      <c r="G235" s="837">
        <v>0</v>
      </c>
      <c r="H235" s="837">
        <v>0</v>
      </c>
      <c r="I235" s="837">
        <v>0</v>
      </c>
      <c r="J235" s="837">
        <v>0</v>
      </c>
      <c r="K235" s="837">
        <v>0</v>
      </c>
      <c r="L235" s="837">
        <v>0</v>
      </c>
      <c r="M235" s="837">
        <v>0</v>
      </c>
      <c r="N235" s="837">
        <v>0</v>
      </c>
      <c r="O235" s="837">
        <v>0</v>
      </c>
      <c r="P235" s="838">
        <f t="shared" si="22"/>
        <v>0</v>
      </c>
      <c r="Q235" s="836"/>
    </row>
    <row r="236" spans="2:17">
      <c r="B236" s="34" t="str">
        <f t="shared" si="26"/>
        <v>CNGWA911</v>
      </c>
      <c r="C236" s="34" t="s">
        <v>145</v>
      </c>
      <c r="D236" s="34">
        <v>0</v>
      </c>
      <c r="E236" s="837">
        <v>0</v>
      </c>
      <c r="F236" s="837">
        <v>0</v>
      </c>
      <c r="G236" s="837">
        <v>0</v>
      </c>
      <c r="H236" s="837">
        <v>0</v>
      </c>
      <c r="I236" s="837">
        <v>0</v>
      </c>
      <c r="J236" s="837">
        <v>0</v>
      </c>
      <c r="K236" s="837">
        <v>0</v>
      </c>
      <c r="L236" s="837">
        <v>0</v>
      </c>
      <c r="M236" s="837">
        <v>0</v>
      </c>
      <c r="N236" s="837">
        <v>0</v>
      </c>
      <c r="O236" s="837">
        <v>0</v>
      </c>
      <c r="P236" s="838">
        <f t="shared" si="22"/>
        <v>0</v>
      </c>
      <c r="Q236" s="836"/>
    </row>
    <row r="237" spans="2:17">
      <c r="B237" s="34" t="str">
        <f t="shared" si="26"/>
        <v>CNGWA911</v>
      </c>
      <c r="C237" s="34" t="s">
        <v>487</v>
      </c>
      <c r="D237" s="34">
        <v>0</v>
      </c>
      <c r="E237" s="837">
        <v>0</v>
      </c>
      <c r="F237" s="837">
        <v>0</v>
      </c>
      <c r="G237" s="837">
        <v>0</v>
      </c>
      <c r="H237" s="837">
        <v>0</v>
      </c>
      <c r="I237" s="837">
        <v>0</v>
      </c>
      <c r="J237" s="837">
        <v>0</v>
      </c>
      <c r="K237" s="837">
        <v>0</v>
      </c>
      <c r="L237" s="837">
        <v>0</v>
      </c>
      <c r="M237" s="837">
        <v>0</v>
      </c>
      <c r="N237" s="837">
        <v>0</v>
      </c>
      <c r="O237" s="837">
        <v>0</v>
      </c>
      <c r="P237" s="838">
        <f t="shared" si="22"/>
        <v>0</v>
      </c>
      <c r="Q237" s="836"/>
    </row>
    <row r="238" spans="2:17">
      <c r="B238" s="34" t="str">
        <f t="shared" si="26"/>
        <v>CNGWA911</v>
      </c>
      <c r="C238" s="34" t="s">
        <v>488</v>
      </c>
      <c r="D238" s="34">
        <v>0</v>
      </c>
      <c r="E238" s="837">
        <v>0</v>
      </c>
      <c r="F238" s="837">
        <v>0</v>
      </c>
      <c r="G238" s="837">
        <v>0</v>
      </c>
      <c r="H238" s="837">
        <v>0</v>
      </c>
      <c r="I238" s="837">
        <v>0</v>
      </c>
      <c r="J238" s="837">
        <v>0</v>
      </c>
      <c r="K238" s="837">
        <v>0</v>
      </c>
      <c r="L238" s="837">
        <v>0</v>
      </c>
      <c r="M238" s="837">
        <v>0</v>
      </c>
      <c r="N238" s="837">
        <v>0</v>
      </c>
      <c r="O238" s="837">
        <v>0</v>
      </c>
      <c r="P238" s="838">
        <f t="shared" si="22"/>
        <v>0</v>
      </c>
      <c r="Q238" s="836"/>
    </row>
    <row r="239" spans="2:17">
      <c r="B239" s="34" t="str">
        <f t="shared" si="26"/>
        <v>CNGWA911</v>
      </c>
      <c r="C239" s="34" t="s">
        <v>174</v>
      </c>
      <c r="D239" s="34">
        <v>0</v>
      </c>
      <c r="E239" s="837">
        <v>0</v>
      </c>
      <c r="F239" s="837">
        <v>0</v>
      </c>
      <c r="G239" s="837">
        <v>0</v>
      </c>
      <c r="H239" s="837">
        <v>0</v>
      </c>
      <c r="I239" s="837">
        <v>0</v>
      </c>
      <c r="J239" s="837">
        <v>0</v>
      </c>
      <c r="K239" s="837">
        <v>0</v>
      </c>
      <c r="L239" s="837">
        <v>0</v>
      </c>
      <c r="M239" s="837">
        <v>0</v>
      </c>
      <c r="N239" s="837">
        <v>0</v>
      </c>
      <c r="O239" s="837">
        <v>0</v>
      </c>
      <c r="P239" s="838">
        <f t="shared" si="22"/>
        <v>0</v>
      </c>
      <c r="Q239" s="836"/>
    </row>
    <row r="240" spans="2:17">
      <c r="B240" s="34" t="str">
        <f t="shared" si="26"/>
        <v>CNGWA911</v>
      </c>
      <c r="C240" s="34" t="s">
        <v>175</v>
      </c>
      <c r="D240" s="34">
        <v>-14242.1</v>
      </c>
      <c r="E240" s="34">
        <v>-12214.22</v>
      </c>
      <c r="F240" s="34">
        <v>-11327.87</v>
      </c>
      <c r="G240" s="34">
        <v>-11764.03</v>
      </c>
      <c r="H240" s="34">
        <v>-10163.43</v>
      </c>
      <c r="I240" s="34">
        <v>-10040.200000000001</v>
      </c>
      <c r="J240" s="34">
        <v>-10141.219999999999</v>
      </c>
      <c r="K240" s="34">
        <v>-10283.4</v>
      </c>
      <c r="L240" s="34">
        <v>-11831.73</v>
      </c>
      <c r="M240" s="34">
        <v>-12482.75</v>
      </c>
      <c r="N240" s="34">
        <v>-13070.8</v>
      </c>
      <c r="O240" s="34">
        <v>-13622.86</v>
      </c>
      <c r="P240" s="838">
        <f t="shared" si="22"/>
        <v>-141184.60999999999</v>
      </c>
      <c r="Q240" s="836"/>
    </row>
    <row r="241" spans="2:17">
      <c r="B241" s="34" t="str">
        <f t="shared" si="26"/>
        <v>CNGWA911</v>
      </c>
      <c r="C241" s="34" t="s">
        <v>176</v>
      </c>
      <c r="D241" s="34">
        <v>12214.22</v>
      </c>
      <c r="E241" s="837">
        <v>11327.87</v>
      </c>
      <c r="F241" s="837">
        <v>11764.03</v>
      </c>
      <c r="G241" s="837">
        <v>10163.43</v>
      </c>
      <c r="H241" s="837">
        <v>10040.200000000001</v>
      </c>
      <c r="I241" s="837">
        <v>10141.219999999999</v>
      </c>
      <c r="J241" s="837">
        <v>10283.4</v>
      </c>
      <c r="K241" s="837">
        <v>11831.73</v>
      </c>
      <c r="L241" s="837">
        <v>12482.75</v>
      </c>
      <c r="M241" s="837">
        <v>13070.8</v>
      </c>
      <c r="N241" s="837">
        <v>13622.86</v>
      </c>
      <c r="O241" s="837">
        <v>13162.71</v>
      </c>
      <c r="P241" s="838">
        <f t="shared" si="22"/>
        <v>140105.22</v>
      </c>
      <c r="Q241" s="836"/>
    </row>
    <row r="242" spans="2:17">
      <c r="B242" s="34" t="str">
        <f t="shared" si="26"/>
        <v>CNGWA911</v>
      </c>
      <c r="C242" s="34" t="s">
        <v>400</v>
      </c>
      <c r="D242" s="34">
        <f>SUM(D233:D241)</f>
        <v>12214.22</v>
      </c>
      <c r="E242" s="34">
        <f t="shared" ref="E242:O242" si="27">SUM(E233:E241)</f>
        <v>11327.87</v>
      </c>
      <c r="F242" s="34">
        <f t="shared" si="27"/>
        <v>11764.03</v>
      </c>
      <c r="G242" s="34">
        <f t="shared" si="27"/>
        <v>10163.43</v>
      </c>
      <c r="H242" s="34">
        <f t="shared" si="27"/>
        <v>10040.200000000001</v>
      </c>
      <c r="I242" s="34">
        <f t="shared" si="27"/>
        <v>10141.219999999999</v>
      </c>
      <c r="J242" s="34">
        <f t="shared" si="27"/>
        <v>10283.4</v>
      </c>
      <c r="K242" s="34">
        <f t="shared" si="27"/>
        <v>11831.73</v>
      </c>
      <c r="L242" s="34">
        <f t="shared" si="27"/>
        <v>12482.75</v>
      </c>
      <c r="M242" s="34">
        <f t="shared" si="27"/>
        <v>13070.8</v>
      </c>
      <c r="N242" s="34">
        <f t="shared" si="27"/>
        <v>13622.86</v>
      </c>
      <c r="O242" s="34">
        <f t="shared" si="27"/>
        <v>13162.71</v>
      </c>
      <c r="P242" s="838">
        <f t="shared" si="22"/>
        <v>140105.22</v>
      </c>
      <c r="Q242" s="836"/>
    </row>
    <row r="243" spans="2:17">
      <c r="C243" s="839" t="s">
        <v>149</v>
      </c>
      <c r="E243" s="837"/>
      <c r="F243" s="837"/>
      <c r="G243" s="837"/>
      <c r="H243" s="837"/>
      <c r="I243" s="837"/>
      <c r="J243" s="837"/>
      <c r="K243" s="837"/>
      <c r="L243" s="837"/>
      <c r="M243" s="837"/>
      <c r="N243" s="837"/>
      <c r="O243" s="837"/>
      <c r="P243" s="838">
        <f t="shared" si="22"/>
        <v>0</v>
      </c>
      <c r="Q243" s="836"/>
    </row>
    <row r="244" spans="2:17">
      <c r="P244" s="838">
        <f t="shared" si="22"/>
        <v>0</v>
      </c>
      <c r="Q244" s="836"/>
    </row>
    <row r="245" spans="2:17">
      <c r="C245" s="783" t="s">
        <v>221</v>
      </c>
      <c r="E245" s="837"/>
      <c r="F245" s="837"/>
      <c r="G245" s="837"/>
      <c r="H245" s="837"/>
      <c r="I245" s="837"/>
      <c r="J245" s="837"/>
      <c r="K245" s="837"/>
      <c r="L245" s="837"/>
      <c r="M245" s="837"/>
      <c r="N245" s="837"/>
      <c r="O245" s="837"/>
      <c r="P245" s="838">
        <f t="shared" si="22"/>
        <v>0</v>
      </c>
      <c r="Q245" s="836"/>
    </row>
    <row r="246" spans="2:17">
      <c r="B246" s="34" t="str">
        <f>$C$245</f>
        <v>CNGWA914</v>
      </c>
      <c r="C246" s="34" t="s">
        <v>401</v>
      </c>
      <c r="D246" s="34">
        <v>1120091</v>
      </c>
      <c r="E246" s="837">
        <v>1160711</v>
      </c>
      <c r="F246" s="837">
        <v>950149</v>
      </c>
      <c r="G246" s="837">
        <v>1112427</v>
      </c>
      <c r="H246" s="837">
        <v>1144381</v>
      </c>
      <c r="I246" s="837">
        <v>1164457</v>
      </c>
      <c r="J246" s="837">
        <v>1044539</v>
      </c>
      <c r="K246" s="837">
        <v>943601</v>
      </c>
      <c r="L246" s="837">
        <v>874186</v>
      </c>
      <c r="M246" s="837">
        <v>882295</v>
      </c>
      <c r="N246" s="837">
        <v>967135</v>
      </c>
      <c r="O246" s="837">
        <v>981664</v>
      </c>
      <c r="P246" s="838">
        <f t="shared" si="22"/>
        <v>12345636</v>
      </c>
      <c r="Q246" s="836"/>
    </row>
    <row r="247" spans="2:17">
      <c r="B247" s="34" t="str">
        <f t="shared" ref="B247:B262" si="28">$C$245</f>
        <v>CNGWA914</v>
      </c>
      <c r="C247" s="34" t="s">
        <v>481</v>
      </c>
      <c r="D247" s="34">
        <v>0</v>
      </c>
      <c r="E247" s="837">
        <v>0</v>
      </c>
      <c r="F247" s="837">
        <v>0</v>
      </c>
      <c r="G247" s="837">
        <v>0</v>
      </c>
      <c r="H247" s="837">
        <v>0</v>
      </c>
      <c r="I247" s="837">
        <v>0</v>
      </c>
      <c r="J247" s="837">
        <v>0</v>
      </c>
      <c r="K247" s="837">
        <v>0</v>
      </c>
      <c r="L247" s="837">
        <v>0</v>
      </c>
      <c r="M247" s="837">
        <v>0</v>
      </c>
      <c r="N247" s="837">
        <v>0</v>
      </c>
      <c r="O247" s="837">
        <v>0</v>
      </c>
      <c r="P247" s="838">
        <f t="shared" si="22"/>
        <v>0</v>
      </c>
      <c r="Q247" s="836"/>
    </row>
    <row r="248" spans="2:17">
      <c r="B248" s="34" t="str">
        <f t="shared" si="28"/>
        <v>CNGWA914</v>
      </c>
      <c r="C248" s="34" t="s">
        <v>482</v>
      </c>
      <c r="D248" s="34">
        <v>0</v>
      </c>
      <c r="E248" s="837">
        <v>0</v>
      </c>
      <c r="F248" s="837">
        <v>0</v>
      </c>
      <c r="G248" s="837">
        <v>0</v>
      </c>
      <c r="H248" s="837">
        <v>0</v>
      </c>
      <c r="I248" s="837">
        <v>0</v>
      </c>
      <c r="J248" s="837">
        <v>0</v>
      </c>
      <c r="K248" s="837">
        <v>0</v>
      </c>
      <c r="L248" s="837">
        <v>0</v>
      </c>
      <c r="M248" s="837">
        <v>0</v>
      </c>
      <c r="N248" s="837">
        <v>0</v>
      </c>
      <c r="O248" s="837">
        <v>0</v>
      </c>
      <c r="P248" s="838">
        <f t="shared" si="22"/>
        <v>0</v>
      </c>
      <c r="Q248" s="836"/>
    </row>
    <row r="249" spans="2:17">
      <c r="B249" s="34" t="str">
        <f t="shared" si="28"/>
        <v>CNGWA914</v>
      </c>
      <c r="C249" s="34" t="s">
        <v>483</v>
      </c>
      <c r="D249" s="34">
        <v>1120091</v>
      </c>
      <c r="E249" s="837">
        <v>1160711</v>
      </c>
      <c r="F249" s="837">
        <v>950149</v>
      </c>
      <c r="G249" s="837">
        <v>1112427</v>
      </c>
      <c r="H249" s="837">
        <v>1144381</v>
      </c>
      <c r="I249" s="837">
        <v>1164457</v>
      </c>
      <c r="J249" s="837">
        <v>1044539</v>
      </c>
      <c r="K249" s="837">
        <v>943601</v>
      </c>
      <c r="L249" s="837">
        <v>874186</v>
      </c>
      <c r="M249" s="837">
        <v>882295</v>
      </c>
      <c r="N249" s="837">
        <v>967135</v>
      </c>
      <c r="O249" s="837">
        <v>981664</v>
      </c>
      <c r="P249" s="838">
        <f t="shared" si="22"/>
        <v>12345636</v>
      </c>
      <c r="Q249" s="836"/>
    </row>
    <row r="250" spans="2:17">
      <c r="B250" s="34" t="str">
        <f t="shared" si="28"/>
        <v>CNGWA914</v>
      </c>
      <c r="C250" s="34" t="s">
        <v>484</v>
      </c>
      <c r="D250" s="34">
        <v>1160711</v>
      </c>
      <c r="E250" s="34">
        <v>950149</v>
      </c>
      <c r="F250" s="34">
        <v>1112427</v>
      </c>
      <c r="G250" s="34">
        <v>1144381</v>
      </c>
      <c r="H250" s="34">
        <v>1164457</v>
      </c>
      <c r="I250" s="34">
        <v>1044539</v>
      </c>
      <c r="J250" s="34">
        <v>943601</v>
      </c>
      <c r="K250" s="34">
        <v>874186</v>
      </c>
      <c r="L250" s="34">
        <v>882295</v>
      </c>
      <c r="M250" s="34">
        <v>967135</v>
      </c>
      <c r="N250" s="34">
        <v>981664</v>
      </c>
      <c r="O250" s="34">
        <v>1038258</v>
      </c>
      <c r="P250" s="838">
        <f t="shared" si="22"/>
        <v>12263803</v>
      </c>
      <c r="Q250" s="836"/>
    </row>
    <row r="251" spans="2:17">
      <c r="B251" s="34" t="str">
        <f t="shared" si="28"/>
        <v>CNGWA914</v>
      </c>
      <c r="C251" s="34" t="s">
        <v>485</v>
      </c>
      <c r="D251" s="34">
        <v>1160711</v>
      </c>
      <c r="E251" s="42">
        <v>950149</v>
      </c>
      <c r="F251" s="42">
        <v>1112427</v>
      </c>
      <c r="G251" s="42">
        <v>1144381</v>
      </c>
      <c r="H251" s="42">
        <v>1164457</v>
      </c>
      <c r="I251" s="42">
        <v>1044539</v>
      </c>
      <c r="J251" s="42">
        <v>943601</v>
      </c>
      <c r="K251" s="42">
        <v>874186</v>
      </c>
      <c r="L251" s="42">
        <v>882295</v>
      </c>
      <c r="M251" s="42">
        <v>967135</v>
      </c>
      <c r="N251" s="42">
        <v>981664</v>
      </c>
      <c r="O251" s="42">
        <v>1038258</v>
      </c>
      <c r="P251" s="838">
        <f t="shared" si="22"/>
        <v>12263803</v>
      </c>
      <c r="Q251" s="836"/>
    </row>
    <row r="252" spans="2:17">
      <c r="B252" s="34" t="str">
        <f t="shared" si="28"/>
        <v>CNGWA914</v>
      </c>
      <c r="C252" s="839" t="s">
        <v>149</v>
      </c>
      <c r="E252" s="837"/>
      <c r="F252" s="837"/>
      <c r="G252" s="837"/>
      <c r="H252" s="837"/>
      <c r="I252" s="837"/>
      <c r="J252" s="837"/>
      <c r="K252" s="837"/>
      <c r="L252" s="837"/>
      <c r="M252" s="837"/>
      <c r="N252" s="837"/>
      <c r="O252" s="837"/>
      <c r="P252" s="838">
        <f t="shared" si="22"/>
        <v>0</v>
      </c>
      <c r="Q252" s="836"/>
    </row>
    <row r="253" spans="2:17">
      <c r="B253" s="34" t="str">
        <f t="shared" si="28"/>
        <v>CNGWA914</v>
      </c>
      <c r="C253" s="34" t="s">
        <v>486</v>
      </c>
      <c r="D253" s="34">
        <v>21027.59</v>
      </c>
      <c r="E253" s="837">
        <v>21511.79</v>
      </c>
      <c r="F253" s="837">
        <v>19001.82</v>
      </c>
      <c r="G253" s="837">
        <v>20922.400000000001</v>
      </c>
      <c r="H253" s="837">
        <v>21303.05</v>
      </c>
      <c r="I253" s="837">
        <v>21542.21</v>
      </c>
      <c r="J253" s="837">
        <v>20113.689999999999</v>
      </c>
      <c r="K253" s="837">
        <v>18911.259999999998</v>
      </c>
      <c r="L253" s="837">
        <v>18084.349999999999</v>
      </c>
      <c r="M253" s="837">
        <v>18180.96</v>
      </c>
      <c r="N253" s="837">
        <v>19258.32</v>
      </c>
      <c r="O253" s="837">
        <v>19432.400000000001</v>
      </c>
      <c r="P253" s="838">
        <f t="shared" si="22"/>
        <v>239289.84000000003</v>
      </c>
      <c r="Q253" s="836"/>
    </row>
    <row r="254" spans="2:17">
      <c r="B254" s="34" t="str">
        <f t="shared" si="28"/>
        <v>CNGWA914</v>
      </c>
      <c r="C254" s="34" t="s">
        <v>143</v>
      </c>
      <c r="D254" s="34">
        <v>0</v>
      </c>
      <c r="E254" s="837">
        <v>0</v>
      </c>
      <c r="F254" s="837">
        <v>0</v>
      </c>
      <c r="G254" s="837">
        <v>0</v>
      </c>
      <c r="H254" s="837">
        <v>0</v>
      </c>
      <c r="I254" s="837">
        <v>0</v>
      </c>
      <c r="J254" s="837">
        <v>0</v>
      </c>
      <c r="K254" s="837">
        <v>0</v>
      </c>
      <c r="L254" s="837">
        <v>0</v>
      </c>
      <c r="M254" s="837">
        <v>0</v>
      </c>
      <c r="N254" s="837">
        <v>0</v>
      </c>
      <c r="O254" s="837">
        <v>0</v>
      </c>
      <c r="P254" s="838">
        <f t="shared" si="22"/>
        <v>0</v>
      </c>
      <c r="Q254" s="836"/>
    </row>
    <row r="255" spans="2:17">
      <c r="B255" s="34" t="str">
        <f t="shared" si="28"/>
        <v>CNGWA914</v>
      </c>
      <c r="C255" s="34" t="s">
        <v>144</v>
      </c>
      <c r="D255" s="34">
        <v>0</v>
      </c>
      <c r="E255" s="837">
        <v>0</v>
      </c>
      <c r="F255" s="837">
        <v>0</v>
      </c>
      <c r="G255" s="837">
        <v>0</v>
      </c>
      <c r="H255" s="837">
        <v>0</v>
      </c>
      <c r="I255" s="837">
        <v>0</v>
      </c>
      <c r="J255" s="837">
        <v>0</v>
      </c>
      <c r="K255" s="837">
        <v>0</v>
      </c>
      <c r="L255" s="837">
        <v>0</v>
      </c>
      <c r="M255" s="837">
        <v>0</v>
      </c>
      <c r="N255" s="837">
        <v>0</v>
      </c>
      <c r="O255" s="837">
        <v>0</v>
      </c>
      <c r="P255" s="838">
        <f t="shared" si="22"/>
        <v>0</v>
      </c>
      <c r="Q255" s="836"/>
    </row>
    <row r="256" spans="2:17">
      <c r="B256" s="34" t="str">
        <f t="shared" si="28"/>
        <v>CNGWA914</v>
      </c>
      <c r="C256" s="34" t="s">
        <v>145</v>
      </c>
      <c r="D256" s="34">
        <v>0</v>
      </c>
      <c r="E256" s="837">
        <v>0</v>
      </c>
      <c r="F256" s="837">
        <v>0</v>
      </c>
      <c r="G256" s="837">
        <v>0</v>
      </c>
      <c r="H256" s="837">
        <v>0</v>
      </c>
      <c r="I256" s="837">
        <v>0</v>
      </c>
      <c r="J256" s="837">
        <v>0</v>
      </c>
      <c r="K256" s="837">
        <v>0</v>
      </c>
      <c r="L256" s="837">
        <v>0</v>
      </c>
      <c r="M256" s="837">
        <v>0</v>
      </c>
      <c r="N256" s="837">
        <v>0</v>
      </c>
      <c r="O256" s="837">
        <v>0</v>
      </c>
      <c r="P256" s="838">
        <f t="shared" si="22"/>
        <v>0</v>
      </c>
      <c r="Q256" s="836"/>
    </row>
    <row r="257" spans="1:17">
      <c r="B257" s="34" t="str">
        <f t="shared" si="28"/>
        <v>CNGWA914</v>
      </c>
      <c r="C257" s="34" t="s">
        <v>487</v>
      </c>
      <c r="D257" s="34">
        <v>0</v>
      </c>
      <c r="E257" s="837">
        <v>0</v>
      </c>
      <c r="F257" s="837">
        <v>0</v>
      </c>
      <c r="G257" s="837">
        <v>0</v>
      </c>
      <c r="H257" s="837">
        <v>0</v>
      </c>
      <c r="I257" s="837">
        <v>0</v>
      </c>
      <c r="J257" s="837">
        <v>0</v>
      </c>
      <c r="K257" s="837">
        <v>0</v>
      </c>
      <c r="L257" s="837">
        <v>0</v>
      </c>
      <c r="M257" s="837">
        <v>0</v>
      </c>
      <c r="N257" s="837">
        <v>0</v>
      </c>
      <c r="O257" s="837">
        <v>0</v>
      </c>
      <c r="P257" s="838">
        <f t="shared" si="22"/>
        <v>0</v>
      </c>
      <c r="Q257" s="836"/>
    </row>
    <row r="258" spans="1:17">
      <c r="B258" s="34" t="str">
        <f t="shared" si="28"/>
        <v>CNGWA914</v>
      </c>
      <c r="C258" s="34" t="s">
        <v>488</v>
      </c>
      <c r="D258" s="34">
        <v>0</v>
      </c>
      <c r="E258" s="837">
        <v>0</v>
      </c>
      <c r="F258" s="837">
        <v>0</v>
      </c>
      <c r="G258" s="837">
        <v>0</v>
      </c>
      <c r="H258" s="837">
        <v>0</v>
      </c>
      <c r="I258" s="837">
        <v>0</v>
      </c>
      <c r="J258" s="837">
        <v>0</v>
      </c>
      <c r="K258" s="837">
        <v>0</v>
      </c>
      <c r="L258" s="837">
        <v>0</v>
      </c>
      <c r="M258" s="837">
        <v>0</v>
      </c>
      <c r="N258" s="837">
        <v>0</v>
      </c>
      <c r="O258" s="837">
        <v>0</v>
      </c>
      <c r="P258" s="838">
        <f t="shared" si="22"/>
        <v>0</v>
      </c>
      <c r="Q258" s="836"/>
    </row>
    <row r="259" spans="1:17">
      <c r="B259" s="34" t="str">
        <f t="shared" si="28"/>
        <v>CNGWA914</v>
      </c>
      <c r="C259" s="34" t="s">
        <v>174</v>
      </c>
      <c r="D259" s="34">
        <v>0</v>
      </c>
      <c r="E259" s="837">
        <v>0</v>
      </c>
      <c r="F259" s="837">
        <v>0</v>
      </c>
      <c r="G259" s="837">
        <v>0</v>
      </c>
      <c r="H259" s="837">
        <v>0</v>
      </c>
      <c r="I259" s="837">
        <v>0</v>
      </c>
      <c r="J259" s="837">
        <v>0</v>
      </c>
      <c r="K259" s="837">
        <v>0</v>
      </c>
      <c r="L259" s="837">
        <v>0</v>
      </c>
      <c r="M259" s="837">
        <v>0</v>
      </c>
      <c r="N259" s="837">
        <v>0</v>
      </c>
      <c r="O259" s="837">
        <v>0</v>
      </c>
      <c r="P259" s="838">
        <f t="shared" si="22"/>
        <v>0</v>
      </c>
      <c r="Q259" s="836"/>
    </row>
    <row r="260" spans="1:17">
      <c r="B260" s="34" t="str">
        <f t="shared" si="28"/>
        <v>CNGWA914</v>
      </c>
      <c r="C260" s="34" t="s">
        <v>175</v>
      </c>
      <c r="D260" s="34">
        <v>-21027.59</v>
      </c>
      <c r="E260" s="34">
        <v>-21511.79</v>
      </c>
      <c r="F260" s="34">
        <v>-19001.82</v>
      </c>
      <c r="G260" s="34">
        <v>-20922.400000000001</v>
      </c>
      <c r="H260" s="34">
        <v>-21303.05</v>
      </c>
      <c r="I260" s="34">
        <v>-21542.21</v>
      </c>
      <c r="J260" s="34">
        <v>-20113.689999999999</v>
      </c>
      <c r="K260" s="34">
        <v>-18911.259999999998</v>
      </c>
      <c r="L260" s="34">
        <v>-18084.349999999999</v>
      </c>
      <c r="M260" s="34">
        <v>-18180.96</v>
      </c>
      <c r="N260" s="34">
        <v>-19258.32</v>
      </c>
      <c r="O260" s="34">
        <v>-19432.400000000001</v>
      </c>
      <c r="P260" s="838">
        <f t="shared" si="22"/>
        <v>-239289.84000000003</v>
      </c>
      <c r="Q260" s="836"/>
    </row>
    <row r="261" spans="1:17">
      <c r="B261" s="34" t="str">
        <f t="shared" si="28"/>
        <v>CNGWA914</v>
      </c>
      <c r="C261" s="34" t="s">
        <v>176</v>
      </c>
      <c r="D261" s="34">
        <v>21511.79</v>
      </c>
      <c r="E261" s="837">
        <v>19001.82</v>
      </c>
      <c r="F261" s="837">
        <v>20922.400000000001</v>
      </c>
      <c r="G261" s="837">
        <v>21303.05</v>
      </c>
      <c r="H261" s="837">
        <v>21542.21</v>
      </c>
      <c r="I261" s="837">
        <v>20113.689999999999</v>
      </c>
      <c r="J261" s="837">
        <v>18911.259999999998</v>
      </c>
      <c r="K261" s="837">
        <v>18084.349999999999</v>
      </c>
      <c r="L261" s="837">
        <v>18180.96</v>
      </c>
      <c r="M261" s="837">
        <v>19258.32</v>
      </c>
      <c r="N261" s="837">
        <v>19432.400000000001</v>
      </c>
      <c r="O261" s="837">
        <v>20110.48</v>
      </c>
      <c r="P261" s="838">
        <f t="shared" si="22"/>
        <v>238372.73</v>
      </c>
      <c r="Q261" s="836"/>
    </row>
    <row r="262" spans="1:17">
      <c r="B262" s="34" t="str">
        <f t="shared" si="28"/>
        <v>CNGWA914</v>
      </c>
      <c r="C262" s="34" t="s">
        <v>400</v>
      </c>
      <c r="D262" s="34">
        <f>SUM(D253:D261)</f>
        <v>21511.79</v>
      </c>
      <c r="E262" s="34">
        <f t="shared" ref="E262:O262" si="29">SUM(E253:E261)</f>
        <v>19001.82</v>
      </c>
      <c r="F262" s="34">
        <f t="shared" si="29"/>
        <v>20922.400000000001</v>
      </c>
      <c r="G262" s="34">
        <f t="shared" si="29"/>
        <v>21303.05</v>
      </c>
      <c r="H262" s="34">
        <f t="shared" si="29"/>
        <v>21542.21</v>
      </c>
      <c r="I262" s="34">
        <f t="shared" si="29"/>
        <v>20113.689999999999</v>
      </c>
      <c r="J262" s="34">
        <f t="shared" si="29"/>
        <v>18911.259999999998</v>
      </c>
      <c r="K262" s="34">
        <f t="shared" si="29"/>
        <v>18084.349999999999</v>
      </c>
      <c r="L262" s="34">
        <f t="shared" si="29"/>
        <v>18180.96</v>
      </c>
      <c r="M262" s="34">
        <f t="shared" si="29"/>
        <v>19258.32</v>
      </c>
      <c r="N262" s="34">
        <f t="shared" si="29"/>
        <v>19432.400000000001</v>
      </c>
      <c r="O262" s="34">
        <f t="shared" si="29"/>
        <v>20110.48</v>
      </c>
      <c r="P262" s="838">
        <f t="shared" ref="P262:P325" si="30">SUM(D262:O262)</f>
        <v>238372.73</v>
      </c>
      <c r="Q262" s="836"/>
    </row>
    <row r="263" spans="1:17">
      <c r="C263" s="839" t="s">
        <v>149</v>
      </c>
      <c r="E263" s="837"/>
      <c r="F263" s="837"/>
      <c r="G263" s="837"/>
      <c r="H263" s="837"/>
      <c r="I263" s="837"/>
      <c r="J263" s="837"/>
      <c r="K263" s="837"/>
      <c r="L263" s="837"/>
      <c r="M263" s="837"/>
      <c r="N263" s="837"/>
      <c r="O263" s="837"/>
      <c r="P263" s="838">
        <f t="shared" si="30"/>
        <v>0</v>
      </c>
      <c r="Q263" s="836"/>
    </row>
    <row r="264" spans="1:17">
      <c r="P264" s="838">
        <f t="shared" si="30"/>
        <v>0</v>
      </c>
      <c r="Q264" s="836"/>
    </row>
    <row r="265" spans="1:17">
      <c r="A265" s="844" t="s">
        <v>309</v>
      </c>
      <c r="C265" s="783" t="s">
        <v>194</v>
      </c>
      <c r="E265" s="837"/>
      <c r="F265" s="837"/>
      <c r="G265" s="837"/>
      <c r="H265" s="837"/>
      <c r="I265" s="837"/>
      <c r="J265" s="837"/>
      <c r="K265" s="837"/>
      <c r="L265" s="837"/>
      <c r="M265" s="837"/>
      <c r="N265" s="837"/>
      <c r="O265" s="837"/>
      <c r="P265" s="838">
        <f t="shared" si="30"/>
        <v>0</v>
      </c>
      <c r="Q265" s="836"/>
    </row>
    <row r="266" spans="1:17">
      <c r="A266" s="844" t="s">
        <v>493</v>
      </c>
      <c r="B266" s="34" t="str">
        <f>$C$265</f>
        <v>CNGWA6631</v>
      </c>
      <c r="C266" s="34" t="s">
        <v>401</v>
      </c>
      <c r="D266" s="34">
        <v>14173947</v>
      </c>
      <c r="E266" s="837">
        <v>12220363</v>
      </c>
      <c r="F266" s="837">
        <v>11897407</v>
      </c>
      <c r="G266" s="837">
        <v>15670834</v>
      </c>
      <c r="H266" s="837">
        <v>13569738</v>
      </c>
      <c r="I266" s="837">
        <v>2198918</v>
      </c>
      <c r="J266" s="837">
        <v>3015900</v>
      </c>
      <c r="K266" s="837">
        <v>9874110</v>
      </c>
      <c r="L266" s="837">
        <v>13157147</v>
      </c>
      <c r="M266" s="837">
        <v>14061705</v>
      </c>
      <c r="N266" s="837">
        <v>9459059</v>
      </c>
      <c r="O266" s="837">
        <v>7516479</v>
      </c>
      <c r="P266" s="838">
        <f t="shared" si="30"/>
        <v>126815607</v>
      </c>
      <c r="Q266" s="836"/>
    </row>
    <row r="267" spans="1:17">
      <c r="A267" s="846">
        <v>4863</v>
      </c>
      <c r="B267" s="34" t="str">
        <f t="shared" ref="B267:B282" si="31">$C$265</f>
        <v>CNGWA6631</v>
      </c>
      <c r="C267" s="34" t="s">
        <v>481</v>
      </c>
      <c r="D267" s="34">
        <v>0</v>
      </c>
      <c r="E267" s="837">
        <v>0</v>
      </c>
      <c r="F267" s="837">
        <v>0</v>
      </c>
      <c r="G267" s="837">
        <v>0</v>
      </c>
      <c r="H267" s="837">
        <v>0</v>
      </c>
      <c r="I267" s="837">
        <v>0</v>
      </c>
      <c r="J267" s="837">
        <v>0</v>
      </c>
      <c r="K267" s="837">
        <v>0</v>
      </c>
      <c r="L267" s="837">
        <v>0</v>
      </c>
      <c r="M267" s="837">
        <v>0</v>
      </c>
      <c r="N267" s="837">
        <v>0</v>
      </c>
      <c r="O267" s="837">
        <v>0</v>
      </c>
      <c r="P267" s="838">
        <f t="shared" si="30"/>
        <v>0</v>
      </c>
      <c r="Q267" s="836"/>
    </row>
    <row r="268" spans="1:17">
      <c r="B268" s="34" t="str">
        <f t="shared" si="31"/>
        <v>CNGWA6631</v>
      </c>
      <c r="C268" s="34" t="s">
        <v>482</v>
      </c>
      <c r="D268" s="34">
        <v>0</v>
      </c>
      <c r="E268" s="837">
        <v>0</v>
      </c>
      <c r="F268" s="837">
        <v>0</v>
      </c>
      <c r="G268" s="837">
        <v>0</v>
      </c>
      <c r="H268" s="837">
        <v>0</v>
      </c>
      <c r="I268" s="837">
        <v>0</v>
      </c>
      <c r="J268" s="837">
        <v>0</v>
      </c>
      <c r="K268" s="837">
        <v>0</v>
      </c>
      <c r="L268" s="837">
        <v>0</v>
      </c>
      <c r="M268" s="837">
        <v>0</v>
      </c>
      <c r="N268" s="837">
        <v>0</v>
      </c>
      <c r="O268" s="837">
        <v>0</v>
      </c>
      <c r="P268" s="838">
        <f t="shared" si="30"/>
        <v>0</v>
      </c>
      <c r="Q268" s="836"/>
    </row>
    <row r="269" spans="1:17">
      <c r="B269" s="34" t="str">
        <f t="shared" si="31"/>
        <v>CNGWA6631</v>
      </c>
      <c r="C269" s="34" t="s">
        <v>483</v>
      </c>
      <c r="D269" s="34">
        <v>14173947</v>
      </c>
      <c r="E269" s="837">
        <v>12220363</v>
      </c>
      <c r="F269" s="837">
        <v>11897407</v>
      </c>
      <c r="G269" s="837">
        <v>15670834</v>
      </c>
      <c r="H269" s="837">
        <v>13569738</v>
      </c>
      <c r="I269" s="837">
        <v>2198918</v>
      </c>
      <c r="J269" s="837">
        <v>3015900</v>
      </c>
      <c r="K269" s="837">
        <v>9874110</v>
      </c>
      <c r="L269" s="837">
        <v>13157147</v>
      </c>
      <c r="M269" s="837">
        <v>14061705</v>
      </c>
      <c r="N269" s="837">
        <v>9459059</v>
      </c>
      <c r="O269" s="837">
        <v>7516479</v>
      </c>
      <c r="P269" s="838">
        <f t="shared" si="30"/>
        <v>126815607</v>
      </c>
      <c r="Q269" s="836"/>
    </row>
    <row r="270" spans="1:17">
      <c r="B270" s="34" t="str">
        <f t="shared" si="31"/>
        <v>CNGWA6631</v>
      </c>
      <c r="C270" s="34" t="s">
        <v>484</v>
      </c>
      <c r="D270" s="34">
        <v>12220363</v>
      </c>
      <c r="E270" s="837">
        <v>11897407</v>
      </c>
      <c r="F270" s="837">
        <v>15670834</v>
      </c>
      <c r="G270" s="837">
        <v>13569738</v>
      </c>
      <c r="H270" s="837">
        <v>2198918</v>
      </c>
      <c r="I270" s="837">
        <v>3015900</v>
      </c>
      <c r="J270" s="837">
        <v>9874110</v>
      </c>
      <c r="K270" s="837">
        <v>13157147</v>
      </c>
      <c r="L270" s="837">
        <v>14061705</v>
      </c>
      <c r="M270" s="837">
        <v>9459059</v>
      </c>
      <c r="N270" s="837">
        <v>7516479</v>
      </c>
      <c r="O270" s="837">
        <v>13353201</v>
      </c>
      <c r="P270" s="838">
        <f t="shared" si="30"/>
        <v>125994861</v>
      </c>
      <c r="Q270" s="836"/>
    </row>
    <row r="271" spans="1:17">
      <c r="B271" s="34" t="str">
        <f t="shared" si="31"/>
        <v>CNGWA6631</v>
      </c>
      <c r="C271" s="34" t="s">
        <v>485</v>
      </c>
      <c r="D271" s="34">
        <v>12220363</v>
      </c>
      <c r="E271" s="837">
        <v>11897407</v>
      </c>
      <c r="F271" s="837">
        <v>15670834</v>
      </c>
      <c r="G271" s="837">
        <v>13569738</v>
      </c>
      <c r="H271" s="837">
        <v>2198918</v>
      </c>
      <c r="I271" s="837">
        <v>3015900</v>
      </c>
      <c r="J271" s="837">
        <v>9874110</v>
      </c>
      <c r="K271" s="837">
        <v>13157147</v>
      </c>
      <c r="L271" s="837">
        <v>14061705</v>
      </c>
      <c r="M271" s="837">
        <v>9459059</v>
      </c>
      <c r="N271" s="837">
        <v>7516479</v>
      </c>
      <c r="O271" s="837">
        <v>13353201</v>
      </c>
      <c r="P271" s="838">
        <f t="shared" si="30"/>
        <v>125994861</v>
      </c>
      <c r="Q271" s="836"/>
    </row>
    <row r="272" spans="1:17">
      <c r="B272" s="34" t="str">
        <f t="shared" si="31"/>
        <v>CNGWA6631</v>
      </c>
      <c r="C272" s="839" t="s">
        <v>149</v>
      </c>
      <c r="E272" s="837"/>
      <c r="F272" s="837"/>
      <c r="G272" s="837"/>
      <c r="H272" s="837"/>
      <c r="I272" s="837"/>
      <c r="J272" s="837"/>
      <c r="K272" s="837"/>
      <c r="L272" s="837"/>
      <c r="M272" s="837"/>
      <c r="N272" s="837"/>
      <c r="O272" s="837"/>
      <c r="P272" s="838">
        <f t="shared" si="30"/>
        <v>0</v>
      </c>
      <c r="Q272" s="836"/>
    </row>
    <row r="273" spans="2:17">
      <c r="B273" s="34" t="str">
        <f t="shared" si="31"/>
        <v>CNGWA6631</v>
      </c>
      <c r="C273" s="34" t="s">
        <v>486</v>
      </c>
      <c r="D273" s="850">
        <v>223397.4</v>
      </c>
      <c r="E273" s="850">
        <v>209027.34</v>
      </c>
      <c r="F273" s="850">
        <v>206651.75</v>
      </c>
      <c r="G273" s="850">
        <v>252514.95</v>
      </c>
      <c r="H273" s="850">
        <v>234730.16</v>
      </c>
      <c r="I273" s="850">
        <v>138481.45000000001</v>
      </c>
      <c r="J273" s="850">
        <v>145396.81</v>
      </c>
      <c r="K273" s="850">
        <v>203448.37</v>
      </c>
      <c r="L273" s="850">
        <v>231237.75</v>
      </c>
      <c r="M273" s="850">
        <v>238242.15</v>
      </c>
      <c r="N273" s="850">
        <v>199282.9</v>
      </c>
      <c r="O273" s="850">
        <v>185628.47</v>
      </c>
      <c r="P273" s="838">
        <f t="shared" si="30"/>
        <v>2468039.5</v>
      </c>
      <c r="Q273" s="836"/>
    </row>
    <row r="274" spans="2:17">
      <c r="B274" s="34" t="str">
        <f t="shared" si="31"/>
        <v>CNGWA6631</v>
      </c>
      <c r="C274" s="34" t="s">
        <v>143</v>
      </c>
      <c r="D274" s="850">
        <v>0</v>
      </c>
      <c r="E274" s="850">
        <v>0</v>
      </c>
      <c r="F274" s="850">
        <v>0</v>
      </c>
      <c r="G274" s="850">
        <v>0</v>
      </c>
      <c r="H274" s="850">
        <v>0</v>
      </c>
      <c r="I274" s="850">
        <v>0</v>
      </c>
      <c r="J274" s="850">
        <v>0</v>
      </c>
      <c r="K274" s="850">
        <v>0</v>
      </c>
      <c r="L274" s="850">
        <v>0</v>
      </c>
      <c r="M274" s="850">
        <v>0</v>
      </c>
      <c r="N274" s="850">
        <v>0</v>
      </c>
      <c r="O274" s="850">
        <v>0</v>
      </c>
      <c r="P274" s="838">
        <f t="shared" si="30"/>
        <v>0</v>
      </c>
      <c r="Q274" s="836"/>
    </row>
    <row r="275" spans="2:17">
      <c r="B275" s="34" t="str">
        <f t="shared" si="31"/>
        <v>CNGWA6631</v>
      </c>
      <c r="C275" s="34" t="s">
        <v>144</v>
      </c>
      <c r="D275" s="850">
        <v>0</v>
      </c>
      <c r="E275" s="850">
        <v>0</v>
      </c>
      <c r="F275" s="850">
        <v>0</v>
      </c>
      <c r="G275" s="850">
        <v>0</v>
      </c>
      <c r="H275" s="850">
        <v>0</v>
      </c>
      <c r="I275" s="850">
        <v>0</v>
      </c>
      <c r="J275" s="850">
        <v>0</v>
      </c>
      <c r="K275" s="850">
        <v>0</v>
      </c>
      <c r="L275" s="850">
        <v>0</v>
      </c>
      <c r="M275" s="850">
        <v>0</v>
      </c>
      <c r="N275" s="850">
        <v>0</v>
      </c>
      <c r="O275" s="850">
        <v>0</v>
      </c>
      <c r="P275" s="838">
        <f t="shared" si="30"/>
        <v>0</v>
      </c>
    </row>
    <row r="276" spans="2:17">
      <c r="B276" s="34" t="str">
        <f t="shared" si="31"/>
        <v>CNGWA6631</v>
      </c>
      <c r="C276" s="34" t="s">
        <v>145</v>
      </c>
      <c r="D276" s="850">
        <v>0</v>
      </c>
      <c r="E276" s="850">
        <v>0</v>
      </c>
      <c r="F276" s="850">
        <v>0</v>
      </c>
      <c r="G276" s="850">
        <v>0</v>
      </c>
      <c r="H276" s="850">
        <v>0</v>
      </c>
      <c r="I276" s="850">
        <v>0</v>
      </c>
      <c r="J276" s="850">
        <v>0</v>
      </c>
      <c r="K276" s="850">
        <v>0</v>
      </c>
      <c r="L276" s="850">
        <v>0</v>
      </c>
      <c r="M276" s="850">
        <v>0</v>
      </c>
      <c r="N276" s="850">
        <v>0</v>
      </c>
      <c r="O276" s="850">
        <v>0</v>
      </c>
      <c r="P276" s="838">
        <f t="shared" si="30"/>
        <v>0</v>
      </c>
    </row>
    <row r="277" spans="2:17">
      <c r="B277" s="34" t="str">
        <f t="shared" si="31"/>
        <v>CNGWA6631</v>
      </c>
      <c r="C277" s="34" t="s">
        <v>487</v>
      </c>
      <c r="D277" s="850">
        <v>-8513.9699999999993</v>
      </c>
      <c r="E277" s="850">
        <v>-6460.06</v>
      </c>
      <c r="F277" s="850">
        <v>-5828.36</v>
      </c>
      <c r="G277" s="850">
        <v>-9542.4</v>
      </c>
      <c r="H277" s="850">
        <v>-8120.73</v>
      </c>
      <c r="I277" s="850">
        <v>-997.1</v>
      </c>
      <c r="J277" s="850">
        <v>-1467.18</v>
      </c>
      <c r="K277" s="850">
        <v>-4941.2</v>
      </c>
      <c r="L277" s="850">
        <v>-8053.38</v>
      </c>
      <c r="M277" s="850">
        <v>-9301.09</v>
      </c>
      <c r="N277" s="850">
        <v>-5602.21</v>
      </c>
      <c r="O277" s="850">
        <v>-3147.12</v>
      </c>
      <c r="P277" s="838">
        <f t="shared" si="30"/>
        <v>-71974.8</v>
      </c>
    </row>
    <row r="278" spans="2:17">
      <c r="B278" s="34" t="str">
        <f t="shared" si="31"/>
        <v>CNGWA6631</v>
      </c>
      <c r="C278" s="34" t="s">
        <v>488</v>
      </c>
      <c r="D278" s="850">
        <v>0</v>
      </c>
      <c r="E278" s="850">
        <v>0</v>
      </c>
      <c r="F278" s="850">
        <v>0</v>
      </c>
      <c r="G278" s="850">
        <v>0</v>
      </c>
      <c r="H278" s="850">
        <v>0</v>
      </c>
      <c r="I278" s="850">
        <v>0</v>
      </c>
      <c r="J278" s="850">
        <v>0</v>
      </c>
      <c r="K278" s="850">
        <v>0</v>
      </c>
      <c r="L278" s="850">
        <v>0</v>
      </c>
      <c r="M278" s="850">
        <v>0</v>
      </c>
      <c r="N278" s="850">
        <v>0</v>
      </c>
      <c r="O278" s="850">
        <v>0</v>
      </c>
      <c r="P278" s="838">
        <f t="shared" si="30"/>
        <v>0</v>
      </c>
    </row>
    <row r="279" spans="2:17">
      <c r="B279" s="34" t="str">
        <f t="shared" si="31"/>
        <v>CNGWA6631</v>
      </c>
      <c r="C279" s="34" t="s">
        <v>174</v>
      </c>
      <c r="D279" s="850">
        <v>0</v>
      </c>
      <c r="E279" s="850">
        <v>0</v>
      </c>
      <c r="F279" s="850">
        <v>0</v>
      </c>
      <c r="G279" s="850">
        <v>0</v>
      </c>
      <c r="H279" s="850">
        <v>0</v>
      </c>
      <c r="I279" s="850">
        <v>0</v>
      </c>
      <c r="J279" s="850">
        <v>0</v>
      </c>
      <c r="K279" s="850">
        <v>0</v>
      </c>
      <c r="L279" s="850">
        <v>0</v>
      </c>
      <c r="M279" s="850">
        <v>0</v>
      </c>
      <c r="N279" s="850">
        <v>0</v>
      </c>
      <c r="O279" s="850">
        <v>0</v>
      </c>
      <c r="P279" s="838">
        <f t="shared" si="30"/>
        <v>0</v>
      </c>
    </row>
    <row r="280" spans="2:17">
      <c r="B280" s="34" t="str">
        <f t="shared" si="31"/>
        <v>CNGWA6631</v>
      </c>
      <c r="C280" s="34" t="s">
        <v>175</v>
      </c>
      <c r="D280" s="850">
        <v>-219145.22</v>
      </c>
      <c r="E280" s="850">
        <v>-205361.23</v>
      </c>
      <c r="F280" s="850">
        <v>-203082.53</v>
      </c>
      <c r="G280" s="850">
        <v>-247813.7</v>
      </c>
      <c r="H280" s="850">
        <v>-230659.24</v>
      </c>
      <c r="I280" s="850">
        <v>-137821.77000000002</v>
      </c>
      <c r="J280" s="850">
        <v>-144492.04</v>
      </c>
      <c r="K280" s="850">
        <v>-200486.13999999998</v>
      </c>
      <c r="L280" s="850">
        <v>-227290.61</v>
      </c>
      <c r="M280" s="850">
        <v>-234023.63999999998</v>
      </c>
      <c r="N280" s="850">
        <v>-196445.18</v>
      </c>
      <c r="O280" s="850">
        <v>-183373.53</v>
      </c>
      <c r="P280" s="838">
        <f t="shared" si="30"/>
        <v>-2429994.8299999996</v>
      </c>
    </row>
    <row r="281" spans="2:17">
      <c r="B281" s="34" t="str">
        <f t="shared" si="31"/>
        <v>CNGWA6631</v>
      </c>
      <c r="C281" s="34" t="s">
        <v>176</v>
      </c>
      <c r="D281" s="850">
        <v>205361.23</v>
      </c>
      <c r="E281" s="850">
        <v>203082.53</v>
      </c>
      <c r="F281" s="850">
        <v>247813.7</v>
      </c>
      <c r="G281" s="850">
        <v>230659.24</v>
      </c>
      <c r="H281" s="850">
        <v>137821.77000000002</v>
      </c>
      <c r="I281" s="850">
        <v>144492.04</v>
      </c>
      <c r="J281" s="850">
        <v>200486.13999999998</v>
      </c>
      <c r="K281" s="850">
        <v>227290.61</v>
      </c>
      <c r="L281" s="850">
        <v>234023.63999999998</v>
      </c>
      <c r="M281" s="850">
        <v>196445.18</v>
      </c>
      <c r="N281" s="850">
        <v>183373.53</v>
      </c>
      <c r="O281" s="850">
        <v>233193.08000000002</v>
      </c>
      <c r="P281" s="838">
        <f t="shared" si="30"/>
        <v>2444042.6899999995</v>
      </c>
    </row>
    <row r="282" spans="2:17">
      <c r="B282" s="34" t="str">
        <f t="shared" si="31"/>
        <v>CNGWA6631</v>
      </c>
      <c r="C282" s="34" t="s">
        <v>400</v>
      </c>
      <c r="D282" s="850">
        <f>SUM(D273:D281)</f>
        <v>201099.44</v>
      </c>
      <c r="E282" s="850">
        <f t="shared" ref="E282:O282" si="32">SUM(E273:E281)</f>
        <v>200288.58</v>
      </c>
      <c r="F282" s="850">
        <f t="shared" si="32"/>
        <v>245554.56000000003</v>
      </c>
      <c r="G282" s="850">
        <f t="shared" si="32"/>
        <v>225818.09</v>
      </c>
      <c r="H282" s="850">
        <f t="shared" si="32"/>
        <v>133771.96000000002</v>
      </c>
      <c r="I282" s="850">
        <f t="shared" si="32"/>
        <v>144154.62</v>
      </c>
      <c r="J282" s="850">
        <f t="shared" si="32"/>
        <v>199923.72999999998</v>
      </c>
      <c r="K282" s="850">
        <f t="shared" si="32"/>
        <v>225311.63999999998</v>
      </c>
      <c r="L282" s="850">
        <f t="shared" si="32"/>
        <v>229917.4</v>
      </c>
      <c r="M282" s="850">
        <f t="shared" si="32"/>
        <v>191362.6</v>
      </c>
      <c r="N282" s="850">
        <f t="shared" si="32"/>
        <v>180609.04</v>
      </c>
      <c r="O282" s="850">
        <f t="shared" si="32"/>
        <v>232300.90000000002</v>
      </c>
      <c r="P282" s="838">
        <f t="shared" si="30"/>
        <v>2410112.5599999996</v>
      </c>
    </row>
    <row r="283" spans="2:17">
      <c r="C283" s="839" t="s">
        <v>149</v>
      </c>
      <c r="D283" s="850"/>
      <c r="E283" s="850"/>
      <c r="F283" s="850"/>
      <c r="G283" s="850"/>
      <c r="H283" s="850"/>
      <c r="I283" s="850"/>
      <c r="J283" s="850"/>
      <c r="K283" s="850"/>
      <c r="L283" s="850"/>
      <c r="M283" s="850"/>
      <c r="N283" s="850"/>
      <c r="O283" s="850"/>
      <c r="P283" s="838">
        <f t="shared" si="30"/>
        <v>0</v>
      </c>
    </row>
    <row r="284" spans="2:17">
      <c r="C284" s="839"/>
      <c r="D284" s="850"/>
      <c r="E284" s="850"/>
      <c r="F284" s="850"/>
      <c r="G284" s="850"/>
      <c r="H284" s="850"/>
      <c r="I284" s="850"/>
      <c r="J284" s="850"/>
      <c r="K284" s="850"/>
      <c r="L284" s="850"/>
      <c r="M284" s="850"/>
      <c r="N284" s="850"/>
      <c r="O284" s="850"/>
      <c r="P284" s="838">
        <f t="shared" si="30"/>
        <v>0</v>
      </c>
    </row>
    <row r="285" spans="2:17">
      <c r="C285" s="783" t="s">
        <v>223</v>
      </c>
      <c r="D285" s="851"/>
      <c r="E285" s="851"/>
      <c r="F285" s="851"/>
      <c r="G285" s="851"/>
      <c r="H285" s="851"/>
      <c r="I285" s="851"/>
      <c r="J285" s="851"/>
      <c r="K285" s="851"/>
      <c r="L285" s="851"/>
      <c r="M285" s="851"/>
      <c r="N285" s="851"/>
      <c r="O285" s="851"/>
      <c r="P285" s="838">
        <f t="shared" si="30"/>
        <v>0</v>
      </c>
    </row>
    <row r="286" spans="2:17">
      <c r="B286" s="34" t="str">
        <f>$C$285</f>
        <v>CNGWA6633</v>
      </c>
      <c r="C286" s="34" t="s">
        <v>401</v>
      </c>
      <c r="D286" s="850">
        <v>13886984</v>
      </c>
      <c r="E286" s="850">
        <v>9693367</v>
      </c>
      <c r="F286" s="850">
        <v>7438730</v>
      </c>
      <c r="G286" s="850">
        <v>14229128</v>
      </c>
      <c r="H286" s="850">
        <v>11001952</v>
      </c>
      <c r="I286" s="850">
        <v>791584</v>
      </c>
      <c r="J286" s="850">
        <v>1306946</v>
      </c>
      <c r="K286" s="850">
        <v>5180231</v>
      </c>
      <c r="L286" s="850">
        <v>10278160</v>
      </c>
      <c r="M286" s="850">
        <v>12575104</v>
      </c>
      <c r="N286" s="850">
        <v>8268305</v>
      </c>
      <c r="O286" s="850">
        <v>2419246</v>
      </c>
      <c r="P286" s="838">
        <f t="shared" si="30"/>
        <v>97069737</v>
      </c>
    </row>
    <row r="287" spans="2:17">
      <c r="B287" s="34" t="str">
        <f t="shared" ref="B287:B302" si="33">$C$285</f>
        <v>CNGWA6633</v>
      </c>
      <c r="C287" s="34" t="s">
        <v>481</v>
      </c>
      <c r="D287" s="850">
        <v>0</v>
      </c>
      <c r="E287" s="850">
        <v>0</v>
      </c>
      <c r="F287" s="850">
        <v>0</v>
      </c>
      <c r="G287" s="850">
        <v>0</v>
      </c>
      <c r="H287" s="850">
        <v>0</v>
      </c>
      <c r="I287" s="850">
        <v>0</v>
      </c>
      <c r="J287" s="850">
        <v>0</v>
      </c>
      <c r="K287" s="850">
        <v>0</v>
      </c>
      <c r="L287" s="850">
        <v>0</v>
      </c>
      <c r="M287" s="850">
        <v>0</v>
      </c>
      <c r="N287" s="850">
        <v>0</v>
      </c>
      <c r="O287" s="850">
        <v>0</v>
      </c>
      <c r="P287" s="838">
        <f t="shared" si="30"/>
        <v>0</v>
      </c>
    </row>
    <row r="288" spans="2:17">
      <c r="B288" s="34" t="str">
        <f t="shared" si="33"/>
        <v>CNGWA6633</v>
      </c>
      <c r="C288" s="34" t="s">
        <v>482</v>
      </c>
      <c r="D288" s="850">
        <v>0</v>
      </c>
      <c r="E288" s="850">
        <v>0</v>
      </c>
      <c r="F288" s="850">
        <v>0</v>
      </c>
      <c r="G288" s="850">
        <v>0</v>
      </c>
      <c r="H288" s="850">
        <v>0</v>
      </c>
      <c r="I288" s="850">
        <v>0</v>
      </c>
      <c r="J288" s="850">
        <v>0</v>
      </c>
      <c r="K288" s="850">
        <v>0</v>
      </c>
      <c r="L288" s="850">
        <v>0</v>
      </c>
      <c r="M288" s="850">
        <v>0</v>
      </c>
      <c r="N288" s="850">
        <v>0</v>
      </c>
      <c r="O288" s="850">
        <v>0</v>
      </c>
      <c r="P288" s="838">
        <f t="shared" si="30"/>
        <v>0</v>
      </c>
    </row>
    <row r="289" spans="2:16">
      <c r="B289" s="34" t="str">
        <f t="shared" si="33"/>
        <v>CNGWA6633</v>
      </c>
      <c r="C289" s="34" t="s">
        <v>483</v>
      </c>
      <c r="D289" s="850">
        <v>13886984</v>
      </c>
      <c r="E289" s="850">
        <v>9693367</v>
      </c>
      <c r="F289" s="850">
        <v>7438730</v>
      </c>
      <c r="G289" s="850">
        <v>14229128</v>
      </c>
      <c r="H289" s="850">
        <v>11001952</v>
      </c>
      <c r="I289" s="850">
        <v>791584</v>
      </c>
      <c r="J289" s="850">
        <v>1306946</v>
      </c>
      <c r="K289" s="850">
        <v>5180231</v>
      </c>
      <c r="L289" s="850">
        <v>10278160</v>
      </c>
      <c r="M289" s="850">
        <v>12575104</v>
      </c>
      <c r="N289" s="850">
        <v>8268305</v>
      </c>
      <c r="O289" s="850">
        <v>2419246</v>
      </c>
      <c r="P289" s="838">
        <f t="shared" si="30"/>
        <v>97069737</v>
      </c>
    </row>
    <row r="290" spans="2:16">
      <c r="B290" s="34" t="str">
        <f t="shared" si="33"/>
        <v>CNGWA6633</v>
      </c>
      <c r="C290" s="34" t="s">
        <v>484</v>
      </c>
      <c r="D290" s="850">
        <v>9693367</v>
      </c>
      <c r="E290" s="850">
        <v>7438730</v>
      </c>
      <c r="F290" s="850">
        <v>14229128</v>
      </c>
      <c r="G290" s="850">
        <v>11001952</v>
      </c>
      <c r="H290" s="850">
        <v>791584</v>
      </c>
      <c r="I290" s="850">
        <v>1306946</v>
      </c>
      <c r="J290" s="850">
        <v>5180231</v>
      </c>
      <c r="K290" s="850">
        <v>10278160</v>
      </c>
      <c r="L290" s="850">
        <v>12575104</v>
      </c>
      <c r="M290" s="850">
        <v>8268305</v>
      </c>
      <c r="N290" s="850">
        <v>2419246</v>
      </c>
      <c r="O290" s="850">
        <v>9176642</v>
      </c>
      <c r="P290" s="838">
        <f t="shared" si="30"/>
        <v>92359395</v>
      </c>
    </row>
    <row r="291" spans="2:16">
      <c r="B291" s="34" t="str">
        <f t="shared" si="33"/>
        <v>CNGWA6633</v>
      </c>
      <c r="C291" s="34" t="s">
        <v>485</v>
      </c>
      <c r="D291" s="850">
        <v>9693367</v>
      </c>
      <c r="E291" s="850">
        <v>7438730</v>
      </c>
      <c r="F291" s="850">
        <v>14229128</v>
      </c>
      <c r="G291" s="850">
        <v>11001952</v>
      </c>
      <c r="H291" s="850">
        <v>791584</v>
      </c>
      <c r="I291" s="850">
        <v>1306946</v>
      </c>
      <c r="J291" s="850">
        <v>5180231</v>
      </c>
      <c r="K291" s="850">
        <v>10278160</v>
      </c>
      <c r="L291" s="850">
        <v>12575104</v>
      </c>
      <c r="M291" s="850">
        <v>8268305</v>
      </c>
      <c r="N291" s="850">
        <v>2419246</v>
      </c>
      <c r="O291" s="850">
        <v>9176642</v>
      </c>
      <c r="P291" s="838">
        <f t="shared" si="30"/>
        <v>92359395</v>
      </c>
    </row>
    <row r="292" spans="2:16">
      <c r="B292" s="34" t="str">
        <f t="shared" si="33"/>
        <v>CNGWA6633</v>
      </c>
      <c r="C292" s="839" t="s">
        <v>149</v>
      </c>
      <c r="D292" s="850"/>
      <c r="E292" s="850"/>
      <c r="F292" s="850"/>
      <c r="G292" s="850"/>
      <c r="H292" s="850"/>
      <c r="I292" s="850"/>
      <c r="J292" s="850"/>
      <c r="K292" s="850"/>
      <c r="L292" s="850"/>
      <c r="M292" s="850"/>
      <c r="N292" s="850"/>
      <c r="O292" s="850"/>
      <c r="P292" s="838">
        <f t="shared" si="30"/>
        <v>0</v>
      </c>
    </row>
    <row r="293" spans="2:16">
      <c r="B293" s="34" t="str">
        <f t="shared" si="33"/>
        <v>CNGWA6633</v>
      </c>
      <c r="C293" s="34" t="s">
        <v>486</v>
      </c>
      <c r="D293" s="850">
        <v>220573.88</v>
      </c>
      <c r="E293" s="850">
        <v>189726.7</v>
      </c>
      <c r="F293" s="850">
        <v>173142.16</v>
      </c>
      <c r="G293" s="850">
        <v>239599.32</v>
      </c>
      <c r="H293" s="850">
        <v>212282.77</v>
      </c>
      <c r="I293" s="850">
        <v>125856.76</v>
      </c>
      <c r="J293" s="850">
        <v>130219.05</v>
      </c>
      <c r="K293" s="850">
        <v>163004.60999999999</v>
      </c>
      <c r="L293" s="850">
        <v>206156.21</v>
      </c>
      <c r="M293" s="850">
        <v>225598.78</v>
      </c>
      <c r="N293" s="850">
        <v>189143.71</v>
      </c>
      <c r="O293" s="850">
        <v>140531.69</v>
      </c>
      <c r="P293" s="838">
        <f t="shared" si="30"/>
        <v>2215835.64</v>
      </c>
    </row>
    <row r="294" spans="2:16">
      <c r="B294" s="34" t="str">
        <f t="shared" si="33"/>
        <v>CNGWA6633</v>
      </c>
      <c r="C294" s="34" t="s">
        <v>143</v>
      </c>
      <c r="D294" s="850">
        <v>0</v>
      </c>
      <c r="E294" s="850">
        <v>0</v>
      </c>
      <c r="F294" s="850">
        <v>0</v>
      </c>
      <c r="G294" s="850">
        <v>0</v>
      </c>
      <c r="H294" s="850">
        <v>0</v>
      </c>
      <c r="I294" s="850">
        <v>0</v>
      </c>
      <c r="J294" s="850">
        <v>0</v>
      </c>
      <c r="K294" s="850">
        <v>0</v>
      </c>
      <c r="L294" s="850">
        <v>0</v>
      </c>
      <c r="M294" s="850">
        <v>0</v>
      </c>
      <c r="N294" s="850">
        <v>0</v>
      </c>
      <c r="O294" s="850">
        <v>0</v>
      </c>
      <c r="P294" s="838">
        <f t="shared" si="30"/>
        <v>0</v>
      </c>
    </row>
    <row r="295" spans="2:16">
      <c r="B295" s="34" t="str">
        <f t="shared" si="33"/>
        <v>CNGWA6633</v>
      </c>
      <c r="C295" s="34" t="s">
        <v>144</v>
      </c>
      <c r="D295" s="850">
        <v>0</v>
      </c>
      <c r="E295" s="850">
        <v>0</v>
      </c>
      <c r="F295" s="850">
        <v>0</v>
      </c>
      <c r="G295" s="850">
        <v>0</v>
      </c>
      <c r="H295" s="850">
        <v>0</v>
      </c>
      <c r="I295" s="850">
        <v>0</v>
      </c>
      <c r="J295" s="850">
        <v>0</v>
      </c>
      <c r="K295" s="850">
        <v>0</v>
      </c>
      <c r="L295" s="850">
        <v>0</v>
      </c>
      <c r="M295" s="850">
        <v>0</v>
      </c>
      <c r="N295" s="850">
        <v>0</v>
      </c>
      <c r="O295" s="850">
        <v>0</v>
      </c>
      <c r="P295" s="838">
        <f t="shared" si="30"/>
        <v>0</v>
      </c>
    </row>
    <row r="296" spans="2:16">
      <c r="B296" s="34" t="str">
        <f t="shared" si="33"/>
        <v>CNGWA6633</v>
      </c>
      <c r="C296" s="34" t="s">
        <v>145</v>
      </c>
      <c r="D296" s="850">
        <v>0</v>
      </c>
      <c r="E296" s="850">
        <v>0</v>
      </c>
      <c r="F296" s="850">
        <v>0</v>
      </c>
      <c r="G296" s="850">
        <v>0</v>
      </c>
      <c r="H296" s="850">
        <v>0</v>
      </c>
      <c r="I296" s="850">
        <v>0</v>
      </c>
      <c r="J296" s="850">
        <v>0</v>
      </c>
      <c r="K296" s="850">
        <v>0</v>
      </c>
      <c r="L296" s="850">
        <v>0</v>
      </c>
      <c r="M296" s="850">
        <v>0</v>
      </c>
      <c r="N296" s="850">
        <v>0</v>
      </c>
      <c r="O296" s="850">
        <v>0</v>
      </c>
      <c r="P296" s="838">
        <f t="shared" si="30"/>
        <v>0</v>
      </c>
    </row>
    <row r="297" spans="2:16">
      <c r="B297" s="34" t="str">
        <f t="shared" si="33"/>
        <v>CNGWA6633</v>
      </c>
      <c r="C297" s="34" t="s">
        <v>487</v>
      </c>
      <c r="D297" s="850">
        <v>0</v>
      </c>
      <c r="E297" s="850">
        <v>0</v>
      </c>
      <c r="F297" s="850">
        <v>0</v>
      </c>
      <c r="G297" s="850">
        <v>0</v>
      </c>
      <c r="H297" s="850">
        <v>0</v>
      </c>
      <c r="I297" s="850">
        <v>0</v>
      </c>
      <c r="J297" s="850">
        <v>0</v>
      </c>
      <c r="K297" s="850">
        <v>0</v>
      </c>
      <c r="L297" s="850">
        <v>0</v>
      </c>
      <c r="M297" s="850">
        <v>0</v>
      </c>
      <c r="N297" s="850">
        <v>0</v>
      </c>
      <c r="O297" s="850">
        <v>0</v>
      </c>
      <c r="P297" s="838">
        <f t="shared" si="30"/>
        <v>0</v>
      </c>
    </row>
    <row r="298" spans="2:16">
      <c r="B298" s="34" t="str">
        <f t="shared" si="33"/>
        <v>CNGWA6633</v>
      </c>
      <c r="C298" s="34" t="s">
        <v>488</v>
      </c>
      <c r="D298" s="850">
        <v>0</v>
      </c>
      <c r="E298" s="850">
        <v>0</v>
      </c>
      <c r="F298" s="850">
        <v>0</v>
      </c>
      <c r="G298" s="850">
        <v>0</v>
      </c>
      <c r="H298" s="850">
        <v>0</v>
      </c>
      <c r="I298" s="850">
        <v>0</v>
      </c>
      <c r="J298" s="850">
        <v>0</v>
      </c>
      <c r="K298" s="850">
        <v>0</v>
      </c>
      <c r="L298" s="850">
        <v>0</v>
      </c>
      <c r="M298" s="850">
        <v>0</v>
      </c>
      <c r="N298" s="850">
        <v>0</v>
      </c>
      <c r="O298" s="850">
        <v>0</v>
      </c>
      <c r="P298" s="838">
        <f t="shared" si="30"/>
        <v>0</v>
      </c>
    </row>
    <row r="299" spans="2:16">
      <c r="B299" s="34" t="str">
        <f t="shared" si="33"/>
        <v>CNGWA6633</v>
      </c>
      <c r="C299" s="34" t="s">
        <v>174</v>
      </c>
      <c r="D299" s="850">
        <v>0</v>
      </c>
      <c r="E299" s="850">
        <v>0</v>
      </c>
      <c r="F299" s="850">
        <v>0</v>
      </c>
      <c r="G299" s="850">
        <v>0</v>
      </c>
      <c r="H299" s="850">
        <v>0</v>
      </c>
      <c r="I299" s="850">
        <v>0</v>
      </c>
      <c r="J299" s="850">
        <v>0</v>
      </c>
      <c r="K299" s="850">
        <v>0</v>
      </c>
      <c r="L299" s="850">
        <v>0</v>
      </c>
      <c r="M299" s="850">
        <v>0</v>
      </c>
      <c r="N299" s="850">
        <v>0</v>
      </c>
      <c r="O299" s="850">
        <v>0</v>
      </c>
      <c r="P299" s="838">
        <f t="shared" si="30"/>
        <v>0</v>
      </c>
    </row>
    <row r="300" spans="2:16">
      <c r="B300" s="34" t="str">
        <f t="shared" si="33"/>
        <v>CNGWA6633</v>
      </c>
      <c r="C300" s="34" t="s">
        <v>175</v>
      </c>
      <c r="D300" s="850">
        <v>-216407.78</v>
      </c>
      <c r="E300" s="850">
        <v>-186818.69</v>
      </c>
      <c r="F300" s="850">
        <v>-170910.54</v>
      </c>
      <c r="G300" s="850">
        <v>-235330.58000000002</v>
      </c>
      <c r="H300" s="850">
        <v>-208982.18</v>
      </c>
      <c r="I300" s="850">
        <v>-125619.28</v>
      </c>
      <c r="J300" s="850">
        <v>-129826.97</v>
      </c>
      <c r="K300" s="850">
        <v>-161450.53999999998</v>
      </c>
      <c r="L300" s="850">
        <v>-203072.75999999998</v>
      </c>
      <c r="M300" s="850">
        <v>-221826.25</v>
      </c>
      <c r="N300" s="850">
        <v>-186663.22</v>
      </c>
      <c r="O300" s="850">
        <v>-139805.92000000001</v>
      </c>
      <c r="P300" s="838">
        <f t="shared" si="30"/>
        <v>-2186714.71</v>
      </c>
    </row>
    <row r="301" spans="2:16">
      <c r="B301" s="34" t="str">
        <f t="shared" si="33"/>
        <v>CNGWA6633</v>
      </c>
      <c r="C301" s="34" t="s">
        <v>176</v>
      </c>
      <c r="D301" s="850">
        <v>186818.69</v>
      </c>
      <c r="E301" s="850">
        <v>170910.54</v>
      </c>
      <c r="F301" s="850">
        <v>235330.58000000002</v>
      </c>
      <c r="G301" s="850">
        <v>208982.18</v>
      </c>
      <c r="H301" s="850">
        <v>125619.28</v>
      </c>
      <c r="I301" s="850">
        <v>129826.97</v>
      </c>
      <c r="J301" s="850">
        <v>161450.53999999998</v>
      </c>
      <c r="K301" s="850">
        <v>203072.75999999998</v>
      </c>
      <c r="L301" s="850">
        <v>221826.25</v>
      </c>
      <c r="M301" s="850">
        <v>186663.22</v>
      </c>
      <c r="N301" s="850">
        <v>139805.92000000001</v>
      </c>
      <c r="O301" s="850">
        <v>197483.92</v>
      </c>
      <c r="P301" s="838">
        <f t="shared" si="30"/>
        <v>2167790.85</v>
      </c>
    </row>
    <row r="302" spans="2:16">
      <c r="B302" s="34" t="str">
        <f t="shared" si="33"/>
        <v>CNGWA6633</v>
      </c>
      <c r="C302" s="34" t="s">
        <v>400</v>
      </c>
      <c r="D302" s="850">
        <f>SUM(D293:D301)</f>
        <v>190984.79</v>
      </c>
      <c r="E302" s="850">
        <f t="shared" ref="E302:O302" si="34">SUM(E293:E301)</f>
        <v>173818.55000000002</v>
      </c>
      <c r="F302" s="850">
        <f t="shared" si="34"/>
        <v>237562.2</v>
      </c>
      <c r="G302" s="850">
        <f t="shared" si="34"/>
        <v>213250.91999999998</v>
      </c>
      <c r="H302" s="850">
        <f t="shared" si="34"/>
        <v>128919.87</v>
      </c>
      <c r="I302" s="850">
        <f t="shared" si="34"/>
        <v>130064.45</v>
      </c>
      <c r="J302" s="850">
        <f t="shared" si="34"/>
        <v>161842.62</v>
      </c>
      <c r="K302" s="850">
        <f t="shared" si="34"/>
        <v>204626.83</v>
      </c>
      <c r="L302" s="850">
        <f t="shared" si="34"/>
        <v>224909.7</v>
      </c>
      <c r="M302" s="850">
        <f t="shared" si="34"/>
        <v>190435.75</v>
      </c>
      <c r="N302" s="850">
        <f t="shared" si="34"/>
        <v>142286.41</v>
      </c>
      <c r="O302" s="850">
        <f t="shared" si="34"/>
        <v>198209.69</v>
      </c>
      <c r="P302" s="838">
        <f t="shared" si="30"/>
        <v>2196911.7799999998</v>
      </c>
    </row>
    <row r="303" spans="2:16">
      <c r="C303" s="839" t="s">
        <v>149</v>
      </c>
      <c r="D303" s="850"/>
      <c r="E303" s="850"/>
      <c r="F303" s="850"/>
      <c r="G303" s="850"/>
      <c r="H303" s="850"/>
      <c r="I303" s="850"/>
      <c r="J303" s="850"/>
      <c r="K303" s="850"/>
      <c r="L303" s="850"/>
      <c r="M303" s="850"/>
      <c r="N303" s="850"/>
      <c r="O303" s="850"/>
      <c r="P303" s="838">
        <f t="shared" si="30"/>
        <v>0</v>
      </c>
    </row>
    <row r="304" spans="2:16">
      <c r="P304" s="838">
        <f t="shared" si="30"/>
        <v>0</v>
      </c>
    </row>
    <row r="305" spans="2:16">
      <c r="C305" s="783" t="s">
        <v>228</v>
      </c>
      <c r="D305" s="851"/>
      <c r="E305" s="851"/>
      <c r="F305" s="851"/>
      <c r="G305" s="851"/>
      <c r="H305" s="851"/>
      <c r="I305" s="851"/>
      <c r="J305" s="851"/>
      <c r="K305" s="851"/>
      <c r="L305" s="851"/>
      <c r="M305" s="851"/>
      <c r="N305" s="851"/>
      <c r="O305" s="851"/>
      <c r="P305" s="838">
        <f t="shared" si="30"/>
        <v>0</v>
      </c>
    </row>
    <row r="306" spans="2:16">
      <c r="B306" s="34" t="str">
        <f>$C$305</f>
        <v>CNGWA6635</v>
      </c>
      <c r="C306" s="34" t="s">
        <v>401</v>
      </c>
      <c r="D306" s="850">
        <v>1297588</v>
      </c>
      <c r="E306" s="850">
        <v>362331</v>
      </c>
      <c r="F306" s="850">
        <v>761639</v>
      </c>
      <c r="G306" s="850">
        <v>3004872</v>
      </c>
      <c r="H306" s="850">
        <v>3430843</v>
      </c>
      <c r="I306" s="850">
        <v>447784</v>
      </c>
      <c r="J306" s="850">
        <v>736401</v>
      </c>
      <c r="K306" s="850">
        <v>1984278</v>
      </c>
      <c r="L306" s="850">
        <v>4334957</v>
      </c>
      <c r="M306" s="850">
        <v>5435910</v>
      </c>
      <c r="N306" s="850">
        <v>1590604</v>
      </c>
      <c r="O306" s="850">
        <v>916410</v>
      </c>
      <c r="P306" s="838">
        <f t="shared" si="30"/>
        <v>24303617</v>
      </c>
    </row>
    <row r="307" spans="2:16">
      <c r="B307" s="34" t="str">
        <f t="shared" ref="B307:B322" si="35">$C$305</f>
        <v>CNGWA6635</v>
      </c>
      <c r="C307" s="34" t="s">
        <v>481</v>
      </c>
      <c r="D307" s="850">
        <v>0</v>
      </c>
      <c r="E307" s="850">
        <v>0</v>
      </c>
      <c r="F307" s="850">
        <v>0</v>
      </c>
      <c r="G307" s="850">
        <v>0</v>
      </c>
      <c r="H307" s="850">
        <v>0</v>
      </c>
      <c r="I307" s="850">
        <v>0</v>
      </c>
      <c r="J307" s="850">
        <v>0</v>
      </c>
      <c r="K307" s="850">
        <v>0</v>
      </c>
      <c r="L307" s="850">
        <v>0</v>
      </c>
      <c r="M307" s="850">
        <v>0</v>
      </c>
      <c r="N307" s="850">
        <v>0</v>
      </c>
      <c r="O307" s="850">
        <v>0</v>
      </c>
      <c r="P307" s="838">
        <f t="shared" si="30"/>
        <v>0</v>
      </c>
    </row>
    <row r="308" spans="2:16">
      <c r="B308" s="34" t="str">
        <f t="shared" si="35"/>
        <v>CNGWA6635</v>
      </c>
      <c r="C308" s="34" t="s">
        <v>482</v>
      </c>
      <c r="D308" s="850">
        <v>0</v>
      </c>
      <c r="E308" s="850">
        <v>0</v>
      </c>
      <c r="F308" s="850">
        <v>0</v>
      </c>
      <c r="G308" s="850">
        <v>0</v>
      </c>
      <c r="H308" s="850">
        <v>0</v>
      </c>
      <c r="I308" s="850">
        <v>0</v>
      </c>
      <c r="J308" s="850">
        <v>0</v>
      </c>
      <c r="K308" s="850">
        <v>0</v>
      </c>
      <c r="L308" s="850">
        <v>0</v>
      </c>
      <c r="M308" s="850">
        <v>0</v>
      </c>
      <c r="N308" s="850">
        <v>0</v>
      </c>
      <c r="O308" s="850">
        <v>0</v>
      </c>
      <c r="P308" s="838">
        <f t="shared" si="30"/>
        <v>0</v>
      </c>
    </row>
    <row r="309" spans="2:16">
      <c r="B309" s="34" t="str">
        <f t="shared" si="35"/>
        <v>CNGWA6635</v>
      </c>
      <c r="C309" s="34" t="s">
        <v>483</v>
      </c>
      <c r="D309" s="850">
        <v>1297588</v>
      </c>
      <c r="E309" s="850">
        <v>362331</v>
      </c>
      <c r="F309" s="850">
        <v>761639</v>
      </c>
      <c r="G309" s="850">
        <v>3004872</v>
      </c>
      <c r="H309" s="850">
        <v>3430843</v>
      </c>
      <c r="I309" s="850">
        <v>447784</v>
      </c>
      <c r="J309" s="850">
        <v>736401</v>
      </c>
      <c r="K309" s="850">
        <v>1984278</v>
      </c>
      <c r="L309" s="850">
        <v>4334957</v>
      </c>
      <c r="M309" s="850">
        <v>5435910</v>
      </c>
      <c r="N309" s="850">
        <v>1590604</v>
      </c>
      <c r="O309" s="850">
        <v>916410</v>
      </c>
      <c r="P309" s="838">
        <f t="shared" si="30"/>
        <v>24303617</v>
      </c>
    </row>
    <row r="310" spans="2:16">
      <c r="B310" s="34" t="str">
        <f t="shared" si="35"/>
        <v>CNGWA6635</v>
      </c>
      <c r="C310" s="34" t="s">
        <v>484</v>
      </c>
      <c r="D310" s="850">
        <v>362331</v>
      </c>
      <c r="E310" s="850">
        <v>761639</v>
      </c>
      <c r="F310" s="850">
        <v>3004872</v>
      </c>
      <c r="G310" s="850">
        <v>3430843</v>
      </c>
      <c r="H310" s="850">
        <v>447784</v>
      </c>
      <c r="I310" s="850">
        <v>736401</v>
      </c>
      <c r="J310" s="850">
        <v>1984278</v>
      </c>
      <c r="K310" s="850">
        <v>4334957</v>
      </c>
      <c r="L310" s="850">
        <v>5435910</v>
      </c>
      <c r="M310" s="850">
        <v>1590604</v>
      </c>
      <c r="N310" s="850">
        <v>916410</v>
      </c>
      <c r="O310" s="850">
        <v>764453</v>
      </c>
      <c r="P310" s="838">
        <f t="shared" si="30"/>
        <v>23770482</v>
      </c>
    </row>
    <row r="311" spans="2:16">
      <c r="B311" s="34" t="str">
        <f t="shared" si="35"/>
        <v>CNGWA6635</v>
      </c>
      <c r="C311" s="34" t="s">
        <v>485</v>
      </c>
      <c r="D311" s="850">
        <v>362331</v>
      </c>
      <c r="E311" s="850">
        <v>761639</v>
      </c>
      <c r="F311" s="850">
        <v>3004872</v>
      </c>
      <c r="G311" s="850">
        <v>3430843</v>
      </c>
      <c r="H311" s="850">
        <v>447784</v>
      </c>
      <c r="I311" s="850">
        <v>736401</v>
      </c>
      <c r="J311" s="850">
        <v>1984278</v>
      </c>
      <c r="K311" s="850">
        <v>4334957</v>
      </c>
      <c r="L311" s="850">
        <v>5435910</v>
      </c>
      <c r="M311" s="850">
        <v>1590604</v>
      </c>
      <c r="N311" s="850">
        <v>916410</v>
      </c>
      <c r="O311" s="850">
        <v>764453</v>
      </c>
      <c r="P311" s="838">
        <f t="shared" si="30"/>
        <v>23770482</v>
      </c>
    </row>
    <row r="312" spans="2:16">
      <c r="B312" s="34" t="str">
        <f t="shared" si="35"/>
        <v>CNGWA6635</v>
      </c>
      <c r="C312" s="839" t="s">
        <v>149</v>
      </c>
      <c r="D312" s="850"/>
      <c r="E312" s="850"/>
      <c r="F312" s="850"/>
      <c r="G312" s="850"/>
      <c r="H312" s="850"/>
      <c r="I312" s="850"/>
      <c r="J312" s="850"/>
      <c r="K312" s="850"/>
      <c r="L312" s="850"/>
      <c r="M312" s="850"/>
      <c r="N312" s="850"/>
      <c r="O312" s="850"/>
      <c r="P312" s="838">
        <f t="shared" si="30"/>
        <v>0</v>
      </c>
    </row>
    <row r="313" spans="2:16">
      <c r="B313" s="34" t="str">
        <f t="shared" si="35"/>
        <v>CNGWA6635</v>
      </c>
      <c r="C313" s="34" t="s">
        <v>486</v>
      </c>
      <c r="D313" s="850">
        <v>126735.84</v>
      </c>
      <c r="E313" s="850">
        <v>124924.78</v>
      </c>
      <c r="F313" s="850">
        <v>125593.94</v>
      </c>
      <c r="G313" s="850">
        <v>138009.32999999999</v>
      </c>
      <c r="H313" s="850">
        <v>140281.32999999999</v>
      </c>
      <c r="I313" s="850">
        <v>126551.86</v>
      </c>
      <c r="J313" s="850">
        <v>127125.26</v>
      </c>
      <c r="K313" s="850">
        <v>135202.69</v>
      </c>
      <c r="L313" s="850">
        <v>147740.46</v>
      </c>
      <c r="M313" s="850">
        <v>153612.56</v>
      </c>
      <c r="N313" s="850">
        <v>133102.96</v>
      </c>
      <c r="O313" s="850">
        <v>130447.48</v>
      </c>
      <c r="P313" s="838">
        <f t="shared" si="30"/>
        <v>1609328.49</v>
      </c>
    </row>
    <row r="314" spans="2:16">
      <c r="B314" s="34" t="str">
        <f t="shared" si="35"/>
        <v>CNGWA6635</v>
      </c>
      <c r="C314" s="34" t="s">
        <v>143</v>
      </c>
      <c r="D314" s="850">
        <v>0</v>
      </c>
      <c r="E314" s="850">
        <v>0</v>
      </c>
      <c r="F314" s="850">
        <v>0</v>
      </c>
      <c r="G314" s="850">
        <v>0</v>
      </c>
      <c r="H314" s="850">
        <v>0</v>
      </c>
      <c r="I314" s="850">
        <v>0</v>
      </c>
      <c r="J314" s="850">
        <v>0</v>
      </c>
      <c r="K314" s="850">
        <v>0</v>
      </c>
      <c r="L314" s="850">
        <v>0</v>
      </c>
      <c r="M314" s="850">
        <v>0</v>
      </c>
      <c r="N314" s="850">
        <v>0</v>
      </c>
      <c r="O314" s="850">
        <v>0</v>
      </c>
      <c r="P314" s="838">
        <f t="shared" si="30"/>
        <v>0</v>
      </c>
    </row>
    <row r="315" spans="2:16">
      <c r="B315" s="34" t="str">
        <f t="shared" si="35"/>
        <v>CNGWA6635</v>
      </c>
      <c r="C315" s="34" t="s">
        <v>144</v>
      </c>
      <c r="D315" s="850">
        <v>0</v>
      </c>
      <c r="E315" s="850">
        <v>0</v>
      </c>
      <c r="F315" s="850">
        <v>0</v>
      </c>
      <c r="G315" s="850">
        <v>0</v>
      </c>
      <c r="H315" s="850">
        <v>0</v>
      </c>
      <c r="I315" s="850">
        <v>0</v>
      </c>
      <c r="J315" s="850">
        <v>0</v>
      </c>
      <c r="K315" s="850">
        <v>0</v>
      </c>
      <c r="L315" s="850">
        <v>0</v>
      </c>
      <c r="M315" s="850">
        <v>0</v>
      </c>
      <c r="N315" s="850">
        <v>0</v>
      </c>
      <c r="O315" s="850">
        <v>0</v>
      </c>
      <c r="P315" s="838">
        <f t="shared" si="30"/>
        <v>0</v>
      </c>
    </row>
    <row r="316" spans="2:16">
      <c r="B316" s="34" t="str">
        <f t="shared" si="35"/>
        <v>CNGWA6635</v>
      </c>
      <c r="C316" s="34" t="s">
        <v>145</v>
      </c>
      <c r="D316" s="850">
        <v>0</v>
      </c>
      <c r="E316" s="850">
        <v>0</v>
      </c>
      <c r="F316" s="850">
        <v>0</v>
      </c>
      <c r="G316" s="850">
        <v>0</v>
      </c>
      <c r="H316" s="850">
        <v>0</v>
      </c>
      <c r="I316" s="850">
        <v>0</v>
      </c>
      <c r="J316" s="850">
        <v>0</v>
      </c>
      <c r="K316" s="850">
        <v>0</v>
      </c>
      <c r="L316" s="850">
        <v>0</v>
      </c>
      <c r="M316" s="850">
        <v>0</v>
      </c>
      <c r="N316" s="850">
        <v>0</v>
      </c>
      <c r="O316" s="850">
        <v>0</v>
      </c>
      <c r="P316" s="838">
        <f t="shared" si="30"/>
        <v>0</v>
      </c>
    </row>
    <row r="317" spans="2:16">
      <c r="B317" s="34" t="str">
        <f t="shared" si="35"/>
        <v>CNGWA6635</v>
      </c>
      <c r="C317" s="34" t="s">
        <v>487</v>
      </c>
      <c r="D317" s="850">
        <v>0</v>
      </c>
      <c r="E317" s="850">
        <v>0</v>
      </c>
      <c r="F317" s="850">
        <v>0</v>
      </c>
      <c r="G317" s="850">
        <v>0</v>
      </c>
      <c r="H317" s="850">
        <v>0</v>
      </c>
      <c r="I317" s="850">
        <v>0</v>
      </c>
      <c r="J317" s="850">
        <v>0</v>
      </c>
      <c r="K317" s="850">
        <v>0</v>
      </c>
      <c r="L317" s="850">
        <v>0</v>
      </c>
      <c r="M317" s="850">
        <v>0</v>
      </c>
      <c r="N317" s="850">
        <v>0</v>
      </c>
      <c r="O317" s="850">
        <v>0</v>
      </c>
      <c r="P317" s="838">
        <f t="shared" si="30"/>
        <v>0</v>
      </c>
    </row>
    <row r="318" spans="2:16">
      <c r="B318" s="34" t="str">
        <f t="shared" si="35"/>
        <v>CNGWA6635</v>
      </c>
      <c r="C318" s="34" t="s">
        <v>488</v>
      </c>
      <c r="D318" s="850">
        <v>0</v>
      </c>
      <c r="E318" s="850">
        <v>0</v>
      </c>
      <c r="F318" s="850">
        <v>0</v>
      </c>
      <c r="G318" s="850">
        <v>0</v>
      </c>
      <c r="H318" s="850">
        <v>0</v>
      </c>
      <c r="I318" s="850">
        <v>0</v>
      </c>
      <c r="J318" s="850">
        <v>0</v>
      </c>
      <c r="K318" s="850">
        <v>0</v>
      </c>
      <c r="L318" s="850">
        <v>0</v>
      </c>
      <c r="M318" s="850">
        <v>0</v>
      </c>
      <c r="N318" s="850">
        <v>0</v>
      </c>
      <c r="O318" s="850">
        <v>0</v>
      </c>
      <c r="P318" s="838">
        <f t="shared" si="30"/>
        <v>0</v>
      </c>
    </row>
    <row r="319" spans="2:16">
      <c r="B319" s="34" t="str">
        <f t="shared" si="35"/>
        <v>CNGWA6635</v>
      </c>
      <c r="C319" s="34" t="s">
        <v>174</v>
      </c>
      <c r="D319" s="850">
        <v>0</v>
      </c>
      <c r="E319" s="850">
        <v>0</v>
      </c>
      <c r="F319" s="850">
        <v>0</v>
      </c>
      <c r="G319" s="850">
        <v>0</v>
      </c>
      <c r="H319" s="850">
        <v>0</v>
      </c>
      <c r="I319" s="850">
        <v>0</v>
      </c>
      <c r="J319" s="850">
        <v>0</v>
      </c>
      <c r="K319" s="850">
        <v>0</v>
      </c>
      <c r="L319" s="850">
        <v>0</v>
      </c>
      <c r="M319" s="850">
        <v>0</v>
      </c>
      <c r="N319" s="850">
        <v>0</v>
      </c>
      <c r="O319" s="850">
        <v>0</v>
      </c>
      <c r="P319" s="838">
        <f t="shared" si="30"/>
        <v>0</v>
      </c>
    </row>
    <row r="320" spans="2:16">
      <c r="B320" s="34" t="str">
        <f t="shared" si="35"/>
        <v>CNGWA6635</v>
      </c>
      <c r="C320" s="34" t="s">
        <v>175</v>
      </c>
      <c r="D320" s="850">
        <v>-126346.56</v>
      </c>
      <c r="E320" s="850">
        <v>-124816.08</v>
      </c>
      <c r="F320" s="850">
        <v>-125365.45</v>
      </c>
      <c r="G320" s="850">
        <v>-137107.87</v>
      </c>
      <c r="H320" s="850">
        <v>-139252.07999999999</v>
      </c>
      <c r="I320" s="850">
        <v>-126417.52</v>
      </c>
      <c r="J320" s="850">
        <v>-126904.34</v>
      </c>
      <c r="K320" s="850">
        <v>-134607.41</v>
      </c>
      <c r="L320" s="850">
        <v>-146439.97</v>
      </c>
      <c r="M320" s="850">
        <v>-180505.73</v>
      </c>
      <c r="N320" s="850">
        <v>-132625.78</v>
      </c>
      <c r="O320" s="850">
        <v>-130172.56</v>
      </c>
      <c r="P320" s="838">
        <f t="shared" si="30"/>
        <v>-1630561.35</v>
      </c>
    </row>
    <row r="321" spans="2:16">
      <c r="B321" s="34" t="str">
        <f t="shared" si="35"/>
        <v>CNGWA6635</v>
      </c>
      <c r="C321" s="34" t="s">
        <v>176</v>
      </c>
      <c r="D321" s="850">
        <v>124816.08</v>
      </c>
      <c r="E321" s="850">
        <v>125365.45</v>
      </c>
      <c r="F321" s="850">
        <v>137107.87</v>
      </c>
      <c r="G321" s="850">
        <v>139252.07999999999</v>
      </c>
      <c r="H321" s="850">
        <v>126417.52</v>
      </c>
      <c r="I321" s="850">
        <v>126904.34</v>
      </c>
      <c r="J321" s="850">
        <v>134607.41</v>
      </c>
      <c r="K321" s="850">
        <v>146439.97</v>
      </c>
      <c r="L321" s="850">
        <v>180505.73</v>
      </c>
      <c r="M321" s="850">
        <v>132625.78</v>
      </c>
      <c r="N321" s="850">
        <v>130172.56</v>
      </c>
      <c r="O321" s="850">
        <v>129865.03</v>
      </c>
      <c r="P321" s="838">
        <f t="shared" si="30"/>
        <v>1634079.82</v>
      </c>
    </row>
    <row r="322" spans="2:16">
      <c r="B322" s="34" t="str">
        <f t="shared" si="35"/>
        <v>CNGWA6635</v>
      </c>
      <c r="C322" s="34" t="s">
        <v>400</v>
      </c>
      <c r="D322" s="850">
        <f>SUM(D313:D321)</f>
        <v>125205.36</v>
      </c>
      <c r="E322" s="850">
        <f t="shared" ref="E322:O322" si="36">SUM(E313:E321)</f>
        <v>125474.15</v>
      </c>
      <c r="F322" s="850">
        <f t="shared" si="36"/>
        <v>137336.35999999999</v>
      </c>
      <c r="G322" s="850">
        <f t="shared" si="36"/>
        <v>140153.53999999998</v>
      </c>
      <c r="H322" s="850">
        <f t="shared" si="36"/>
        <v>127446.77</v>
      </c>
      <c r="I322" s="850">
        <f t="shared" si="36"/>
        <v>127038.68</v>
      </c>
      <c r="J322" s="850">
        <f t="shared" si="36"/>
        <v>134828.33000000002</v>
      </c>
      <c r="K322" s="850">
        <f t="shared" si="36"/>
        <v>147035.25</v>
      </c>
      <c r="L322" s="850">
        <f t="shared" si="36"/>
        <v>181806.22</v>
      </c>
      <c r="M322" s="850">
        <f t="shared" si="36"/>
        <v>105732.60999999999</v>
      </c>
      <c r="N322" s="850">
        <f t="shared" si="36"/>
        <v>130649.73999999999</v>
      </c>
      <c r="O322" s="850">
        <f t="shared" si="36"/>
        <v>130139.95</v>
      </c>
      <c r="P322" s="838">
        <f t="shared" si="30"/>
        <v>1612846.96</v>
      </c>
    </row>
    <row r="323" spans="2:16">
      <c r="C323" s="839" t="s">
        <v>149</v>
      </c>
      <c r="D323" s="850"/>
      <c r="E323" s="850"/>
      <c r="F323" s="850"/>
      <c r="G323" s="850"/>
      <c r="H323" s="850"/>
      <c r="I323" s="850"/>
      <c r="J323" s="850"/>
      <c r="K323" s="850"/>
      <c r="L323" s="850"/>
      <c r="M323" s="850"/>
      <c r="N323" s="850"/>
      <c r="O323" s="850"/>
      <c r="P323" s="838">
        <f t="shared" si="30"/>
        <v>0</v>
      </c>
    </row>
    <row r="324" spans="2:16">
      <c r="P324" s="838">
        <f t="shared" si="30"/>
        <v>0</v>
      </c>
    </row>
    <row r="325" spans="2:16">
      <c r="C325" s="783" t="s">
        <v>233</v>
      </c>
      <c r="D325" s="850"/>
      <c r="E325" s="850"/>
      <c r="F325" s="850"/>
      <c r="G325" s="850"/>
      <c r="H325" s="850"/>
      <c r="I325" s="850"/>
      <c r="J325" s="850"/>
      <c r="K325" s="850"/>
      <c r="L325" s="850"/>
      <c r="M325" s="850"/>
      <c r="N325" s="850"/>
      <c r="O325" s="850"/>
      <c r="P325" s="838">
        <f t="shared" si="30"/>
        <v>0</v>
      </c>
    </row>
    <row r="326" spans="2:16">
      <c r="B326" s="34" t="str">
        <f>$C$325</f>
        <v>CNGWA901</v>
      </c>
      <c r="C326" s="34" t="s">
        <v>401</v>
      </c>
      <c r="D326" s="850">
        <v>7386486</v>
      </c>
      <c r="E326" s="850">
        <v>7350647</v>
      </c>
      <c r="F326" s="850">
        <v>6493299</v>
      </c>
      <c r="G326" s="850">
        <v>5630590</v>
      </c>
      <c r="H326" s="850">
        <v>5477666</v>
      </c>
      <c r="I326" s="850">
        <v>7824547</v>
      </c>
      <c r="J326" s="850">
        <v>6309798</v>
      </c>
      <c r="K326" s="850">
        <v>6950239</v>
      </c>
      <c r="L326" s="850">
        <v>8114039</v>
      </c>
      <c r="M326" s="850">
        <v>4984455</v>
      </c>
      <c r="N326" s="850">
        <v>7330347</v>
      </c>
      <c r="O326" s="850">
        <v>7462302</v>
      </c>
      <c r="P326" s="838">
        <f t="shared" ref="P326:P389" si="37">SUM(D326:O326)</f>
        <v>81314415</v>
      </c>
    </row>
    <row r="327" spans="2:16">
      <c r="B327" s="34" t="str">
        <f t="shared" ref="B327:B342" si="38">$C$325</f>
        <v>CNGWA901</v>
      </c>
      <c r="C327" s="34" t="s">
        <v>481</v>
      </c>
      <c r="D327" s="850">
        <v>0</v>
      </c>
      <c r="E327" s="850">
        <v>0</v>
      </c>
      <c r="F327" s="850">
        <v>0</v>
      </c>
      <c r="G327" s="850">
        <v>0</v>
      </c>
      <c r="H327" s="850">
        <v>0</v>
      </c>
      <c r="I327" s="850">
        <v>0</v>
      </c>
      <c r="J327" s="850">
        <v>0</v>
      </c>
      <c r="K327" s="850">
        <v>0</v>
      </c>
      <c r="L327" s="850">
        <v>0</v>
      </c>
      <c r="M327" s="850">
        <v>0</v>
      </c>
      <c r="N327" s="850">
        <v>0</v>
      </c>
      <c r="O327" s="850">
        <v>0</v>
      </c>
      <c r="P327" s="838">
        <f t="shared" si="37"/>
        <v>0</v>
      </c>
    </row>
    <row r="328" spans="2:16">
      <c r="B328" s="34" t="str">
        <f t="shared" si="38"/>
        <v>CNGWA901</v>
      </c>
      <c r="C328" s="34" t="s">
        <v>482</v>
      </c>
      <c r="D328" s="850">
        <v>0</v>
      </c>
      <c r="E328" s="850">
        <v>0</v>
      </c>
      <c r="F328" s="850">
        <v>0</v>
      </c>
      <c r="G328" s="850">
        <v>0</v>
      </c>
      <c r="H328" s="850">
        <v>0</v>
      </c>
      <c r="I328" s="850">
        <v>0</v>
      </c>
      <c r="J328" s="850">
        <v>0</v>
      </c>
      <c r="K328" s="850">
        <v>0</v>
      </c>
      <c r="L328" s="850">
        <v>0</v>
      </c>
      <c r="M328" s="850">
        <v>0</v>
      </c>
      <c r="N328" s="850">
        <v>0</v>
      </c>
      <c r="O328" s="850">
        <v>0</v>
      </c>
      <c r="P328" s="838">
        <f t="shared" si="37"/>
        <v>0</v>
      </c>
    </row>
    <row r="329" spans="2:16">
      <c r="B329" s="34" t="str">
        <f t="shared" si="38"/>
        <v>CNGWA901</v>
      </c>
      <c r="C329" s="34" t="s">
        <v>483</v>
      </c>
      <c r="D329" s="850">
        <v>7386486</v>
      </c>
      <c r="E329" s="850">
        <v>7350647</v>
      </c>
      <c r="F329" s="850">
        <v>6493299</v>
      </c>
      <c r="G329" s="850">
        <v>5630590</v>
      </c>
      <c r="H329" s="850">
        <v>5477666</v>
      </c>
      <c r="I329" s="850">
        <v>7824547</v>
      </c>
      <c r="J329" s="850">
        <v>6309798</v>
      </c>
      <c r="K329" s="850">
        <v>6950239</v>
      </c>
      <c r="L329" s="850">
        <v>8114039</v>
      </c>
      <c r="M329" s="850">
        <v>4984455</v>
      </c>
      <c r="N329" s="850">
        <v>7330347</v>
      </c>
      <c r="O329" s="850">
        <v>7462302</v>
      </c>
      <c r="P329" s="838">
        <f t="shared" si="37"/>
        <v>81314415</v>
      </c>
    </row>
    <row r="330" spans="2:16">
      <c r="B330" s="34" t="str">
        <f t="shared" si="38"/>
        <v>CNGWA901</v>
      </c>
      <c r="C330" s="34" t="s">
        <v>484</v>
      </c>
      <c r="D330" s="850">
        <v>7350647</v>
      </c>
      <c r="E330" s="850">
        <v>6493299</v>
      </c>
      <c r="F330" s="850">
        <v>5630590</v>
      </c>
      <c r="G330" s="850">
        <v>5477666</v>
      </c>
      <c r="H330" s="850">
        <v>7824547</v>
      </c>
      <c r="I330" s="850">
        <v>6309798</v>
      </c>
      <c r="J330" s="850">
        <v>6950239</v>
      </c>
      <c r="K330" s="850">
        <v>8114039</v>
      </c>
      <c r="L330" s="850">
        <v>4984455</v>
      </c>
      <c r="M330" s="850">
        <v>7330347</v>
      </c>
      <c r="N330" s="850">
        <v>7462302</v>
      </c>
      <c r="O330" s="850">
        <v>8629459</v>
      </c>
      <c r="P330" s="838">
        <f t="shared" si="37"/>
        <v>82557388</v>
      </c>
    </row>
    <row r="331" spans="2:16">
      <c r="B331" s="34" t="str">
        <f t="shared" si="38"/>
        <v>CNGWA901</v>
      </c>
      <c r="C331" s="34" t="s">
        <v>485</v>
      </c>
      <c r="D331" s="850">
        <v>7350647</v>
      </c>
      <c r="E331" s="850">
        <v>6493299</v>
      </c>
      <c r="F331" s="850">
        <v>5630590</v>
      </c>
      <c r="G331" s="850">
        <v>5477666</v>
      </c>
      <c r="H331" s="850">
        <v>7824547</v>
      </c>
      <c r="I331" s="850">
        <v>6309798</v>
      </c>
      <c r="J331" s="850">
        <v>6950239</v>
      </c>
      <c r="K331" s="850">
        <v>8114039</v>
      </c>
      <c r="L331" s="850">
        <v>4984455</v>
      </c>
      <c r="M331" s="850">
        <v>7330347</v>
      </c>
      <c r="N331" s="850">
        <v>7462302</v>
      </c>
      <c r="O331" s="850">
        <v>8629459</v>
      </c>
      <c r="P331" s="838">
        <f t="shared" si="37"/>
        <v>82557388</v>
      </c>
    </row>
    <row r="332" spans="2:16">
      <c r="B332" s="34" t="str">
        <f t="shared" si="38"/>
        <v>CNGWA901</v>
      </c>
      <c r="C332" s="839" t="s">
        <v>149</v>
      </c>
      <c r="D332" s="850"/>
      <c r="E332" s="850"/>
      <c r="F332" s="850"/>
      <c r="G332" s="850"/>
      <c r="H332" s="850"/>
      <c r="I332" s="850"/>
      <c r="J332" s="850"/>
      <c r="K332" s="850"/>
      <c r="L332" s="850"/>
      <c r="M332" s="850"/>
      <c r="N332" s="850"/>
      <c r="O332" s="850"/>
      <c r="P332" s="838">
        <f t="shared" si="37"/>
        <v>0</v>
      </c>
    </row>
    <row r="333" spans="2:16">
      <c r="B333" s="34" t="str">
        <f t="shared" si="38"/>
        <v>CNGWA901</v>
      </c>
      <c r="C333" s="34" t="s">
        <v>486</v>
      </c>
      <c r="D333" s="850">
        <v>142269.73000000001</v>
      </c>
      <c r="E333" s="850">
        <v>141687.35999999999</v>
      </c>
      <c r="F333" s="850">
        <v>127755.74</v>
      </c>
      <c r="G333" s="850">
        <v>113661.85</v>
      </c>
      <c r="H333" s="850">
        <v>111178.53</v>
      </c>
      <c r="I333" s="850">
        <v>149289.38</v>
      </c>
      <c r="J333" s="850">
        <v>124691.47</v>
      </c>
      <c r="K333" s="850">
        <v>132462.46</v>
      </c>
      <c r="L333" s="850">
        <v>156844.09</v>
      </c>
      <c r="M333" s="850">
        <v>103319.74</v>
      </c>
      <c r="N333" s="850">
        <v>141470.10999999999</v>
      </c>
      <c r="O333" s="850">
        <v>143616.04</v>
      </c>
      <c r="P333" s="838">
        <f t="shared" si="37"/>
        <v>1588246.5</v>
      </c>
    </row>
    <row r="334" spans="2:16">
      <c r="B334" s="34" t="str">
        <f t="shared" si="38"/>
        <v>CNGWA901</v>
      </c>
      <c r="C334" s="34" t="s">
        <v>143</v>
      </c>
      <c r="D334" s="850">
        <v>0</v>
      </c>
      <c r="E334" s="850">
        <v>0</v>
      </c>
      <c r="F334" s="850">
        <v>0</v>
      </c>
      <c r="G334" s="850">
        <v>0</v>
      </c>
      <c r="H334" s="850">
        <v>0</v>
      </c>
      <c r="I334" s="850">
        <v>0</v>
      </c>
      <c r="J334" s="850">
        <v>0</v>
      </c>
      <c r="K334" s="850">
        <v>0</v>
      </c>
      <c r="L334" s="850">
        <v>0</v>
      </c>
      <c r="M334" s="850">
        <v>0</v>
      </c>
      <c r="N334" s="850">
        <v>0</v>
      </c>
      <c r="O334" s="850">
        <v>0</v>
      </c>
      <c r="P334" s="838">
        <f t="shared" si="37"/>
        <v>0</v>
      </c>
    </row>
    <row r="335" spans="2:16">
      <c r="B335" s="34" t="str">
        <f t="shared" si="38"/>
        <v>CNGWA901</v>
      </c>
      <c r="C335" s="34" t="s">
        <v>144</v>
      </c>
      <c r="D335" s="850">
        <v>0</v>
      </c>
      <c r="E335" s="850">
        <v>0</v>
      </c>
      <c r="F335" s="850">
        <v>0</v>
      </c>
      <c r="G335" s="850">
        <v>0</v>
      </c>
      <c r="H335" s="850">
        <v>0</v>
      </c>
      <c r="I335" s="850">
        <v>0</v>
      </c>
      <c r="J335" s="850">
        <v>0</v>
      </c>
      <c r="K335" s="850">
        <v>0</v>
      </c>
      <c r="L335" s="850">
        <v>0</v>
      </c>
      <c r="M335" s="850">
        <v>0</v>
      </c>
      <c r="N335" s="850">
        <v>0</v>
      </c>
      <c r="O335" s="850">
        <v>0</v>
      </c>
      <c r="P335" s="838">
        <f t="shared" si="37"/>
        <v>0</v>
      </c>
    </row>
    <row r="336" spans="2:16">
      <c r="B336" s="34" t="str">
        <f t="shared" si="38"/>
        <v>CNGWA901</v>
      </c>
      <c r="C336" s="34" t="s">
        <v>145</v>
      </c>
      <c r="D336" s="850">
        <v>0</v>
      </c>
      <c r="E336" s="850">
        <v>0</v>
      </c>
      <c r="F336" s="850">
        <v>0</v>
      </c>
      <c r="G336" s="850">
        <v>0</v>
      </c>
      <c r="H336" s="850">
        <v>0</v>
      </c>
      <c r="I336" s="850">
        <v>0</v>
      </c>
      <c r="J336" s="850">
        <v>0</v>
      </c>
      <c r="K336" s="850">
        <v>0</v>
      </c>
      <c r="L336" s="850">
        <v>0</v>
      </c>
      <c r="M336" s="850">
        <v>0</v>
      </c>
      <c r="N336" s="850">
        <v>0</v>
      </c>
      <c r="O336" s="850">
        <v>0</v>
      </c>
      <c r="P336" s="838">
        <f t="shared" si="37"/>
        <v>0</v>
      </c>
    </row>
    <row r="337" spans="2:16">
      <c r="B337" s="34" t="str">
        <f t="shared" si="38"/>
        <v>CNGWA901</v>
      </c>
      <c r="C337" s="34" t="s">
        <v>487</v>
      </c>
      <c r="D337" s="850">
        <v>0</v>
      </c>
      <c r="E337" s="850">
        <v>0</v>
      </c>
      <c r="F337" s="850">
        <v>0</v>
      </c>
      <c r="G337" s="850">
        <v>0</v>
      </c>
      <c r="H337" s="850">
        <v>0</v>
      </c>
      <c r="I337" s="850">
        <v>0</v>
      </c>
      <c r="J337" s="850">
        <v>0</v>
      </c>
      <c r="K337" s="850">
        <v>0</v>
      </c>
      <c r="L337" s="850">
        <v>0</v>
      </c>
      <c r="M337" s="850">
        <v>0</v>
      </c>
      <c r="N337" s="850">
        <v>0</v>
      </c>
      <c r="O337" s="850">
        <v>0</v>
      </c>
      <c r="P337" s="838">
        <f t="shared" si="37"/>
        <v>0</v>
      </c>
    </row>
    <row r="338" spans="2:16">
      <c r="B338" s="34" t="str">
        <f t="shared" si="38"/>
        <v>CNGWA901</v>
      </c>
      <c r="C338" s="34" t="s">
        <v>488</v>
      </c>
      <c r="D338" s="850">
        <v>0</v>
      </c>
      <c r="E338" s="850">
        <v>0</v>
      </c>
      <c r="F338" s="850">
        <v>0</v>
      </c>
      <c r="G338" s="850">
        <v>0</v>
      </c>
      <c r="H338" s="850">
        <v>0</v>
      </c>
      <c r="I338" s="850">
        <v>0</v>
      </c>
      <c r="J338" s="850">
        <v>0</v>
      </c>
      <c r="K338" s="850">
        <v>0</v>
      </c>
      <c r="L338" s="850">
        <v>0</v>
      </c>
      <c r="M338" s="850">
        <v>0</v>
      </c>
      <c r="N338" s="850">
        <v>0</v>
      </c>
      <c r="O338" s="850">
        <v>0</v>
      </c>
      <c r="P338" s="838">
        <f t="shared" si="37"/>
        <v>0</v>
      </c>
    </row>
    <row r="339" spans="2:16">
      <c r="B339" s="34" t="str">
        <f t="shared" si="38"/>
        <v>CNGWA901</v>
      </c>
      <c r="C339" s="34" t="s">
        <v>174</v>
      </c>
      <c r="D339" s="850">
        <v>0</v>
      </c>
      <c r="E339" s="850">
        <v>0</v>
      </c>
      <c r="F339" s="850">
        <v>0</v>
      </c>
      <c r="G339" s="850">
        <v>0</v>
      </c>
      <c r="H339" s="850">
        <v>0</v>
      </c>
      <c r="I339" s="850">
        <v>0</v>
      </c>
      <c r="J339" s="850">
        <v>0</v>
      </c>
      <c r="K339" s="850">
        <v>0</v>
      </c>
      <c r="L339" s="850">
        <v>0</v>
      </c>
      <c r="M339" s="850">
        <v>0</v>
      </c>
      <c r="N339" s="850">
        <v>0</v>
      </c>
      <c r="O339" s="850">
        <v>0</v>
      </c>
      <c r="P339" s="838">
        <f t="shared" si="37"/>
        <v>0</v>
      </c>
    </row>
    <row r="340" spans="2:16">
      <c r="B340" s="34" t="str">
        <f t="shared" si="38"/>
        <v>CNGWA901</v>
      </c>
      <c r="C340" s="34" t="s">
        <v>175</v>
      </c>
      <c r="D340" s="850">
        <v>-142269.73000000001</v>
      </c>
      <c r="E340" s="850">
        <v>-141687.35999999999</v>
      </c>
      <c r="F340" s="850">
        <v>-127755.74</v>
      </c>
      <c r="G340" s="850">
        <v>-113661.85</v>
      </c>
      <c r="H340" s="850">
        <v>-111178.53</v>
      </c>
      <c r="I340" s="850">
        <v>-149289.38</v>
      </c>
      <c r="J340" s="850">
        <v>-124691.47</v>
      </c>
      <c r="K340" s="850">
        <v>-135091.54999999999</v>
      </c>
      <c r="L340" s="850">
        <v>-154215</v>
      </c>
      <c r="M340" s="850">
        <v>-103319.74</v>
      </c>
      <c r="N340" s="850">
        <v>-141470.10999999999</v>
      </c>
      <c r="O340" s="850">
        <v>-143616.04</v>
      </c>
      <c r="P340" s="838">
        <f t="shared" si="37"/>
        <v>-1588246.5</v>
      </c>
    </row>
    <row r="341" spans="2:16">
      <c r="B341" s="34" t="str">
        <f t="shared" si="38"/>
        <v>CNGWA901</v>
      </c>
      <c r="C341" s="34" t="s">
        <v>176</v>
      </c>
      <c r="D341" s="850">
        <v>141687.35999999999</v>
      </c>
      <c r="E341" s="850">
        <v>127755.74</v>
      </c>
      <c r="F341" s="850">
        <v>113661.85</v>
      </c>
      <c r="G341" s="850">
        <v>111178.53</v>
      </c>
      <c r="H341" s="850">
        <v>149289.38</v>
      </c>
      <c r="I341" s="850">
        <v>124691.47</v>
      </c>
      <c r="J341" s="850">
        <v>135091.54999999999</v>
      </c>
      <c r="K341" s="850">
        <v>154215</v>
      </c>
      <c r="L341" s="850">
        <v>103319.74</v>
      </c>
      <c r="M341" s="850">
        <v>141470.10999999999</v>
      </c>
      <c r="N341" s="850">
        <v>143616.04</v>
      </c>
      <c r="O341" s="850">
        <v>162597.07</v>
      </c>
      <c r="P341" s="838">
        <f t="shared" si="37"/>
        <v>1608573.84</v>
      </c>
    </row>
    <row r="342" spans="2:16">
      <c r="B342" s="34" t="str">
        <f t="shared" si="38"/>
        <v>CNGWA901</v>
      </c>
      <c r="C342" s="34" t="s">
        <v>400</v>
      </c>
      <c r="D342" s="850">
        <f>SUM(D333:D341)</f>
        <v>141687.35999999999</v>
      </c>
      <c r="E342" s="850">
        <f t="shared" ref="E342:O342" si="39">SUM(E333:E341)</f>
        <v>127755.74</v>
      </c>
      <c r="F342" s="850">
        <f t="shared" si="39"/>
        <v>113661.85</v>
      </c>
      <c r="G342" s="850">
        <f t="shared" si="39"/>
        <v>111178.53</v>
      </c>
      <c r="H342" s="850">
        <f t="shared" si="39"/>
        <v>149289.38</v>
      </c>
      <c r="I342" s="850">
        <f t="shared" si="39"/>
        <v>124691.47</v>
      </c>
      <c r="J342" s="850">
        <f t="shared" si="39"/>
        <v>135091.54999999999</v>
      </c>
      <c r="K342" s="850">
        <f t="shared" si="39"/>
        <v>151585.91</v>
      </c>
      <c r="L342" s="850">
        <f t="shared" si="39"/>
        <v>105948.83</v>
      </c>
      <c r="M342" s="850">
        <f t="shared" si="39"/>
        <v>141470.10999999999</v>
      </c>
      <c r="N342" s="850">
        <f t="shared" si="39"/>
        <v>143616.04</v>
      </c>
      <c r="O342" s="850">
        <f t="shared" si="39"/>
        <v>162597.07</v>
      </c>
      <c r="P342" s="838">
        <f t="shared" si="37"/>
        <v>1608573.84</v>
      </c>
    </row>
    <row r="343" spans="2:16">
      <c r="C343" s="839" t="s">
        <v>149</v>
      </c>
      <c r="D343" s="850"/>
      <c r="E343" s="850"/>
      <c r="F343" s="850"/>
      <c r="G343" s="850"/>
      <c r="H343" s="850"/>
      <c r="I343" s="850"/>
      <c r="J343" s="850"/>
      <c r="K343" s="850"/>
      <c r="L343" s="850"/>
      <c r="M343" s="850"/>
      <c r="N343" s="850"/>
      <c r="O343" s="850"/>
      <c r="P343" s="838">
        <f t="shared" si="37"/>
        <v>0</v>
      </c>
    </row>
    <row r="344" spans="2:16">
      <c r="P344" s="838">
        <f t="shared" si="37"/>
        <v>0</v>
      </c>
    </row>
    <row r="345" spans="2:16">
      <c r="C345" s="783" t="s">
        <v>235</v>
      </c>
      <c r="D345" s="850"/>
      <c r="E345" s="850"/>
      <c r="F345" s="850"/>
      <c r="G345" s="850"/>
      <c r="H345" s="850"/>
      <c r="I345" s="850"/>
      <c r="J345" s="850"/>
      <c r="K345" s="850"/>
      <c r="L345" s="850"/>
      <c r="M345" s="850"/>
      <c r="N345" s="850"/>
      <c r="O345" s="850"/>
      <c r="P345" s="838">
        <f t="shared" si="37"/>
        <v>0</v>
      </c>
    </row>
    <row r="346" spans="2:16">
      <c r="B346" s="34" t="str">
        <f>$C$345</f>
        <v>CNGWA903</v>
      </c>
      <c r="C346" s="34" t="s">
        <v>401</v>
      </c>
      <c r="D346" s="850">
        <v>6845573</v>
      </c>
      <c r="E346" s="850">
        <v>4214606</v>
      </c>
      <c r="F346" s="850">
        <v>1673858</v>
      </c>
      <c r="G346" s="850">
        <v>7553041</v>
      </c>
      <c r="H346" s="850">
        <v>5121004</v>
      </c>
      <c r="I346" s="850">
        <v>506157</v>
      </c>
      <c r="J346" s="850">
        <v>0</v>
      </c>
      <c r="K346" s="850">
        <v>1583529</v>
      </c>
      <c r="L346" s="850">
        <v>4164341</v>
      </c>
      <c r="M346" s="850">
        <v>6516174</v>
      </c>
      <c r="N346" s="850">
        <v>1133014</v>
      </c>
      <c r="O346" s="850">
        <v>18635</v>
      </c>
      <c r="P346" s="838">
        <f t="shared" si="37"/>
        <v>39329932</v>
      </c>
    </row>
    <row r="347" spans="2:16">
      <c r="B347" s="34" t="str">
        <f t="shared" ref="B347:B362" si="40">$C$345</f>
        <v>CNGWA903</v>
      </c>
      <c r="C347" s="34" t="s">
        <v>481</v>
      </c>
      <c r="D347" s="850">
        <v>0</v>
      </c>
      <c r="E347" s="850">
        <v>0</v>
      </c>
      <c r="F347" s="850">
        <v>0</v>
      </c>
      <c r="G347" s="850">
        <v>0</v>
      </c>
      <c r="H347" s="850">
        <v>0</v>
      </c>
      <c r="I347" s="850">
        <v>0</v>
      </c>
      <c r="J347" s="850">
        <v>0</v>
      </c>
      <c r="K347" s="850">
        <v>0</v>
      </c>
      <c r="L347" s="850">
        <v>0</v>
      </c>
      <c r="M347" s="850">
        <v>0</v>
      </c>
      <c r="N347" s="850">
        <v>0</v>
      </c>
      <c r="O347" s="850">
        <v>0</v>
      </c>
      <c r="P347" s="838">
        <f t="shared" si="37"/>
        <v>0</v>
      </c>
    </row>
    <row r="348" spans="2:16">
      <c r="B348" s="34" t="str">
        <f t="shared" si="40"/>
        <v>CNGWA903</v>
      </c>
      <c r="C348" s="34" t="s">
        <v>482</v>
      </c>
      <c r="D348" s="850">
        <v>0</v>
      </c>
      <c r="E348" s="850">
        <v>0</v>
      </c>
      <c r="F348" s="850">
        <v>0</v>
      </c>
      <c r="G348" s="850">
        <v>0</v>
      </c>
      <c r="H348" s="850">
        <v>0</v>
      </c>
      <c r="I348" s="850">
        <v>0</v>
      </c>
      <c r="J348" s="850">
        <v>0</v>
      </c>
      <c r="K348" s="850">
        <v>0</v>
      </c>
      <c r="L348" s="850">
        <v>0</v>
      </c>
      <c r="M348" s="850">
        <v>0</v>
      </c>
      <c r="N348" s="850">
        <v>0</v>
      </c>
      <c r="O348" s="850">
        <v>0</v>
      </c>
      <c r="P348" s="838">
        <f t="shared" si="37"/>
        <v>0</v>
      </c>
    </row>
    <row r="349" spans="2:16">
      <c r="B349" s="34" t="str">
        <f t="shared" si="40"/>
        <v>CNGWA903</v>
      </c>
      <c r="C349" s="34" t="s">
        <v>483</v>
      </c>
      <c r="D349" s="850">
        <v>6845573</v>
      </c>
      <c r="E349" s="850">
        <v>4214606</v>
      </c>
      <c r="F349" s="850">
        <v>1673858</v>
      </c>
      <c r="G349" s="850">
        <v>7553041</v>
      </c>
      <c r="H349" s="850">
        <v>5121004</v>
      </c>
      <c r="I349" s="850">
        <v>506157</v>
      </c>
      <c r="J349" s="850">
        <v>0</v>
      </c>
      <c r="K349" s="850">
        <v>1583529</v>
      </c>
      <c r="L349" s="850">
        <v>4164341</v>
      </c>
      <c r="M349" s="850">
        <v>6516174</v>
      </c>
      <c r="N349" s="850">
        <v>1133014</v>
      </c>
      <c r="O349" s="850">
        <v>18635</v>
      </c>
      <c r="P349" s="838">
        <f t="shared" si="37"/>
        <v>39329932</v>
      </c>
    </row>
    <row r="350" spans="2:16">
      <c r="B350" s="34" t="str">
        <f t="shared" si="40"/>
        <v>CNGWA903</v>
      </c>
      <c r="C350" s="34" t="s">
        <v>484</v>
      </c>
      <c r="D350" s="850">
        <v>4214606</v>
      </c>
      <c r="E350" s="850">
        <v>1673858</v>
      </c>
      <c r="F350" s="850">
        <v>7553041</v>
      </c>
      <c r="G350" s="850">
        <v>5121004</v>
      </c>
      <c r="H350" s="850">
        <v>506157</v>
      </c>
      <c r="I350" s="850">
        <v>0</v>
      </c>
      <c r="J350" s="850">
        <v>1583529</v>
      </c>
      <c r="K350" s="850">
        <v>4164341</v>
      </c>
      <c r="L350" s="850">
        <v>6516174</v>
      </c>
      <c r="M350" s="850">
        <v>1133014</v>
      </c>
      <c r="N350" s="850">
        <v>18635</v>
      </c>
      <c r="O350" s="850">
        <v>801796</v>
      </c>
      <c r="P350" s="838">
        <f t="shared" si="37"/>
        <v>33286155</v>
      </c>
    </row>
    <row r="351" spans="2:16">
      <c r="B351" s="34" t="str">
        <f t="shared" si="40"/>
        <v>CNGWA903</v>
      </c>
      <c r="C351" s="34" t="s">
        <v>485</v>
      </c>
      <c r="D351" s="850">
        <v>4214606</v>
      </c>
      <c r="E351" s="850">
        <v>1673858</v>
      </c>
      <c r="F351" s="850">
        <v>7553041</v>
      </c>
      <c r="G351" s="850">
        <v>5121004</v>
      </c>
      <c r="H351" s="850">
        <v>506157</v>
      </c>
      <c r="I351" s="850">
        <v>0</v>
      </c>
      <c r="J351" s="850">
        <v>1583529</v>
      </c>
      <c r="K351" s="850">
        <v>4164341</v>
      </c>
      <c r="L351" s="850">
        <v>6516174</v>
      </c>
      <c r="M351" s="850">
        <v>1133014</v>
      </c>
      <c r="N351" s="850">
        <v>18635</v>
      </c>
      <c r="O351" s="850">
        <v>801796</v>
      </c>
      <c r="P351" s="838">
        <f t="shared" si="37"/>
        <v>33286155</v>
      </c>
    </row>
    <row r="352" spans="2:16">
      <c r="B352" s="34" t="str">
        <f t="shared" si="40"/>
        <v>CNGWA903</v>
      </c>
      <c r="C352" s="839" t="s">
        <v>149</v>
      </c>
      <c r="D352" s="850"/>
      <c r="E352" s="850"/>
      <c r="F352" s="850"/>
      <c r="G352" s="850"/>
      <c r="H352" s="850"/>
      <c r="I352" s="850"/>
      <c r="J352" s="850"/>
      <c r="K352" s="850"/>
      <c r="L352" s="850"/>
      <c r="M352" s="850"/>
      <c r="N352" s="850"/>
      <c r="O352" s="850"/>
      <c r="P352" s="838">
        <f t="shared" si="37"/>
        <v>0</v>
      </c>
    </row>
    <row r="353" spans="2:17">
      <c r="B353" s="34" t="str">
        <f t="shared" si="40"/>
        <v>CNGWA903</v>
      </c>
      <c r="C353" s="34" t="s">
        <v>486</v>
      </c>
      <c r="D353" s="850">
        <v>131683.99</v>
      </c>
      <c r="E353" s="850">
        <v>87608.39</v>
      </c>
      <c r="F353" s="850">
        <v>45044.19</v>
      </c>
      <c r="G353" s="850">
        <v>143441.1</v>
      </c>
      <c r="H353" s="850">
        <v>102725.01</v>
      </c>
      <c r="I353" s="850">
        <v>25465.3</v>
      </c>
      <c r="J353" s="850">
        <v>16991.45</v>
      </c>
      <c r="K353" s="850">
        <v>43818</v>
      </c>
      <c r="L353" s="850">
        <v>87340.27</v>
      </c>
      <c r="M353" s="850">
        <v>127001.1</v>
      </c>
      <c r="N353" s="850">
        <v>36220.61</v>
      </c>
      <c r="O353" s="850">
        <v>17427.95</v>
      </c>
      <c r="P353" s="838">
        <f t="shared" si="37"/>
        <v>864767.36</v>
      </c>
    </row>
    <row r="354" spans="2:17">
      <c r="B354" s="34" t="str">
        <f t="shared" si="40"/>
        <v>CNGWA903</v>
      </c>
      <c r="C354" s="34" t="s">
        <v>143</v>
      </c>
      <c r="D354" s="850">
        <v>0</v>
      </c>
      <c r="E354" s="850">
        <v>0</v>
      </c>
      <c r="F354" s="850">
        <v>0</v>
      </c>
      <c r="G354" s="850">
        <v>0</v>
      </c>
      <c r="H354" s="850">
        <v>0</v>
      </c>
      <c r="I354" s="850">
        <v>0</v>
      </c>
      <c r="J354" s="850">
        <v>0</v>
      </c>
      <c r="K354" s="850">
        <v>0</v>
      </c>
      <c r="L354" s="850">
        <v>0</v>
      </c>
      <c r="M354" s="850">
        <v>0</v>
      </c>
      <c r="N354" s="850">
        <v>0</v>
      </c>
      <c r="O354" s="850">
        <v>0</v>
      </c>
      <c r="P354" s="838">
        <f t="shared" si="37"/>
        <v>0</v>
      </c>
    </row>
    <row r="355" spans="2:17">
      <c r="B355" s="34" t="str">
        <f t="shared" si="40"/>
        <v>CNGWA903</v>
      </c>
      <c r="C355" s="34" t="s">
        <v>144</v>
      </c>
      <c r="D355" s="850">
        <v>0</v>
      </c>
      <c r="E355" s="850">
        <v>0</v>
      </c>
      <c r="F355" s="850">
        <v>0</v>
      </c>
      <c r="G355" s="850">
        <v>0</v>
      </c>
      <c r="H355" s="850">
        <v>0</v>
      </c>
      <c r="I355" s="850">
        <v>0</v>
      </c>
      <c r="J355" s="850">
        <v>0</v>
      </c>
      <c r="K355" s="850">
        <v>0</v>
      </c>
      <c r="L355" s="850">
        <v>0</v>
      </c>
      <c r="M355" s="850">
        <v>0</v>
      </c>
      <c r="N355" s="850">
        <v>0</v>
      </c>
      <c r="O355" s="850">
        <v>0</v>
      </c>
      <c r="P355" s="838">
        <f t="shared" si="37"/>
        <v>0</v>
      </c>
    </row>
    <row r="356" spans="2:17">
      <c r="B356" s="34" t="str">
        <f t="shared" si="40"/>
        <v>CNGWA903</v>
      </c>
      <c r="C356" s="34" t="s">
        <v>145</v>
      </c>
      <c r="D356" s="850">
        <v>0</v>
      </c>
      <c r="E356" s="850">
        <v>0</v>
      </c>
      <c r="F356" s="850">
        <v>0</v>
      </c>
      <c r="G356" s="850">
        <v>0</v>
      </c>
      <c r="H356" s="850">
        <v>0</v>
      </c>
      <c r="I356" s="850">
        <v>0</v>
      </c>
      <c r="J356" s="850">
        <v>0</v>
      </c>
      <c r="K356" s="850">
        <v>0</v>
      </c>
      <c r="L356" s="850">
        <v>0</v>
      </c>
      <c r="M356" s="850">
        <v>0</v>
      </c>
      <c r="N356" s="850">
        <v>0</v>
      </c>
      <c r="O356" s="850">
        <v>0</v>
      </c>
      <c r="P356" s="838">
        <f t="shared" si="37"/>
        <v>0</v>
      </c>
    </row>
    <row r="357" spans="2:17">
      <c r="B357" s="34" t="str">
        <f t="shared" si="40"/>
        <v>CNGWA903</v>
      </c>
      <c r="C357" s="34" t="s">
        <v>487</v>
      </c>
      <c r="D357" s="850">
        <v>0</v>
      </c>
      <c r="E357" s="850">
        <v>0</v>
      </c>
      <c r="F357" s="850">
        <v>0</v>
      </c>
      <c r="G357" s="850">
        <v>0</v>
      </c>
      <c r="H357" s="850">
        <v>0</v>
      </c>
      <c r="I357" s="850">
        <v>0</v>
      </c>
      <c r="J357" s="850">
        <v>0</v>
      </c>
      <c r="K357" s="850">
        <v>0</v>
      </c>
      <c r="L357" s="850">
        <v>0</v>
      </c>
      <c r="M357" s="850">
        <v>0</v>
      </c>
      <c r="N357" s="850">
        <v>0</v>
      </c>
      <c r="O357" s="850">
        <v>0</v>
      </c>
      <c r="P357" s="838">
        <f t="shared" si="37"/>
        <v>0</v>
      </c>
    </row>
    <row r="358" spans="2:17">
      <c r="B358" s="34" t="str">
        <f t="shared" si="40"/>
        <v>CNGWA903</v>
      </c>
      <c r="C358" s="34" t="s">
        <v>488</v>
      </c>
      <c r="D358" s="850">
        <v>0</v>
      </c>
      <c r="E358" s="850">
        <v>0</v>
      </c>
      <c r="F358" s="850">
        <v>0</v>
      </c>
      <c r="G358" s="850">
        <v>0</v>
      </c>
      <c r="H358" s="850">
        <v>0</v>
      </c>
      <c r="I358" s="850">
        <v>0</v>
      </c>
      <c r="J358" s="850">
        <v>0</v>
      </c>
      <c r="K358" s="850">
        <v>0</v>
      </c>
      <c r="L358" s="850">
        <v>0</v>
      </c>
      <c r="M358" s="850">
        <v>0</v>
      </c>
      <c r="N358" s="850">
        <v>0</v>
      </c>
      <c r="O358" s="850">
        <v>0</v>
      </c>
      <c r="P358" s="838">
        <f t="shared" si="37"/>
        <v>0</v>
      </c>
    </row>
    <row r="359" spans="2:17">
      <c r="B359" s="34" t="str">
        <f t="shared" si="40"/>
        <v>CNGWA903</v>
      </c>
      <c r="C359" s="34" t="s">
        <v>174</v>
      </c>
      <c r="D359" s="850">
        <v>0</v>
      </c>
      <c r="E359" s="850">
        <v>0</v>
      </c>
      <c r="F359" s="850">
        <v>0</v>
      </c>
      <c r="G359" s="850">
        <v>0</v>
      </c>
      <c r="H359" s="850">
        <v>0</v>
      </c>
      <c r="I359" s="850">
        <v>0</v>
      </c>
      <c r="J359" s="850">
        <v>0</v>
      </c>
      <c r="K359" s="850">
        <v>0</v>
      </c>
      <c r="L359" s="850">
        <v>0</v>
      </c>
      <c r="M359" s="850">
        <v>0</v>
      </c>
      <c r="N359" s="850">
        <v>0</v>
      </c>
      <c r="O359" s="850">
        <v>0</v>
      </c>
      <c r="P359" s="838">
        <f t="shared" si="37"/>
        <v>0</v>
      </c>
    </row>
    <row r="360" spans="2:17">
      <c r="B360" s="34" t="str">
        <f t="shared" si="40"/>
        <v>CNGWA903</v>
      </c>
      <c r="C360" s="34" t="s">
        <v>175</v>
      </c>
      <c r="D360" s="850">
        <v>-131683.99</v>
      </c>
      <c r="E360" s="850">
        <v>-87608.39</v>
      </c>
      <c r="F360" s="850">
        <v>-45044.19</v>
      </c>
      <c r="G360" s="850">
        <v>-143441.1</v>
      </c>
      <c r="H360" s="850">
        <v>-102725.01</v>
      </c>
      <c r="I360" s="850">
        <v>-25465.3</v>
      </c>
      <c r="J360" s="850">
        <v>-16991.45</v>
      </c>
      <c r="K360" s="850">
        <v>-43818</v>
      </c>
      <c r="L360" s="850">
        <v>-87340.27</v>
      </c>
      <c r="M360" s="850">
        <v>-127001.1</v>
      </c>
      <c r="N360" s="850">
        <v>-36220.61</v>
      </c>
      <c r="O360" s="850">
        <v>-17427.95</v>
      </c>
      <c r="P360" s="838">
        <f t="shared" si="37"/>
        <v>-864767.36</v>
      </c>
    </row>
    <row r="361" spans="2:17">
      <c r="B361" s="34" t="str">
        <f t="shared" si="40"/>
        <v>CNGWA903</v>
      </c>
      <c r="C361" s="34" t="s">
        <v>176</v>
      </c>
      <c r="D361" s="850">
        <v>87608.39</v>
      </c>
      <c r="E361" s="850">
        <v>45044.19</v>
      </c>
      <c r="F361" s="850">
        <v>143441.1</v>
      </c>
      <c r="G361" s="850">
        <v>102725.01</v>
      </c>
      <c r="H361" s="850">
        <v>25465.3</v>
      </c>
      <c r="I361" s="850">
        <v>16991.45</v>
      </c>
      <c r="J361" s="850">
        <v>43818</v>
      </c>
      <c r="K361" s="850">
        <v>87340.27</v>
      </c>
      <c r="L361" s="850">
        <v>127001.1</v>
      </c>
      <c r="M361" s="850">
        <v>36220.61</v>
      </c>
      <c r="N361" s="850">
        <v>17427.95</v>
      </c>
      <c r="O361" s="850">
        <v>30635.02</v>
      </c>
      <c r="P361" s="838">
        <f t="shared" si="37"/>
        <v>763718.39</v>
      </c>
    </row>
    <row r="362" spans="2:17">
      <c r="B362" s="34" t="str">
        <f t="shared" si="40"/>
        <v>CNGWA903</v>
      </c>
      <c r="C362" s="34" t="s">
        <v>400</v>
      </c>
      <c r="D362" s="850">
        <f>SUM(D353:D361)</f>
        <v>87608.39</v>
      </c>
      <c r="E362" s="850">
        <f t="shared" ref="E362:O362" si="41">SUM(E353:E361)</f>
        <v>45044.19</v>
      </c>
      <c r="F362" s="850">
        <f t="shared" si="41"/>
        <v>143441.1</v>
      </c>
      <c r="G362" s="850">
        <f t="shared" si="41"/>
        <v>102725.01</v>
      </c>
      <c r="H362" s="850">
        <f t="shared" si="41"/>
        <v>25465.3</v>
      </c>
      <c r="I362" s="850">
        <f t="shared" si="41"/>
        <v>16991.45</v>
      </c>
      <c r="J362" s="850">
        <f t="shared" si="41"/>
        <v>43818</v>
      </c>
      <c r="K362" s="850">
        <f t="shared" si="41"/>
        <v>87340.27</v>
      </c>
      <c r="L362" s="850">
        <f t="shared" si="41"/>
        <v>127001.1</v>
      </c>
      <c r="M362" s="850">
        <f t="shared" si="41"/>
        <v>36220.61</v>
      </c>
      <c r="N362" s="850">
        <f t="shared" si="41"/>
        <v>17427.95</v>
      </c>
      <c r="O362" s="850">
        <f t="shared" si="41"/>
        <v>30635.02</v>
      </c>
      <c r="P362" s="838">
        <f t="shared" si="37"/>
        <v>763718.39</v>
      </c>
    </row>
    <row r="363" spans="2:17">
      <c r="C363" s="839" t="s">
        <v>149</v>
      </c>
      <c r="D363" s="850"/>
      <c r="E363" s="850"/>
      <c r="F363" s="850"/>
      <c r="G363" s="850"/>
      <c r="H363" s="850"/>
      <c r="I363" s="850"/>
      <c r="J363" s="850"/>
      <c r="K363" s="850"/>
      <c r="L363" s="850"/>
      <c r="M363" s="850"/>
      <c r="N363" s="850"/>
      <c r="O363" s="850"/>
      <c r="P363" s="838">
        <f t="shared" si="37"/>
        <v>0</v>
      </c>
    </row>
    <row r="364" spans="2:17">
      <c r="P364" s="838">
        <f t="shared" si="37"/>
        <v>0</v>
      </c>
    </row>
    <row r="365" spans="2:17">
      <c r="C365" s="783" t="s">
        <v>237</v>
      </c>
      <c r="D365" s="850"/>
      <c r="E365" s="850"/>
      <c r="F365" s="850"/>
      <c r="G365" s="850"/>
      <c r="H365" s="850"/>
      <c r="I365" s="850"/>
      <c r="J365" s="850"/>
      <c r="K365" s="850"/>
      <c r="L365" s="850"/>
      <c r="M365" s="850"/>
      <c r="N365" s="850"/>
      <c r="O365" s="850"/>
      <c r="P365" s="838">
        <f t="shared" si="37"/>
        <v>0</v>
      </c>
    </row>
    <row r="366" spans="2:17">
      <c r="B366" s="34" t="str">
        <f>$C$365</f>
        <v>CNGWA908</v>
      </c>
      <c r="C366" s="34" t="s">
        <v>401</v>
      </c>
      <c r="D366" s="850">
        <v>0</v>
      </c>
      <c r="E366" s="850">
        <v>13899</v>
      </c>
      <c r="F366" s="850">
        <v>184428</v>
      </c>
      <c r="G366" s="850">
        <v>249821</v>
      </c>
      <c r="H366" s="850">
        <v>0</v>
      </c>
      <c r="I366" s="850">
        <v>8254</v>
      </c>
      <c r="J366" s="850">
        <v>39426</v>
      </c>
      <c r="K366" s="850">
        <v>134999</v>
      </c>
      <c r="L366" s="850">
        <v>77745</v>
      </c>
      <c r="M366" s="850">
        <v>67903</v>
      </c>
      <c r="N366" s="850">
        <v>54670</v>
      </c>
      <c r="O366" s="850">
        <v>3797</v>
      </c>
      <c r="P366" s="838">
        <f t="shared" si="37"/>
        <v>834942</v>
      </c>
      <c r="Q366" s="904"/>
    </row>
    <row r="367" spans="2:17">
      <c r="B367" s="34" t="str">
        <f t="shared" ref="B367:B382" si="42">$C$365</f>
        <v>CNGWA908</v>
      </c>
      <c r="C367" s="34" t="s">
        <v>481</v>
      </c>
      <c r="D367" s="850">
        <v>0</v>
      </c>
      <c r="E367" s="850">
        <v>0</v>
      </c>
      <c r="F367" s="850">
        <v>0</v>
      </c>
      <c r="G367" s="850">
        <v>0</v>
      </c>
      <c r="H367" s="850">
        <v>0</v>
      </c>
      <c r="I367" s="850">
        <v>0</v>
      </c>
      <c r="J367" s="850">
        <v>0</v>
      </c>
      <c r="K367" s="850">
        <v>0</v>
      </c>
      <c r="L367" s="850">
        <v>0</v>
      </c>
      <c r="M367" s="850">
        <v>0</v>
      </c>
      <c r="N367" s="850">
        <v>0</v>
      </c>
      <c r="O367" s="850">
        <v>0</v>
      </c>
      <c r="P367" s="838">
        <f t="shared" si="37"/>
        <v>0</v>
      </c>
    </row>
    <row r="368" spans="2:17">
      <c r="B368" s="34" t="str">
        <f t="shared" si="42"/>
        <v>CNGWA908</v>
      </c>
      <c r="C368" s="34" t="s">
        <v>482</v>
      </c>
      <c r="D368" s="850">
        <v>0</v>
      </c>
      <c r="E368" s="850">
        <v>0</v>
      </c>
      <c r="F368" s="850">
        <v>0</v>
      </c>
      <c r="G368" s="850">
        <v>0</v>
      </c>
      <c r="H368" s="850">
        <v>0</v>
      </c>
      <c r="I368" s="850">
        <v>0</v>
      </c>
      <c r="J368" s="850">
        <v>0</v>
      </c>
      <c r="K368" s="850">
        <v>0</v>
      </c>
      <c r="L368" s="850">
        <v>0</v>
      </c>
      <c r="M368" s="850">
        <v>0</v>
      </c>
      <c r="N368" s="850">
        <v>0</v>
      </c>
      <c r="O368" s="850">
        <v>0</v>
      </c>
      <c r="P368" s="838">
        <f t="shared" si="37"/>
        <v>0</v>
      </c>
    </row>
    <row r="369" spans="2:17">
      <c r="B369" s="34" t="str">
        <f t="shared" si="42"/>
        <v>CNGWA908</v>
      </c>
      <c r="C369" s="34" t="s">
        <v>483</v>
      </c>
      <c r="D369" s="850">
        <v>0</v>
      </c>
      <c r="E369" s="850">
        <v>13899</v>
      </c>
      <c r="F369" s="850">
        <v>184428</v>
      </c>
      <c r="G369" s="850">
        <v>249821</v>
      </c>
      <c r="H369" s="850">
        <v>0</v>
      </c>
      <c r="I369" s="850">
        <v>8254</v>
      </c>
      <c r="J369" s="850">
        <v>39426</v>
      </c>
      <c r="K369" s="850">
        <v>134999</v>
      </c>
      <c r="L369" s="850">
        <v>77745</v>
      </c>
      <c r="M369" s="850">
        <v>67903</v>
      </c>
      <c r="N369" s="850">
        <v>54670</v>
      </c>
      <c r="O369" s="850">
        <v>3797</v>
      </c>
      <c r="P369" s="838">
        <f t="shared" si="37"/>
        <v>834942</v>
      </c>
    </row>
    <row r="370" spans="2:17">
      <c r="B370" s="34" t="str">
        <f t="shared" si="42"/>
        <v>CNGWA908</v>
      </c>
      <c r="C370" s="34" t="s">
        <v>484</v>
      </c>
      <c r="D370" s="850">
        <v>13899</v>
      </c>
      <c r="E370" s="850">
        <v>184428</v>
      </c>
      <c r="F370" s="850">
        <v>249821</v>
      </c>
      <c r="G370" s="850">
        <v>0</v>
      </c>
      <c r="H370" s="850">
        <v>8254</v>
      </c>
      <c r="I370" s="850">
        <v>39426</v>
      </c>
      <c r="J370" s="850">
        <v>134999</v>
      </c>
      <c r="K370" s="850">
        <v>77745</v>
      </c>
      <c r="L370" s="850">
        <v>67903</v>
      </c>
      <c r="M370" s="850">
        <v>54670</v>
      </c>
      <c r="N370" s="850">
        <v>3797</v>
      </c>
      <c r="O370" s="850">
        <v>0</v>
      </c>
      <c r="P370" s="838">
        <f t="shared" si="37"/>
        <v>834942</v>
      </c>
    </row>
    <row r="371" spans="2:17">
      <c r="B371" s="34" t="str">
        <f t="shared" si="42"/>
        <v>CNGWA908</v>
      </c>
      <c r="C371" s="34" t="s">
        <v>485</v>
      </c>
      <c r="D371" s="850">
        <v>13899</v>
      </c>
      <c r="E371" s="850">
        <v>184428</v>
      </c>
      <c r="F371" s="850">
        <v>249821</v>
      </c>
      <c r="G371" s="850">
        <v>0</v>
      </c>
      <c r="H371" s="850">
        <v>8254</v>
      </c>
      <c r="I371" s="850">
        <v>39426</v>
      </c>
      <c r="J371" s="850">
        <v>134999</v>
      </c>
      <c r="K371" s="850">
        <v>77745</v>
      </c>
      <c r="L371" s="850">
        <v>67903</v>
      </c>
      <c r="M371" s="850">
        <v>54670</v>
      </c>
      <c r="N371" s="850">
        <v>3797</v>
      </c>
      <c r="O371" s="850">
        <v>0</v>
      </c>
      <c r="P371" s="838">
        <f t="shared" si="37"/>
        <v>834942</v>
      </c>
    </row>
    <row r="372" spans="2:17">
      <c r="B372" s="34" t="str">
        <f t="shared" si="42"/>
        <v>CNGWA908</v>
      </c>
      <c r="C372" s="839" t="s">
        <v>149</v>
      </c>
      <c r="D372" s="850"/>
      <c r="E372" s="850"/>
      <c r="F372" s="850"/>
      <c r="G372" s="850"/>
      <c r="H372" s="850"/>
      <c r="I372" s="850"/>
      <c r="J372" s="850"/>
      <c r="K372" s="850"/>
      <c r="L372" s="850"/>
      <c r="M372" s="850"/>
      <c r="N372" s="850"/>
      <c r="O372" s="850"/>
      <c r="P372" s="838">
        <f t="shared" si="37"/>
        <v>0</v>
      </c>
    </row>
    <row r="373" spans="2:17">
      <c r="B373" s="34" t="str">
        <f t="shared" si="42"/>
        <v>CNGWA908</v>
      </c>
      <c r="C373" s="34" t="s">
        <v>486</v>
      </c>
      <c r="D373" s="850">
        <v>15168.6</v>
      </c>
      <c r="E373" s="850">
        <v>15174.41</v>
      </c>
      <c r="F373" s="850">
        <v>15245.64</v>
      </c>
      <c r="G373" s="850">
        <v>15262.87</v>
      </c>
      <c r="H373" s="850">
        <v>15158.58</v>
      </c>
      <c r="I373" s="850">
        <v>15162.02</v>
      </c>
      <c r="J373" s="850">
        <v>15175.04</v>
      </c>
      <c r="K373" s="850">
        <v>15214.94</v>
      </c>
      <c r="L373" s="850">
        <v>15191.04</v>
      </c>
      <c r="M373" s="850">
        <v>15186.93</v>
      </c>
      <c r="N373" s="850">
        <v>15181.4</v>
      </c>
      <c r="O373" s="850">
        <v>15160.17</v>
      </c>
      <c r="P373" s="838">
        <f t="shared" si="37"/>
        <v>182281.64</v>
      </c>
    </row>
    <row r="374" spans="2:17">
      <c r="B374" s="34" t="str">
        <f t="shared" si="42"/>
        <v>CNGWA908</v>
      </c>
      <c r="C374" s="34" t="s">
        <v>143</v>
      </c>
      <c r="D374" s="850">
        <v>0</v>
      </c>
      <c r="E374" s="850">
        <v>0</v>
      </c>
      <c r="F374" s="850">
        <v>0</v>
      </c>
      <c r="G374" s="850">
        <v>0</v>
      </c>
      <c r="H374" s="850">
        <v>0</v>
      </c>
      <c r="I374" s="850">
        <v>0</v>
      </c>
      <c r="J374" s="850">
        <v>0</v>
      </c>
      <c r="K374" s="850">
        <v>0</v>
      </c>
      <c r="L374" s="850">
        <v>0</v>
      </c>
      <c r="M374" s="850">
        <v>0</v>
      </c>
      <c r="N374" s="850">
        <v>0</v>
      </c>
      <c r="O374" s="850">
        <v>0</v>
      </c>
      <c r="P374" s="838">
        <f t="shared" si="37"/>
        <v>0</v>
      </c>
    </row>
    <row r="375" spans="2:17">
      <c r="B375" s="34" t="str">
        <f t="shared" si="42"/>
        <v>CNGWA908</v>
      </c>
      <c r="C375" s="34" t="s">
        <v>144</v>
      </c>
      <c r="D375" s="850">
        <v>0</v>
      </c>
      <c r="E375" s="850">
        <v>0</v>
      </c>
      <c r="F375" s="850">
        <v>0</v>
      </c>
      <c r="G375" s="850">
        <v>0</v>
      </c>
      <c r="H375" s="850">
        <v>0</v>
      </c>
      <c r="I375" s="850">
        <v>0</v>
      </c>
      <c r="J375" s="850">
        <v>0</v>
      </c>
      <c r="K375" s="850">
        <v>0</v>
      </c>
      <c r="L375" s="850">
        <v>0</v>
      </c>
      <c r="M375" s="850">
        <v>0</v>
      </c>
      <c r="N375" s="850">
        <v>0</v>
      </c>
      <c r="O375" s="850">
        <v>0</v>
      </c>
      <c r="P375" s="838">
        <f t="shared" si="37"/>
        <v>0</v>
      </c>
    </row>
    <row r="376" spans="2:17">
      <c r="B376" s="34" t="str">
        <f t="shared" si="42"/>
        <v>CNGWA908</v>
      </c>
      <c r="C376" s="34" t="s">
        <v>145</v>
      </c>
      <c r="D376" s="850">
        <v>0</v>
      </c>
      <c r="E376" s="850">
        <v>0</v>
      </c>
      <c r="F376" s="850">
        <v>0</v>
      </c>
      <c r="G376" s="850">
        <v>0</v>
      </c>
      <c r="H376" s="850">
        <v>0</v>
      </c>
      <c r="I376" s="850">
        <v>0</v>
      </c>
      <c r="J376" s="850">
        <v>0</v>
      </c>
      <c r="K376" s="850">
        <v>0</v>
      </c>
      <c r="L376" s="850">
        <v>0</v>
      </c>
      <c r="M376" s="850">
        <v>0</v>
      </c>
      <c r="N376" s="850">
        <v>0</v>
      </c>
      <c r="O376" s="850">
        <v>0</v>
      </c>
      <c r="P376" s="838">
        <f t="shared" si="37"/>
        <v>0</v>
      </c>
    </row>
    <row r="377" spans="2:17">
      <c r="B377" s="34" t="str">
        <f t="shared" si="42"/>
        <v>CNGWA908</v>
      </c>
      <c r="C377" s="34" t="s">
        <v>487</v>
      </c>
      <c r="D377" s="850">
        <v>0</v>
      </c>
      <c r="E377" s="850">
        <v>0</v>
      </c>
      <c r="F377" s="850">
        <v>0</v>
      </c>
      <c r="G377" s="850">
        <v>0</v>
      </c>
      <c r="H377" s="850">
        <v>0</v>
      </c>
      <c r="I377" s="850">
        <v>0</v>
      </c>
      <c r="J377" s="850">
        <v>0</v>
      </c>
      <c r="K377" s="850">
        <v>0</v>
      </c>
      <c r="L377" s="850">
        <v>0</v>
      </c>
      <c r="M377" s="850">
        <v>0</v>
      </c>
      <c r="N377" s="850">
        <v>0</v>
      </c>
      <c r="O377" s="850">
        <v>0</v>
      </c>
      <c r="P377" s="838">
        <f t="shared" si="37"/>
        <v>0</v>
      </c>
    </row>
    <row r="378" spans="2:17">
      <c r="B378" s="34" t="str">
        <f t="shared" si="42"/>
        <v>CNGWA908</v>
      </c>
      <c r="C378" s="34" t="s">
        <v>488</v>
      </c>
      <c r="D378" s="850">
        <v>0</v>
      </c>
      <c r="E378" s="850">
        <v>0</v>
      </c>
      <c r="F378" s="850">
        <v>0</v>
      </c>
      <c r="G378" s="850">
        <v>0</v>
      </c>
      <c r="H378" s="850">
        <v>0</v>
      </c>
      <c r="I378" s="850">
        <v>0</v>
      </c>
      <c r="J378" s="850">
        <v>0</v>
      </c>
      <c r="K378" s="850">
        <v>0</v>
      </c>
      <c r="L378" s="850">
        <v>0</v>
      </c>
      <c r="M378" s="850">
        <v>0</v>
      </c>
      <c r="N378" s="850">
        <v>0</v>
      </c>
      <c r="O378" s="850">
        <v>0</v>
      </c>
      <c r="P378" s="838">
        <f t="shared" si="37"/>
        <v>0</v>
      </c>
    </row>
    <row r="379" spans="2:17">
      <c r="B379" s="34" t="str">
        <f t="shared" si="42"/>
        <v>CNGWA908</v>
      </c>
      <c r="C379" s="34" t="s">
        <v>174</v>
      </c>
      <c r="D379" s="850">
        <v>0</v>
      </c>
      <c r="E379" s="850">
        <v>0</v>
      </c>
      <c r="F379" s="850">
        <v>0</v>
      </c>
      <c r="G379" s="850">
        <v>0</v>
      </c>
      <c r="H379" s="850">
        <v>0</v>
      </c>
      <c r="I379" s="850">
        <v>0</v>
      </c>
      <c r="J379" s="850">
        <v>0</v>
      </c>
      <c r="K379" s="850">
        <v>0</v>
      </c>
      <c r="L379" s="850">
        <v>0</v>
      </c>
      <c r="M379" s="850">
        <v>0</v>
      </c>
      <c r="N379" s="850">
        <v>0</v>
      </c>
      <c r="O379" s="850">
        <v>0</v>
      </c>
      <c r="P379" s="838">
        <f t="shared" si="37"/>
        <v>0</v>
      </c>
    </row>
    <row r="380" spans="2:17">
      <c r="B380" s="34" t="str">
        <f t="shared" si="42"/>
        <v>CNGWA908</v>
      </c>
      <c r="C380" s="34" t="s">
        <v>175</v>
      </c>
      <c r="D380" s="850">
        <v>-15168.6</v>
      </c>
      <c r="E380" s="850">
        <v>-15174.41</v>
      </c>
      <c r="F380" s="850">
        <v>-15245.64</v>
      </c>
      <c r="G380" s="850">
        <v>-15262.87</v>
      </c>
      <c r="H380" s="850">
        <v>-15158.58</v>
      </c>
      <c r="I380" s="850">
        <v>-15162.02</v>
      </c>
      <c r="J380" s="850">
        <v>-15175.04</v>
      </c>
      <c r="K380" s="850">
        <v>-15214.94</v>
      </c>
      <c r="L380" s="850">
        <v>-15191.04</v>
      </c>
      <c r="M380" s="850">
        <v>-15186.93</v>
      </c>
      <c r="N380" s="850">
        <v>-15181.4</v>
      </c>
      <c r="O380" s="850">
        <v>-15160.17</v>
      </c>
      <c r="P380" s="838">
        <f t="shared" si="37"/>
        <v>-182281.64</v>
      </c>
    </row>
    <row r="381" spans="2:17">
      <c r="B381" s="34" t="str">
        <f t="shared" si="42"/>
        <v>CNGWA908</v>
      </c>
      <c r="C381" s="34" t="s">
        <v>176</v>
      </c>
      <c r="D381" s="850">
        <v>15174.41</v>
      </c>
      <c r="E381" s="850">
        <v>15245.64</v>
      </c>
      <c r="F381" s="850">
        <v>15262.87</v>
      </c>
      <c r="G381" s="850">
        <v>15158.58</v>
      </c>
      <c r="H381" s="850">
        <v>15162.02</v>
      </c>
      <c r="I381" s="850">
        <v>15175.04</v>
      </c>
      <c r="J381" s="850">
        <v>15214.94</v>
      </c>
      <c r="K381" s="850">
        <v>15191.04</v>
      </c>
      <c r="L381" s="850">
        <v>15186.93</v>
      </c>
      <c r="M381" s="850">
        <v>15181.4</v>
      </c>
      <c r="N381" s="850">
        <v>15160.17</v>
      </c>
      <c r="O381" s="850">
        <v>15158.58</v>
      </c>
      <c r="P381" s="838">
        <f t="shared" si="37"/>
        <v>182271.62</v>
      </c>
    </row>
    <row r="382" spans="2:17">
      <c r="B382" s="34" t="str">
        <f t="shared" si="42"/>
        <v>CNGWA908</v>
      </c>
      <c r="C382" s="34" t="s">
        <v>400</v>
      </c>
      <c r="D382" s="850">
        <f>SUM(D373:D381)</f>
        <v>15174.41</v>
      </c>
      <c r="E382" s="850">
        <f t="shared" ref="E382:O382" si="43">SUM(E373:E381)</f>
        <v>15245.64</v>
      </c>
      <c r="F382" s="850">
        <f t="shared" si="43"/>
        <v>15262.87</v>
      </c>
      <c r="G382" s="850">
        <f t="shared" si="43"/>
        <v>15158.58</v>
      </c>
      <c r="H382" s="850">
        <f t="shared" si="43"/>
        <v>15162.02</v>
      </c>
      <c r="I382" s="850">
        <f t="shared" si="43"/>
        <v>15175.04</v>
      </c>
      <c r="J382" s="850">
        <f t="shared" si="43"/>
        <v>15214.94</v>
      </c>
      <c r="K382" s="850">
        <f t="shared" si="43"/>
        <v>15191.04</v>
      </c>
      <c r="L382" s="850">
        <f t="shared" si="43"/>
        <v>15186.93</v>
      </c>
      <c r="M382" s="850">
        <f t="shared" si="43"/>
        <v>15181.4</v>
      </c>
      <c r="N382" s="850">
        <f t="shared" si="43"/>
        <v>15160.17</v>
      </c>
      <c r="O382" s="850">
        <f t="shared" si="43"/>
        <v>15158.58</v>
      </c>
      <c r="P382" s="838">
        <f t="shared" si="37"/>
        <v>182271.62</v>
      </c>
    </row>
    <row r="383" spans="2:17">
      <c r="C383" s="839" t="s">
        <v>149</v>
      </c>
      <c r="D383" s="850"/>
      <c r="E383" s="850"/>
      <c r="F383" s="850"/>
      <c r="G383" s="850"/>
      <c r="H383" s="850"/>
      <c r="I383" s="850"/>
      <c r="J383" s="850"/>
      <c r="K383" s="850"/>
      <c r="L383" s="850"/>
      <c r="M383" s="850"/>
      <c r="N383" s="850"/>
      <c r="O383" s="850"/>
      <c r="P383" s="838">
        <f t="shared" si="37"/>
        <v>0</v>
      </c>
    </row>
    <row r="384" spans="2:17">
      <c r="P384" s="838">
        <f t="shared" si="37"/>
        <v>0</v>
      </c>
      <c r="Q384" s="837"/>
    </row>
    <row r="385" spans="2:16">
      <c r="C385" s="783" t="s">
        <v>182</v>
      </c>
      <c r="D385" s="42"/>
      <c r="E385" s="42"/>
      <c r="F385" s="904"/>
      <c r="G385" s="904"/>
      <c r="H385" s="904"/>
      <c r="I385" s="904"/>
      <c r="J385" s="904"/>
      <c r="K385" s="904"/>
      <c r="L385" s="904"/>
      <c r="M385" s="904"/>
      <c r="N385" s="904"/>
      <c r="O385" s="904"/>
      <c r="P385" s="838">
        <f t="shared" si="37"/>
        <v>0</v>
      </c>
    </row>
    <row r="386" spans="2:16">
      <c r="B386" s="34" t="str">
        <f>$C$385</f>
        <v>CNGW11LV</v>
      </c>
      <c r="C386" s="34" t="s">
        <v>401</v>
      </c>
      <c r="D386" s="837">
        <v>1688999</v>
      </c>
      <c r="E386" s="837">
        <v>1783146</v>
      </c>
      <c r="F386" s="837">
        <v>1661778</v>
      </c>
      <c r="G386" s="837">
        <v>1700063</v>
      </c>
      <c r="H386" s="837">
        <v>1363626</v>
      </c>
      <c r="I386" s="837">
        <v>948718</v>
      </c>
      <c r="J386" s="837">
        <v>710086</v>
      </c>
      <c r="K386" s="837">
        <v>669108</v>
      </c>
      <c r="L386" s="837">
        <v>629019</v>
      </c>
      <c r="M386" s="837">
        <v>613508</v>
      </c>
      <c r="N386" s="837">
        <v>33943</v>
      </c>
      <c r="O386" s="837">
        <v>72965</v>
      </c>
      <c r="P386" s="838">
        <f t="shared" si="37"/>
        <v>11874959</v>
      </c>
    </row>
    <row r="387" spans="2:16">
      <c r="B387" s="34" t="str">
        <f t="shared" ref="B387:B402" si="44">$C$385</f>
        <v>CNGW11LV</v>
      </c>
      <c r="C387" s="34" t="s">
        <v>481</v>
      </c>
      <c r="D387" s="837">
        <v>0</v>
      </c>
      <c r="E387" s="837">
        <v>0</v>
      </c>
      <c r="F387" s="837">
        <v>0</v>
      </c>
      <c r="G387" s="837">
        <v>0</v>
      </c>
      <c r="H387" s="837">
        <v>0</v>
      </c>
      <c r="I387" s="837">
        <v>0</v>
      </c>
      <c r="J387" s="837">
        <v>0</v>
      </c>
      <c r="K387" s="837">
        <v>0</v>
      </c>
      <c r="L387" s="837">
        <v>0</v>
      </c>
      <c r="M387" s="837">
        <v>0</v>
      </c>
      <c r="N387" s="837">
        <v>0</v>
      </c>
      <c r="O387" s="837">
        <v>0</v>
      </c>
      <c r="P387" s="838">
        <f t="shared" si="37"/>
        <v>0</v>
      </c>
    </row>
    <row r="388" spans="2:16">
      <c r="B388" s="34" t="str">
        <f t="shared" si="44"/>
        <v>CNGW11LV</v>
      </c>
      <c r="C388" s="34" t="s">
        <v>482</v>
      </c>
      <c r="D388" s="837">
        <v>0</v>
      </c>
      <c r="E388" s="837">
        <v>0</v>
      </c>
      <c r="F388" s="837">
        <v>0</v>
      </c>
      <c r="G388" s="837">
        <v>0</v>
      </c>
      <c r="H388" s="837">
        <v>0</v>
      </c>
      <c r="I388" s="837">
        <v>0</v>
      </c>
      <c r="J388" s="837">
        <v>0</v>
      </c>
      <c r="K388" s="837">
        <v>0</v>
      </c>
      <c r="L388" s="837">
        <v>0</v>
      </c>
      <c r="M388" s="837">
        <v>0</v>
      </c>
      <c r="N388" s="837">
        <v>0</v>
      </c>
      <c r="O388" s="837">
        <v>0</v>
      </c>
      <c r="P388" s="838">
        <f t="shared" si="37"/>
        <v>0</v>
      </c>
    </row>
    <row r="389" spans="2:16">
      <c r="B389" s="34" t="str">
        <f t="shared" si="44"/>
        <v>CNGW11LV</v>
      </c>
      <c r="C389" s="34" t="s">
        <v>483</v>
      </c>
      <c r="D389" s="837">
        <v>1688999</v>
      </c>
      <c r="E389" s="837">
        <v>1783146</v>
      </c>
      <c r="F389" s="837">
        <v>1661778</v>
      </c>
      <c r="G389" s="837">
        <v>1700063</v>
      </c>
      <c r="H389" s="837">
        <v>1363626</v>
      </c>
      <c r="I389" s="837">
        <v>948718</v>
      </c>
      <c r="J389" s="837">
        <v>710086</v>
      </c>
      <c r="K389" s="837">
        <v>669108</v>
      </c>
      <c r="L389" s="837">
        <v>629019</v>
      </c>
      <c r="M389" s="837">
        <v>613508</v>
      </c>
      <c r="N389" s="837">
        <v>33943</v>
      </c>
      <c r="O389" s="837">
        <v>72965</v>
      </c>
      <c r="P389" s="838">
        <f t="shared" si="37"/>
        <v>11874959</v>
      </c>
    </row>
    <row r="390" spans="2:16">
      <c r="B390" s="34" t="str">
        <f t="shared" si="44"/>
        <v>CNGW11LV</v>
      </c>
      <c r="C390" s="34" t="s">
        <v>484</v>
      </c>
      <c r="D390" s="837">
        <v>1783146</v>
      </c>
      <c r="E390" s="837">
        <v>1661778</v>
      </c>
      <c r="F390" s="837">
        <v>1700063</v>
      </c>
      <c r="G390" s="837">
        <v>1363626</v>
      </c>
      <c r="H390" s="837">
        <v>948718</v>
      </c>
      <c r="I390" s="837">
        <v>710086</v>
      </c>
      <c r="J390" s="837">
        <v>669108</v>
      </c>
      <c r="K390" s="837">
        <v>629019</v>
      </c>
      <c r="L390" s="837">
        <v>613508</v>
      </c>
      <c r="M390" s="837">
        <v>33943</v>
      </c>
      <c r="N390" s="837">
        <v>72965</v>
      </c>
      <c r="O390" s="837">
        <v>96370</v>
      </c>
      <c r="P390" s="838">
        <f t="shared" ref="P390:P448" si="45">SUM(D390:O390)</f>
        <v>10282330</v>
      </c>
    </row>
    <row r="391" spans="2:16">
      <c r="B391" s="34" t="str">
        <f t="shared" si="44"/>
        <v>CNGW11LV</v>
      </c>
      <c r="C391" s="34" t="s">
        <v>485</v>
      </c>
      <c r="D391" s="837">
        <v>1783146</v>
      </c>
      <c r="E391" s="837">
        <v>1661778</v>
      </c>
      <c r="F391" s="837">
        <v>1700063</v>
      </c>
      <c r="G391" s="837">
        <v>1363626</v>
      </c>
      <c r="H391" s="837">
        <v>948718</v>
      </c>
      <c r="I391" s="837">
        <v>710086</v>
      </c>
      <c r="J391" s="837">
        <v>669108</v>
      </c>
      <c r="K391" s="837">
        <v>629019</v>
      </c>
      <c r="L391" s="837">
        <v>613508</v>
      </c>
      <c r="M391" s="837">
        <v>33943</v>
      </c>
      <c r="N391" s="837">
        <v>72965</v>
      </c>
      <c r="O391" s="837">
        <v>96370</v>
      </c>
      <c r="P391" s="838">
        <f t="shared" si="45"/>
        <v>10282330</v>
      </c>
    </row>
    <row r="392" spans="2:16">
      <c r="B392" s="34" t="str">
        <f t="shared" si="44"/>
        <v>CNGW11LV</v>
      </c>
      <c r="C392" s="839" t="s">
        <v>149</v>
      </c>
      <c r="D392" s="837"/>
      <c r="E392" s="837"/>
      <c r="F392" s="837"/>
      <c r="G392" s="837"/>
      <c r="H392" s="837"/>
      <c r="I392" s="837"/>
      <c r="J392" s="837"/>
      <c r="K392" s="837"/>
      <c r="L392" s="837"/>
      <c r="M392" s="837"/>
      <c r="N392" s="837"/>
      <c r="O392" s="837"/>
      <c r="P392" s="838">
        <f t="shared" si="45"/>
        <v>0</v>
      </c>
    </row>
    <row r="393" spans="2:16">
      <c r="B393" s="34" t="str">
        <f t="shared" si="44"/>
        <v>CNGW11LV</v>
      </c>
      <c r="C393" s="34" t="s">
        <v>486</v>
      </c>
      <c r="D393" s="837">
        <v>1092856.19</v>
      </c>
      <c r="E393" s="837">
        <v>1150340.3500000001</v>
      </c>
      <c r="F393" s="837">
        <v>1073731.6599999999</v>
      </c>
      <c r="G393" s="837">
        <v>1106937.94</v>
      </c>
      <c r="H393" s="837">
        <v>892310.14</v>
      </c>
      <c r="I393" s="837">
        <v>630159.87</v>
      </c>
      <c r="J393" s="837">
        <v>475110.74</v>
      </c>
      <c r="K393" s="837">
        <v>448976.7</v>
      </c>
      <c r="L393" s="837">
        <v>423170.4</v>
      </c>
      <c r="M393" s="837">
        <v>413002.68</v>
      </c>
      <c r="N393" s="837">
        <v>26774.86</v>
      </c>
      <c r="O393" s="837">
        <v>56588.21</v>
      </c>
      <c r="P393" s="838">
        <f t="shared" si="45"/>
        <v>7789959.7400000012</v>
      </c>
    </row>
    <row r="394" spans="2:16">
      <c r="B394" s="34" t="str">
        <f t="shared" si="44"/>
        <v>CNGW11LV</v>
      </c>
      <c r="C394" s="34" t="s">
        <v>143</v>
      </c>
      <c r="D394" s="837">
        <v>0</v>
      </c>
      <c r="E394" s="837">
        <v>0</v>
      </c>
      <c r="F394" s="837">
        <v>0</v>
      </c>
      <c r="G394" s="837">
        <v>0</v>
      </c>
      <c r="H394" s="837">
        <v>0</v>
      </c>
      <c r="I394" s="837">
        <v>0</v>
      </c>
      <c r="J394" s="837">
        <v>0</v>
      </c>
      <c r="K394" s="837">
        <v>0</v>
      </c>
      <c r="L394" s="837">
        <v>0</v>
      </c>
      <c r="M394" s="837">
        <v>0</v>
      </c>
      <c r="N394" s="837">
        <v>0</v>
      </c>
      <c r="O394" s="837">
        <v>0</v>
      </c>
      <c r="P394" s="838">
        <f t="shared" si="45"/>
        <v>0</v>
      </c>
    </row>
    <row r="395" spans="2:16">
      <c r="B395" s="34" t="str">
        <f t="shared" si="44"/>
        <v>CNGW11LV</v>
      </c>
      <c r="C395" s="34" t="s">
        <v>144</v>
      </c>
      <c r="D395" s="837">
        <v>0</v>
      </c>
      <c r="E395" s="837">
        <v>0</v>
      </c>
      <c r="F395" s="837">
        <v>0</v>
      </c>
      <c r="G395" s="837">
        <v>0</v>
      </c>
      <c r="H395" s="837">
        <v>0</v>
      </c>
      <c r="I395" s="837">
        <v>0</v>
      </c>
      <c r="J395" s="837">
        <v>0</v>
      </c>
      <c r="K395" s="837">
        <v>0</v>
      </c>
      <c r="L395" s="837">
        <v>0</v>
      </c>
      <c r="M395" s="837">
        <v>0</v>
      </c>
      <c r="N395" s="837">
        <v>0</v>
      </c>
      <c r="O395" s="837">
        <v>0</v>
      </c>
      <c r="P395" s="838">
        <f t="shared" si="45"/>
        <v>0</v>
      </c>
    </row>
    <row r="396" spans="2:16">
      <c r="B396" s="34" t="str">
        <f t="shared" si="44"/>
        <v>CNGW11LV</v>
      </c>
      <c r="C396" s="34" t="s">
        <v>145</v>
      </c>
      <c r="D396" s="837">
        <v>-80472.55</v>
      </c>
      <c r="E396" s="837">
        <v>-78749.100000000006</v>
      </c>
      <c r="F396" s="837">
        <v>-88216.38</v>
      </c>
      <c r="G396" s="837">
        <v>-73864.3</v>
      </c>
      <c r="H396" s="837">
        <v>-58496.53</v>
      </c>
      <c r="I396" s="837">
        <v>-47538.26</v>
      </c>
      <c r="J396" s="837">
        <v>-46696.97</v>
      </c>
      <c r="K396" s="837">
        <v>-44664.74</v>
      </c>
      <c r="L396" s="837">
        <v>-44445.35</v>
      </c>
      <c r="M396" s="837">
        <v>-1829.16</v>
      </c>
      <c r="N396" s="837">
        <v>-7149.58</v>
      </c>
      <c r="O396" s="837">
        <v>-9840.1200000000008</v>
      </c>
      <c r="P396" s="838">
        <f t="shared" si="45"/>
        <v>-581963.03999999992</v>
      </c>
    </row>
    <row r="397" spans="2:16">
      <c r="B397" s="34" t="str">
        <f t="shared" si="44"/>
        <v>CNGW11LV</v>
      </c>
      <c r="C397" s="34" t="s">
        <v>487</v>
      </c>
      <c r="D397" s="837">
        <v>32562.52</v>
      </c>
      <c r="E397" s="837">
        <v>30063.89</v>
      </c>
      <c r="F397" s="837">
        <v>30975.83</v>
      </c>
      <c r="G397" s="837">
        <v>24350.17</v>
      </c>
      <c r="H397" s="837">
        <v>16697.05</v>
      </c>
      <c r="I397" s="837">
        <v>12594.31</v>
      </c>
      <c r="J397" s="837">
        <v>12115.75</v>
      </c>
      <c r="K397" s="837">
        <v>11387.73</v>
      </c>
      <c r="L397" s="837">
        <v>11138.77</v>
      </c>
      <c r="M397" s="837">
        <v>-164.99</v>
      </c>
      <c r="N397" s="837">
        <v>1346.35</v>
      </c>
      <c r="O397" s="837">
        <v>1740.24</v>
      </c>
      <c r="P397" s="838">
        <f t="shared" si="45"/>
        <v>184807.62</v>
      </c>
    </row>
    <row r="398" spans="2:16">
      <c r="B398" s="34" t="str">
        <f t="shared" si="44"/>
        <v>CNGW11LV</v>
      </c>
      <c r="C398" s="34" t="s">
        <v>488</v>
      </c>
      <c r="D398" s="837">
        <v>0</v>
      </c>
      <c r="E398" s="837">
        <v>0</v>
      </c>
      <c r="F398" s="837">
        <v>0</v>
      </c>
      <c r="G398" s="837">
        <v>0</v>
      </c>
      <c r="H398" s="837">
        <v>0</v>
      </c>
      <c r="I398" s="837">
        <v>0</v>
      </c>
      <c r="J398" s="837">
        <v>0</v>
      </c>
      <c r="K398" s="837">
        <v>0</v>
      </c>
      <c r="L398" s="837">
        <v>0</v>
      </c>
      <c r="M398" s="837">
        <v>0</v>
      </c>
      <c r="N398" s="837">
        <v>0</v>
      </c>
      <c r="O398" s="837">
        <v>0</v>
      </c>
      <c r="P398" s="838">
        <f t="shared" si="45"/>
        <v>0</v>
      </c>
    </row>
    <row r="399" spans="2:16">
      <c r="B399" s="34" t="str">
        <f t="shared" si="44"/>
        <v>CNGW11LV</v>
      </c>
      <c r="C399" s="34" t="s">
        <v>192</v>
      </c>
      <c r="D399" s="837">
        <v>0</v>
      </c>
      <c r="E399" s="837">
        <v>0</v>
      </c>
      <c r="F399" s="837">
        <v>0</v>
      </c>
      <c r="G399" s="837">
        <v>0</v>
      </c>
      <c r="H399" s="837">
        <v>0</v>
      </c>
      <c r="I399" s="837">
        <v>0</v>
      </c>
      <c r="J399" s="837">
        <v>0</v>
      </c>
      <c r="K399" s="837">
        <v>0</v>
      </c>
      <c r="L399" s="837">
        <v>0</v>
      </c>
      <c r="M399" s="837">
        <v>0</v>
      </c>
      <c r="N399" s="837">
        <v>0</v>
      </c>
      <c r="O399" s="837">
        <v>0</v>
      </c>
      <c r="P399" s="838">
        <f t="shared" si="45"/>
        <v>0</v>
      </c>
    </row>
    <row r="400" spans="2:16">
      <c r="B400" s="34" t="str">
        <f t="shared" si="44"/>
        <v>CNGW11LV</v>
      </c>
      <c r="C400" s="34" t="s">
        <v>175</v>
      </c>
      <c r="D400" s="836">
        <v>-1090474.7</v>
      </c>
      <c r="E400" s="836">
        <v>-1147826.1100000001</v>
      </c>
      <c r="F400" s="836">
        <v>-1071388.5599999998</v>
      </c>
      <c r="G400" s="836">
        <v>-1104540.8599999999</v>
      </c>
      <c r="H400" s="836">
        <v>-890387.43</v>
      </c>
      <c r="I400" s="836">
        <v>-628822.18000000005</v>
      </c>
      <c r="J400" s="836">
        <v>-474109.52999999997</v>
      </c>
      <c r="K400" s="836">
        <v>-448033.25</v>
      </c>
      <c r="L400" s="836">
        <v>-422283.48000000004</v>
      </c>
      <c r="M400" s="836">
        <v>-412137.63</v>
      </c>
      <c r="N400" s="836">
        <v>-26727</v>
      </c>
      <c r="O400" s="836">
        <v>-56485.32</v>
      </c>
      <c r="P400" s="838">
        <f t="shared" si="45"/>
        <v>-7773216.0500000007</v>
      </c>
    </row>
    <row r="401" spans="1:16">
      <c r="B401" s="34" t="str">
        <f t="shared" si="44"/>
        <v>CNGW11LV</v>
      </c>
      <c r="C401" s="34" t="s">
        <v>176</v>
      </c>
      <c r="D401" s="837">
        <v>1147826.1100000001</v>
      </c>
      <c r="E401" s="837">
        <v>1071388.5599999998</v>
      </c>
      <c r="F401" s="837">
        <v>1104540.8599999999</v>
      </c>
      <c r="G401" s="837">
        <v>890387.43</v>
      </c>
      <c r="H401" s="837">
        <v>628822.18000000005</v>
      </c>
      <c r="I401" s="837">
        <v>474109.52999999997</v>
      </c>
      <c r="J401" s="837">
        <v>448033.25</v>
      </c>
      <c r="K401" s="837">
        <v>422283.48000000004</v>
      </c>
      <c r="L401" s="837">
        <v>412137.63</v>
      </c>
      <c r="M401" s="837">
        <v>26727</v>
      </c>
      <c r="N401" s="837">
        <v>56485.32</v>
      </c>
      <c r="O401" s="837">
        <v>73321.429999999993</v>
      </c>
      <c r="P401" s="838">
        <f t="shared" si="45"/>
        <v>6756062.7800000003</v>
      </c>
    </row>
    <row r="402" spans="1:16">
      <c r="B402" s="34" t="str">
        <f t="shared" si="44"/>
        <v>CNGW11LV</v>
      </c>
      <c r="C402" s="34" t="s">
        <v>400</v>
      </c>
      <c r="D402" s="837">
        <f>SUM(D393:D401)</f>
        <v>1102297.57</v>
      </c>
      <c r="E402" s="837">
        <f t="shared" ref="E402:O402" si="46">SUM(E393:E401)</f>
        <v>1025217.5899999996</v>
      </c>
      <c r="F402" s="837">
        <f t="shared" si="46"/>
        <v>1049643.4099999999</v>
      </c>
      <c r="G402" s="837">
        <f t="shared" si="46"/>
        <v>843270.38</v>
      </c>
      <c r="H402" s="837">
        <f t="shared" si="46"/>
        <v>588945.41</v>
      </c>
      <c r="I402" s="837">
        <f t="shared" si="46"/>
        <v>440503.26999999996</v>
      </c>
      <c r="J402" s="837">
        <f t="shared" si="46"/>
        <v>414453.24000000005</v>
      </c>
      <c r="K402" s="837">
        <f t="shared" si="46"/>
        <v>389949.92000000004</v>
      </c>
      <c r="L402" s="837">
        <f t="shared" si="46"/>
        <v>379717.97000000003</v>
      </c>
      <c r="M402" s="837">
        <f t="shared" si="46"/>
        <v>25597.900000000023</v>
      </c>
      <c r="N402" s="837">
        <f t="shared" si="46"/>
        <v>50729.95</v>
      </c>
      <c r="O402" s="837">
        <f t="shared" si="46"/>
        <v>65324.439999999988</v>
      </c>
      <c r="P402" s="838">
        <f t="shared" si="45"/>
        <v>6375651.0499999998</v>
      </c>
    </row>
    <row r="403" spans="1:16">
      <c r="C403" s="839" t="s">
        <v>149</v>
      </c>
      <c r="D403" s="42"/>
      <c r="E403" s="42"/>
      <c r="F403" s="837"/>
      <c r="G403" s="837"/>
      <c r="H403" s="837"/>
      <c r="I403" s="837"/>
      <c r="J403" s="837"/>
      <c r="K403" s="837"/>
      <c r="L403" s="837"/>
      <c r="M403" s="837"/>
      <c r="N403" s="837"/>
      <c r="O403" s="837"/>
      <c r="P403" s="838">
        <f t="shared" si="45"/>
        <v>0</v>
      </c>
    </row>
    <row r="404" spans="1:16">
      <c r="P404" s="838">
        <f t="shared" si="45"/>
        <v>0</v>
      </c>
    </row>
    <row r="405" spans="1:16">
      <c r="A405" s="844"/>
      <c r="C405" s="783" t="s">
        <v>193</v>
      </c>
      <c r="P405" s="838">
        <f t="shared" si="45"/>
        <v>0</v>
      </c>
    </row>
    <row r="406" spans="1:16">
      <c r="A406" s="844"/>
      <c r="B406" s="34" t="str">
        <f>$C$405</f>
        <v>CNGWA6631-COMBINED</v>
      </c>
      <c r="C406" s="34" t="s">
        <v>401</v>
      </c>
      <c r="D406" s="836">
        <f t="shared" ref="D406:O421" si="47">D266+D146</f>
        <v>45772327</v>
      </c>
      <c r="E406" s="836">
        <f t="shared" si="47"/>
        <v>44679970</v>
      </c>
      <c r="F406" s="836">
        <f t="shared" si="47"/>
        <v>42253111</v>
      </c>
      <c r="G406" s="836">
        <f t="shared" si="47"/>
        <v>48277452</v>
      </c>
      <c r="H406" s="836">
        <f t="shared" si="47"/>
        <v>40723589</v>
      </c>
      <c r="I406" s="836">
        <f t="shared" si="47"/>
        <v>31419517</v>
      </c>
      <c r="J406" s="836">
        <f t="shared" si="47"/>
        <v>29180957</v>
      </c>
      <c r="K406" s="836">
        <f t="shared" si="47"/>
        <v>40337937</v>
      </c>
      <c r="L406" s="836">
        <f t="shared" si="47"/>
        <v>45526714</v>
      </c>
      <c r="M406" s="836">
        <f t="shared" si="47"/>
        <v>48319019</v>
      </c>
      <c r="N406" s="836">
        <f t="shared" si="47"/>
        <v>45747406</v>
      </c>
      <c r="O406" s="836">
        <f t="shared" si="47"/>
        <v>44551343</v>
      </c>
      <c r="P406" s="838">
        <f t="shared" si="45"/>
        <v>506789342</v>
      </c>
    </row>
    <row r="407" spans="1:16">
      <c r="A407" s="846"/>
      <c r="B407" s="34" t="str">
        <f t="shared" ref="B407:B422" si="48">$C$405</f>
        <v>CNGWA6631-COMBINED</v>
      </c>
      <c r="C407" s="34" t="s">
        <v>481</v>
      </c>
      <c r="D407" s="836">
        <f t="shared" si="47"/>
        <v>0</v>
      </c>
      <c r="E407" s="836">
        <f t="shared" si="47"/>
        <v>0</v>
      </c>
      <c r="F407" s="836">
        <f t="shared" si="47"/>
        <v>0</v>
      </c>
      <c r="G407" s="836">
        <f t="shared" si="47"/>
        <v>0</v>
      </c>
      <c r="H407" s="836">
        <f t="shared" si="47"/>
        <v>0</v>
      </c>
      <c r="I407" s="836">
        <f t="shared" si="47"/>
        <v>0</v>
      </c>
      <c r="J407" s="836">
        <f t="shared" si="47"/>
        <v>0</v>
      </c>
      <c r="K407" s="836">
        <f t="shared" si="47"/>
        <v>0</v>
      </c>
      <c r="L407" s="836">
        <f t="shared" si="47"/>
        <v>0</v>
      </c>
      <c r="M407" s="836">
        <f t="shared" si="47"/>
        <v>0</v>
      </c>
      <c r="N407" s="836">
        <f t="shared" si="47"/>
        <v>0</v>
      </c>
      <c r="O407" s="836">
        <f t="shared" si="47"/>
        <v>0</v>
      </c>
      <c r="P407" s="838">
        <f t="shared" si="45"/>
        <v>0</v>
      </c>
    </row>
    <row r="408" spans="1:16">
      <c r="B408" s="34" t="str">
        <f t="shared" si="48"/>
        <v>CNGWA6631-COMBINED</v>
      </c>
      <c r="C408" s="34" t="s">
        <v>482</v>
      </c>
      <c r="D408" s="836">
        <f t="shared" si="47"/>
        <v>0</v>
      </c>
      <c r="E408" s="836">
        <f t="shared" si="47"/>
        <v>0</v>
      </c>
      <c r="F408" s="836">
        <f t="shared" si="47"/>
        <v>0</v>
      </c>
      <c r="G408" s="836">
        <f t="shared" si="47"/>
        <v>0</v>
      </c>
      <c r="H408" s="836">
        <f t="shared" si="47"/>
        <v>0</v>
      </c>
      <c r="I408" s="836">
        <f t="shared" si="47"/>
        <v>0</v>
      </c>
      <c r="J408" s="836">
        <f t="shared" si="47"/>
        <v>0</v>
      </c>
      <c r="K408" s="836">
        <f t="shared" si="47"/>
        <v>0</v>
      </c>
      <c r="L408" s="836">
        <f t="shared" si="47"/>
        <v>0</v>
      </c>
      <c r="M408" s="836">
        <f t="shared" si="47"/>
        <v>0</v>
      </c>
      <c r="N408" s="836">
        <f t="shared" si="47"/>
        <v>0</v>
      </c>
      <c r="O408" s="836">
        <f t="shared" si="47"/>
        <v>0</v>
      </c>
      <c r="P408" s="838">
        <f t="shared" si="45"/>
        <v>0</v>
      </c>
    </row>
    <row r="409" spans="1:16">
      <c r="B409" s="34" t="str">
        <f t="shared" si="48"/>
        <v>CNGWA6631-COMBINED</v>
      </c>
      <c r="C409" s="34" t="s">
        <v>483</v>
      </c>
      <c r="D409" s="836">
        <f t="shared" si="47"/>
        <v>45764218</v>
      </c>
      <c r="E409" s="836">
        <f t="shared" si="47"/>
        <v>44679970</v>
      </c>
      <c r="F409" s="836">
        <f t="shared" si="47"/>
        <v>42253111</v>
      </c>
      <c r="G409" s="836">
        <f t="shared" si="47"/>
        <v>48277452</v>
      </c>
      <c r="H409" s="836">
        <f t="shared" si="47"/>
        <v>40723354</v>
      </c>
      <c r="I409" s="836">
        <f t="shared" si="47"/>
        <v>31419517</v>
      </c>
      <c r="J409" s="836">
        <f t="shared" si="47"/>
        <v>30677873</v>
      </c>
      <c r="K409" s="836">
        <f t="shared" si="47"/>
        <v>40337937</v>
      </c>
      <c r="L409" s="836">
        <f t="shared" si="47"/>
        <v>45497854</v>
      </c>
      <c r="M409" s="836">
        <f t="shared" si="47"/>
        <v>48273484</v>
      </c>
      <c r="N409" s="836">
        <f t="shared" si="47"/>
        <v>45790443</v>
      </c>
      <c r="O409" s="836">
        <f t="shared" si="47"/>
        <v>44941193</v>
      </c>
      <c r="P409" s="838">
        <f t="shared" si="45"/>
        <v>508636406</v>
      </c>
    </row>
    <row r="410" spans="1:16">
      <c r="B410" s="34" t="str">
        <f t="shared" si="48"/>
        <v>CNGWA6631-COMBINED</v>
      </c>
      <c r="C410" s="34" t="s">
        <v>484</v>
      </c>
      <c r="D410" s="836">
        <f t="shared" si="47"/>
        <v>44679970</v>
      </c>
      <c r="E410" s="836">
        <f t="shared" si="47"/>
        <v>42253111</v>
      </c>
      <c r="F410" s="836">
        <f t="shared" si="47"/>
        <v>48277452</v>
      </c>
      <c r="G410" s="836">
        <f t="shared" si="47"/>
        <v>40723354</v>
      </c>
      <c r="H410" s="836">
        <f t="shared" si="47"/>
        <v>31419517</v>
      </c>
      <c r="I410" s="836">
        <f t="shared" si="47"/>
        <v>30677873</v>
      </c>
      <c r="J410" s="836">
        <f t="shared" si="47"/>
        <v>40337937</v>
      </c>
      <c r="K410" s="836">
        <f t="shared" si="47"/>
        <v>45497854</v>
      </c>
      <c r="L410" s="836">
        <f t="shared" si="47"/>
        <v>48273484</v>
      </c>
      <c r="M410" s="836">
        <f t="shared" si="47"/>
        <v>45790443</v>
      </c>
      <c r="N410" s="836">
        <f t="shared" si="47"/>
        <v>44941193</v>
      </c>
      <c r="O410" s="836">
        <f t="shared" si="47"/>
        <v>50176591</v>
      </c>
      <c r="P410" s="838">
        <f t="shared" si="45"/>
        <v>513048779</v>
      </c>
    </row>
    <row r="411" spans="1:16">
      <c r="B411" s="34" t="str">
        <f t="shared" si="48"/>
        <v>CNGWA6631-COMBINED</v>
      </c>
      <c r="C411" s="34" t="s">
        <v>485</v>
      </c>
      <c r="D411" s="836">
        <f t="shared" si="47"/>
        <v>44688079</v>
      </c>
      <c r="E411" s="836">
        <f t="shared" si="47"/>
        <v>42253111</v>
      </c>
      <c r="F411" s="836">
        <f t="shared" si="47"/>
        <v>48277452</v>
      </c>
      <c r="G411" s="836">
        <f t="shared" si="47"/>
        <v>40723354</v>
      </c>
      <c r="H411" s="836">
        <f t="shared" si="47"/>
        <v>31419752</v>
      </c>
      <c r="I411" s="836">
        <f t="shared" si="47"/>
        <v>30677873</v>
      </c>
      <c r="J411" s="836">
        <f t="shared" si="47"/>
        <v>38841021</v>
      </c>
      <c r="K411" s="836">
        <f t="shared" si="47"/>
        <v>45497854</v>
      </c>
      <c r="L411" s="836">
        <f t="shared" si="47"/>
        <v>48302344</v>
      </c>
      <c r="M411" s="836">
        <f t="shared" si="47"/>
        <v>45835978</v>
      </c>
      <c r="N411" s="836">
        <f t="shared" si="47"/>
        <v>44898156</v>
      </c>
      <c r="O411" s="836">
        <f t="shared" si="47"/>
        <v>49786741</v>
      </c>
      <c r="P411" s="838">
        <f t="shared" si="45"/>
        <v>511201715</v>
      </c>
    </row>
    <row r="412" spans="1:16">
      <c r="B412" s="34" t="str">
        <f t="shared" si="48"/>
        <v>CNGWA6631-COMBINED</v>
      </c>
      <c r="C412" s="839" t="s">
        <v>149</v>
      </c>
      <c r="D412" s="836">
        <f t="shared" si="47"/>
        <v>0</v>
      </c>
      <c r="E412" s="836">
        <f t="shared" si="47"/>
        <v>0</v>
      </c>
      <c r="F412" s="836">
        <f t="shared" si="47"/>
        <v>0</v>
      </c>
      <c r="G412" s="836">
        <f t="shared" si="47"/>
        <v>0</v>
      </c>
      <c r="H412" s="836">
        <f t="shared" si="47"/>
        <v>0</v>
      </c>
      <c r="I412" s="836">
        <f t="shared" si="47"/>
        <v>0</v>
      </c>
      <c r="J412" s="836">
        <f t="shared" si="47"/>
        <v>0</v>
      </c>
      <c r="K412" s="836">
        <f t="shared" si="47"/>
        <v>0</v>
      </c>
      <c r="L412" s="836">
        <f t="shared" si="47"/>
        <v>0</v>
      </c>
      <c r="M412" s="836">
        <f t="shared" si="47"/>
        <v>0</v>
      </c>
      <c r="N412" s="836">
        <f t="shared" si="47"/>
        <v>0</v>
      </c>
      <c r="O412" s="836">
        <f t="shared" si="47"/>
        <v>0</v>
      </c>
      <c r="P412" s="838">
        <f t="shared" si="45"/>
        <v>0</v>
      </c>
    </row>
    <row r="413" spans="1:16">
      <c r="B413" s="34" t="str">
        <f t="shared" si="48"/>
        <v>CNGWA6631-COMBINED</v>
      </c>
      <c r="C413" s="34" t="s">
        <v>486</v>
      </c>
      <c r="D413" s="836">
        <f t="shared" si="47"/>
        <v>1389072.7999999998</v>
      </c>
      <c r="E413" s="836">
        <f t="shared" si="47"/>
        <v>1388819.57</v>
      </c>
      <c r="F413" s="836">
        <f t="shared" si="47"/>
        <v>1358871.57</v>
      </c>
      <c r="G413" s="836">
        <f t="shared" si="47"/>
        <v>1505306.8</v>
      </c>
      <c r="H413" s="836">
        <f t="shared" si="47"/>
        <v>1357339.7999999998</v>
      </c>
      <c r="I413" s="836">
        <f t="shared" si="47"/>
        <v>1294102.3699999999</v>
      </c>
      <c r="J413" s="836">
        <f t="shared" si="47"/>
        <v>1304496.54</v>
      </c>
      <c r="K413" s="836">
        <f t="shared" si="47"/>
        <v>1384697.3599999999</v>
      </c>
      <c r="L413" s="836">
        <f t="shared" si="47"/>
        <v>1448169.5999999999</v>
      </c>
      <c r="M413" s="836">
        <f t="shared" si="47"/>
        <v>1530737.14</v>
      </c>
      <c r="N413" s="836">
        <f t="shared" si="47"/>
        <v>1587148.3199999998</v>
      </c>
      <c r="O413" s="836">
        <f t="shared" si="47"/>
        <v>1578130.92</v>
      </c>
      <c r="P413" s="838">
        <f t="shared" si="45"/>
        <v>17126892.789999999</v>
      </c>
    </row>
    <row r="414" spans="1:16">
      <c r="B414" s="34" t="str">
        <f t="shared" si="48"/>
        <v>CNGWA6631-COMBINED</v>
      </c>
      <c r="C414" s="34" t="s">
        <v>143</v>
      </c>
      <c r="D414" s="836">
        <f t="shared" si="47"/>
        <v>0</v>
      </c>
      <c r="E414" s="836">
        <f t="shared" si="47"/>
        <v>0</v>
      </c>
      <c r="F414" s="836">
        <f t="shared" si="47"/>
        <v>0</v>
      </c>
      <c r="G414" s="836">
        <f t="shared" si="47"/>
        <v>0</v>
      </c>
      <c r="H414" s="836">
        <f t="shared" si="47"/>
        <v>0</v>
      </c>
      <c r="I414" s="836">
        <f t="shared" si="47"/>
        <v>0</v>
      </c>
      <c r="J414" s="836">
        <f t="shared" si="47"/>
        <v>0</v>
      </c>
      <c r="K414" s="836">
        <f t="shared" si="47"/>
        <v>0</v>
      </c>
      <c r="L414" s="836">
        <f t="shared" si="47"/>
        <v>0</v>
      </c>
      <c r="M414" s="836">
        <f t="shared" si="47"/>
        <v>0</v>
      </c>
      <c r="N414" s="836">
        <f t="shared" si="47"/>
        <v>0</v>
      </c>
      <c r="O414" s="836">
        <f t="shared" si="47"/>
        <v>0</v>
      </c>
      <c r="P414" s="838">
        <f t="shared" si="45"/>
        <v>0</v>
      </c>
    </row>
    <row r="415" spans="1:16">
      <c r="B415" s="34" t="str">
        <f t="shared" si="48"/>
        <v>CNGWA6631-COMBINED</v>
      </c>
      <c r="C415" s="34" t="s">
        <v>144</v>
      </c>
      <c r="D415" s="836">
        <f t="shared" si="47"/>
        <v>0</v>
      </c>
      <c r="E415" s="836">
        <f t="shared" si="47"/>
        <v>0</v>
      </c>
      <c r="F415" s="836">
        <f t="shared" si="47"/>
        <v>0</v>
      </c>
      <c r="G415" s="836">
        <f t="shared" si="47"/>
        <v>0</v>
      </c>
      <c r="H415" s="836">
        <f t="shared" si="47"/>
        <v>0</v>
      </c>
      <c r="I415" s="836">
        <f t="shared" si="47"/>
        <v>0</v>
      </c>
      <c r="J415" s="836">
        <f t="shared" si="47"/>
        <v>0</v>
      </c>
      <c r="K415" s="836">
        <f t="shared" si="47"/>
        <v>0</v>
      </c>
      <c r="L415" s="836">
        <f t="shared" si="47"/>
        <v>0</v>
      </c>
      <c r="M415" s="836">
        <f t="shared" si="47"/>
        <v>0</v>
      </c>
      <c r="N415" s="836">
        <f t="shared" si="47"/>
        <v>0</v>
      </c>
      <c r="O415" s="836">
        <f t="shared" si="47"/>
        <v>0</v>
      </c>
      <c r="P415" s="838">
        <f t="shared" si="45"/>
        <v>0</v>
      </c>
    </row>
    <row r="416" spans="1:16">
      <c r="B416" s="34" t="str">
        <f t="shared" si="48"/>
        <v>CNGWA6631-COMBINED</v>
      </c>
      <c r="C416" s="34" t="s">
        <v>145</v>
      </c>
      <c r="D416" s="836">
        <f t="shared" si="47"/>
        <v>0</v>
      </c>
      <c r="E416" s="836">
        <f t="shared" si="47"/>
        <v>0</v>
      </c>
      <c r="F416" s="836">
        <f t="shared" si="47"/>
        <v>0</v>
      </c>
      <c r="G416" s="836">
        <f t="shared" si="47"/>
        <v>0</v>
      </c>
      <c r="H416" s="836">
        <f t="shared" si="47"/>
        <v>0</v>
      </c>
      <c r="I416" s="836">
        <f t="shared" si="47"/>
        <v>0</v>
      </c>
      <c r="J416" s="836">
        <f t="shared" si="47"/>
        <v>0</v>
      </c>
      <c r="K416" s="836">
        <f t="shared" si="47"/>
        <v>0</v>
      </c>
      <c r="L416" s="836">
        <f t="shared" si="47"/>
        <v>0</v>
      </c>
      <c r="M416" s="836">
        <f t="shared" si="47"/>
        <v>0</v>
      </c>
      <c r="N416" s="836">
        <f t="shared" si="47"/>
        <v>0</v>
      </c>
      <c r="O416" s="836">
        <f t="shared" si="47"/>
        <v>0</v>
      </c>
      <c r="P416" s="838">
        <f t="shared" si="45"/>
        <v>0</v>
      </c>
    </row>
    <row r="417" spans="2:16">
      <c r="B417" s="34" t="str">
        <f t="shared" si="48"/>
        <v>CNGWA6631-COMBINED</v>
      </c>
      <c r="C417" s="34" t="s">
        <v>487</v>
      </c>
      <c r="D417" s="836">
        <f t="shared" si="47"/>
        <v>-17677.5</v>
      </c>
      <c r="E417" s="836">
        <f t="shared" si="47"/>
        <v>-15873.350000000002</v>
      </c>
      <c r="F417" s="836">
        <f t="shared" si="47"/>
        <v>-14631.509999999998</v>
      </c>
      <c r="G417" s="836">
        <f t="shared" si="47"/>
        <v>-18998.32</v>
      </c>
      <c r="H417" s="836">
        <f t="shared" si="47"/>
        <v>-15995.349999999999</v>
      </c>
      <c r="I417" s="836">
        <f t="shared" si="47"/>
        <v>-9471.07</v>
      </c>
      <c r="J417" s="836">
        <f t="shared" si="47"/>
        <v>-9055.0499999999993</v>
      </c>
      <c r="K417" s="836">
        <f t="shared" si="47"/>
        <v>-13775.71</v>
      </c>
      <c r="L417" s="836">
        <f t="shared" si="47"/>
        <v>-17440.55</v>
      </c>
      <c r="M417" s="836">
        <f t="shared" si="47"/>
        <v>-19235.71</v>
      </c>
      <c r="N417" s="836">
        <f t="shared" si="47"/>
        <v>-16274.66</v>
      </c>
      <c r="O417" s="836">
        <f t="shared" si="47"/>
        <v>-14113.169999999998</v>
      </c>
      <c r="P417" s="838">
        <f t="shared" si="45"/>
        <v>-182541.95</v>
      </c>
    </row>
    <row r="418" spans="2:16">
      <c r="B418" s="34" t="str">
        <f t="shared" si="48"/>
        <v>CNGWA6631-COMBINED</v>
      </c>
      <c r="C418" s="34" t="s">
        <v>488</v>
      </c>
      <c r="D418" s="836">
        <f t="shared" si="47"/>
        <v>0</v>
      </c>
      <c r="E418" s="836">
        <f t="shared" si="47"/>
        <v>0</v>
      </c>
      <c r="F418" s="836">
        <f t="shared" si="47"/>
        <v>0</v>
      </c>
      <c r="G418" s="836">
        <f t="shared" si="47"/>
        <v>0</v>
      </c>
      <c r="H418" s="836">
        <f t="shared" si="47"/>
        <v>0</v>
      </c>
      <c r="I418" s="836">
        <f t="shared" si="47"/>
        <v>0</v>
      </c>
      <c r="J418" s="836">
        <f t="shared" si="47"/>
        <v>0</v>
      </c>
      <c r="K418" s="836">
        <f t="shared" si="47"/>
        <v>0</v>
      </c>
      <c r="L418" s="836">
        <f t="shared" si="47"/>
        <v>0</v>
      </c>
      <c r="M418" s="836">
        <f t="shared" si="47"/>
        <v>0</v>
      </c>
      <c r="N418" s="836">
        <f t="shared" si="47"/>
        <v>0</v>
      </c>
      <c r="O418" s="836">
        <f t="shared" si="47"/>
        <v>0</v>
      </c>
      <c r="P418" s="838">
        <f t="shared" si="45"/>
        <v>0</v>
      </c>
    </row>
    <row r="419" spans="2:16">
      <c r="B419" s="34" t="str">
        <f t="shared" si="48"/>
        <v>CNGWA6631-COMBINED</v>
      </c>
      <c r="C419" s="34" t="s">
        <v>174</v>
      </c>
      <c r="D419" s="836">
        <f t="shared" si="47"/>
        <v>0</v>
      </c>
      <c r="E419" s="836">
        <f t="shared" si="47"/>
        <v>0</v>
      </c>
      <c r="F419" s="836">
        <f t="shared" si="47"/>
        <v>0</v>
      </c>
      <c r="G419" s="836">
        <f t="shared" si="47"/>
        <v>0</v>
      </c>
      <c r="H419" s="836">
        <f t="shared" si="47"/>
        <v>0</v>
      </c>
      <c r="I419" s="836">
        <f t="shared" si="47"/>
        <v>0</v>
      </c>
      <c r="J419" s="836">
        <f t="shared" si="47"/>
        <v>0</v>
      </c>
      <c r="K419" s="836">
        <f t="shared" si="47"/>
        <v>0</v>
      </c>
      <c r="L419" s="836">
        <f t="shared" si="47"/>
        <v>0</v>
      </c>
      <c r="M419" s="836">
        <f t="shared" si="47"/>
        <v>0</v>
      </c>
      <c r="N419" s="836">
        <f t="shared" si="47"/>
        <v>0</v>
      </c>
      <c r="O419" s="836">
        <f t="shared" si="47"/>
        <v>0</v>
      </c>
      <c r="P419" s="838">
        <f t="shared" si="45"/>
        <v>0</v>
      </c>
    </row>
    <row r="420" spans="2:16">
      <c r="B420" s="34" t="str">
        <f t="shared" si="48"/>
        <v>CNGWA6631-COMBINED</v>
      </c>
      <c r="C420" s="34" t="s">
        <v>175</v>
      </c>
      <c r="D420" s="836">
        <f t="shared" si="47"/>
        <v>-1372940.25</v>
      </c>
      <c r="E420" s="836">
        <f t="shared" si="47"/>
        <v>-1375415.63</v>
      </c>
      <c r="F420" s="836">
        <f t="shared" si="47"/>
        <v>-1346195.6400000001</v>
      </c>
      <c r="G420" s="836">
        <f t="shared" si="47"/>
        <v>-1490823.58</v>
      </c>
      <c r="H420" s="836">
        <f t="shared" si="47"/>
        <v>-1345107.1300000001</v>
      </c>
      <c r="I420" s="836">
        <f t="shared" si="47"/>
        <v>-1284676.44</v>
      </c>
      <c r="J420" s="836">
        <f t="shared" si="47"/>
        <v>-1306842</v>
      </c>
      <c r="K420" s="836">
        <f t="shared" si="47"/>
        <v>-1369966.9299999997</v>
      </c>
      <c r="L420" s="836">
        <f t="shared" si="47"/>
        <v>-1435457.56</v>
      </c>
      <c r="M420" s="836">
        <f t="shared" si="47"/>
        <v>-1512217.0499999998</v>
      </c>
      <c r="N420" s="836">
        <f t="shared" si="47"/>
        <v>-1576278.98</v>
      </c>
      <c r="O420" s="836">
        <f t="shared" si="47"/>
        <v>-1570358.9700000002</v>
      </c>
      <c r="P420" s="838">
        <f t="shared" si="45"/>
        <v>-16986280.16</v>
      </c>
    </row>
    <row r="421" spans="2:16">
      <c r="B421" s="34" t="str">
        <f t="shared" si="48"/>
        <v>CNGWA6631-COMBINED</v>
      </c>
      <c r="C421" s="34" t="s">
        <v>176</v>
      </c>
      <c r="D421" s="836">
        <f t="shared" si="47"/>
        <v>1375415.63</v>
      </c>
      <c r="E421" s="836">
        <f t="shared" si="47"/>
        <v>1346195.6400000001</v>
      </c>
      <c r="F421" s="836">
        <f t="shared" si="47"/>
        <v>1490823.58</v>
      </c>
      <c r="G421" s="836">
        <f t="shared" si="47"/>
        <v>1345107.1300000001</v>
      </c>
      <c r="H421" s="836">
        <f t="shared" si="47"/>
        <v>1284676.44</v>
      </c>
      <c r="I421" s="836">
        <f t="shared" si="47"/>
        <v>1306842</v>
      </c>
      <c r="J421" s="836">
        <f t="shared" si="47"/>
        <v>1369966.9299999997</v>
      </c>
      <c r="K421" s="836">
        <f t="shared" si="47"/>
        <v>1435457.56</v>
      </c>
      <c r="L421" s="836">
        <f t="shared" si="47"/>
        <v>1512217.0499999998</v>
      </c>
      <c r="M421" s="836">
        <f t="shared" si="47"/>
        <v>1576278.98</v>
      </c>
      <c r="N421" s="836">
        <f t="shared" si="47"/>
        <v>1570358.9700000002</v>
      </c>
      <c r="O421" s="836">
        <f t="shared" si="47"/>
        <v>1610179.58</v>
      </c>
      <c r="P421" s="838">
        <f t="shared" si="45"/>
        <v>17223519.490000002</v>
      </c>
    </row>
    <row r="422" spans="2:16">
      <c r="B422" s="34" t="str">
        <f t="shared" si="48"/>
        <v>CNGWA6631-COMBINED</v>
      </c>
      <c r="C422" s="34" t="s">
        <v>400</v>
      </c>
      <c r="D422" s="836">
        <f>SUM(D413:D421)</f>
        <v>1373870.6799999997</v>
      </c>
      <c r="E422" s="836">
        <f t="shared" ref="E422:O422" si="49">SUM(E413:E421)</f>
        <v>1343726.2300000002</v>
      </c>
      <c r="F422" s="836">
        <f t="shared" si="49"/>
        <v>1488868</v>
      </c>
      <c r="G422" s="836">
        <f t="shared" si="49"/>
        <v>1340592.03</v>
      </c>
      <c r="H422" s="836">
        <f t="shared" si="49"/>
        <v>1280913.7599999995</v>
      </c>
      <c r="I422" s="836">
        <f t="shared" si="49"/>
        <v>1306796.8599999999</v>
      </c>
      <c r="J422" s="836">
        <f t="shared" si="49"/>
        <v>1358566.4199999997</v>
      </c>
      <c r="K422" s="836">
        <f t="shared" si="49"/>
        <v>1436412.2800000003</v>
      </c>
      <c r="L422" s="836">
        <f t="shared" si="49"/>
        <v>1507488.5399999996</v>
      </c>
      <c r="M422" s="836">
        <f t="shared" si="49"/>
        <v>1575563.36</v>
      </c>
      <c r="N422" s="836">
        <f t="shared" si="49"/>
        <v>1564953.6500000001</v>
      </c>
      <c r="O422" s="836">
        <f t="shared" si="49"/>
        <v>1603838.3599999999</v>
      </c>
      <c r="P422" s="838">
        <f t="shared" si="45"/>
        <v>17181590.170000002</v>
      </c>
    </row>
    <row r="423" spans="2:16">
      <c r="C423" s="839" t="s">
        <v>149</v>
      </c>
      <c r="P423" s="838">
        <f t="shared" si="45"/>
        <v>0</v>
      </c>
    </row>
    <row r="424" spans="2:16">
      <c r="P424" s="838">
        <f t="shared" si="45"/>
        <v>0</v>
      </c>
    </row>
    <row r="425" spans="2:16">
      <c r="P425" s="838">
        <f t="shared" si="45"/>
        <v>0</v>
      </c>
    </row>
    <row r="426" spans="2:16">
      <c r="C426" s="783" t="s">
        <v>226</v>
      </c>
      <c r="D426" s="851"/>
      <c r="E426" s="851"/>
      <c r="F426" s="851"/>
      <c r="G426" s="851"/>
      <c r="H426" s="851"/>
      <c r="I426" s="851"/>
      <c r="J426" s="851"/>
      <c r="K426" s="851"/>
      <c r="L426" s="851"/>
      <c r="M426" s="851"/>
      <c r="N426" s="851"/>
      <c r="O426" s="851"/>
      <c r="P426" s="838">
        <f t="shared" si="45"/>
        <v>0</v>
      </c>
    </row>
    <row r="427" spans="2:16">
      <c r="B427" s="34" t="str">
        <f t="shared" ref="B427:B443" si="50">$C$426</f>
        <v>CNGWA6632</v>
      </c>
      <c r="C427" s="34" t="s">
        <v>401</v>
      </c>
      <c r="D427" s="837">
        <v>0</v>
      </c>
      <c r="E427" s="837">
        <v>0</v>
      </c>
      <c r="F427" s="837">
        <v>0</v>
      </c>
      <c r="G427" s="837">
        <v>0</v>
      </c>
      <c r="H427" s="837">
        <v>0</v>
      </c>
      <c r="I427" s="837">
        <v>0</v>
      </c>
      <c r="J427" s="837">
        <v>0</v>
      </c>
      <c r="K427" s="837">
        <v>0</v>
      </c>
      <c r="L427" s="837">
        <v>0</v>
      </c>
      <c r="M427" s="837">
        <v>0</v>
      </c>
      <c r="N427" s="837">
        <v>513206</v>
      </c>
      <c r="O427" s="837">
        <v>779085</v>
      </c>
      <c r="P427" s="838">
        <f t="shared" si="45"/>
        <v>1292291</v>
      </c>
    </row>
    <row r="428" spans="2:16">
      <c r="B428" s="34" t="str">
        <f t="shared" si="50"/>
        <v>CNGWA6632</v>
      </c>
      <c r="C428" s="34" t="s">
        <v>481</v>
      </c>
      <c r="D428" s="837">
        <v>0</v>
      </c>
      <c r="E428" s="837">
        <v>0</v>
      </c>
      <c r="F428" s="837">
        <v>0</v>
      </c>
      <c r="G428" s="837">
        <v>0</v>
      </c>
      <c r="H428" s="837">
        <v>0</v>
      </c>
      <c r="I428" s="837">
        <v>0</v>
      </c>
      <c r="J428" s="837">
        <v>0</v>
      </c>
      <c r="K428" s="837">
        <v>0</v>
      </c>
      <c r="L428" s="837">
        <v>0</v>
      </c>
      <c r="M428" s="837">
        <v>0</v>
      </c>
      <c r="N428" s="837">
        <v>0</v>
      </c>
      <c r="O428" s="837">
        <v>0</v>
      </c>
      <c r="P428" s="838">
        <f t="shared" si="45"/>
        <v>0</v>
      </c>
    </row>
    <row r="429" spans="2:16">
      <c r="B429" s="34" t="str">
        <f t="shared" si="50"/>
        <v>CNGWA6632</v>
      </c>
      <c r="C429" s="34" t="s">
        <v>482</v>
      </c>
      <c r="D429" s="837">
        <v>0</v>
      </c>
      <c r="E429" s="837">
        <v>0</v>
      </c>
      <c r="F429" s="837">
        <v>0</v>
      </c>
      <c r="G429" s="837">
        <v>0</v>
      </c>
      <c r="H429" s="837">
        <v>0</v>
      </c>
      <c r="I429" s="837">
        <v>0</v>
      </c>
      <c r="J429" s="837">
        <v>0</v>
      </c>
      <c r="K429" s="837">
        <v>0</v>
      </c>
      <c r="L429" s="837">
        <v>0</v>
      </c>
      <c r="M429" s="837">
        <v>0</v>
      </c>
      <c r="N429" s="837">
        <v>0</v>
      </c>
      <c r="O429" s="837">
        <v>0</v>
      </c>
      <c r="P429" s="838">
        <f t="shared" si="45"/>
        <v>0</v>
      </c>
    </row>
    <row r="430" spans="2:16">
      <c r="B430" s="34" t="str">
        <f t="shared" si="50"/>
        <v>CNGWA6632</v>
      </c>
      <c r="C430" s="34" t="s">
        <v>483</v>
      </c>
      <c r="D430" s="837">
        <v>0</v>
      </c>
      <c r="E430" s="837">
        <v>0</v>
      </c>
      <c r="F430" s="837">
        <v>0</v>
      </c>
      <c r="G430" s="837">
        <v>0</v>
      </c>
      <c r="H430" s="837">
        <v>0</v>
      </c>
      <c r="I430" s="837">
        <v>0</v>
      </c>
      <c r="J430" s="837">
        <v>0</v>
      </c>
      <c r="K430" s="837">
        <v>0</v>
      </c>
      <c r="L430" s="837">
        <v>0</v>
      </c>
      <c r="M430" s="837">
        <v>0</v>
      </c>
      <c r="N430" s="837">
        <v>513206</v>
      </c>
      <c r="O430" s="837">
        <v>779085</v>
      </c>
      <c r="P430" s="838">
        <f t="shared" si="45"/>
        <v>1292291</v>
      </c>
    </row>
    <row r="431" spans="2:16">
      <c r="B431" s="34" t="str">
        <f t="shared" si="50"/>
        <v>CNGWA6632</v>
      </c>
      <c r="C431" s="34" t="s">
        <v>484</v>
      </c>
      <c r="D431" s="837">
        <v>0</v>
      </c>
      <c r="E431" s="837">
        <v>0</v>
      </c>
      <c r="F431" s="837">
        <v>0</v>
      </c>
      <c r="G431" s="837">
        <v>0</v>
      </c>
      <c r="H431" s="837">
        <v>0</v>
      </c>
      <c r="I431" s="837">
        <v>0</v>
      </c>
      <c r="J431" s="837">
        <v>0</v>
      </c>
      <c r="K431" s="837">
        <v>0</v>
      </c>
      <c r="L431" s="837">
        <v>0</v>
      </c>
      <c r="M431" s="837">
        <v>513206</v>
      </c>
      <c r="N431" s="837">
        <v>779085</v>
      </c>
      <c r="O431" s="837">
        <v>810439</v>
      </c>
      <c r="P431" s="838">
        <f t="shared" si="45"/>
        <v>2102730</v>
      </c>
    </row>
    <row r="432" spans="2:16">
      <c r="B432" s="34" t="str">
        <f t="shared" si="50"/>
        <v>CNGWA6632</v>
      </c>
      <c r="C432" s="34" t="s">
        <v>485</v>
      </c>
      <c r="D432" s="837">
        <v>0</v>
      </c>
      <c r="E432" s="837">
        <v>0</v>
      </c>
      <c r="F432" s="837">
        <v>0</v>
      </c>
      <c r="G432" s="837">
        <v>0</v>
      </c>
      <c r="H432" s="837">
        <v>0</v>
      </c>
      <c r="I432" s="837">
        <v>0</v>
      </c>
      <c r="J432" s="837">
        <v>0</v>
      </c>
      <c r="K432" s="837">
        <v>0</v>
      </c>
      <c r="L432" s="837">
        <v>0</v>
      </c>
      <c r="M432" s="837">
        <v>513206</v>
      </c>
      <c r="N432" s="837">
        <v>779085</v>
      </c>
      <c r="O432" s="837">
        <v>810439</v>
      </c>
      <c r="P432" s="838">
        <f t="shared" si="45"/>
        <v>2102730</v>
      </c>
    </row>
    <row r="433" spans="2:16">
      <c r="B433" s="34" t="str">
        <f t="shared" si="50"/>
        <v>CNGWA6632</v>
      </c>
      <c r="C433" s="839" t="s">
        <v>149</v>
      </c>
      <c r="D433" s="837"/>
      <c r="E433" s="837"/>
      <c r="F433" s="837"/>
      <c r="G433" s="837"/>
      <c r="H433" s="837"/>
      <c r="I433" s="837"/>
      <c r="J433" s="837"/>
      <c r="K433" s="837"/>
      <c r="L433" s="837"/>
      <c r="M433" s="837"/>
      <c r="N433" s="837"/>
      <c r="O433" s="837"/>
      <c r="P433" s="838">
        <f t="shared" si="45"/>
        <v>0</v>
      </c>
    </row>
    <row r="434" spans="2:16">
      <c r="B434" s="34" t="str">
        <f t="shared" si="50"/>
        <v>CNGWA6632</v>
      </c>
      <c r="C434" s="34" t="s">
        <v>486</v>
      </c>
      <c r="D434" s="837">
        <v>0</v>
      </c>
      <c r="E434" s="837">
        <v>0</v>
      </c>
      <c r="F434" s="837">
        <v>0</v>
      </c>
      <c r="G434" s="837">
        <v>0</v>
      </c>
      <c r="H434" s="837">
        <v>0</v>
      </c>
      <c r="I434" s="837">
        <v>0</v>
      </c>
      <c r="J434" s="837">
        <v>0</v>
      </c>
      <c r="K434" s="837">
        <v>0</v>
      </c>
      <c r="L434" s="837">
        <v>0</v>
      </c>
      <c r="M434" s="837">
        <v>0</v>
      </c>
      <c r="N434" s="837">
        <v>15919.06</v>
      </c>
      <c r="O434" s="837">
        <v>18620.759999999998</v>
      </c>
      <c r="P434" s="838">
        <f t="shared" si="45"/>
        <v>34539.82</v>
      </c>
    </row>
    <row r="435" spans="2:16">
      <c r="B435" s="34" t="str">
        <f t="shared" si="50"/>
        <v>CNGWA6632</v>
      </c>
      <c r="C435" s="34" t="s">
        <v>494</v>
      </c>
      <c r="D435" s="837">
        <v>0</v>
      </c>
      <c r="E435" s="837">
        <v>0</v>
      </c>
      <c r="F435" s="837">
        <v>0</v>
      </c>
      <c r="G435" s="837">
        <v>0</v>
      </c>
      <c r="H435" s="837">
        <v>0</v>
      </c>
      <c r="I435" s="837">
        <v>0</v>
      </c>
      <c r="J435" s="837">
        <v>0</v>
      </c>
      <c r="K435" s="837">
        <v>0</v>
      </c>
      <c r="L435" s="837">
        <v>0</v>
      </c>
      <c r="M435" s="837">
        <v>0</v>
      </c>
      <c r="N435" s="837">
        <v>0</v>
      </c>
      <c r="O435" s="837">
        <v>0</v>
      </c>
      <c r="P435" s="838">
        <f t="shared" si="45"/>
        <v>0</v>
      </c>
    </row>
    <row r="436" spans="2:16">
      <c r="B436" s="34" t="str">
        <f t="shared" si="50"/>
        <v>CNGWA6632</v>
      </c>
      <c r="C436" s="34" t="s">
        <v>144</v>
      </c>
      <c r="D436" s="837">
        <v>0</v>
      </c>
      <c r="E436" s="837">
        <v>0</v>
      </c>
      <c r="F436" s="837">
        <v>0</v>
      </c>
      <c r="G436" s="837">
        <v>0</v>
      </c>
      <c r="H436" s="837">
        <v>0</v>
      </c>
      <c r="I436" s="837">
        <v>0</v>
      </c>
      <c r="J436" s="837">
        <v>0</v>
      </c>
      <c r="K436" s="837">
        <v>0</v>
      </c>
      <c r="L436" s="837">
        <v>0</v>
      </c>
      <c r="M436" s="837">
        <v>0</v>
      </c>
      <c r="N436" s="837">
        <v>0</v>
      </c>
      <c r="O436" s="837">
        <v>0</v>
      </c>
      <c r="P436" s="838">
        <f t="shared" si="45"/>
        <v>0</v>
      </c>
    </row>
    <row r="437" spans="2:16">
      <c r="B437" s="34" t="str">
        <f t="shared" si="50"/>
        <v>CNGWA6632</v>
      </c>
      <c r="C437" s="34" t="s">
        <v>145</v>
      </c>
      <c r="D437" s="837">
        <v>0</v>
      </c>
      <c r="E437" s="837">
        <v>0</v>
      </c>
      <c r="F437" s="837">
        <v>0</v>
      </c>
      <c r="G437" s="837">
        <v>0</v>
      </c>
      <c r="H437" s="837">
        <v>0</v>
      </c>
      <c r="I437" s="837">
        <v>0</v>
      </c>
      <c r="J437" s="837">
        <v>0</v>
      </c>
      <c r="K437" s="837">
        <v>0</v>
      </c>
      <c r="L437" s="837">
        <v>0</v>
      </c>
      <c r="M437" s="837">
        <v>0</v>
      </c>
      <c r="N437" s="837">
        <v>0</v>
      </c>
      <c r="O437" s="837">
        <v>0</v>
      </c>
      <c r="P437" s="838">
        <f t="shared" si="45"/>
        <v>0</v>
      </c>
    </row>
    <row r="438" spans="2:16">
      <c r="B438" s="34" t="str">
        <f t="shared" si="50"/>
        <v>CNGWA6632</v>
      </c>
      <c r="C438" s="34" t="s">
        <v>487</v>
      </c>
      <c r="D438" s="837">
        <v>0</v>
      </c>
      <c r="E438" s="837">
        <v>0</v>
      </c>
      <c r="F438" s="837">
        <v>0</v>
      </c>
      <c r="G438" s="837">
        <v>0</v>
      </c>
      <c r="H438" s="837">
        <v>0</v>
      </c>
      <c r="I438" s="837">
        <v>0</v>
      </c>
      <c r="J438" s="837">
        <v>0</v>
      </c>
      <c r="K438" s="837">
        <v>0</v>
      </c>
      <c r="L438" s="837">
        <v>0</v>
      </c>
      <c r="M438" s="837">
        <v>0</v>
      </c>
      <c r="N438" s="837">
        <v>0</v>
      </c>
      <c r="O438" s="837">
        <v>0</v>
      </c>
      <c r="P438" s="838">
        <f t="shared" si="45"/>
        <v>0</v>
      </c>
    </row>
    <row r="439" spans="2:16">
      <c r="B439" s="34" t="str">
        <f t="shared" si="50"/>
        <v>CNGWA6632</v>
      </c>
      <c r="C439" s="34" t="s">
        <v>488</v>
      </c>
      <c r="D439" s="837">
        <v>0</v>
      </c>
      <c r="E439" s="837">
        <v>0</v>
      </c>
      <c r="F439" s="837">
        <v>0</v>
      </c>
      <c r="G439" s="837">
        <v>0</v>
      </c>
      <c r="H439" s="837">
        <v>0</v>
      </c>
      <c r="I439" s="837">
        <v>0</v>
      </c>
      <c r="J439" s="837">
        <v>0</v>
      </c>
      <c r="K439" s="837">
        <v>0</v>
      </c>
      <c r="L439" s="837">
        <v>0</v>
      </c>
      <c r="M439" s="837">
        <v>0</v>
      </c>
      <c r="N439" s="837">
        <v>0</v>
      </c>
      <c r="O439" s="837">
        <v>0</v>
      </c>
      <c r="P439" s="838">
        <f t="shared" si="45"/>
        <v>0</v>
      </c>
    </row>
    <row r="440" spans="2:16">
      <c r="B440" s="34" t="str">
        <f t="shared" si="50"/>
        <v>CNGWA6632</v>
      </c>
      <c r="C440" s="34" t="s">
        <v>174</v>
      </c>
      <c r="D440" s="837">
        <v>0</v>
      </c>
      <c r="E440" s="837">
        <v>0</v>
      </c>
      <c r="F440" s="837">
        <v>0</v>
      </c>
      <c r="G440" s="837">
        <v>0</v>
      </c>
      <c r="H440" s="837">
        <v>0</v>
      </c>
      <c r="I440" s="837">
        <v>0</v>
      </c>
      <c r="J440" s="837">
        <v>0</v>
      </c>
      <c r="K440" s="837">
        <v>0</v>
      </c>
      <c r="L440" s="837">
        <v>0</v>
      </c>
      <c r="M440" s="837">
        <v>0</v>
      </c>
      <c r="N440" s="837">
        <v>0</v>
      </c>
      <c r="O440" s="837">
        <v>0</v>
      </c>
      <c r="P440" s="838">
        <f t="shared" si="45"/>
        <v>0</v>
      </c>
    </row>
    <row r="441" spans="2:16">
      <c r="B441" s="34" t="str">
        <f t="shared" si="50"/>
        <v>CNGWA6632</v>
      </c>
      <c r="C441" s="34" t="s">
        <v>175</v>
      </c>
      <c r="D441" s="836">
        <v>0</v>
      </c>
      <c r="E441" s="836">
        <v>0</v>
      </c>
      <c r="F441" s="836">
        <v>0</v>
      </c>
      <c r="G441" s="836">
        <v>0</v>
      </c>
      <c r="H441" s="836">
        <v>0</v>
      </c>
      <c r="I441" s="836">
        <v>0</v>
      </c>
      <c r="J441" s="836">
        <v>0</v>
      </c>
      <c r="K441" s="836">
        <v>0</v>
      </c>
      <c r="L441" s="836">
        <v>0</v>
      </c>
      <c r="M441" s="836">
        <v>0</v>
      </c>
      <c r="N441" s="836">
        <v>-15765.1</v>
      </c>
      <c r="O441" s="836">
        <v>-18387.03</v>
      </c>
      <c r="P441" s="838">
        <f t="shared" si="45"/>
        <v>-34152.129999999997</v>
      </c>
    </row>
    <row r="442" spans="2:16">
      <c r="B442" s="34" t="str">
        <f t="shared" si="50"/>
        <v>CNGWA6632</v>
      </c>
      <c r="C442" s="34" t="s">
        <v>176</v>
      </c>
      <c r="D442" s="837">
        <v>0</v>
      </c>
      <c r="E442" s="837">
        <v>0</v>
      </c>
      <c r="F442" s="837">
        <v>0</v>
      </c>
      <c r="G442" s="837">
        <v>0</v>
      </c>
      <c r="H442" s="837">
        <v>0</v>
      </c>
      <c r="I442" s="837">
        <v>0</v>
      </c>
      <c r="J442" s="837">
        <v>0</v>
      </c>
      <c r="K442" s="837">
        <v>0</v>
      </c>
      <c r="L442" s="837">
        <v>0</v>
      </c>
      <c r="M442" s="837">
        <v>15765.1</v>
      </c>
      <c r="N442" s="837">
        <v>18387.03</v>
      </c>
      <c r="O442" s="837">
        <v>18672.329999999998</v>
      </c>
      <c r="P442" s="838">
        <f t="shared" si="45"/>
        <v>52824.459999999992</v>
      </c>
    </row>
    <row r="443" spans="2:16">
      <c r="B443" s="34" t="str">
        <f t="shared" si="50"/>
        <v>CNGWA6632</v>
      </c>
      <c r="C443" s="34" t="s">
        <v>400</v>
      </c>
      <c r="D443" s="837">
        <v>0</v>
      </c>
      <c r="E443" s="837">
        <v>0</v>
      </c>
      <c r="F443" s="837">
        <v>0</v>
      </c>
      <c r="G443" s="837">
        <v>0</v>
      </c>
      <c r="H443" s="837">
        <v>0</v>
      </c>
      <c r="I443" s="837">
        <v>0</v>
      </c>
      <c r="J443" s="837">
        <v>0</v>
      </c>
      <c r="K443" s="837">
        <v>0</v>
      </c>
      <c r="L443" s="837">
        <v>0</v>
      </c>
      <c r="M443" s="837">
        <v>15765.1</v>
      </c>
      <c r="N443" s="837">
        <v>18540.989999999998</v>
      </c>
      <c r="O443" s="837">
        <v>18906.059999999998</v>
      </c>
      <c r="P443" s="838">
        <f t="shared" si="45"/>
        <v>53212.149999999994</v>
      </c>
    </row>
    <row r="444" spans="2:16">
      <c r="C444" s="839" t="s">
        <v>149</v>
      </c>
      <c r="D444" s="850"/>
      <c r="E444" s="850"/>
      <c r="F444" s="850"/>
      <c r="G444" s="850"/>
      <c r="H444" s="850"/>
      <c r="I444" s="850"/>
      <c r="J444" s="850"/>
      <c r="K444" s="850"/>
      <c r="L444" s="850"/>
      <c r="M444" s="850"/>
      <c r="N444" s="850"/>
      <c r="O444" s="850"/>
      <c r="P444" s="838"/>
    </row>
    <row r="445" spans="2:16">
      <c r="C445" s="839"/>
      <c r="D445" s="850"/>
      <c r="E445" s="850"/>
      <c r="F445" s="850"/>
      <c r="G445" s="850"/>
      <c r="H445" s="850"/>
      <c r="I445" s="850"/>
      <c r="J445" s="850"/>
      <c r="K445" s="850"/>
      <c r="L445" s="850"/>
      <c r="M445" s="850"/>
      <c r="N445" s="850"/>
      <c r="O445" s="850"/>
      <c r="P445" s="838"/>
    </row>
    <row r="446" spans="2:16">
      <c r="C446" s="34" t="s">
        <v>294</v>
      </c>
      <c r="D446" s="852">
        <f>D422+D402+D382+D362+D342+D322+D302+D262+D242+D222+D202+D182+D142+D122+D102+D82+D62+D42+D22+D443</f>
        <v>36870016.090000004</v>
      </c>
      <c r="E446" s="852">
        <f t="shared" ref="E446:O446" si="51">E422+E402+E382+E362+E342+E322+E302+E262+E242+E222+E202+E182+E142+E122+E102+E82+E62+E42+E22+E443</f>
        <v>32254156.169999994</v>
      </c>
      <c r="F446" s="852">
        <f t="shared" si="51"/>
        <v>30591231.07</v>
      </c>
      <c r="G446" s="852">
        <f t="shared" si="51"/>
        <v>20179310.989999998</v>
      </c>
      <c r="H446" s="852">
        <f t="shared" si="51"/>
        <v>13617032.380000003</v>
      </c>
      <c r="I446" s="852">
        <f t="shared" si="51"/>
        <v>11125443.52</v>
      </c>
      <c r="J446" s="852">
        <f t="shared" si="51"/>
        <v>10554798.539999999</v>
      </c>
      <c r="K446" s="852">
        <f t="shared" si="51"/>
        <v>9623306.7699999996</v>
      </c>
      <c r="L446" s="852">
        <f t="shared" si="51"/>
        <v>11602552.75</v>
      </c>
      <c r="M446" s="852">
        <f t="shared" si="51"/>
        <v>19171758.840000004</v>
      </c>
      <c r="N446" s="852">
        <f t="shared" si="51"/>
        <v>30550047.809999999</v>
      </c>
      <c r="O446" s="852">
        <f t="shared" si="51"/>
        <v>38589249.210000001</v>
      </c>
      <c r="P446" s="838">
        <f t="shared" si="45"/>
        <v>264728904.14000002</v>
      </c>
    </row>
    <row r="447" spans="2:16">
      <c r="C447" s="34" t="s">
        <v>495</v>
      </c>
      <c r="D447" s="842">
        <f>'Allocation Report 2020'!D9+'Allocation Report 2020'!D13</f>
        <v>36870016.090000004</v>
      </c>
      <c r="E447" s="842">
        <f>'Allocation Report 2020'!E9+'Allocation Report 2020'!E13</f>
        <v>32254156.170000002</v>
      </c>
      <c r="F447" s="842">
        <f>'Allocation Report 2020'!F9+'Allocation Report 2020'!F13</f>
        <v>30591231.07</v>
      </c>
      <c r="G447" s="842">
        <f>'Allocation Report 2020'!G9+'Allocation Report 2020'!G13</f>
        <v>20179310.989999998</v>
      </c>
      <c r="H447" s="842">
        <f>'Allocation Report 2020'!H9+'Allocation Report 2020'!H13</f>
        <v>13617032.379999999</v>
      </c>
      <c r="I447" s="842">
        <f>'Allocation Report 2020'!I9+'Allocation Report 2020'!I13</f>
        <v>11125443.52</v>
      </c>
      <c r="J447" s="842">
        <f>'Allocation Report 2020'!J9+'Allocation Report 2020'!J13</f>
        <v>10554798.540000001</v>
      </c>
      <c r="K447" s="842">
        <f>'Allocation Report 2020'!K9+'Allocation Report 2020'!K13</f>
        <v>9623306.7699999996</v>
      </c>
      <c r="L447" s="842">
        <f>'Allocation Report 2020'!L9+'Allocation Report 2020'!L13</f>
        <v>11602552.75</v>
      </c>
      <c r="M447" s="842">
        <f>'Allocation Report 2020'!M9+'Allocation Report 2020'!M13</f>
        <v>19171758.839999996</v>
      </c>
      <c r="N447" s="842">
        <f>'Allocation Report 2020'!N9+'Allocation Report 2020'!N13</f>
        <v>30550047.809999999</v>
      </c>
      <c r="O447" s="842">
        <f>'Allocation Report 2020'!O9+'Allocation Report 2020'!O13</f>
        <v>38589249.210000001</v>
      </c>
      <c r="P447" s="853">
        <f t="shared" si="45"/>
        <v>264728904.14000002</v>
      </c>
    </row>
    <row r="448" spans="2:16">
      <c r="C448" s="34" t="s">
        <v>255</v>
      </c>
      <c r="D448" s="842">
        <f>D446-D447</f>
        <v>0</v>
      </c>
      <c r="E448" s="842">
        <f t="shared" ref="E448:O448" si="52">E446-E447</f>
        <v>0</v>
      </c>
      <c r="F448" s="842">
        <f t="shared" si="52"/>
        <v>0</v>
      </c>
      <c r="G448" s="842">
        <f t="shared" si="52"/>
        <v>0</v>
      </c>
      <c r="H448" s="842">
        <f t="shared" si="52"/>
        <v>0</v>
      </c>
      <c r="I448" s="842">
        <f t="shared" si="52"/>
        <v>0</v>
      </c>
      <c r="J448" s="842">
        <f t="shared" si="52"/>
        <v>0</v>
      </c>
      <c r="K448" s="842">
        <f t="shared" si="52"/>
        <v>0</v>
      </c>
      <c r="L448" s="842">
        <f t="shared" si="52"/>
        <v>0</v>
      </c>
      <c r="M448" s="842">
        <f t="shared" si="52"/>
        <v>0</v>
      </c>
      <c r="N448" s="842">
        <f t="shared" si="52"/>
        <v>0</v>
      </c>
      <c r="O448" s="842">
        <f t="shared" si="52"/>
        <v>0</v>
      </c>
      <c r="P448" s="854">
        <f t="shared" si="45"/>
        <v>0</v>
      </c>
    </row>
  </sheetData>
  <printOptions horizontalCentered="1"/>
  <pageMargins left="0.5" right="0.5" top="0.75" bottom="0.75" header="0.5" footer="0.3"/>
  <pageSetup scale="58" fitToHeight="0" orientation="landscape" horizontalDpi="1200" verticalDpi="1200" r:id="rId1"/>
  <headerFooter scaleWithDoc="0">
    <oddHeader>&amp;C&amp;10Cascade Natural Gas Corporation
Revenue Proof&amp;R&amp;9CNGC/401
Myhrum/Page &amp;P of &amp;N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75FF8-4926-4BCF-9EFA-0478409F14E5}">
  <sheetPr codeName="Sheet21">
    <tabColor theme="8" tint="0.79998168889431442"/>
    <pageSetUpPr fitToPage="1"/>
  </sheetPr>
  <dimension ref="B1:U144"/>
  <sheetViews>
    <sheetView topLeftCell="B1" zoomScale="80" zoomScaleNormal="80" workbookViewId="0">
      <pane xSplit="2" ySplit="6" topLeftCell="D85" activePane="bottomRight" state="frozen"/>
      <selection pane="topRight" activeCell="A4" sqref="A4"/>
      <selection pane="bottomLeft" activeCell="A4" sqref="A4"/>
      <selection pane="bottomRight" activeCell="D7" sqref="D7"/>
    </sheetView>
  </sheetViews>
  <sheetFormatPr defaultColWidth="8.85546875" defaultRowHeight="15"/>
  <cols>
    <col min="1" max="2" width="8.85546875" style="113"/>
    <col min="3" max="3" width="46.140625" style="113" customWidth="1"/>
    <col min="4" max="4" width="17.85546875" style="113" customWidth="1"/>
    <col min="5" max="7" width="18.7109375" style="113" bestFit="1" customWidth="1"/>
    <col min="8" max="8" width="18.7109375" style="113" customWidth="1"/>
    <col min="9" max="9" width="18.28515625" style="113" customWidth="1"/>
    <col min="10" max="10" width="19.140625" style="113" customWidth="1"/>
    <col min="11" max="11" width="19.42578125" style="113" customWidth="1"/>
    <col min="12" max="12" width="19.5703125" style="113" customWidth="1"/>
    <col min="13" max="13" width="18.28515625" style="113" bestFit="1" customWidth="1"/>
    <col min="14" max="14" width="18" style="113" customWidth="1"/>
    <col min="15" max="15" width="18.28515625" style="113" bestFit="1" customWidth="1"/>
    <col min="16" max="16" width="22.7109375" style="113" customWidth="1"/>
    <col min="17" max="17" width="22.28515625" style="113" customWidth="1"/>
    <col min="18" max="18" width="35.85546875" style="113" customWidth="1"/>
    <col min="19" max="19" width="28.7109375" style="113" customWidth="1"/>
    <col min="20" max="20" width="14.7109375" style="113" customWidth="1"/>
    <col min="21" max="21" width="13.28515625" style="113" bestFit="1" customWidth="1"/>
    <col min="22" max="22" width="13.85546875" style="113" bestFit="1" customWidth="1"/>
    <col min="23" max="23" width="12.28515625" style="113" bestFit="1" customWidth="1"/>
    <col min="24" max="24" width="13.28515625" style="113" bestFit="1" customWidth="1"/>
    <col min="25" max="16384" width="8.85546875" style="113"/>
  </cols>
  <sheetData>
    <row r="1" spans="2:19">
      <c r="B1" s="4" t="s">
        <v>348</v>
      </c>
    </row>
    <row r="2" spans="2:19">
      <c r="B2" s="4" t="s">
        <v>496</v>
      </c>
    </row>
    <row r="3" spans="2:19" ht="15.75" thickBot="1"/>
    <row r="4" spans="2:19">
      <c r="B4" s="1496" t="s">
        <v>497</v>
      </c>
      <c r="C4" s="1497"/>
      <c r="D4" s="1497"/>
      <c r="E4" s="1497"/>
      <c r="F4" s="1497"/>
      <c r="G4" s="1497"/>
      <c r="H4" s="1497"/>
      <c r="I4" s="1497"/>
      <c r="J4" s="1497"/>
      <c r="K4" s="1497"/>
      <c r="L4" s="1497"/>
      <c r="M4" s="1497"/>
      <c r="N4" s="1497"/>
      <c r="O4" s="1498"/>
      <c r="P4" s="1499"/>
      <c r="Q4" s="1492"/>
    </row>
    <row r="5" spans="2:19">
      <c r="B5" s="1212">
        <v>1</v>
      </c>
      <c r="C5" s="1209" t="s">
        <v>2</v>
      </c>
      <c r="D5" s="1209" t="s">
        <v>3</v>
      </c>
      <c r="E5" s="1209" t="s">
        <v>4</v>
      </c>
      <c r="F5" s="1209" t="s">
        <v>5</v>
      </c>
      <c r="G5" s="1209" t="s">
        <v>6</v>
      </c>
      <c r="H5" s="1209" t="s">
        <v>273</v>
      </c>
      <c r="I5" s="1209" t="s">
        <v>274</v>
      </c>
      <c r="J5" s="1209" t="s">
        <v>275</v>
      </c>
      <c r="K5" s="1209" t="s">
        <v>276</v>
      </c>
      <c r="L5" s="1209" t="s">
        <v>277</v>
      </c>
      <c r="M5" s="1209" t="s">
        <v>278</v>
      </c>
      <c r="N5" s="1209" t="s">
        <v>279</v>
      </c>
      <c r="O5" s="889" t="s">
        <v>280</v>
      </c>
      <c r="P5" s="1209" t="s">
        <v>281</v>
      </c>
      <c r="Q5" s="1209" t="s">
        <v>282</v>
      </c>
      <c r="R5" s="1209" t="s">
        <v>283</v>
      </c>
      <c r="S5" s="1209"/>
    </row>
    <row r="6" spans="2:19">
      <c r="B6" s="1212">
        <v>2</v>
      </c>
      <c r="C6" s="43" t="s">
        <v>498</v>
      </c>
      <c r="D6" s="43" t="s">
        <v>499</v>
      </c>
      <c r="E6" s="43" t="s">
        <v>500</v>
      </c>
      <c r="F6" s="43" t="s">
        <v>501</v>
      </c>
      <c r="G6" s="43" t="s">
        <v>502</v>
      </c>
      <c r="H6" s="43" t="s">
        <v>503</v>
      </c>
      <c r="I6" s="43" t="s">
        <v>504</v>
      </c>
      <c r="J6" s="43" t="s">
        <v>505</v>
      </c>
      <c r="K6" s="43" t="s">
        <v>506</v>
      </c>
      <c r="L6" s="43" t="s">
        <v>507</v>
      </c>
      <c r="M6" s="43" t="s">
        <v>508</v>
      </c>
      <c r="N6" s="43" t="s">
        <v>509</v>
      </c>
      <c r="O6" s="44" t="s">
        <v>510</v>
      </c>
      <c r="P6" s="855" t="s">
        <v>294</v>
      </c>
      <c r="Q6" s="856" t="s">
        <v>255</v>
      </c>
    </row>
    <row r="7" spans="2:19">
      <c r="B7" s="1212">
        <v>3</v>
      </c>
      <c r="C7" s="45" t="s">
        <v>511</v>
      </c>
      <c r="D7" s="46">
        <f>'Weather Normalization'!E4</f>
        <v>20607858</v>
      </c>
      <c r="E7" s="46">
        <f>'Weather Normalization'!E5</f>
        <v>16766806</v>
      </c>
      <c r="F7" s="46">
        <f>'Weather Normalization'!E6</f>
        <v>14285808.999999998</v>
      </c>
      <c r="G7" s="46">
        <f>'Weather Normalization'!E7</f>
        <v>9302594</v>
      </c>
      <c r="H7" s="46">
        <f>'Weather Normalization'!E8</f>
        <v>5955259</v>
      </c>
      <c r="I7" s="46">
        <f>'Weather Normalization'!E9</f>
        <v>3820810</v>
      </c>
      <c r="J7" s="46">
        <f>'Weather Normalization'!E10</f>
        <v>3136663</v>
      </c>
      <c r="K7" s="46">
        <f>'Weather Normalization'!E11</f>
        <v>3139289</v>
      </c>
      <c r="L7" s="46">
        <f>'Weather Normalization'!E12</f>
        <v>3807404</v>
      </c>
      <c r="M7" s="46">
        <f>'Weather Normalization'!E13</f>
        <v>8705194</v>
      </c>
      <c r="N7" s="46">
        <f>'Weather Normalization'!E14</f>
        <v>16470389</v>
      </c>
      <c r="O7" s="47">
        <f>'Weather Normalization'!E15</f>
        <v>21430781</v>
      </c>
      <c r="P7" s="289">
        <f>SUM(D7:O7)</f>
        <v>127428856</v>
      </c>
      <c r="Q7" s="289">
        <f>P7-'Weather Normalization'!E16</f>
        <v>0</v>
      </c>
    </row>
    <row r="8" spans="2:19">
      <c r="B8" s="1212">
        <v>4</v>
      </c>
      <c r="C8" s="48" t="s">
        <v>512</v>
      </c>
      <c r="D8" s="55">
        <f>D7/'1501 Summary'!S7</f>
        <v>105.33614463373867</v>
      </c>
      <c r="E8" s="55">
        <f>E7/'1501 Summary'!T7</f>
        <v>85.68920120611233</v>
      </c>
      <c r="F8" s="55">
        <f>F7/'1501 Summary'!U7</f>
        <v>72.67727723653752</v>
      </c>
      <c r="G8" s="55">
        <f>G7/'1501 Summary'!V7</f>
        <v>47.382621152101443</v>
      </c>
      <c r="H8" s="55">
        <f>H7/'1501 Summary'!W7</f>
        <v>30.374831045756636</v>
      </c>
      <c r="I8" s="55">
        <f>I7/'1501 Summary'!X7</f>
        <v>19.434633109187274</v>
      </c>
      <c r="J8" s="55">
        <f>J7/'1501 Summary'!Y7</f>
        <v>15.913019435552195</v>
      </c>
      <c r="K8" s="55">
        <f>K7/'1501 Summary'!Z7</f>
        <v>15.9362861058937</v>
      </c>
      <c r="L8" s="55">
        <f>L7/'1501 Summary'!AA7</f>
        <v>19.300177926021302</v>
      </c>
      <c r="M8" s="55">
        <f>M7/'1501 Summary'!AB7</f>
        <v>44.068675741759769</v>
      </c>
      <c r="N8" s="55">
        <f>N7/'1501 Summary'!AC7</f>
        <v>83.104036530601945</v>
      </c>
      <c r="O8" s="55">
        <f>O7/'1501 Summary'!AD7</f>
        <v>107.75463710184277</v>
      </c>
      <c r="P8" s="289"/>
    </row>
    <row r="9" spans="2:19">
      <c r="B9" s="1212">
        <v>5</v>
      </c>
      <c r="C9" s="51" t="s">
        <v>513</v>
      </c>
      <c r="D9" s="52">
        <f>'Weather Normalization'!J4</f>
        <v>14054936</v>
      </c>
      <c r="E9" s="52">
        <f>'Weather Normalization'!J5</f>
        <v>11577016</v>
      </c>
      <c r="F9" s="52">
        <f>'Weather Normalization'!J6</f>
        <v>9203899</v>
      </c>
      <c r="G9" s="52">
        <f>'Weather Normalization'!J7</f>
        <v>5874355</v>
      </c>
      <c r="H9" s="52">
        <f>'Weather Normalization'!J8</f>
        <v>4062056</v>
      </c>
      <c r="I9" s="52">
        <f>'Weather Normalization'!J9</f>
        <v>2786271</v>
      </c>
      <c r="J9" s="52">
        <f>'Weather Normalization'!J10</f>
        <v>2876529</v>
      </c>
      <c r="K9" s="52">
        <f>'Weather Normalization'!J11</f>
        <v>2875229</v>
      </c>
      <c r="L9" s="52">
        <f>'Weather Normalization'!J12</f>
        <v>3725231</v>
      </c>
      <c r="M9" s="52">
        <f>'Weather Normalization'!J13</f>
        <v>6823229</v>
      </c>
      <c r="N9" s="52">
        <f>'Weather Normalization'!J14</f>
        <v>10394634</v>
      </c>
      <c r="O9" s="53">
        <f>'Weather Normalization'!J15</f>
        <v>13424802</v>
      </c>
      <c r="P9" s="289">
        <f>SUM(D9:O9)</f>
        <v>87678187</v>
      </c>
      <c r="Q9" s="289">
        <f>P9-'Weather Normalization'!J16</f>
        <v>0</v>
      </c>
      <c r="R9" s="4"/>
    </row>
    <row r="10" spans="2:19">
      <c r="B10" s="1212">
        <v>6</v>
      </c>
      <c r="C10" s="59" t="s">
        <v>514</v>
      </c>
      <c r="D10" s="857">
        <f>D9/'1501 Summary'!S8</f>
        <v>521.24818276220151</v>
      </c>
      <c r="E10" s="857">
        <f>E9/'1501 Summary'!T8</f>
        <v>429.35083815457648</v>
      </c>
      <c r="F10" s="857">
        <f>F9/'1501 Summary'!U8</f>
        <v>340.46642294741326</v>
      </c>
      <c r="G10" s="857">
        <f>G9/'1501 Summary'!V8</f>
        <v>217.57676210230008</v>
      </c>
      <c r="H10" s="857">
        <f>H9/'1501 Summary'!W8</f>
        <v>151.36028617207586</v>
      </c>
      <c r="I10" s="857">
        <f>I9/'1501 Summary'!X8</f>
        <v>103.856828686447</v>
      </c>
      <c r="J10" s="857">
        <f>J9/'1501 Summary'!Y8</f>
        <v>107.44141485825271</v>
      </c>
      <c r="K10" s="857">
        <f>K9/'1501 Summary'!Z8</f>
        <v>107.64616248596032</v>
      </c>
      <c r="L10" s="857">
        <f>L9/'1501 Summary'!AA8</f>
        <v>139.51131001423116</v>
      </c>
      <c r="M10" s="857">
        <f>M9/'1501 Summary'!AB8</f>
        <v>255.11212891647349</v>
      </c>
      <c r="N10" s="857">
        <f>N9/'1501 Summary'!AC8</f>
        <v>386.74829780109388</v>
      </c>
      <c r="O10" s="857">
        <f>O9/'1501 Summary'!AD8</f>
        <v>496.64466723391661</v>
      </c>
      <c r="P10" s="289"/>
      <c r="R10" s="858"/>
    </row>
    <row r="11" spans="2:19">
      <c r="B11" s="1212">
        <v>7</v>
      </c>
      <c r="C11" s="48" t="s">
        <v>515</v>
      </c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50"/>
      <c r="P11" s="289"/>
      <c r="S11" s="358"/>
    </row>
    <row r="12" spans="2:19">
      <c r="B12" s="1212">
        <v>8</v>
      </c>
      <c r="C12" s="45" t="s">
        <v>516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7"/>
      <c r="P12" s="289"/>
      <c r="S12" s="358"/>
    </row>
    <row r="13" spans="2:19">
      <c r="B13" s="1212">
        <v>9</v>
      </c>
      <c r="C13" s="45" t="s">
        <v>406</v>
      </c>
      <c r="D13" s="46">
        <f>'1501 Summary'!D38</f>
        <v>261</v>
      </c>
      <c r="E13" s="46">
        <f>'1501 Summary'!E38</f>
        <v>85</v>
      </c>
      <c r="F13" s="46">
        <f>'1501 Summary'!F38</f>
        <v>341</v>
      </c>
      <c r="G13" s="46">
        <f>'1501 Summary'!G38</f>
        <v>182</v>
      </c>
      <c r="H13" s="46">
        <f>'1501 Summary'!H38</f>
        <v>193</v>
      </c>
      <c r="I13" s="46">
        <f>'1501 Summary'!I38</f>
        <v>0</v>
      </c>
      <c r="J13" s="46">
        <f>'1501 Summary'!J38</f>
        <v>0</v>
      </c>
      <c r="K13" s="46">
        <f>'1501 Summary'!K38</f>
        <v>0</v>
      </c>
      <c r="L13" s="46">
        <f>'1501 Summary'!L38</f>
        <v>0</v>
      </c>
      <c r="M13" s="46">
        <f>'1501 Summary'!M38</f>
        <v>0</v>
      </c>
      <c r="N13" s="46">
        <f>'1501 Summary'!N38</f>
        <v>0</v>
      </c>
      <c r="O13" s="46">
        <f>'1501 Summary'!O38</f>
        <v>0</v>
      </c>
      <c r="P13" s="289">
        <f>SUM(D13:O13)</f>
        <v>1062</v>
      </c>
      <c r="Q13" s="289">
        <f>P13-'1501 Summary'!P37</f>
        <v>0</v>
      </c>
      <c r="S13" s="358"/>
    </row>
    <row r="14" spans="2:19">
      <c r="B14" s="1212">
        <v>10</v>
      </c>
      <c r="C14" s="45" t="s">
        <v>407</v>
      </c>
      <c r="D14" s="46">
        <f>'1501 Summary'!D39</f>
        <v>0</v>
      </c>
      <c r="E14" s="46">
        <f>'1501 Summary'!E39</f>
        <v>0</v>
      </c>
      <c r="F14" s="46">
        <f>'1501 Summary'!F39</f>
        <v>0</v>
      </c>
      <c r="G14" s="46">
        <f>'1501 Summary'!G39</f>
        <v>0</v>
      </c>
      <c r="H14" s="46">
        <f>'1501 Summary'!H39</f>
        <v>0</v>
      </c>
      <c r="I14" s="46">
        <f>'1501 Summary'!I39</f>
        <v>0</v>
      </c>
      <c r="J14" s="46">
        <f>'1501 Summary'!J39</f>
        <v>0</v>
      </c>
      <c r="K14" s="46">
        <f>'1501 Summary'!K39</f>
        <v>0</v>
      </c>
      <c r="L14" s="46">
        <f>'1501 Summary'!L39</f>
        <v>0</v>
      </c>
      <c r="M14" s="46">
        <f>'1501 Summary'!M39</f>
        <v>0</v>
      </c>
      <c r="N14" s="46">
        <f>'1501 Summary'!N39</f>
        <v>0</v>
      </c>
      <c r="O14" s="46">
        <f>'1501 Summary'!O39</f>
        <v>0</v>
      </c>
      <c r="P14" s="289"/>
      <c r="S14" s="358"/>
    </row>
    <row r="15" spans="2:19">
      <c r="B15" s="1212">
        <v>11</v>
      </c>
      <c r="C15" s="45">
        <v>505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7"/>
      <c r="P15" s="289"/>
      <c r="S15" s="358"/>
    </row>
    <row r="16" spans="2:19">
      <c r="B16" s="1212">
        <v>12</v>
      </c>
      <c r="C16" s="45" t="s">
        <v>406</v>
      </c>
      <c r="D16" s="46">
        <f>'1501 Summary'!D284</f>
        <v>196025</v>
      </c>
      <c r="E16" s="46">
        <f>'1501 Summary'!E284</f>
        <v>191702</v>
      </c>
      <c r="F16" s="46">
        <f>'1501 Summary'!F284</f>
        <v>183168</v>
      </c>
      <c r="G16" s="46">
        <f>'1501 Summary'!G284</f>
        <v>173833</v>
      </c>
      <c r="H16" s="46">
        <f>'1501 Summary'!H284</f>
        <v>133560.71570182394</v>
      </c>
      <c r="I16" s="46">
        <f>'1501 Summary'!I284</f>
        <v>105492.11934972244</v>
      </c>
      <c r="J16" s="46">
        <f>'1501 Summary'!J284</f>
        <v>95507.880650277555</v>
      </c>
      <c r="K16" s="46">
        <f>'1501 Summary'!K284</f>
        <v>84192.010309278368</v>
      </c>
      <c r="L16" s="46">
        <f>'1501 Summary'!L284</f>
        <v>88699.097938144332</v>
      </c>
      <c r="M16" s="46">
        <f>'1501 Summary'!M284</f>
        <v>103925.90206185567</v>
      </c>
      <c r="N16" s="46">
        <f>'1501 Summary'!N284</f>
        <v>157310.1704996035</v>
      </c>
      <c r="O16" s="46">
        <f>'1501 Summary'!O284</f>
        <v>185558.0888183981</v>
      </c>
      <c r="P16" s="289">
        <f>SUM(D16:O16)</f>
        <v>1698973.9853291037</v>
      </c>
      <c r="Q16" s="289">
        <f>P16-'1501 Summary'!P284</f>
        <v>0</v>
      </c>
      <c r="R16" s="858"/>
    </row>
    <row r="17" spans="2:21">
      <c r="B17" s="1212">
        <v>13</v>
      </c>
      <c r="C17" s="45" t="s">
        <v>407</v>
      </c>
      <c r="D17" s="46">
        <f>'1501 Summary'!D285</f>
        <v>719009</v>
      </c>
      <c r="E17" s="46">
        <f>'1501 Summary'!E285</f>
        <v>651277</v>
      </c>
      <c r="F17" s="46">
        <f>'1501 Summary'!F285</f>
        <v>636675</v>
      </c>
      <c r="G17" s="46">
        <f>'1501 Summary'!G285</f>
        <v>543500</v>
      </c>
      <c r="H17" s="46">
        <f>'1501 Summary'!H285</f>
        <v>349252.1691644924</v>
      </c>
      <c r="I17" s="46">
        <f>'1501 Summary'!I285</f>
        <v>296806.14040410169</v>
      </c>
      <c r="J17" s="46">
        <f>'1501 Summary'!J285</f>
        <v>270588.31381590921</v>
      </c>
      <c r="K17" s="46">
        <f>'1501 Summary'!K285</f>
        <v>243516.95892239545</v>
      </c>
      <c r="L17" s="46">
        <f>'1501 Summary'!L285</f>
        <v>280282.32510163216</v>
      </c>
      <c r="M17" s="46">
        <f>'1501 Summary'!M285</f>
        <v>327486.68163339602</v>
      </c>
      <c r="N17" s="46">
        <f>'1501 Summary'!N285</f>
        <v>436186</v>
      </c>
      <c r="O17" s="46">
        <f>'1501 Summary'!O285</f>
        <v>648583</v>
      </c>
      <c r="P17" s="289">
        <f>SUM(D17:O17)</f>
        <v>5403162.5890419269</v>
      </c>
      <c r="Q17" s="289">
        <f>P17-'1501 Summary'!P285</f>
        <v>0</v>
      </c>
      <c r="S17" s="358"/>
      <c r="U17" s="289"/>
    </row>
    <row r="18" spans="2:21">
      <c r="B18" s="1212">
        <v>14</v>
      </c>
      <c r="C18" s="45" t="s">
        <v>460</v>
      </c>
      <c r="D18" s="46">
        <f>'1501 Summary'!D286</f>
        <v>607722.67641996557</v>
      </c>
      <c r="E18" s="46">
        <f>'1501 Summary'!E286</f>
        <v>479515.56224899594</v>
      </c>
      <c r="F18" s="46">
        <f>'1501 Summary'!F286</f>
        <v>506192</v>
      </c>
      <c r="G18" s="46">
        <f>'1501 Summary'!G286</f>
        <v>411085</v>
      </c>
      <c r="H18" s="46">
        <f>'1501 Summary'!H286</f>
        <v>230396.91013000062</v>
      </c>
      <c r="I18" s="46">
        <f>'1501 Summary'!I286</f>
        <v>234932.11078314384</v>
      </c>
      <c r="J18" s="46">
        <f>'1501 Summary'!J286</f>
        <v>196369.08873955911</v>
      </c>
      <c r="K18" s="46">
        <f>'1501 Summary'!K286</f>
        <v>169633.98856999309</v>
      </c>
      <c r="L18" s="46">
        <f>'1501 Summary'!L286</f>
        <v>251816.93148276076</v>
      </c>
      <c r="M18" s="46">
        <f>'1501 Summary'!M286</f>
        <v>569328.14168184379</v>
      </c>
      <c r="N18" s="46">
        <f>'1501 Summary'!N286</f>
        <v>276791.24536833511</v>
      </c>
      <c r="O18" s="46">
        <f>'1501 Summary'!O286</f>
        <v>522182.9429127677</v>
      </c>
      <c r="P18" s="289">
        <f>SUM(D18:O18)</f>
        <v>4455966.5983373653</v>
      </c>
      <c r="Q18" s="289">
        <f>P18-'1501 Summary'!P286</f>
        <v>0</v>
      </c>
      <c r="S18" s="358"/>
      <c r="U18" s="289"/>
    </row>
    <row r="19" spans="2:21">
      <c r="B19" s="1212">
        <v>15</v>
      </c>
      <c r="C19" s="45" t="s">
        <v>517</v>
      </c>
      <c r="D19" s="46">
        <f>SUM(D12:D18)</f>
        <v>1523017.6764199655</v>
      </c>
      <c r="E19" s="46">
        <f t="shared" ref="E19:O19" si="0">SUM(E12:E18)</f>
        <v>1322579.562248996</v>
      </c>
      <c r="F19" s="46">
        <f t="shared" si="0"/>
        <v>1326376</v>
      </c>
      <c r="G19" s="46">
        <f t="shared" si="0"/>
        <v>1128600</v>
      </c>
      <c r="H19" s="46">
        <f t="shared" si="0"/>
        <v>713402.79499631701</v>
      </c>
      <c r="I19" s="46">
        <f t="shared" si="0"/>
        <v>637230.370536968</v>
      </c>
      <c r="J19" s="46">
        <f t="shared" si="0"/>
        <v>562465.28320574586</v>
      </c>
      <c r="K19" s="46">
        <f t="shared" si="0"/>
        <v>497342.95780166693</v>
      </c>
      <c r="L19" s="46">
        <f t="shared" si="0"/>
        <v>620798.35452253721</v>
      </c>
      <c r="M19" s="46">
        <f t="shared" si="0"/>
        <v>1000740.7253770954</v>
      </c>
      <c r="N19" s="46">
        <f t="shared" si="0"/>
        <v>870287.41586793866</v>
      </c>
      <c r="O19" s="47">
        <f t="shared" si="0"/>
        <v>1356324.0317311657</v>
      </c>
      <c r="P19" s="289">
        <f>SUM(D19:O19)</f>
        <v>11559165.172708396</v>
      </c>
      <c r="S19" s="358"/>
      <c r="U19" s="289"/>
    </row>
    <row r="20" spans="2:21">
      <c r="B20" s="1212">
        <v>16</v>
      </c>
      <c r="C20" s="48" t="s">
        <v>518</v>
      </c>
      <c r="D20" s="55">
        <f>SUM(D16,D13)/SUM('1501 Summary'!S9,'1501 Summary'!S17)</f>
        <v>406.38923395445136</v>
      </c>
      <c r="E20" s="55">
        <f>SUM(E16,E13)/SUM('1501 Summary'!T9,'1501 Summary'!T17)</f>
        <v>397.89834024896265</v>
      </c>
      <c r="F20" s="55">
        <f>SUM(F16,F13)/SUM('1501 Summary'!U9,'1501 Summary'!U17)</f>
        <v>379.15082644628097</v>
      </c>
      <c r="G20" s="55">
        <f>SUM(G16,G13)/SUM('1501 Summary'!V9,'1501 Summary'!V17)</f>
        <v>364.04811715481173</v>
      </c>
      <c r="H20" s="55">
        <f>SUM(H16,H13)/SUM('1501 Summary'!W9,'1501 Summary'!W17)</f>
        <v>278.07425301834496</v>
      </c>
      <c r="I20" s="55">
        <f>SUM(I16,I13)/SUM('1501 Summary'!X9,'1501 Summary'!X17)</f>
        <v>219.31833544640841</v>
      </c>
      <c r="J20" s="55">
        <f>SUM(J16,J13)/SUM('1501 Summary'!Y9,'1501 Summary'!Y17)</f>
        <v>198.56108243300946</v>
      </c>
      <c r="K20" s="55">
        <f>SUM(K16,K13)/SUM('1501 Summary'!Z9,'1501 Summary'!Z17)</f>
        <v>174.67222055866881</v>
      </c>
      <c r="L20" s="55">
        <f>SUM(L16,L13)/SUM('1501 Summary'!AA9,'1501 Summary'!AA17)</f>
        <v>183.64202471665493</v>
      </c>
      <c r="M20" s="55">
        <f>SUM(M16,M13)/SUM('1501 Summary'!AB9,'1501 Summary'!AB17)</f>
        <v>214.28021043681582</v>
      </c>
      <c r="N20" s="55">
        <f>SUM(N16,N13)/SUM('1501 Summary'!AC9,'1501 Summary'!AC17)</f>
        <v>321.69769018323825</v>
      </c>
      <c r="O20" s="55">
        <f>SUM(O16,O13)/SUM('1501 Summary'!AD9,'1501 Summary'!AD17)</f>
        <v>379.46439431165254</v>
      </c>
      <c r="P20" s="289"/>
      <c r="S20" s="358"/>
    </row>
    <row r="21" spans="2:21">
      <c r="B21" s="1212">
        <v>17</v>
      </c>
      <c r="C21" s="48" t="s">
        <v>519</v>
      </c>
      <c r="D21" s="55">
        <f>SUM(D17,D14)/SUM('1501 Summary'!S9,'1501 Summary'!S17)</f>
        <v>1488.6314699792961</v>
      </c>
      <c r="E21" s="55">
        <f>SUM(E17,E14)/SUM('1501 Summary'!T9,'1501 Summary'!T17)</f>
        <v>1351.1970954356846</v>
      </c>
      <c r="F21" s="55">
        <f>SUM(F17,F14)/SUM('1501 Summary'!U9,'1501 Summary'!U17)</f>
        <v>1315.4442148760331</v>
      </c>
      <c r="G21" s="55">
        <f>SUM(G17,G14)/SUM('1501 Summary'!V9,'1501 Summary'!V17)</f>
        <v>1137.0292887029289</v>
      </c>
      <c r="H21" s="55">
        <f>SUM(H17,H14)/SUM('1501 Summary'!W9,'1501 Summary'!W17)</f>
        <v>726.09598578896544</v>
      </c>
      <c r="I21" s="55">
        <f>SUM(I17,I14)/SUM('1501 Summary'!X9,'1501 Summary'!X17)</f>
        <v>617.06058296071035</v>
      </c>
      <c r="J21" s="55">
        <f>SUM(J17,J14)/SUM('1501 Summary'!Y9,'1501 Summary'!Y17)</f>
        <v>562.55366697694217</v>
      </c>
      <c r="K21" s="55">
        <f>SUM(K17,K14)/SUM('1501 Summary'!Z9,'1501 Summary'!Z17)</f>
        <v>505.22190647799886</v>
      </c>
      <c r="L21" s="55">
        <f>SUM(L17,L14)/SUM('1501 Summary'!AA9,'1501 Summary'!AA17)</f>
        <v>580.29466894747861</v>
      </c>
      <c r="M21" s="55">
        <f>SUM(M17,M14)/SUM('1501 Summary'!AB9,'1501 Summary'!AB17)</f>
        <v>675.2302714090639</v>
      </c>
      <c r="N21" s="55">
        <f>SUM(N17,N14)/SUM('1501 Summary'!AC9,'1501 Summary'!AC17)</f>
        <v>891.99591002044986</v>
      </c>
      <c r="O21" s="55">
        <f>SUM(O17,O14)/SUM('1501 Summary'!AD9,'1501 Summary'!AD17)</f>
        <v>1326.3456032719837</v>
      </c>
      <c r="P21" s="289"/>
      <c r="S21" s="358"/>
      <c r="U21" s="289"/>
    </row>
    <row r="22" spans="2:21">
      <c r="B22" s="1212">
        <v>18</v>
      </c>
      <c r="C22" s="48" t="s">
        <v>520</v>
      </c>
      <c r="D22" s="55">
        <f>SUM(D18)/SUM('1501 Summary'!S9,'1501 Summary'!S17)</f>
        <v>1258.2250029398874</v>
      </c>
      <c r="E22" s="55">
        <f>SUM(E18)/SUM('1501 Summary'!T9,'1501 Summary'!T17)</f>
        <v>994.84556483194183</v>
      </c>
      <c r="F22" s="55">
        <f>SUM(F18)/SUM('1501 Summary'!U9,'1501 Summary'!U17)</f>
        <v>1045.8512396694214</v>
      </c>
      <c r="G22" s="55">
        <f>SUM(G18)/SUM('1501 Summary'!V9,'1501 Summary'!V17)</f>
        <v>860.01046025104597</v>
      </c>
      <c r="H22" s="55">
        <f>SUM(H18)/SUM('1501 Summary'!W9,'1501 Summary'!W17)</f>
        <v>478.99565515592644</v>
      </c>
      <c r="I22" s="55">
        <f>SUM(I18)/SUM('1501 Summary'!X9,'1501 Summary'!X17)</f>
        <v>488.42434674250279</v>
      </c>
      <c r="J22" s="55">
        <f>SUM(J18)/SUM('1501 Summary'!Y9,'1501 Summary'!Y17)</f>
        <v>408.25174374128716</v>
      </c>
      <c r="K22" s="55">
        <f>SUM(K18)/SUM('1501 Summary'!Z9,'1501 Summary'!Z17)</f>
        <v>351.93773562239232</v>
      </c>
      <c r="L22" s="55">
        <f>SUM(L18)/SUM('1501 Summary'!AA9,'1501 Summary'!AA17)</f>
        <v>521.36010658956684</v>
      </c>
      <c r="M22" s="55">
        <f>SUM(M18)/SUM('1501 Summary'!AB9,'1501 Summary'!AB17)</f>
        <v>1173.8724570759666</v>
      </c>
      <c r="N22" s="55">
        <f>SUM(N18)/SUM('1501 Summary'!AC9,'1501 Summary'!AC17)</f>
        <v>566.03526660191233</v>
      </c>
      <c r="O22" s="55">
        <f>SUM(O18)/SUM('1501 Summary'!AD9,'1501 Summary'!AD17)</f>
        <v>1067.8587789627152</v>
      </c>
      <c r="P22" s="6"/>
      <c r="Q22" s="1"/>
    </row>
    <row r="23" spans="2:21" s="58" customFormat="1">
      <c r="B23" s="1212">
        <v>19</v>
      </c>
      <c r="C23" s="48" t="s">
        <v>521</v>
      </c>
      <c r="D23" s="55">
        <f>SUM(D19)/SUM('1501 Summary'!S9,'1501 Summary'!S17)</f>
        <v>3153.2457068736344</v>
      </c>
      <c r="E23" s="55">
        <f>SUM(E19)/SUM('1501 Summary'!T9,'1501 Summary'!T17)</f>
        <v>2743.9410005165892</v>
      </c>
      <c r="F23" s="55">
        <f>SUM(F19)/SUM('1501 Summary'!U9,'1501 Summary'!U17)</f>
        <v>2740.4462809917354</v>
      </c>
      <c r="G23" s="55">
        <f>SUM(G19)/SUM('1501 Summary'!V9,'1501 Summary'!V17)</f>
        <v>2361.0878661087868</v>
      </c>
      <c r="H23" s="55">
        <f>SUM(H19)/SUM('1501 Summary'!W9,'1501 Summary'!W17)</f>
        <v>1483.1658939632371</v>
      </c>
      <c r="I23" s="55">
        <f>SUM(I19)/SUM('1501 Summary'!X9,'1501 Summary'!X17)</f>
        <v>1324.8032651496217</v>
      </c>
      <c r="J23" s="55">
        <f>SUM(J19)/SUM('1501 Summary'!Y9,'1501 Summary'!Y17)</f>
        <v>1169.3664931512387</v>
      </c>
      <c r="K23" s="55">
        <f>SUM(K19)/SUM('1501 Summary'!Z9,'1501 Summary'!Z17)</f>
        <v>1031.8318626590601</v>
      </c>
      <c r="L23" s="55">
        <f>SUM(L19)/SUM('1501 Summary'!AA9,'1501 Summary'!AA17)</f>
        <v>1285.2968002537002</v>
      </c>
      <c r="M23" s="55">
        <f>SUM(M19)/SUM('1501 Summary'!AB9,'1501 Summary'!AB17)</f>
        <v>2063.3829389218463</v>
      </c>
      <c r="N23" s="55">
        <f>SUM(N19)/SUM('1501 Summary'!AC9,'1501 Summary'!AC17)</f>
        <v>1779.7288668056005</v>
      </c>
      <c r="O23" s="55">
        <f>SUM(O19)/SUM('1501 Summary'!AD9,'1501 Summary'!AD17)</f>
        <v>2773.6687765463512</v>
      </c>
      <c r="P23" s="6"/>
      <c r="Q23" s="56"/>
      <c r="R23" s="57"/>
    </row>
    <row r="24" spans="2:21">
      <c r="B24" s="1212">
        <v>20</v>
      </c>
      <c r="C24" s="59" t="s">
        <v>522</v>
      </c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60"/>
      <c r="P24" s="6"/>
      <c r="Q24" s="1"/>
      <c r="R24" s="5"/>
    </row>
    <row r="25" spans="2:21">
      <c r="B25" s="1212">
        <v>21</v>
      </c>
      <c r="C25" s="59" t="s">
        <v>523</v>
      </c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60"/>
      <c r="P25" s="1500"/>
      <c r="Q25" s="1500"/>
      <c r="R25" s="5"/>
    </row>
    <row r="26" spans="2:21">
      <c r="B26" s="1212">
        <v>22</v>
      </c>
      <c r="C26" s="979" t="s">
        <v>408</v>
      </c>
      <c r="D26" s="980">
        <f>'1501 Summary'!D61-'663 - 511 Transfer'!B36</f>
        <v>119118.98115840892</v>
      </c>
      <c r="E26" s="980">
        <f>'1501 Summary'!E61-'663 - 511 Transfer'!C36</f>
        <v>116075.01744591765</v>
      </c>
      <c r="F26" s="980">
        <f>'1501 Summary'!F61-'663 - 511 Transfer'!D36</f>
        <v>112817.02721563153</v>
      </c>
      <c r="G26" s="980">
        <f>'1501 Summary'!G61-'663 - 511 Transfer'!E36</f>
        <v>111348.97287904177</v>
      </c>
      <c r="H26" s="980">
        <f>'1501 Summary'!H61-'663 - 511 Transfer'!F36</f>
        <v>107134.98417426922</v>
      </c>
      <c r="I26" s="980">
        <f>'1501 Summary'!I61-'663 - 511 Transfer'!G36</f>
        <v>99748.960466703909</v>
      </c>
      <c r="J26" s="980">
        <f>'1501 Summary'!J61-'663 - 511 Transfer'!H36</f>
        <v>72584.000496493507</v>
      </c>
      <c r="K26" s="980">
        <f>'1501 Summary'!K61-'663 - 511 Transfer'!I36</f>
        <v>68019</v>
      </c>
      <c r="L26" s="980">
        <f>'1501 Summary'!L61-'663 - 511 Transfer'!J36</f>
        <v>65860</v>
      </c>
      <c r="M26" s="980">
        <f>'1501 Summary'!M61-'663 - 511 Transfer'!K36</f>
        <v>66461</v>
      </c>
      <c r="N26" s="52">
        <f>'1501 Summary'!N61</f>
        <v>30433.004406379943</v>
      </c>
      <c r="O26" s="52">
        <f>'1501 Summary'!O61</f>
        <v>35316.018122013287</v>
      </c>
      <c r="P26" s="289">
        <f>SUM(D26:O26)</f>
        <v>1004916.9663648597</v>
      </c>
      <c r="Q26" s="37">
        <f>P26-'1501 Summary'!P61+'663 - 511 Transfer'!N36</f>
        <v>0</v>
      </c>
      <c r="R26" s="61"/>
    </row>
    <row r="27" spans="2:21">
      <c r="B27" s="1212">
        <v>23</v>
      </c>
      <c r="C27" s="979" t="s">
        <v>409</v>
      </c>
      <c r="D27" s="980">
        <f>'1501 Summary'!D62-'663 - 511 Transfer'!B37</f>
        <v>300513.01893663517</v>
      </c>
      <c r="E27" s="980">
        <f>'1501 Summary'!E62-'663 - 511 Transfer'!C37</f>
        <v>296344.04588492354</v>
      </c>
      <c r="F27" s="980">
        <f>'1501 Summary'!F62-'663 - 511 Transfer'!D37</f>
        <v>285178.98761835403</v>
      </c>
      <c r="G27" s="980">
        <f>'1501 Summary'!G62-'663 - 511 Transfer'!E37</f>
        <v>274754.06944110332</v>
      </c>
      <c r="H27" s="980">
        <f>'1501 Summary'!H62-'663 - 511 Transfer'!F37</f>
        <v>216934.00689599873</v>
      </c>
      <c r="I27" s="980">
        <f>'1501 Summary'!I62-'663 - 511 Transfer'!G37</f>
        <v>173675.9682463315</v>
      </c>
      <c r="J27" s="980">
        <f>'1501 Summary'!J62-'663 - 511 Transfer'!H37</f>
        <v>142620.9606286585</v>
      </c>
      <c r="K27" s="980">
        <f>'1501 Summary'!K62-'663 - 511 Transfer'!I37</f>
        <v>142366</v>
      </c>
      <c r="L27" s="980">
        <f>'1501 Summary'!L62-'663 - 511 Transfer'!J37</f>
        <v>139142</v>
      </c>
      <c r="M27" s="980">
        <f>'1501 Summary'!M62-'663 - 511 Transfer'!K37</f>
        <v>136901</v>
      </c>
      <c r="N27" s="52">
        <f>'1501 Summary'!N62</f>
        <v>3509.9831609333655</v>
      </c>
      <c r="O27" s="52">
        <f>'1501 Summary'!O62</f>
        <v>37649.02573971614</v>
      </c>
      <c r="P27" s="289">
        <f>SUM(D27:O27)</f>
        <v>2149589.0665526548</v>
      </c>
      <c r="Q27" s="37">
        <f>P27-'1501 Summary'!P62+'663 - 511 Transfer'!N37</f>
        <v>0</v>
      </c>
      <c r="R27" s="61"/>
    </row>
    <row r="28" spans="2:21">
      <c r="B28" s="1212">
        <v>24</v>
      </c>
      <c r="C28" s="979" t="s">
        <v>410</v>
      </c>
      <c r="D28" s="980">
        <f>'1501 Summary'!D63-'663 - 511 Transfer'!B38</f>
        <v>365445.29420450353</v>
      </c>
      <c r="E28" s="980">
        <f>'1501 Summary'!E63-'663 - 511 Transfer'!C38</f>
        <v>403685.83647102257</v>
      </c>
      <c r="F28" s="980">
        <f>'1501 Summary'!F63-'663 - 511 Transfer'!D38</f>
        <v>374619.207456626</v>
      </c>
      <c r="G28" s="980">
        <f>'1501 Summary'!G63-'663 - 511 Transfer'!E38</f>
        <v>358743.87297921488</v>
      </c>
      <c r="H28" s="980">
        <f>'1501 Summary'!H63-'663 - 511 Transfer'!F38</f>
        <v>249928.15935334878</v>
      </c>
      <c r="I28" s="980">
        <f>'1501 Summary'!I63-'663 - 511 Transfer'!G38</f>
        <v>113549.01385681308</v>
      </c>
      <c r="J28" s="980">
        <f>'1501 Summary'!J63-'663 - 511 Transfer'!H38</f>
        <v>67939.062355658214</v>
      </c>
      <c r="K28" s="980">
        <f>'1501 Summary'!K63-'663 - 511 Transfer'!I38</f>
        <v>59738</v>
      </c>
      <c r="L28" s="980">
        <f>'1501 Summary'!L63-'663 - 511 Transfer'!J38</f>
        <v>59905</v>
      </c>
      <c r="M28" s="980">
        <f>'1501 Summary'!M63-'663 - 511 Transfer'!K38</f>
        <v>67550</v>
      </c>
      <c r="N28" s="52">
        <f>'1501 Summary'!N63</f>
        <v>0</v>
      </c>
      <c r="O28" s="52">
        <f>'1501 Summary'!O63</f>
        <v>0</v>
      </c>
      <c r="P28" s="289">
        <f>SUM(D28:O28)</f>
        <v>2121103.446677187</v>
      </c>
      <c r="Q28" s="37">
        <f>P28-'1501 Summary'!P63+'663 - 511 Transfer'!N38</f>
        <v>0</v>
      </c>
      <c r="R28" s="61"/>
    </row>
    <row r="29" spans="2:21">
      <c r="B29" s="1212">
        <v>25</v>
      </c>
      <c r="C29" s="59">
        <v>511</v>
      </c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60"/>
      <c r="P29" s="6"/>
      <c r="Q29" s="1"/>
      <c r="R29" s="61"/>
    </row>
    <row r="30" spans="2:21">
      <c r="B30" s="1212">
        <v>26</v>
      </c>
      <c r="C30" s="51" t="s">
        <v>408</v>
      </c>
      <c r="D30" s="52">
        <f>'1501 Summary'!D324</f>
        <v>1207350.3838101884</v>
      </c>
      <c r="E30" s="52">
        <f>'1501 Summary'!E324</f>
        <v>1066036.7759944173</v>
      </c>
      <c r="F30" s="52">
        <f>'1501 Summary'!F324</f>
        <v>1043295</v>
      </c>
      <c r="G30" s="52">
        <f>'1501 Summary'!G324</f>
        <v>918349</v>
      </c>
      <c r="H30" s="52">
        <f>'1501 Summary'!H324</f>
        <v>534971.82399304921</v>
      </c>
      <c r="I30" s="52">
        <f>'1501 Summary'!I324</f>
        <v>480715.69540122885</v>
      </c>
      <c r="J30" s="52">
        <f>'1501 Summary'!J324</f>
        <v>526937</v>
      </c>
      <c r="K30" s="52">
        <f>'1501 Summary'!K324</f>
        <v>373258.23868925718</v>
      </c>
      <c r="L30" s="52">
        <f>'1501 Summary'!L324</f>
        <v>381700.98678086023</v>
      </c>
      <c r="M30" s="52">
        <f>'1501 Summary'!M324</f>
        <v>491969.77595730155</v>
      </c>
      <c r="N30" s="52">
        <f>'1501 Summary'!N324</f>
        <v>726955.1293986222</v>
      </c>
      <c r="O30" s="60">
        <f>'1501 Summary'!O324</f>
        <v>1083616.8311301433</v>
      </c>
      <c r="P30" s="289">
        <f>SUM(D30:O30)</f>
        <v>8835156.6411550678</v>
      </c>
      <c r="Q30" s="289">
        <f>P30-'1501 Summary'!P324</f>
        <v>0</v>
      </c>
    </row>
    <row r="31" spans="2:21">
      <c r="B31" s="1212">
        <v>27</v>
      </c>
      <c r="C31" s="51" t="s">
        <v>409</v>
      </c>
      <c r="D31" s="52">
        <f>'1501 Summary'!D325</f>
        <v>585185.90677348885</v>
      </c>
      <c r="E31" s="52">
        <f>'1501 Summary'!E325</f>
        <v>450503.00436999276</v>
      </c>
      <c r="F31" s="52">
        <f>'1501 Summary'!F325</f>
        <v>439405</v>
      </c>
      <c r="G31" s="52">
        <f>'1501 Summary'!G325</f>
        <v>448922</v>
      </c>
      <c r="H31" s="52">
        <f>'1501 Summary'!H325</f>
        <v>205229.97353860957</v>
      </c>
      <c r="I31" s="52">
        <f>'1501 Summary'!I325</f>
        <v>405488.97442065593</v>
      </c>
      <c r="J31" s="52">
        <f>'1501 Summary'!J325</f>
        <v>352580.94779889338</v>
      </c>
      <c r="K31" s="52">
        <f>'1501 Summary'!K325</f>
        <v>273736.98981637397</v>
      </c>
      <c r="L31" s="52">
        <f>'1501 Summary'!L325</f>
        <v>265242.88348969613</v>
      </c>
      <c r="M31" s="52">
        <f>'1501 Summary'!M325</f>
        <v>347458.02261246095</v>
      </c>
      <c r="N31" s="52">
        <f>'1501 Summary'!N325</f>
        <v>379043.94194531313</v>
      </c>
      <c r="O31" s="60">
        <f>'1501 Summary'!O325</f>
        <v>524512.95004410238</v>
      </c>
      <c r="P31" s="289">
        <f>SUM(D31:O31)</f>
        <v>4677310.5948095871</v>
      </c>
      <c r="Q31" s="72">
        <f>P31-'1501 Summary'!P325</f>
        <v>0</v>
      </c>
    </row>
    <row r="32" spans="2:21">
      <c r="B32" s="1212">
        <v>28</v>
      </c>
      <c r="C32" s="51" t="s">
        <v>410</v>
      </c>
      <c r="D32" s="52">
        <f>'1501 Summary'!D326</f>
        <v>165891.10372831303</v>
      </c>
      <c r="E32" s="52">
        <f>'1501 Summary'!E326</f>
        <v>104527.13178294574</v>
      </c>
      <c r="F32" s="52">
        <f>'1501 Summary'!F326</f>
        <v>113733</v>
      </c>
      <c r="G32" s="52">
        <f>'1501 Summary'!G326</f>
        <v>194349</v>
      </c>
      <c r="H32" s="52">
        <f>'1501 Summary'!H326</f>
        <v>24107.967667436493</v>
      </c>
      <c r="I32" s="52">
        <f>'1501 Summary'!I326</f>
        <v>53578.810623556579</v>
      </c>
      <c r="J32" s="52">
        <f>'1501 Summary'!J326</f>
        <v>4053.9838337182455</v>
      </c>
      <c r="K32" s="52">
        <f>'1501 Summary'!K326</f>
        <v>1254.041570438799</v>
      </c>
      <c r="L32" s="52">
        <f>'1501 Summary'!L326</f>
        <v>14873.845265588916</v>
      </c>
      <c r="M32" s="52">
        <f>'1501 Summary'!M326</f>
        <v>8924.9422632794467</v>
      </c>
      <c r="N32" s="52">
        <f>'1501 Summary'!N326</f>
        <v>71995.092378752888</v>
      </c>
      <c r="O32" s="60">
        <f>'1501 Summary'!O326</f>
        <v>225628.17551963049</v>
      </c>
      <c r="P32" s="289">
        <f>SUM(D32:O32)</f>
        <v>982917.09463366051</v>
      </c>
      <c r="Q32" s="72">
        <f>P32-'1501 Summary'!P326</f>
        <v>0</v>
      </c>
    </row>
    <row r="33" spans="2:18">
      <c r="B33" s="1212">
        <v>29</v>
      </c>
      <c r="C33" s="59" t="s">
        <v>524</v>
      </c>
      <c r="D33" s="52">
        <f>SUM(D30)/SUM('1501 Summary'!S10)</f>
        <v>12073.503838101884</v>
      </c>
      <c r="E33" s="52">
        <f>SUM(E30)/SUM('1501 Summary'!T10)</f>
        <v>10990.06985561255</v>
      </c>
      <c r="F33" s="52">
        <f>SUM(F30)/SUM('1501 Summary'!U10)</f>
        <v>10755.618556701031</v>
      </c>
      <c r="G33" s="52">
        <f>SUM(G30)/SUM('1501 Summary'!V10)</f>
        <v>9276.2525252525247</v>
      </c>
      <c r="H33" s="52">
        <f>SUM(H30)/SUM('1501 Summary'!W10)</f>
        <v>5572.6231665942623</v>
      </c>
      <c r="I33" s="52">
        <f>SUM(I30)/SUM('1501 Summary'!X10)</f>
        <v>4905.2621979717233</v>
      </c>
      <c r="J33" s="52">
        <f>SUM(J30)/SUM('1501 Summary'!Y10)</f>
        <v>5269.37</v>
      </c>
      <c r="K33" s="52">
        <f>SUM(K30)/SUM('1501 Summary'!Z10)</f>
        <v>3848.0230792706925</v>
      </c>
      <c r="L33" s="52">
        <f>SUM(L30)/SUM('1501 Summary'!AA10)</f>
        <v>3894.908028376125</v>
      </c>
      <c r="M33" s="52">
        <f>SUM(M30)/SUM('1501 Summary'!AB10)</f>
        <v>4969.3916763363795</v>
      </c>
      <c r="N33" s="52">
        <f>SUM(N30)/SUM('1501 Summary'!AC10)</f>
        <v>7901.6861891154585</v>
      </c>
      <c r="O33" s="52">
        <f>SUM(O30)/SUM('1501 Summary'!AD10)</f>
        <v>11907.877265166409</v>
      </c>
      <c r="P33" s="859"/>
      <c r="Q33" s="859"/>
    </row>
    <row r="34" spans="2:18">
      <c r="B34" s="1212">
        <v>30</v>
      </c>
      <c r="C34" s="59" t="s">
        <v>525</v>
      </c>
      <c r="D34" s="52">
        <f>SUM(D31)/SUM('1501 Summary'!S10)</f>
        <v>5851.8590677348884</v>
      </c>
      <c r="E34" s="52">
        <f>SUM(E31)/SUM('1501 Summary'!T10)</f>
        <v>4644.3608697937398</v>
      </c>
      <c r="F34" s="52">
        <f>SUM(F31)/SUM('1501 Summary'!U10)</f>
        <v>4529.9484536082473</v>
      </c>
      <c r="G34" s="52">
        <f>SUM(G31)/SUM('1501 Summary'!V10)</f>
        <v>4534.5656565656564</v>
      </c>
      <c r="H34" s="52">
        <f>SUM(H31)/SUM('1501 Summary'!W10)</f>
        <v>2137.8122243605162</v>
      </c>
      <c r="I34" s="52">
        <f>SUM(I31)/SUM('1501 Summary'!X10)</f>
        <v>4137.6425961291425</v>
      </c>
      <c r="J34" s="52">
        <f>SUM(J31)/SUM('1501 Summary'!Y10)</f>
        <v>3525.8094779889338</v>
      </c>
      <c r="K34" s="52">
        <f>SUM(K31)/SUM('1501 Summary'!Z10)</f>
        <v>2822.0308228492163</v>
      </c>
      <c r="L34" s="52">
        <f>SUM(L31)/SUM('1501 Summary'!AA10)</f>
        <v>2706.5600356091441</v>
      </c>
      <c r="M34" s="52">
        <f>SUM(M31)/SUM('1501 Summary'!AB10)</f>
        <v>3509.676996085464</v>
      </c>
      <c r="N34" s="52">
        <f>SUM(N31)/SUM('1501 Summary'!AC10)</f>
        <v>4120.0428472316644</v>
      </c>
      <c r="O34" s="52">
        <f>SUM(O31)/SUM('1501 Summary'!AD10)</f>
        <v>5763.8785719132129</v>
      </c>
      <c r="P34" s="859"/>
      <c r="Q34" s="859"/>
    </row>
    <row r="35" spans="2:18">
      <c r="B35" s="1212">
        <v>31</v>
      </c>
      <c r="C35" s="59" t="s">
        <v>526</v>
      </c>
      <c r="D35" s="52">
        <f>SUM(D32)/SUM('1501 Summary'!S10)</f>
        <v>1658.9110372831303</v>
      </c>
      <c r="E35" s="52">
        <f>SUM(E32)/SUM('1501 Summary'!T10)</f>
        <v>1077.5992967313994</v>
      </c>
      <c r="F35" s="52">
        <f>SUM(F32)/SUM('1501 Summary'!U10)</f>
        <v>1172.5051546391753</v>
      </c>
      <c r="G35" s="52">
        <f>SUM(G32)/SUM('1501 Summary'!V10)</f>
        <v>1963.121212121212</v>
      </c>
      <c r="H35" s="52">
        <f>SUM(H32)/SUM('1501 Summary'!W10)</f>
        <v>251.12466320246347</v>
      </c>
      <c r="I35" s="52">
        <f>SUM(I32)/SUM('1501 Summary'!X10)</f>
        <v>546.72255738323042</v>
      </c>
      <c r="J35" s="52">
        <f>SUM(J32)/SUM('1501 Summary'!Y10)</f>
        <v>40.539838337182452</v>
      </c>
      <c r="K35" s="52">
        <f>SUM(K32)/SUM('1501 Summary'!Z10)</f>
        <v>12.928263612771124</v>
      </c>
      <c r="L35" s="52">
        <f>SUM(L32)/SUM('1501 Summary'!AA10)</f>
        <v>151.77393128151954</v>
      </c>
      <c r="M35" s="52">
        <f>SUM(M32)/SUM('1501 Summary'!AB10)</f>
        <v>90.150931952317649</v>
      </c>
      <c r="N35" s="52">
        <f>SUM(N32)/SUM('1501 Summary'!AC10)</f>
        <v>782.55535194296613</v>
      </c>
      <c r="O35" s="52">
        <f>SUM(O32)/SUM('1501 Summary'!AD10)</f>
        <v>2479.4305002157198</v>
      </c>
      <c r="P35" s="859"/>
      <c r="Q35" s="859"/>
    </row>
    <row r="36" spans="2:18" s="58" customFormat="1">
      <c r="B36" s="1212">
        <v>32</v>
      </c>
      <c r="C36" s="59" t="s">
        <v>527</v>
      </c>
      <c r="D36" s="857">
        <f>SUM(D30:D32)/SUM('1501 Summary'!S10)</f>
        <v>19584.273943119901</v>
      </c>
      <c r="E36" s="857">
        <f>SUM(E30:E32)/SUM('1501 Summary'!T10)</f>
        <v>16712.030022137689</v>
      </c>
      <c r="F36" s="857">
        <f>SUM(F30:F32)/SUM('1501 Summary'!U10)</f>
        <v>16458.072164948455</v>
      </c>
      <c r="G36" s="857">
        <f>SUM(G30:G32)/SUM('1501 Summary'!V10)</f>
        <v>15773.939393939394</v>
      </c>
      <c r="H36" s="857">
        <f>SUM(H30:H32)/SUM('1501 Summary'!W10)</f>
        <v>7961.5600541572421</v>
      </c>
      <c r="I36" s="857">
        <f>SUM(I30:I32)/SUM('1501 Summary'!X10)</f>
        <v>9589.6273514840959</v>
      </c>
      <c r="J36" s="857">
        <f>SUM(J30:J32)/SUM('1501 Summary'!Y10)</f>
        <v>8835.7193163261163</v>
      </c>
      <c r="K36" s="857">
        <f>SUM(K30:K32)/SUM('1501 Summary'!Z10)</f>
        <v>6682.9821657326802</v>
      </c>
      <c r="L36" s="857">
        <f>SUM(L30:L32)/SUM('1501 Summary'!AA10)</f>
        <v>6753.2419952667888</v>
      </c>
      <c r="M36" s="857">
        <f>SUM(M30:M32)/SUM('1501 Summary'!AB10)</f>
        <v>8569.2196043741606</v>
      </c>
      <c r="N36" s="857">
        <f>SUM(N30:N32)/SUM('1501 Summary'!AC10)</f>
        <v>12804.284388290091</v>
      </c>
      <c r="O36" s="857">
        <f>SUM(O30:O32)/SUM('1501 Summary'!AD10)</f>
        <v>20151.186337295345</v>
      </c>
      <c r="P36" s="860"/>
      <c r="Q36" s="860"/>
    </row>
    <row r="37" spans="2:18" s="58" customFormat="1">
      <c r="B37" s="1212">
        <v>33</v>
      </c>
      <c r="C37" s="59" t="s">
        <v>524</v>
      </c>
      <c r="D37" s="52">
        <f>SUM(D26,D30)/SUM('1501 Summary'!S10,'1501 Summary'!S18)</f>
        <v>13004.601617339191</v>
      </c>
      <c r="E37" s="52">
        <f>SUM(E26,E30)/SUM('1501 Summary'!T10,'1501 Summary'!T18)</f>
        <v>11940.523166063989</v>
      </c>
      <c r="F37" s="52">
        <f>SUM(F26,F30)/SUM('1501 Summary'!U10,'1501 Summary'!U18)</f>
        <v>11677.899264804359</v>
      </c>
      <c r="G37" s="52">
        <f>SUM(G26,G30)/SUM('1501 Summary'!V10,'1501 Summary'!V18)</f>
        <v>10195.029434445958</v>
      </c>
      <c r="H37" s="52">
        <f>SUM(H26,H30)/SUM('1501 Summary'!W10,'1501 Summary'!W18)</f>
        <v>6552.1102874216167</v>
      </c>
      <c r="I37" s="52">
        <f>SUM(I26,I30)/SUM('1501 Summary'!X10,'1501 Summary'!X18)</f>
        <v>5804.6465586793274</v>
      </c>
      <c r="J37" s="52">
        <f>SUM(J26,J30)/SUM('1501 Summary'!Y10,'1501 Summary'!Y18)</f>
        <v>5877.6568676126817</v>
      </c>
      <c r="K37" s="52">
        <f>SUM(K26,K30)/SUM('1501 Summary'!Z10,'1501 Summary'!Z18)</f>
        <v>4457.3458453460325</v>
      </c>
      <c r="L37" s="52">
        <f>SUM(L26,L30)/SUM('1501 Summary'!AA10,'1501 Summary'!AA18)</f>
        <v>4475.6098678086018</v>
      </c>
      <c r="M37" s="52">
        <f>SUM(M26,M30)/SUM('1501 Summary'!AB10,'1501 Summary'!AB18)</f>
        <v>5529.0175837356583</v>
      </c>
      <c r="N37" s="52">
        <f>SUM(N26,N30)/SUM('1501 Summary'!AC10,'1501 Summary'!AC18)</f>
        <v>8057.3205723936389</v>
      </c>
      <c r="O37" s="52">
        <f>SUM(O26,O30)/SUM('1501 Summary'!AD10,'1501 Summary'!AD18)</f>
        <v>12031.536013464049</v>
      </c>
      <c r="P37" s="860"/>
      <c r="Q37" s="860"/>
    </row>
    <row r="38" spans="2:18" s="58" customFormat="1">
      <c r="B38" s="1212">
        <v>34</v>
      </c>
      <c r="C38" s="59" t="s">
        <v>525</v>
      </c>
      <c r="D38" s="52">
        <f>SUM(D27,D31)/SUM('1501 Summary'!S10,'1501 Summary'!S18)</f>
        <v>8683.3228010796465</v>
      </c>
      <c r="E38" s="52">
        <f>SUM(E27,E31)/SUM('1501 Summary'!T10,'1501 Summary'!T18)</f>
        <v>7543.9095985345084</v>
      </c>
      <c r="F38" s="52">
        <f>SUM(F27,F31)/SUM('1501 Summary'!U10,'1501 Summary'!U18)</f>
        <v>7319.0301779631718</v>
      </c>
      <c r="G38" s="52">
        <f>SUM(G27,G31)/SUM('1501 Summary'!V10,'1501 Summary'!V18)</f>
        <v>7165.1095984267658</v>
      </c>
      <c r="H38" s="52">
        <f>SUM(H27,H31)/SUM('1501 Summary'!W10,'1501 Summary'!W18)</f>
        <v>4307.7957187204929</v>
      </c>
      <c r="I38" s="52">
        <f>SUM(I27,I31)/SUM('1501 Summary'!X10,'1501 Summary'!X18)</f>
        <v>5791.6494266698746</v>
      </c>
      <c r="J38" s="52">
        <f>SUM(J27,J31)/SUM('1501 Summary'!Y10,'1501 Summary'!Y18)</f>
        <v>4854.9206708583515</v>
      </c>
      <c r="K38" s="52">
        <f>SUM(K27,K31)/SUM('1501 Summary'!Z10,'1501 Summary'!Z18)</f>
        <v>4203.0605031956966</v>
      </c>
      <c r="L38" s="52">
        <f>SUM(L27,L31)/SUM('1501 Summary'!AA10,'1501 Summary'!AA18)</f>
        <v>4043.8488348969613</v>
      </c>
      <c r="M38" s="52">
        <f>SUM(M27,M31)/SUM('1501 Summary'!AB10,'1501 Summary'!AB18)</f>
        <v>4795.6338872520882</v>
      </c>
      <c r="N38" s="52">
        <f>SUM(N27,N31)/SUM('1501 Summary'!AC10,'1501 Summary'!AC18)</f>
        <v>4069.7226075132608</v>
      </c>
      <c r="O38" s="52">
        <f>SUM(O27,O31)/SUM('1501 Summary'!AD10,'1501 Summary'!AD18)</f>
        <v>6044.7524277829953</v>
      </c>
      <c r="P38" s="860"/>
      <c r="Q38" s="860"/>
    </row>
    <row r="39" spans="2:18" s="58" customFormat="1">
      <c r="B39" s="1212">
        <v>35</v>
      </c>
      <c r="C39" s="59" t="s">
        <v>526</v>
      </c>
      <c r="D39" s="52">
        <f>SUM(D28,D32)/SUM('1501 Summary'!S10,'1501 Summary'!S18)</f>
        <v>5209.1803718903584</v>
      </c>
      <c r="E39" s="52">
        <f>SUM(E28,E32)/SUM('1501 Summary'!T10,'1501 Summary'!T18)</f>
        <v>5133.4643257976595</v>
      </c>
      <c r="F39" s="52">
        <f>SUM(F28,F32)/SUM('1501 Summary'!U10,'1501 Summary'!U18)</f>
        <v>4932.85058036996</v>
      </c>
      <c r="G39" s="52">
        <f>SUM(G28,G32)/SUM('1501 Summary'!V10,'1501 Summary'!V18)</f>
        <v>5476.1670592001474</v>
      </c>
      <c r="H39" s="52">
        <f>SUM(H28,H32)/SUM('1501 Summary'!W10,'1501 Summary'!W18)</f>
        <v>2796.2870104161766</v>
      </c>
      <c r="I39" s="52">
        <f>SUM(I28,I32)/SUM('1501 Summary'!X10,'1501 Summary'!X18)</f>
        <v>1671.2782448036967</v>
      </c>
      <c r="J39" s="52">
        <f>SUM(J28,J32)/SUM('1501 Summary'!Y10,'1501 Summary'!Y18)</f>
        <v>705.81417832722013</v>
      </c>
      <c r="K39" s="52">
        <f>SUM(K28,K32)/SUM('1501 Summary'!Z10,'1501 Summary'!Z18)</f>
        <v>616.08122798423028</v>
      </c>
      <c r="L39" s="52">
        <f>SUM(L28,L32)/SUM('1501 Summary'!AA10,'1501 Summary'!AA18)</f>
        <v>747.78845265588916</v>
      </c>
      <c r="M39" s="52">
        <f>SUM(M28,M32)/SUM('1501 Summary'!AB10,'1501 Summary'!AB18)</f>
        <v>757.17764617108367</v>
      </c>
      <c r="N39" s="52">
        <f>SUM(N28,N32)/SUM('1501 Summary'!AC10,'1501 Summary'!AC18)</f>
        <v>765.90523807183922</v>
      </c>
      <c r="O39" s="52">
        <f>SUM(O28,O32)/SUM('1501 Summary'!AD10,'1501 Summary'!AD18)</f>
        <v>2426.1094141895751</v>
      </c>
      <c r="P39" s="860"/>
      <c r="Q39" s="860"/>
    </row>
    <row r="40" spans="2:18" s="58" customFormat="1">
      <c r="B40" s="1212">
        <v>36</v>
      </c>
      <c r="C40" s="59" t="s">
        <v>528</v>
      </c>
      <c r="D40" s="857">
        <f>SUM(D26:D32)/SUM('1501 Summary'!S10,'1501 Summary'!S18)</f>
        <v>26897.104790309193</v>
      </c>
      <c r="E40" s="857">
        <f>SUM(E26:E32)/SUM('1501 Summary'!T10,'1501 Summary'!T18)</f>
        <v>24617.897090396156</v>
      </c>
      <c r="F40" s="857">
        <f>SUM(F26:F32)/SUM('1501 Summary'!U10,'1501 Summary'!U18)</f>
        <v>23929.780023137493</v>
      </c>
      <c r="G40" s="857">
        <f>SUM(G26:G32)/SUM('1501 Summary'!V10,'1501 Summary'!V18)</f>
        <v>22836.306092072868</v>
      </c>
      <c r="H40" s="857">
        <f>SUM(H26:H32)/SUM('1501 Summary'!W10,'1501 Summary'!W18)</f>
        <v>13656.193016558285</v>
      </c>
      <c r="I40" s="857">
        <f>SUM(I26:I32)/SUM('1501 Summary'!X10,'1501 Summary'!X18)</f>
        <v>13267.574230152899</v>
      </c>
      <c r="J40" s="857">
        <f>SUM(J26:J32)/SUM('1501 Summary'!Y10,'1501 Summary'!Y18)</f>
        <v>11438.391716798254</v>
      </c>
      <c r="K40" s="857">
        <f>SUM(K26:K32)/SUM('1501 Summary'!Z10,'1501 Summary'!Z18)</f>
        <v>9276.4875765259585</v>
      </c>
      <c r="L40" s="857">
        <f>SUM(L26:L32)/SUM('1501 Summary'!AA10,'1501 Summary'!AA18)</f>
        <v>9267.2471553614523</v>
      </c>
      <c r="M40" s="857">
        <f>SUM(M26:M32)/SUM('1501 Summary'!AB10,'1501 Summary'!AB18)</f>
        <v>11081.82911715883</v>
      </c>
      <c r="N40" s="857">
        <f>SUM(N26:N32)/SUM('1501 Summary'!AC10,'1501 Summary'!AC18)</f>
        <v>12892.948417978738</v>
      </c>
      <c r="O40" s="857">
        <f>SUM(O26:O32)/SUM('1501 Summary'!AD10,'1501 Summary'!AD18)</f>
        <v>20502.397855436619</v>
      </c>
      <c r="P40" s="860"/>
      <c r="Q40" s="860"/>
    </row>
    <row r="41" spans="2:18">
      <c r="B41" s="1212">
        <v>37</v>
      </c>
      <c r="C41" s="48">
        <v>570</v>
      </c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7"/>
      <c r="P41" s="289"/>
    </row>
    <row r="42" spans="2:18">
      <c r="B42" s="1212">
        <v>38</v>
      </c>
      <c r="C42" s="54" t="s">
        <v>463</v>
      </c>
      <c r="D42" s="46">
        <f>'1501 Summary'!D349</f>
        <v>121219.88600379985</v>
      </c>
      <c r="E42" s="46">
        <f>'1501 Summary'!E349</f>
        <v>115901.07663077896</v>
      </c>
      <c r="F42" s="46">
        <f>'1501 Summary'!F349</f>
        <v>106322.98923369221</v>
      </c>
      <c r="G42" s="46">
        <f>'1501 Summary'!G349</f>
        <v>106914.99330655958</v>
      </c>
      <c r="H42" s="46">
        <f>'1501 Summary'!H349</f>
        <v>96754.016064257041</v>
      </c>
      <c r="I42" s="46">
        <f>'1501 Summary'!I349</f>
        <v>86378.9602855868</v>
      </c>
      <c r="J42" s="46">
        <f>'1501 Summary'!J349</f>
        <v>77009.928603302105</v>
      </c>
      <c r="K42" s="46">
        <f>'1501 Summary'!K349</f>
        <v>83097.05488621151</v>
      </c>
      <c r="L42" s="46">
        <f>'1501 Summary'!L349</f>
        <v>81593.931280678269</v>
      </c>
      <c r="M42" s="46">
        <f>'1501 Summary'!M349</f>
        <v>73793.842034805901</v>
      </c>
      <c r="N42" s="46">
        <f>'1501 Summary'!N349</f>
        <v>113112.00356983491</v>
      </c>
      <c r="O42" s="46">
        <f>'1501 Summary'!O349</f>
        <v>101431.95002231147</v>
      </c>
      <c r="P42" s="289">
        <f>SUM(D42:O42)</f>
        <v>1163530.6319218185</v>
      </c>
      <c r="Q42" s="289">
        <f>P42-'1501 Summary'!P349</f>
        <v>0</v>
      </c>
    </row>
    <row r="43" spans="2:18">
      <c r="B43" s="1212">
        <v>39</v>
      </c>
      <c r="C43" s="54" t="s">
        <v>464</v>
      </c>
      <c r="D43" s="46">
        <f>'1501 Summary'!D350</f>
        <v>132794.92882562277</v>
      </c>
      <c r="E43" s="46">
        <f>'1501 Summary'!E350</f>
        <v>140301.60142348753</v>
      </c>
      <c r="F43" s="46">
        <f>'1501 Summary'!F350</f>
        <v>122668.14946619216</v>
      </c>
      <c r="G43" s="46">
        <f>'1501 Summary'!G350</f>
        <v>122350.01774937876</v>
      </c>
      <c r="H43" s="46">
        <f>'1501 Summary'!H350</f>
        <v>92767.128150514734</v>
      </c>
      <c r="I43" s="46">
        <f>'1501 Summary'!I350</f>
        <v>53209.797657082003</v>
      </c>
      <c r="J43" s="46">
        <f>'1501 Summary'!J350</f>
        <v>32379.836705715297</v>
      </c>
      <c r="K43" s="46">
        <f>'1501 Summary'!K350</f>
        <v>23286.119985800498</v>
      </c>
      <c r="L43" s="46">
        <f>'1501 Summary'!L350</f>
        <v>18905.928292509765</v>
      </c>
      <c r="M43" s="46">
        <f>'1501 Summary'!M350</f>
        <v>20764.998225062125</v>
      </c>
      <c r="N43" s="46">
        <f>'1501 Summary'!N350</f>
        <v>65728.079517216887</v>
      </c>
      <c r="O43" s="46">
        <f>'1501 Summary'!O350</f>
        <v>118885.69400070998</v>
      </c>
      <c r="P43" s="289">
        <f>SUM(D43:O43)</f>
        <v>944042.27999929246</v>
      </c>
      <c r="Q43" s="289">
        <f>P43-'1501 Summary'!P350</f>
        <v>0</v>
      </c>
    </row>
    <row r="44" spans="2:18">
      <c r="B44" s="1212">
        <v>40</v>
      </c>
      <c r="C44" s="54" t="s">
        <v>529</v>
      </c>
      <c r="D44" s="930">
        <f>D42/'1501 Summary'!S11</f>
        <v>15152.485750474982</v>
      </c>
      <c r="E44" s="930">
        <f>E42/'1501 Summary'!T11</f>
        <v>14487.63457884737</v>
      </c>
      <c r="F44" s="930">
        <f>F42/'1501 Summary'!U11</f>
        <v>13290.373654211526</v>
      </c>
      <c r="G44" s="930">
        <f>G42/'1501 Summary'!V11</f>
        <v>13364.374163319948</v>
      </c>
      <c r="H44" s="930">
        <f>H42/'1501 Summary'!W11</f>
        <v>12094.25200803213</v>
      </c>
      <c r="I44" s="930">
        <f>I42/'1501 Summary'!X11</f>
        <v>11347.790067741807</v>
      </c>
      <c r="J44" s="930">
        <f>J42/'1501 Summary'!Y11</f>
        <v>11001.418371900301</v>
      </c>
      <c r="K44" s="930">
        <f>K42/'1501 Summary'!Z11</f>
        <v>11871.007840887358</v>
      </c>
      <c r="L44" s="930">
        <f>L42/'1501 Summary'!AA11</f>
        <v>11656.275897239753</v>
      </c>
      <c r="M44" s="930">
        <f>M42/'1501 Summary'!AB11</f>
        <v>10541.9774335437</v>
      </c>
      <c r="N44" s="930">
        <f>N42/'1501 Summary'!AC11</f>
        <v>16158.857652833558</v>
      </c>
      <c r="O44" s="930">
        <f>O42/'1501 Summary'!AD11</f>
        <v>14490.278574615924</v>
      </c>
      <c r="P44" s="289"/>
    </row>
    <row r="45" spans="2:18">
      <c r="B45" s="1212">
        <v>41</v>
      </c>
      <c r="C45" s="54" t="s">
        <v>530</v>
      </c>
      <c r="D45" s="930">
        <f>D43/'1501 Summary'!S11</f>
        <v>16599.366103202847</v>
      </c>
      <c r="E45" s="930">
        <f>E43/'1501 Summary'!T11</f>
        <v>17537.700177935942</v>
      </c>
      <c r="F45" s="930">
        <f>F43/'1501 Summary'!U11</f>
        <v>15333.51868327402</v>
      </c>
      <c r="G45" s="930">
        <f>G43/'1501 Summary'!V11</f>
        <v>15293.752218672345</v>
      </c>
      <c r="H45" s="930">
        <f>H43/'1501 Summary'!W11</f>
        <v>11595.891018814342</v>
      </c>
      <c r="I45" s="930">
        <f>I43/'1501 Summary'!X11</f>
        <v>6990.2857288771838</v>
      </c>
      <c r="J45" s="930">
        <f>J43/'1501 Summary'!Y11</f>
        <v>4625.6909579593284</v>
      </c>
      <c r="K45" s="930">
        <f>K43/'1501 Summary'!Z11</f>
        <v>3326.5885694000713</v>
      </c>
      <c r="L45" s="930">
        <f>L43/'1501 Summary'!AA11</f>
        <v>2700.8468989299663</v>
      </c>
      <c r="M45" s="930">
        <f>M43/'1501 Summary'!AB11</f>
        <v>2966.428317866018</v>
      </c>
      <c r="N45" s="930">
        <f>N43/'1501 Summary'!AC11</f>
        <v>9389.7256453166974</v>
      </c>
      <c r="O45" s="930">
        <f>O43/'1501 Summary'!AD11</f>
        <v>16983.670571529998</v>
      </c>
      <c r="P45" s="289"/>
    </row>
    <row r="46" spans="2:18" s="58" customFormat="1">
      <c r="B46" s="1212">
        <v>42</v>
      </c>
      <c r="C46" s="48" t="s">
        <v>531</v>
      </c>
      <c r="D46" s="931">
        <f>SUM(D42:D43)/SUM('1501 Summary'!S11)</f>
        <v>31751.851853677828</v>
      </c>
      <c r="E46" s="931">
        <f>SUM(E42:E43)/SUM('1501 Summary'!T11)</f>
        <v>32025.334756783312</v>
      </c>
      <c r="F46" s="931">
        <f>SUM(F42:F43)/SUM('1501 Summary'!U11)</f>
        <v>28623.892337485544</v>
      </c>
      <c r="G46" s="931">
        <f>SUM(G42:G43)/SUM('1501 Summary'!V11)</f>
        <v>28658.126381992293</v>
      </c>
      <c r="H46" s="931">
        <f>SUM(H42:H43)/SUM('1501 Summary'!W11)</f>
        <v>23690.143026846472</v>
      </c>
      <c r="I46" s="931">
        <f>SUM(I42:I43)/SUM('1501 Summary'!X11)</f>
        <v>18338.075796618992</v>
      </c>
      <c r="J46" s="931">
        <f>SUM(J42:J43)/SUM('1501 Summary'!Y11)</f>
        <v>15627.109329859628</v>
      </c>
      <c r="K46" s="931">
        <f>SUM(K42:K43)/SUM('1501 Summary'!Z11)</f>
        <v>15197.59641028743</v>
      </c>
      <c r="L46" s="931">
        <f>SUM(L42:L43)/SUM('1501 Summary'!AA11)</f>
        <v>14357.122796169719</v>
      </c>
      <c r="M46" s="931">
        <f>SUM(M42:M43)/SUM('1501 Summary'!AB11)</f>
        <v>13508.405751409719</v>
      </c>
      <c r="N46" s="931">
        <f>SUM(N42:N43)/SUM('1501 Summary'!AC11)</f>
        <v>25548.583298150257</v>
      </c>
      <c r="O46" s="931">
        <f>SUM(O42:O43)/SUM('1501 Summary'!AD11)</f>
        <v>31473.949146145922</v>
      </c>
      <c r="P46" s="289"/>
    </row>
    <row r="47" spans="2:18" s="58" customFormat="1">
      <c r="B47" s="1212">
        <v>43</v>
      </c>
      <c r="C47" s="59" t="s">
        <v>532</v>
      </c>
      <c r="D47" s="932"/>
      <c r="E47" s="932"/>
      <c r="F47" s="932"/>
      <c r="G47" s="932"/>
      <c r="H47" s="932"/>
      <c r="I47" s="932"/>
      <c r="J47" s="932"/>
      <c r="K47" s="932"/>
      <c r="L47" s="932"/>
      <c r="M47" s="932"/>
      <c r="N47" s="932"/>
      <c r="O47" s="636"/>
      <c r="P47" s="1501"/>
      <c r="Q47" s="1501"/>
    </row>
    <row r="48" spans="2:18" s="58" customFormat="1">
      <c r="B48" s="1212">
        <v>44</v>
      </c>
      <c r="C48" s="979" t="s">
        <v>433</v>
      </c>
      <c r="D48" s="981">
        <f>'1501 Summary'!D101+'663 - 511 Transfer'!B30</f>
        <v>8038038.641905834</v>
      </c>
      <c r="E48" s="981">
        <f>'1501 Summary'!E101+'663 - 511 Transfer'!C30</f>
        <v>8119015.7568936404</v>
      </c>
      <c r="F48" s="981">
        <f>'1501 Summary'!F101+'663 - 511 Transfer'!D30</f>
        <v>7978339.8987056827</v>
      </c>
      <c r="G48" s="981">
        <f>'1501 Summary'!G101+'663 - 511 Transfer'!E30</f>
        <v>8000046.2514610123</v>
      </c>
      <c r="H48" s="981">
        <f>'1501 Summary'!H101+'663 - 511 Transfer'!F30</f>
        <v>6919176.8241776591</v>
      </c>
      <c r="I48" s="981">
        <f>'1501 Summary'!I101+'663 - 511 Transfer'!G30</f>
        <v>6752993.9889797959</v>
      </c>
      <c r="J48" s="981">
        <f>'1501 Summary'!J101+'663 - 511 Transfer'!H30</f>
        <v>7072971</v>
      </c>
      <c r="K48" s="981">
        <f>'1501 Summary'!K101+'663 - 511 Transfer'!I30</f>
        <v>6814075.4716981128</v>
      </c>
      <c r="L48" s="981">
        <f>'1501 Summary'!L101+'663 - 511 Transfer'!J30</f>
        <v>7073376</v>
      </c>
      <c r="M48" s="981">
        <f>'1501 Summary'!M101+'663 - 511 Transfer'!K30</f>
        <v>8087500.0834863922</v>
      </c>
      <c r="N48" s="933">
        <f>'1501 Summary'!N101</f>
        <v>8862309.2335949242</v>
      </c>
      <c r="O48" s="933">
        <f>'1501 Summary'!O101</f>
        <v>8663172.1489397231</v>
      </c>
      <c r="P48" s="289">
        <f>SUM(D48:O48)</f>
        <v>92381015.299842775</v>
      </c>
      <c r="Q48" s="6">
        <f>P48-'1501 Summary'!P101-'663 - 511 Transfer'!N30</f>
        <v>0</v>
      </c>
      <c r="R48" s="63"/>
    </row>
    <row r="49" spans="2:17" s="58" customFormat="1">
      <c r="B49" s="1212">
        <v>45</v>
      </c>
      <c r="C49" s="979" t="s">
        <v>434</v>
      </c>
      <c r="D49" s="981">
        <f>'1501 Summary'!D102+'663 - 511 Transfer'!B31</f>
        <v>5497050.8997429311</v>
      </c>
      <c r="E49" s="981">
        <f>'1501 Summary'!E102+'663 - 511 Transfer'!C31</f>
        <v>5601808.2262210799</v>
      </c>
      <c r="F49" s="981">
        <f>'1501 Summary'!F102+'663 - 511 Transfer'!D31</f>
        <v>5483149.1002570698</v>
      </c>
      <c r="G49" s="981">
        <f>'1501 Summary'!G102+'663 - 511 Transfer'!E31</f>
        <v>5684260.529743813</v>
      </c>
      <c r="H49" s="981">
        <f>'1501 Summary'!H102+'663 - 511 Transfer'!F31</f>
        <v>4791435.084672167</v>
      </c>
      <c r="I49" s="981">
        <f>'1501 Summary'!I102+'663 - 511 Transfer'!G31</f>
        <v>4815023.4476769436</v>
      </c>
      <c r="J49" s="981">
        <f>'1501 Summary'!J102+'663 - 511 Transfer'!H31</f>
        <v>5277763</v>
      </c>
      <c r="K49" s="981">
        <f>'1501 Summary'!K102+'663 - 511 Transfer'!I31</f>
        <v>5186873.2088580113</v>
      </c>
      <c r="L49" s="981">
        <f>'1501 Summary'!L102+'663 - 511 Transfer'!J31</f>
        <v>5621797.2210160661</v>
      </c>
      <c r="M49" s="981">
        <f>'1501 Summary'!M102+'663 - 511 Transfer'!K31</f>
        <v>5783397</v>
      </c>
      <c r="N49" s="933">
        <f>'1501 Summary'!N102</f>
        <v>6207810.2475032564</v>
      </c>
      <c r="O49" s="933">
        <f>'1501 Summary'!O102</f>
        <v>5835445</v>
      </c>
      <c r="P49" s="289">
        <f>SUM(D49:O49)</f>
        <v>65785812.965691343</v>
      </c>
      <c r="Q49" s="6">
        <f>P49-'1501 Summary'!P102-'663 - 511 Transfer'!N31</f>
        <v>0</v>
      </c>
    </row>
    <row r="50" spans="2:17">
      <c r="B50" s="1212">
        <v>46</v>
      </c>
      <c r="C50" s="979" t="s">
        <v>434</v>
      </c>
      <c r="D50" s="981">
        <f>'1501 Summary'!D103+'663 - 511 Transfer'!B32</f>
        <v>2850826.5651438241</v>
      </c>
      <c r="E50" s="981">
        <f>'1501 Summary'!E103+'663 - 511 Transfer'!C32</f>
        <v>3085073.6040609134</v>
      </c>
      <c r="F50" s="981">
        <f>'1501 Summary'!F103+'663 - 511 Transfer'!D32</f>
        <v>2752758.037225042</v>
      </c>
      <c r="G50" s="981">
        <f>'1501 Summary'!G103+'663 - 511 Transfer'!E32</f>
        <v>2983793.618465716</v>
      </c>
      <c r="H50" s="981">
        <f>'1501 Summary'!H103+'663 - 511 Transfer'!F32</f>
        <v>2082880</v>
      </c>
      <c r="I50" s="981">
        <f>'1501 Summary'!I103+'663 - 511 Transfer'!G32</f>
        <v>2449702.647657841</v>
      </c>
      <c r="J50" s="981">
        <f>'1501 Summary'!J103+'663 - 511 Transfer'!H32</f>
        <v>2664959</v>
      </c>
      <c r="K50" s="981">
        <f>'1501 Summary'!K103+'663 - 511 Transfer'!I32</f>
        <v>2757267.4168363884</v>
      </c>
      <c r="L50" s="981">
        <f>'1501 Summary'!L103+'663 - 511 Transfer'!J32</f>
        <v>2821216</v>
      </c>
      <c r="M50" s="981">
        <f>'1501 Summary'!M103+'663 - 511 Transfer'!K32</f>
        <v>2648195.4568906995</v>
      </c>
      <c r="N50" s="933">
        <f>'1501 Summary'!N103</f>
        <v>2980948.404616429</v>
      </c>
      <c r="O50" s="933">
        <f>'1501 Summary'!O103</f>
        <v>2859918</v>
      </c>
      <c r="P50" s="289">
        <f>SUM(D50:O50)</f>
        <v>32937538.750896852</v>
      </c>
      <c r="Q50" s="6">
        <f>P50-'1501 Summary'!P103-'663 - 511 Transfer'!N32</f>
        <v>0</v>
      </c>
    </row>
    <row r="51" spans="2:17">
      <c r="B51" s="1212">
        <v>47</v>
      </c>
      <c r="C51" s="979" t="s">
        <v>435</v>
      </c>
      <c r="D51" s="981">
        <f>'1501 Summary'!D104+'663 - 511 Transfer'!B33</f>
        <v>30290331.25266904</v>
      </c>
      <c r="E51" s="981">
        <f>'1501 Summary'!E104+'663 - 511 Transfer'!C33</f>
        <v>28841113.953736655</v>
      </c>
      <c r="F51" s="981">
        <f>'1501 Summary'!F104+'663 - 511 Transfer'!D33</f>
        <v>26928025.989323843</v>
      </c>
      <c r="G51" s="981">
        <f>'1501 Summary'!G104+'663 - 511 Transfer'!E33</f>
        <v>32564568.130325817</v>
      </c>
      <c r="H51" s="981">
        <f>'1501 Summary'!H104+'663 - 511 Transfer'!F33</f>
        <v>27719491</v>
      </c>
      <c r="I51" s="981">
        <f>'1501 Summary'!I104+'663 - 511 Transfer'!G33</f>
        <v>17963539.739348374</v>
      </c>
      <c r="J51" s="981">
        <f>'1501 Summary'!J104+'663 - 511 Transfer'!H33</f>
        <v>14592206</v>
      </c>
      <c r="K51" s="981">
        <f>'1501 Summary'!K104+'663 - 511 Transfer'!I33</f>
        <v>25978706.766917296</v>
      </c>
      <c r="L51" s="981">
        <f>'1501 Summary'!L104+'663 - 511 Transfer'!J33</f>
        <v>30345577</v>
      </c>
      <c r="M51" s="981">
        <f>'1501 Summary'!M104+'663 - 511 Transfer'!K33</f>
        <v>32142523</v>
      </c>
      <c r="N51" s="933">
        <f>'1501 Summary'!N104</f>
        <v>27696337.092731833</v>
      </c>
      <c r="O51" s="933">
        <f>'1501 Summary'!O104</f>
        <v>27192808</v>
      </c>
      <c r="P51" s="289">
        <f>SUM(D51:O51)</f>
        <v>322255227.92505288</v>
      </c>
      <c r="Q51" s="6">
        <f>P51-'1501 Summary'!P104-'663 - 511 Transfer'!N33</f>
        <v>0</v>
      </c>
    </row>
    <row r="52" spans="2:17">
      <c r="B52" s="1212">
        <v>48</v>
      </c>
      <c r="C52" s="51" t="s">
        <v>533</v>
      </c>
      <c r="D52" s="64">
        <f>D48/'1501 Summary'!S12</f>
        <v>42529.304983628754</v>
      </c>
      <c r="E52" s="64">
        <f>E48/'1501 Summary'!T12</f>
        <v>43186.254026030001</v>
      </c>
      <c r="F52" s="64">
        <f>F48/'1501 Summary'!U12</f>
        <v>42437.978184604697</v>
      </c>
      <c r="G52" s="64">
        <f>G48/'1501 Summary'!V12</f>
        <v>42780.995997117716</v>
      </c>
      <c r="H52" s="64">
        <f>H48/'1501 Summary'!W12</f>
        <v>37000.945583837747</v>
      </c>
      <c r="I52" s="64">
        <f>I48/'1501 Summary'!X12</f>
        <v>35920.180792445724</v>
      </c>
      <c r="J52" s="64">
        <f>J48/'1501 Summary'!Y12</f>
        <v>37622.186170212764</v>
      </c>
      <c r="K52" s="64">
        <f>K48/'1501 Summary'!Z12</f>
        <v>36245.082296266555</v>
      </c>
      <c r="L52" s="64">
        <f>L48/'1501 Summary'!AA12</f>
        <v>37624.340425531918</v>
      </c>
      <c r="M52" s="64">
        <f>M48/'1501 Summary'!AB12</f>
        <v>43248.663548055571</v>
      </c>
      <c r="N52" s="64">
        <f>N48/'1501 Summary'!AC12</f>
        <v>45682.006358736726</v>
      </c>
      <c r="O52" s="64">
        <f>O48/'1501 Summary'!AD12</f>
        <v>44426.523840716531</v>
      </c>
      <c r="P52" s="6"/>
      <c r="Q52" s="6"/>
    </row>
    <row r="53" spans="2:17">
      <c r="B53" s="1212">
        <v>49</v>
      </c>
      <c r="C53" s="51" t="s">
        <v>534</v>
      </c>
      <c r="D53" s="64">
        <f>D49/'1501 Summary'!S12</f>
        <v>29084.925395465245</v>
      </c>
      <c r="E53" s="64">
        <f>E49/'1501 Summary'!T12</f>
        <v>29796.852267133403</v>
      </c>
      <c r="F53" s="64">
        <f>F49/'1501 Summary'!U12</f>
        <v>29165.686703495052</v>
      </c>
      <c r="G53" s="64">
        <f>G49/'1501 Summary'!V12</f>
        <v>30397.115132319854</v>
      </c>
      <c r="H53" s="64">
        <f>H49/'1501 Summary'!W12</f>
        <v>25622.647511615865</v>
      </c>
      <c r="I53" s="64">
        <f>I49/'1501 Summary'!X12</f>
        <v>25611.826849345445</v>
      </c>
      <c r="J53" s="64">
        <f>J49/'1501 Summary'!Y12</f>
        <v>28073.207446808512</v>
      </c>
      <c r="K53" s="64">
        <f>K49/'1501 Summary'!Z12</f>
        <v>27589.751110946869</v>
      </c>
      <c r="L53" s="64">
        <f>L49/'1501 Summary'!AA12</f>
        <v>29903.176707532268</v>
      </c>
      <c r="M53" s="64">
        <f>M49/'1501 Summary'!AB12</f>
        <v>30927.256684491978</v>
      </c>
      <c r="N53" s="64">
        <f>N49/'1501 Summary'!AC12</f>
        <v>31999.021894346683</v>
      </c>
      <c r="O53" s="64">
        <f>O49/'1501 Summary'!AD12</f>
        <v>29925.358974358973</v>
      </c>
      <c r="P53" s="6"/>
      <c r="Q53" s="6"/>
    </row>
    <row r="54" spans="2:17">
      <c r="B54" s="1212">
        <v>50</v>
      </c>
      <c r="C54" s="51" t="s">
        <v>534</v>
      </c>
      <c r="D54" s="64">
        <f>D50/'1501 Summary'!S12</f>
        <v>15083.738439914414</v>
      </c>
      <c r="E54" s="64">
        <f>E50/'1501 Summary'!T12</f>
        <v>16409.965979047411</v>
      </c>
      <c r="F54" s="64">
        <f>F50/'1501 Summary'!U12</f>
        <v>14642.329985239585</v>
      </c>
      <c r="G54" s="64">
        <f>G50/'1501 Summary'!V12</f>
        <v>15956.115606768535</v>
      </c>
      <c r="H54" s="64">
        <f>H50/'1501 Summary'!W12</f>
        <v>11138.395721925133</v>
      </c>
      <c r="I54" s="64">
        <f>I50/'1501 Summary'!X12</f>
        <v>13030.333232222558</v>
      </c>
      <c r="J54" s="64">
        <f>J50/'1501 Summary'!Y12</f>
        <v>14175.313829787234</v>
      </c>
      <c r="K54" s="64">
        <f>K50/'1501 Summary'!Z12</f>
        <v>14666.316047002067</v>
      </c>
      <c r="L54" s="64">
        <f>L50/'1501 Summary'!AA12</f>
        <v>15006.468085106382</v>
      </c>
      <c r="M54" s="64">
        <f>M50/'1501 Summary'!AB12</f>
        <v>14161.473031501067</v>
      </c>
      <c r="N54" s="64">
        <f>N50/'1501 Summary'!AC12</f>
        <v>15365.713425857881</v>
      </c>
      <c r="O54" s="64">
        <f>O50/'1501 Summary'!AD12</f>
        <v>14666.246153846154</v>
      </c>
      <c r="P54" s="6"/>
      <c r="Q54" s="6"/>
    </row>
    <row r="55" spans="2:17">
      <c r="B55" s="1212">
        <v>51</v>
      </c>
      <c r="C55" s="51" t="s">
        <v>535</v>
      </c>
      <c r="D55" s="64">
        <f>D51/'1501 Summary'!S12</f>
        <v>160266.30292417482</v>
      </c>
      <c r="E55" s="64">
        <f>E51/'1501 Summary'!T12</f>
        <v>153410.18060498222</v>
      </c>
      <c r="F55" s="64">
        <f>F51/'1501 Summary'!U12</f>
        <v>143234.18079427577</v>
      </c>
      <c r="G55" s="64">
        <f>G51/'1501 Summary'!V12</f>
        <v>174142.07556323966</v>
      </c>
      <c r="H55" s="64">
        <f>H51/'1501 Summary'!W12</f>
        <v>148232.57219251335</v>
      </c>
      <c r="I55" s="64">
        <f>I51/'1501 Summary'!X12</f>
        <v>95550.743294406246</v>
      </c>
      <c r="J55" s="64">
        <f>J51/'1501 Summary'!Y12</f>
        <v>77618.117021276601</v>
      </c>
      <c r="K55" s="64">
        <f>K51/'1501 Summary'!Z12</f>
        <v>138184.61046232603</v>
      </c>
      <c r="L55" s="64">
        <f>L51/'1501 Summary'!AA12</f>
        <v>161412.64361702127</v>
      </c>
      <c r="M55" s="64">
        <f>M51/'1501 Summary'!AB12</f>
        <v>171885.14973262031</v>
      </c>
      <c r="N55" s="64">
        <f>N51/'1501 Summary'!AC12</f>
        <v>142764.62418933935</v>
      </c>
      <c r="O55" s="64">
        <f>O51/'1501 Summary'!AD12</f>
        <v>139450.29743589743</v>
      </c>
      <c r="P55" s="6"/>
      <c r="Q55" s="6"/>
    </row>
    <row r="56" spans="2:17">
      <c r="B56" s="1212">
        <v>52</v>
      </c>
      <c r="C56" s="59" t="s">
        <v>536</v>
      </c>
      <c r="D56" s="62">
        <f>SUM(D48:D51)/'1501 Summary'!S12</f>
        <v>246964.27174318323</v>
      </c>
      <c r="E56" s="62">
        <f>SUM(E48:E51)/'1501 Summary'!T12</f>
        <v>242803.25287719301</v>
      </c>
      <c r="F56" s="62">
        <f>SUM(F48:F51)/'1501 Summary'!U12</f>
        <v>229480.17566761508</v>
      </c>
      <c r="G56" s="62">
        <f>SUM(G48:G51)/'1501 Summary'!V12</f>
        <v>263276.30229944579</v>
      </c>
      <c r="H56" s="62">
        <f>SUM(H48:H51)/'1501 Summary'!W12</f>
        <v>221994.56100989212</v>
      </c>
      <c r="I56" s="62">
        <f>SUM(I48:I51)/'1501 Summary'!X12</f>
        <v>170113.08416841997</v>
      </c>
      <c r="J56" s="62">
        <f>SUM(J48:J51)/'1501 Summary'!Y12</f>
        <v>157488.82446808511</v>
      </c>
      <c r="K56" s="62">
        <f>SUM(K48:K51)/'1501 Summary'!Z12</f>
        <v>216685.75991654154</v>
      </c>
      <c r="L56" s="62">
        <f>SUM(L48:L51)/'1501 Summary'!AA12</f>
        <v>243946.62883519183</v>
      </c>
      <c r="M56" s="62">
        <f>SUM(M48:M51)/'1501 Summary'!AB12</f>
        <v>260222.54299666896</v>
      </c>
      <c r="N56" s="62">
        <f>SUM(N48:N51)/'1501 Summary'!AC12</f>
        <v>235811.36586828061</v>
      </c>
      <c r="O56" s="62">
        <f>SUM(O48:O51)/'1501 Summary'!AD12</f>
        <v>228468.4264048191</v>
      </c>
      <c r="P56" s="861"/>
      <c r="Q56" s="861"/>
    </row>
    <row r="57" spans="2:17">
      <c r="B57" s="1212">
        <v>53</v>
      </c>
      <c r="C57" s="65">
        <v>6632</v>
      </c>
      <c r="D57" s="66"/>
      <c r="E57" s="67"/>
      <c r="F57" s="934"/>
      <c r="G57" s="935"/>
      <c r="H57" s="934"/>
      <c r="I57" s="934"/>
      <c r="J57" s="935"/>
      <c r="K57" s="934"/>
      <c r="L57" s="934"/>
      <c r="M57" s="934"/>
      <c r="N57" s="934"/>
      <c r="O57" s="68"/>
      <c r="P57" s="289"/>
    </row>
    <row r="58" spans="2:17">
      <c r="B58" s="1212">
        <v>54</v>
      </c>
      <c r="C58" s="45" t="s">
        <v>433</v>
      </c>
      <c r="D58" s="69">
        <f>'1501 Summary'!D127</f>
        <v>0</v>
      </c>
      <c r="E58" s="69">
        <f>'1501 Summary'!E127</f>
        <v>0</v>
      </c>
      <c r="F58" s="69">
        <f>'1501 Summary'!F127</f>
        <v>0</v>
      </c>
      <c r="G58" s="69">
        <f>'1501 Summary'!G127</f>
        <v>0</v>
      </c>
      <c r="H58" s="69">
        <f>'1501 Summary'!H127</f>
        <v>0</v>
      </c>
      <c r="I58" s="69">
        <f>'1501 Summary'!I127</f>
        <v>0</v>
      </c>
      <c r="J58" s="69">
        <f>'1501 Summary'!J127</f>
        <v>0</v>
      </c>
      <c r="K58" s="69">
        <f>'1501 Summary'!K127</f>
        <v>0</v>
      </c>
      <c r="L58" s="69">
        <f>'1501 Summary'!L127</f>
        <v>0</v>
      </c>
      <c r="M58" s="69">
        <f>'1501 Summary'!M127</f>
        <v>0</v>
      </c>
      <c r="N58" s="69">
        <f>'1501 Summary'!N127</f>
        <v>100000</v>
      </c>
      <c r="O58" s="69">
        <f>'1501 Summary'!O127</f>
        <v>100000</v>
      </c>
      <c r="P58" s="289">
        <f>SUM(D58:O58)</f>
        <v>200000</v>
      </c>
      <c r="Q58" s="6">
        <f>P58-'1501 Summary'!P127</f>
        <v>0</v>
      </c>
    </row>
    <row r="59" spans="2:17">
      <c r="B59" s="1212">
        <v>55</v>
      </c>
      <c r="C59" s="45" t="s">
        <v>434</v>
      </c>
      <c r="D59" s="69">
        <f>'1501 Summary'!D128</f>
        <v>0</v>
      </c>
      <c r="E59" s="69">
        <f>'1501 Summary'!E128</f>
        <v>0</v>
      </c>
      <c r="F59" s="69">
        <f>'1501 Summary'!F128</f>
        <v>0</v>
      </c>
      <c r="G59" s="69">
        <f>'1501 Summary'!G128</f>
        <v>0</v>
      </c>
      <c r="H59" s="69">
        <f>'1501 Summary'!H128</f>
        <v>0</v>
      </c>
      <c r="I59" s="69">
        <f>'1501 Summary'!I128</f>
        <v>0</v>
      </c>
      <c r="J59" s="69">
        <f>'1501 Summary'!J128</f>
        <v>0</v>
      </c>
      <c r="K59" s="69">
        <f>'1501 Summary'!K128</f>
        <v>0</v>
      </c>
      <c r="L59" s="69">
        <f>'1501 Summary'!L128</f>
        <v>0</v>
      </c>
      <c r="M59" s="69">
        <f>'1501 Summary'!M128</f>
        <v>0</v>
      </c>
      <c r="N59" s="69">
        <f>'1501 Summary'!N128</f>
        <v>200000</v>
      </c>
      <c r="O59" s="69">
        <f>'1501 Summary'!O128</f>
        <v>200000</v>
      </c>
      <c r="P59" s="289">
        <f>SUM(D59:O59)</f>
        <v>400000</v>
      </c>
      <c r="Q59" s="6">
        <f>P59-'1501 Summary'!P128</f>
        <v>0</v>
      </c>
    </row>
    <row r="60" spans="2:17">
      <c r="B60" s="1212">
        <v>56</v>
      </c>
      <c r="C60" s="45" t="s">
        <v>434</v>
      </c>
      <c r="D60" s="69">
        <f>'1501 Summary'!D129</f>
        <v>0</v>
      </c>
      <c r="E60" s="69">
        <f>'1501 Summary'!E129</f>
        <v>0</v>
      </c>
      <c r="F60" s="69">
        <f>'1501 Summary'!F129</f>
        <v>0</v>
      </c>
      <c r="G60" s="69">
        <f>'1501 Summary'!G129</f>
        <v>0</v>
      </c>
      <c r="H60" s="69">
        <f>'1501 Summary'!H129</f>
        <v>0</v>
      </c>
      <c r="I60" s="69">
        <f>'1501 Summary'!I129</f>
        <v>0</v>
      </c>
      <c r="J60" s="69">
        <f>'1501 Summary'!J129</f>
        <v>0</v>
      </c>
      <c r="K60" s="69">
        <f>'1501 Summary'!K129</f>
        <v>0</v>
      </c>
      <c r="L60" s="69">
        <f>'1501 Summary'!L129</f>
        <v>0</v>
      </c>
      <c r="M60" s="69">
        <f>'1501 Summary'!M129</f>
        <v>0</v>
      </c>
      <c r="N60" s="69">
        <f>'1501 Summary'!N129</f>
        <v>200000</v>
      </c>
      <c r="O60" s="69">
        <f>'1501 Summary'!O129</f>
        <v>200000</v>
      </c>
      <c r="P60" s="289">
        <f>SUM(D60:O60)</f>
        <v>400000</v>
      </c>
      <c r="Q60" s="6">
        <f>P60-'1501 Summary'!P129</f>
        <v>0</v>
      </c>
    </row>
    <row r="61" spans="2:17">
      <c r="B61" s="1212">
        <v>57</v>
      </c>
      <c r="C61" s="45" t="s">
        <v>435</v>
      </c>
      <c r="D61" s="69">
        <f>'1501 Summary'!D130</f>
        <v>0</v>
      </c>
      <c r="E61" s="69">
        <f>'1501 Summary'!E130</f>
        <v>0</v>
      </c>
      <c r="F61" s="69">
        <f>'1501 Summary'!F130</f>
        <v>0</v>
      </c>
      <c r="G61" s="69">
        <f>'1501 Summary'!G130</f>
        <v>0</v>
      </c>
      <c r="H61" s="69">
        <f>'1501 Summary'!H130</f>
        <v>0</v>
      </c>
      <c r="I61" s="69">
        <f>'1501 Summary'!I130</f>
        <v>0</v>
      </c>
      <c r="J61" s="69">
        <f>'1501 Summary'!J130</f>
        <v>0</v>
      </c>
      <c r="K61" s="69">
        <f>'1501 Summary'!K130</f>
        <v>0</v>
      </c>
      <c r="L61" s="69">
        <f>'1501 Summary'!L130</f>
        <v>0</v>
      </c>
      <c r="M61" s="69">
        <f>'1501 Summary'!M130</f>
        <v>0</v>
      </c>
      <c r="N61" s="69">
        <f>'1501 Summary'!N130</f>
        <v>13205.513784461153</v>
      </c>
      <c r="O61" s="69">
        <f>'1501 Summary'!O130</f>
        <v>279085.21303258149</v>
      </c>
      <c r="P61" s="289">
        <f>SUM(D61:O61)</f>
        <v>292290.72681704263</v>
      </c>
      <c r="Q61" s="6">
        <f>P61-'1501 Summary'!P130</f>
        <v>0</v>
      </c>
    </row>
    <row r="62" spans="2:17">
      <c r="B62" s="1212">
        <v>58</v>
      </c>
      <c r="C62" s="45" t="s">
        <v>533</v>
      </c>
      <c r="D62" s="69">
        <v>0</v>
      </c>
      <c r="E62" s="69">
        <v>0</v>
      </c>
      <c r="F62" s="69">
        <v>0</v>
      </c>
      <c r="G62" s="69">
        <v>0</v>
      </c>
      <c r="H62" s="69">
        <v>0</v>
      </c>
      <c r="I62" s="69">
        <v>0</v>
      </c>
      <c r="J62" s="69">
        <v>0</v>
      </c>
      <c r="K62" s="69">
        <v>0</v>
      </c>
      <c r="L62" s="69">
        <v>0</v>
      </c>
      <c r="M62" s="69">
        <v>0</v>
      </c>
      <c r="N62" s="69">
        <f>N58/'1501 Summary'!AC13</f>
        <v>100000</v>
      </c>
      <c r="O62" s="69">
        <f>O58/'1501 Summary'!AD13</f>
        <v>100000</v>
      </c>
      <c r="P62" s="289"/>
    </row>
    <row r="63" spans="2:17">
      <c r="B63" s="1212">
        <v>59</v>
      </c>
      <c r="C63" s="45" t="s">
        <v>534</v>
      </c>
      <c r="D63" s="69">
        <v>0</v>
      </c>
      <c r="E63" s="69">
        <v>0</v>
      </c>
      <c r="F63" s="69">
        <v>0</v>
      </c>
      <c r="G63" s="69">
        <v>0</v>
      </c>
      <c r="H63" s="69">
        <v>0</v>
      </c>
      <c r="I63" s="69">
        <v>0</v>
      </c>
      <c r="J63" s="69">
        <v>0</v>
      </c>
      <c r="K63" s="69">
        <v>0</v>
      </c>
      <c r="L63" s="69">
        <v>0</v>
      </c>
      <c r="M63" s="69">
        <v>0</v>
      </c>
      <c r="N63" s="69">
        <f>N59/'1501 Summary'!AC13</f>
        <v>200000</v>
      </c>
      <c r="O63" s="69">
        <f>O59/'1501 Summary'!AD13</f>
        <v>200000</v>
      </c>
      <c r="P63" s="289"/>
    </row>
    <row r="64" spans="2:17">
      <c r="B64" s="1212">
        <v>60</v>
      </c>
      <c r="C64" s="45" t="s">
        <v>534</v>
      </c>
      <c r="D64" s="69">
        <v>0</v>
      </c>
      <c r="E64" s="69">
        <v>0</v>
      </c>
      <c r="F64" s="69">
        <v>0</v>
      </c>
      <c r="G64" s="69">
        <v>0</v>
      </c>
      <c r="H64" s="69">
        <v>0</v>
      </c>
      <c r="I64" s="69">
        <v>0</v>
      </c>
      <c r="J64" s="69">
        <v>0</v>
      </c>
      <c r="K64" s="69">
        <v>0</v>
      </c>
      <c r="L64" s="69">
        <v>0</v>
      </c>
      <c r="M64" s="69">
        <v>0</v>
      </c>
      <c r="N64" s="69">
        <f>N60/'1501 Summary'!AC13</f>
        <v>200000</v>
      </c>
      <c r="O64" s="69">
        <f>O60/'1501 Summary'!AD13</f>
        <v>200000</v>
      </c>
      <c r="P64" s="289"/>
    </row>
    <row r="65" spans="2:17">
      <c r="B65" s="1212">
        <v>61</v>
      </c>
      <c r="C65" s="45" t="s">
        <v>535</v>
      </c>
      <c r="D65" s="69">
        <v>0</v>
      </c>
      <c r="E65" s="69">
        <v>0</v>
      </c>
      <c r="F65" s="69">
        <v>0</v>
      </c>
      <c r="G65" s="69">
        <v>0</v>
      </c>
      <c r="H65" s="69">
        <v>0</v>
      </c>
      <c r="I65" s="69">
        <v>0</v>
      </c>
      <c r="J65" s="69">
        <v>0</v>
      </c>
      <c r="K65" s="69">
        <v>0</v>
      </c>
      <c r="L65" s="69">
        <v>0</v>
      </c>
      <c r="M65" s="69">
        <v>0</v>
      </c>
      <c r="N65" s="69">
        <f>N61/'1501 Summary'!AC13</f>
        <v>13205.513784461153</v>
      </c>
      <c r="O65" s="69">
        <f>O61/'1501 Summary'!AD13</f>
        <v>279085.21303258149</v>
      </c>
      <c r="P65" s="289"/>
    </row>
    <row r="66" spans="2:17">
      <c r="B66" s="1212">
        <v>62</v>
      </c>
      <c r="C66" s="48" t="s">
        <v>537</v>
      </c>
      <c r="D66" s="49">
        <v>0</v>
      </c>
      <c r="E66" s="49">
        <v>0</v>
      </c>
      <c r="F66" s="49">
        <v>0</v>
      </c>
      <c r="G66" s="49">
        <v>0</v>
      </c>
      <c r="H66" s="49">
        <v>0</v>
      </c>
      <c r="I66" s="49">
        <v>0</v>
      </c>
      <c r="J66" s="49">
        <v>0</v>
      </c>
      <c r="K66" s="49">
        <v>0</v>
      </c>
      <c r="L66" s="49">
        <v>0</v>
      </c>
      <c r="M66" s="49">
        <v>0</v>
      </c>
      <c r="N66" s="55">
        <f>SUM(N58:N61)/'1501 Summary'!AC13</f>
        <v>513205.51378446113</v>
      </c>
      <c r="O66" s="55">
        <f>SUM(O58:O61)/'1501 Summary'!AD13</f>
        <v>779085.21303258149</v>
      </c>
      <c r="P66" s="289"/>
    </row>
    <row r="67" spans="2:17">
      <c r="B67" s="1212">
        <v>63</v>
      </c>
      <c r="C67" s="59">
        <v>6633</v>
      </c>
      <c r="D67" s="52"/>
      <c r="E67" s="52"/>
      <c r="F67" s="933"/>
      <c r="G67" s="933"/>
      <c r="H67" s="933"/>
      <c r="I67" s="933"/>
      <c r="J67" s="933"/>
      <c r="K67" s="933"/>
      <c r="L67" s="933"/>
      <c r="M67" s="933"/>
      <c r="N67" s="933"/>
      <c r="O67" s="862"/>
      <c r="P67" s="289"/>
    </row>
    <row r="68" spans="2:17">
      <c r="B68" s="1212">
        <v>64</v>
      </c>
      <c r="C68" s="890" t="s">
        <v>433</v>
      </c>
      <c r="D68" s="52">
        <f>'1501 Summary'!D153</f>
        <v>100000</v>
      </c>
      <c r="E68" s="52">
        <f>'1501 Summary'!E153</f>
        <v>100000</v>
      </c>
      <c r="F68" s="52">
        <f>'1501 Summary'!F153</f>
        <v>100000</v>
      </c>
      <c r="G68" s="52">
        <f>'1501 Summary'!G153</f>
        <v>100000</v>
      </c>
      <c r="H68" s="52">
        <f>'1501 Summary'!H153</f>
        <v>100000</v>
      </c>
      <c r="I68" s="52">
        <f>'1501 Summary'!I153</f>
        <v>100000</v>
      </c>
      <c r="J68" s="52">
        <f>'1501 Summary'!J153</f>
        <v>100000</v>
      </c>
      <c r="K68" s="52">
        <f>'1501 Summary'!K153</f>
        <v>100000</v>
      </c>
      <c r="L68" s="52">
        <f>'1501 Summary'!L153</f>
        <v>100000</v>
      </c>
      <c r="M68" s="52">
        <f>'1501 Summary'!M153</f>
        <v>100000</v>
      </c>
      <c r="N68" s="52">
        <f>'1501 Summary'!N153</f>
        <v>100000</v>
      </c>
      <c r="O68" s="52">
        <f>'1501 Summary'!O153</f>
        <v>100000</v>
      </c>
      <c r="P68" s="289">
        <f>SUM(D68:O68)</f>
        <v>1200000</v>
      </c>
      <c r="Q68" s="289">
        <f>P68-'1501 Summary'!P153</f>
        <v>0</v>
      </c>
    </row>
    <row r="69" spans="2:17">
      <c r="B69" s="1212">
        <v>65</v>
      </c>
      <c r="C69" s="890" t="s">
        <v>434</v>
      </c>
      <c r="D69" s="52">
        <f>'1501 Summary'!D154</f>
        <v>200000.00000000003</v>
      </c>
      <c r="E69" s="52">
        <f>'1501 Summary'!E154</f>
        <v>200000.00000000003</v>
      </c>
      <c r="F69" s="52">
        <f>'1501 Summary'!F154</f>
        <v>200000.00000000003</v>
      </c>
      <c r="G69" s="52">
        <f>'1501 Summary'!G154</f>
        <v>200000</v>
      </c>
      <c r="H69" s="52">
        <f>'1501 Summary'!H154</f>
        <v>200000</v>
      </c>
      <c r="I69" s="52">
        <f>'1501 Summary'!I154</f>
        <v>200000</v>
      </c>
      <c r="J69" s="52">
        <f>'1501 Summary'!J154</f>
        <v>200000</v>
      </c>
      <c r="K69" s="52">
        <f>'1501 Summary'!K154</f>
        <v>200000</v>
      </c>
      <c r="L69" s="52">
        <f>'1501 Summary'!L154</f>
        <v>200000</v>
      </c>
      <c r="M69" s="52">
        <f>'1501 Summary'!M154</f>
        <v>200000</v>
      </c>
      <c r="N69" s="52">
        <f>'1501 Summary'!N154</f>
        <v>200000</v>
      </c>
      <c r="O69" s="52">
        <f>'1501 Summary'!O154</f>
        <v>200000</v>
      </c>
      <c r="P69" s="289">
        <f>SUM(D69:O69)</f>
        <v>2400000</v>
      </c>
      <c r="Q69" s="289">
        <f>P69-'1501 Summary'!P154</f>
        <v>0</v>
      </c>
    </row>
    <row r="70" spans="2:17">
      <c r="B70" s="1212">
        <v>66</v>
      </c>
      <c r="C70" s="890" t="s">
        <v>434</v>
      </c>
      <c r="D70" s="52">
        <f>'1501 Summary'!D155</f>
        <v>200000</v>
      </c>
      <c r="E70" s="52">
        <f>'1501 Summary'!E155</f>
        <v>200000</v>
      </c>
      <c r="F70" s="52">
        <f>'1501 Summary'!F155</f>
        <v>200000</v>
      </c>
      <c r="G70" s="52">
        <f>'1501 Summary'!G155</f>
        <v>200000</v>
      </c>
      <c r="H70" s="52">
        <f>'1501 Summary'!H155</f>
        <v>200000</v>
      </c>
      <c r="I70" s="52">
        <f>'1501 Summary'!I155</f>
        <v>200000</v>
      </c>
      <c r="J70" s="52">
        <f>'1501 Summary'!J155</f>
        <v>200000</v>
      </c>
      <c r="K70" s="52">
        <f>'1501 Summary'!K155</f>
        <v>200000</v>
      </c>
      <c r="L70" s="52">
        <f>'1501 Summary'!L155</f>
        <v>200000</v>
      </c>
      <c r="M70" s="52">
        <f>'1501 Summary'!M155</f>
        <v>200000</v>
      </c>
      <c r="N70" s="52">
        <f>'1501 Summary'!N155</f>
        <v>200000</v>
      </c>
      <c r="O70" s="52">
        <f>'1501 Summary'!O155</f>
        <v>200000</v>
      </c>
      <c r="P70" s="289">
        <f>SUM(D70:O70)</f>
        <v>2400000</v>
      </c>
      <c r="Q70" s="289">
        <f>P70-'1501 Summary'!P155</f>
        <v>0</v>
      </c>
    </row>
    <row r="71" spans="2:17">
      <c r="B71" s="1212">
        <v>67</v>
      </c>
      <c r="C71" s="890" t="s">
        <v>435</v>
      </c>
      <c r="D71" s="52">
        <f>'1501 Summary'!D156</f>
        <v>13386983.985765126</v>
      </c>
      <c r="E71" s="52">
        <f>'1501 Summary'!E156</f>
        <v>9193366.5480427053</v>
      </c>
      <c r="F71" s="52">
        <f>'1501 Summary'!F156</f>
        <v>6938729.5373665486</v>
      </c>
      <c r="G71" s="52">
        <f>'1501 Summary'!G156</f>
        <v>13729127.819548873</v>
      </c>
      <c r="H71" s="52">
        <f>'1501 Summary'!H156</f>
        <v>10501952.380952382</v>
      </c>
      <c r="I71" s="52">
        <f>'1501 Summary'!I156</f>
        <v>291583.95989974943</v>
      </c>
      <c r="J71" s="52">
        <f>'1501 Summary'!J156</f>
        <v>806946.1152882207</v>
      </c>
      <c r="K71" s="52">
        <f>'1501 Summary'!K156</f>
        <v>4680230.5764411027</v>
      </c>
      <c r="L71" s="52">
        <f>'1501 Summary'!L156</f>
        <v>9778160.4010025077</v>
      </c>
      <c r="M71" s="52">
        <f>'1501 Summary'!M156</f>
        <v>12075104.010025064</v>
      </c>
      <c r="N71" s="52">
        <f>'1501 Summary'!N156</f>
        <v>7768304.5112781962</v>
      </c>
      <c r="O71" s="52">
        <f>'1501 Summary'!O156</f>
        <v>1919245.6140350879</v>
      </c>
      <c r="P71" s="289">
        <f>SUM(D71:O71)</f>
        <v>91069735.459645554</v>
      </c>
      <c r="Q71" s="289">
        <f>P71-'1501 Summary'!P156</f>
        <v>0</v>
      </c>
    </row>
    <row r="72" spans="2:17">
      <c r="B72" s="1212">
        <v>68</v>
      </c>
      <c r="C72" s="863" t="s">
        <v>533</v>
      </c>
      <c r="D72" s="52">
        <f>D68/'1501 Summary'!S14</f>
        <v>100000</v>
      </c>
      <c r="E72" s="52">
        <f>E68/'1501 Summary'!T14</f>
        <v>100000</v>
      </c>
      <c r="F72" s="52">
        <f>F68/'1501 Summary'!U14</f>
        <v>100000</v>
      </c>
      <c r="G72" s="52">
        <f>G68/'1501 Summary'!V14</f>
        <v>100000</v>
      </c>
      <c r="H72" s="52">
        <f>H68/'1501 Summary'!W14</f>
        <v>100000</v>
      </c>
      <c r="I72" s="52">
        <f>I68/'1501 Summary'!X14</f>
        <v>100000</v>
      </c>
      <c r="J72" s="52">
        <f>J68/'1501 Summary'!Y14</f>
        <v>100000</v>
      </c>
      <c r="K72" s="52">
        <f>K68/'1501 Summary'!Z14</f>
        <v>100000</v>
      </c>
      <c r="L72" s="52">
        <f>L68/'1501 Summary'!AA14</f>
        <v>100000</v>
      </c>
      <c r="M72" s="52">
        <f>M68/'1501 Summary'!AB14</f>
        <v>100000</v>
      </c>
      <c r="N72" s="52">
        <f>N68/'1501 Summary'!AC14</f>
        <v>100000</v>
      </c>
      <c r="O72" s="52">
        <f>O68/'1501 Summary'!AD14</f>
        <v>100000</v>
      </c>
      <c r="P72" s="289"/>
    </row>
    <row r="73" spans="2:17">
      <c r="B73" s="1212">
        <v>69</v>
      </c>
      <c r="C73" s="863" t="s">
        <v>534</v>
      </c>
      <c r="D73" s="52">
        <f>D69/'1501 Summary'!S14</f>
        <v>200000.00000000003</v>
      </c>
      <c r="E73" s="52">
        <f>E69/'1501 Summary'!T14</f>
        <v>200000.00000000003</v>
      </c>
      <c r="F73" s="52">
        <f>F69/'1501 Summary'!U14</f>
        <v>200000.00000000003</v>
      </c>
      <c r="G73" s="52">
        <f>G69/'1501 Summary'!V14</f>
        <v>200000</v>
      </c>
      <c r="H73" s="52">
        <f>H69/'1501 Summary'!W14</f>
        <v>200000</v>
      </c>
      <c r="I73" s="52">
        <f>I69/'1501 Summary'!X14</f>
        <v>200000</v>
      </c>
      <c r="J73" s="52">
        <f>J69/'1501 Summary'!Y14</f>
        <v>200000</v>
      </c>
      <c r="K73" s="52">
        <f>K69/'1501 Summary'!Z14</f>
        <v>200000</v>
      </c>
      <c r="L73" s="52">
        <f>L69/'1501 Summary'!AA14</f>
        <v>200000</v>
      </c>
      <c r="M73" s="52">
        <f>M69/'1501 Summary'!AB14</f>
        <v>200000</v>
      </c>
      <c r="N73" s="52">
        <f>N69/'1501 Summary'!AC14</f>
        <v>200000</v>
      </c>
      <c r="O73" s="52">
        <f>O69/'1501 Summary'!AD14</f>
        <v>200000</v>
      </c>
      <c r="P73" s="289"/>
    </row>
    <row r="74" spans="2:17">
      <c r="B74" s="1212">
        <v>70</v>
      </c>
      <c r="C74" s="863" t="s">
        <v>534</v>
      </c>
      <c r="D74" s="52">
        <f>D70/'1501 Summary'!S14</f>
        <v>200000</v>
      </c>
      <c r="E74" s="52">
        <f>E70/'1501 Summary'!T14</f>
        <v>200000</v>
      </c>
      <c r="F74" s="52">
        <f>F70/'1501 Summary'!U14</f>
        <v>200000</v>
      </c>
      <c r="G74" s="52">
        <f>G70/'1501 Summary'!V14</f>
        <v>200000</v>
      </c>
      <c r="H74" s="52">
        <f>H70/'1501 Summary'!W14</f>
        <v>200000</v>
      </c>
      <c r="I74" s="52">
        <f>I70/'1501 Summary'!X14</f>
        <v>200000</v>
      </c>
      <c r="J74" s="52">
        <f>J70/'1501 Summary'!Y14</f>
        <v>200000</v>
      </c>
      <c r="K74" s="52">
        <f>K70/'1501 Summary'!Z14</f>
        <v>200000</v>
      </c>
      <c r="L74" s="52">
        <f>L70/'1501 Summary'!AA14</f>
        <v>200000</v>
      </c>
      <c r="M74" s="52">
        <f>M70/'1501 Summary'!AB14</f>
        <v>200000</v>
      </c>
      <c r="N74" s="52">
        <f>N70/'1501 Summary'!AC14</f>
        <v>200000</v>
      </c>
      <c r="O74" s="52">
        <f>O70/'1501 Summary'!AD14</f>
        <v>200000</v>
      </c>
      <c r="P74" s="289"/>
    </row>
    <row r="75" spans="2:17">
      <c r="B75" s="1212">
        <v>71</v>
      </c>
      <c r="C75" s="863" t="s">
        <v>535</v>
      </c>
      <c r="D75" s="52">
        <f>D71/'1501 Summary'!S14</f>
        <v>13386983.985765126</v>
      </c>
      <c r="E75" s="52">
        <f>E71/'1501 Summary'!T14</f>
        <v>9193366.5480427053</v>
      </c>
      <c r="F75" s="52">
        <f>F71/'1501 Summary'!U14</f>
        <v>6938729.5373665486</v>
      </c>
      <c r="G75" s="52">
        <f>G71/'1501 Summary'!V14</f>
        <v>13729127.819548873</v>
      </c>
      <c r="H75" s="52">
        <f>H71/'1501 Summary'!W14</f>
        <v>10501952.380952382</v>
      </c>
      <c r="I75" s="52">
        <f>I71/'1501 Summary'!X14</f>
        <v>291583.95989974943</v>
      </c>
      <c r="J75" s="52">
        <f>J71/'1501 Summary'!Y14</f>
        <v>806946.1152882207</v>
      </c>
      <c r="K75" s="52">
        <f>K71/'1501 Summary'!Z14</f>
        <v>4680230.5764411027</v>
      </c>
      <c r="L75" s="52">
        <f>L71/'1501 Summary'!AA14</f>
        <v>9778160.4010025077</v>
      </c>
      <c r="M75" s="52">
        <f>M71/'1501 Summary'!AB14</f>
        <v>12075104.010025064</v>
      </c>
      <c r="N75" s="52">
        <f>N71/'1501 Summary'!AC14</f>
        <v>7768304.5112781962</v>
      </c>
      <c r="O75" s="52">
        <f>O71/'1501 Summary'!AD14</f>
        <v>1919245.6140350879</v>
      </c>
      <c r="P75" s="289"/>
    </row>
    <row r="76" spans="2:17">
      <c r="B76" s="1212">
        <v>72</v>
      </c>
      <c r="C76" s="863" t="s">
        <v>538</v>
      </c>
      <c r="D76" s="864">
        <f>SUM(D72:D75)/'1501 Summary'!S14</f>
        <v>13886983.985765126</v>
      </c>
      <c r="E76" s="864">
        <f>SUM(E72:E75)/'1501 Summary'!T14</f>
        <v>9693366.5480427053</v>
      </c>
      <c r="F76" s="864">
        <f>SUM(F72:F75)/'1501 Summary'!U14</f>
        <v>7438729.5373665486</v>
      </c>
      <c r="G76" s="864">
        <f>SUM(G72:G75)/'1501 Summary'!V14</f>
        <v>14229127.819548873</v>
      </c>
      <c r="H76" s="864">
        <f>SUM(H72:H75)/'1501 Summary'!W14</f>
        <v>11001952.380952382</v>
      </c>
      <c r="I76" s="864">
        <f>SUM(I72:I75)/'1501 Summary'!X14</f>
        <v>791583.95989974937</v>
      </c>
      <c r="J76" s="864">
        <f>SUM(J72:J75)/'1501 Summary'!Y14</f>
        <v>1306946.1152882208</v>
      </c>
      <c r="K76" s="864">
        <f>SUM(K72:K75)/'1501 Summary'!Z14</f>
        <v>5180230.5764411027</v>
      </c>
      <c r="L76" s="864">
        <f>SUM(L72:L75)/'1501 Summary'!AA14</f>
        <v>10278160.401002508</v>
      </c>
      <c r="M76" s="864">
        <f>SUM(M72:M75)/'1501 Summary'!AB14</f>
        <v>12575104.010025064</v>
      </c>
      <c r="N76" s="864">
        <f>SUM(N72:N75)/'1501 Summary'!AC14</f>
        <v>8268304.5112781962</v>
      </c>
      <c r="O76" s="864">
        <f>SUM(O72:O75)/'1501 Summary'!AD14</f>
        <v>2419245.6140350876</v>
      </c>
      <c r="P76" s="289"/>
    </row>
    <row r="77" spans="2:17">
      <c r="B77" s="1212">
        <v>73</v>
      </c>
      <c r="C77" s="70">
        <v>6635</v>
      </c>
      <c r="D77" s="891"/>
      <c r="E77" s="891"/>
      <c r="F77" s="891"/>
      <c r="G77" s="891"/>
      <c r="H77" s="891"/>
      <c r="I77" s="891"/>
      <c r="J77" s="891"/>
      <c r="K77" s="891"/>
      <c r="L77" s="891"/>
      <c r="M77" s="891"/>
      <c r="N77" s="891"/>
      <c r="O77" s="892"/>
      <c r="P77" s="289"/>
    </row>
    <row r="78" spans="2:17">
      <c r="B78" s="1212">
        <v>74</v>
      </c>
      <c r="C78" s="893" t="s">
        <v>433</v>
      </c>
      <c r="D78" s="880">
        <f>'1501 Summary'!D181</f>
        <v>100000</v>
      </c>
      <c r="E78" s="880">
        <f>'1501 Summary'!E181</f>
        <v>100000</v>
      </c>
      <c r="F78" s="880">
        <f>'1501 Summary'!F181</f>
        <v>100000</v>
      </c>
      <c r="G78" s="880">
        <f>'1501 Summary'!G181</f>
        <v>100000</v>
      </c>
      <c r="H78" s="880">
        <f>'1501 Summary'!H181</f>
        <v>100000</v>
      </c>
      <c r="I78" s="880">
        <f>'1501 Summary'!I181</f>
        <v>100000</v>
      </c>
      <c r="J78" s="880">
        <f>'1501 Summary'!J181</f>
        <v>100000</v>
      </c>
      <c r="K78" s="880">
        <f>'1501 Summary'!K181</f>
        <v>100000</v>
      </c>
      <c r="L78" s="880">
        <f>'1501 Summary'!L181</f>
        <v>100000</v>
      </c>
      <c r="M78" s="880">
        <f>'1501 Summary'!M181</f>
        <v>100000</v>
      </c>
      <c r="N78" s="880">
        <f>'1501 Summary'!N181</f>
        <v>100000</v>
      </c>
      <c r="O78" s="880">
        <f>'1501 Summary'!O181</f>
        <v>100000</v>
      </c>
      <c r="P78" s="289">
        <f>SUM(D78:O78)</f>
        <v>1200000</v>
      </c>
      <c r="Q78" s="289">
        <f>P78-'1501 Summary'!P181</f>
        <v>0</v>
      </c>
    </row>
    <row r="79" spans="2:17">
      <c r="B79" s="1212">
        <v>75</v>
      </c>
      <c r="C79" s="893" t="s">
        <v>434</v>
      </c>
      <c r="D79" s="880">
        <f>'1501 Summary'!D182</f>
        <v>200000.00000000003</v>
      </c>
      <c r="E79" s="880">
        <f>'1501 Summary'!E182</f>
        <v>200000.00000000003</v>
      </c>
      <c r="F79" s="880">
        <f>'1501 Summary'!F182</f>
        <v>200000.00000000003</v>
      </c>
      <c r="G79" s="880">
        <f>'1501 Summary'!G182</f>
        <v>200000</v>
      </c>
      <c r="H79" s="880">
        <f>'1501 Summary'!H182</f>
        <v>200000</v>
      </c>
      <c r="I79" s="880">
        <f>'1501 Summary'!I182</f>
        <v>200000</v>
      </c>
      <c r="J79" s="880">
        <f>'1501 Summary'!J182</f>
        <v>200000</v>
      </c>
      <c r="K79" s="880">
        <f>'1501 Summary'!K182</f>
        <v>200000</v>
      </c>
      <c r="L79" s="880">
        <f>'1501 Summary'!L182</f>
        <v>200000</v>
      </c>
      <c r="M79" s="880">
        <f>'1501 Summary'!M182</f>
        <v>200000</v>
      </c>
      <c r="N79" s="880">
        <f>'1501 Summary'!N182</f>
        <v>200000</v>
      </c>
      <c r="O79" s="880">
        <f>'1501 Summary'!O182</f>
        <v>200000</v>
      </c>
      <c r="P79" s="289">
        <f>SUM(D79:O79)</f>
        <v>2400000</v>
      </c>
      <c r="Q79" s="289">
        <f>P79-'1501 Summary'!P182</f>
        <v>0</v>
      </c>
    </row>
    <row r="80" spans="2:17">
      <c r="B80" s="1212">
        <v>76</v>
      </c>
      <c r="C80" s="893" t="s">
        <v>434</v>
      </c>
      <c r="D80" s="880">
        <f>'1501 Summary'!D183</f>
        <v>200000</v>
      </c>
      <c r="E80" s="880">
        <f>'1501 Summary'!E183</f>
        <v>62330.79526226734</v>
      </c>
      <c r="F80" s="880">
        <f>'1501 Summary'!F183</f>
        <v>200000</v>
      </c>
      <c r="G80" s="880">
        <f>'1501 Summary'!G183</f>
        <v>200000</v>
      </c>
      <c r="H80" s="880">
        <f>'1501 Summary'!H183</f>
        <v>200000</v>
      </c>
      <c r="I80" s="880">
        <f>'1501 Summary'!I183</f>
        <v>147784.11405295317</v>
      </c>
      <c r="J80" s="880">
        <f>'1501 Summary'!J183</f>
        <v>200000</v>
      </c>
      <c r="K80" s="880">
        <f>'1501 Summary'!K183</f>
        <v>200000</v>
      </c>
      <c r="L80" s="880">
        <f>'1501 Summary'!L183</f>
        <v>200000</v>
      </c>
      <c r="M80" s="880">
        <f>'1501 Summary'!M183</f>
        <v>200000</v>
      </c>
      <c r="N80" s="880">
        <f>'1501 Summary'!N183</f>
        <v>200000</v>
      </c>
      <c r="O80" s="880">
        <f>'1501 Summary'!O183</f>
        <v>200000</v>
      </c>
      <c r="P80" s="289">
        <f>SUM(D80:O80)</f>
        <v>2210114.9093152205</v>
      </c>
      <c r="Q80" s="289">
        <f>P80-'1501 Summary'!P183</f>
        <v>0</v>
      </c>
    </row>
    <row r="81" spans="2:17">
      <c r="B81" s="1212">
        <v>77</v>
      </c>
      <c r="C81" s="893" t="s">
        <v>435</v>
      </c>
      <c r="D81" s="880">
        <f>'1501 Summary'!D184</f>
        <v>797587.18861209962</v>
      </c>
      <c r="E81" s="880">
        <f>'1501 Summary'!E184</f>
        <v>0</v>
      </c>
      <c r="F81" s="880">
        <f>'1501 Summary'!F184</f>
        <v>261639</v>
      </c>
      <c r="G81" s="880">
        <f>'1501 Summary'!G184</f>
        <v>2504872.1804511282</v>
      </c>
      <c r="H81" s="880">
        <f>'1501 Summary'!H184</f>
        <v>2930843.3583959904</v>
      </c>
      <c r="I81" s="880">
        <f>'1501 Summary'!I184</f>
        <v>0</v>
      </c>
      <c r="J81" s="880">
        <f>'1501 Summary'!J184</f>
        <v>236401.00250626568</v>
      </c>
      <c r="K81" s="880">
        <f>'1501 Summary'!K184</f>
        <v>1484278.1954887221</v>
      </c>
      <c r="L81" s="880">
        <f>'1501 Summary'!L184</f>
        <v>3834957.3934837095</v>
      </c>
      <c r="M81" s="880">
        <f>'1501 Summary'!M184</f>
        <v>4935909.7744360901</v>
      </c>
      <c r="N81" s="880">
        <f>'1501 Summary'!N184</f>
        <v>1090604.0100250628</v>
      </c>
      <c r="O81" s="880">
        <f>'1501 Summary'!O184</f>
        <v>416409.77443609026</v>
      </c>
      <c r="P81" s="289">
        <f>SUM(D81:O81)</f>
        <v>18493501.877835158</v>
      </c>
      <c r="Q81" s="289">
        <f>P81-'1501 Summary'!P184</f>
        <v>0</v>
      </c>
    </row>
    <row r="82" spans="2:17">
      <c r="B82" s="1212">
        <v>78</v>
      </c>
      <c r="C82" s="70" t="s">
        <v>533</v>
      </c>
      <c r="D82" s="46">
        <f>D78/'1501 Summary'!S15</f>
        <v>100000</v>
      </c>
      <c r="E82" s="46">
        <f>E78/'1501 Summary'!T15</f>
        <v>100000</v>
      </c>
      <c r="F82" s="46">
        <f>F78/'1501 Summary'!U15</f>
        <v>100000</v>
      </c>
      <c r="G82" s="46">
        <f>G78/'1501 Summary'!V15</f>
        <v>100000</v>
      </c>
      <c r="H82" s="46">
        <f>H78/'1501 Summary'!W15</f>
        <v>100000</v>
      </c>
      <c r="I82" s="46">
        <f>I78/'1501 Summary'!X15</f>
        <v>100000</v>
      </c>
      <c r="J82" s="46">
        <f>J78/'1501 Summary'!Y15</f>
        <v>100000</v>
      </c>
      <c r="K82" s="46">
        <f>K78/'1501 Summary'!Z15</f>
        <v>100000</v>
      </c>
      <c r="L82" s="46">
        <f>L78/'1501 Summary'!AA15</f>
        <v>100000</v>
      </c>
      <c r="M82" s="46">
        <f>M78/'1501 Summary'!AB15</f>
        <v>100000</v>
      </c>
      <c r="N82" s="46">
        <f>N78/'1501 Summary'!AC15</f>
        <v>100000</v>
      </c>
      <c r="O82" s="46">
        <f>O78/'1501 Summary'!AD15</f>
        <v>100000</v>
      </c>
      <c r="P82" s="289"/>
    </row>
    <row r="83" spans="2:17">
      <c r="B83" s="1212">
        <v>79</v>
      </c>
      <c r="C83" s="70" t="s">
        <v>534</v>
      </c>
      <c r="D83" s="46">
        <f>D79/'1501 Summary'!S15</f>
        <v>200000.00000000003</v>
      </c>
      <c r="E83" s="46">
        <f>E79/'1501 Summary'!T15</f>
        <v>200000.00000000003</v>
      </c>
      <c r="F83" s="46">
        <f>F79/'1501 Summary'!U15</f>
        <v>200000.00000000003</v>
      </c>
      <c r="G83" s="46">
        <f>G79/'1501 Summary'!V15</f>
        <v>200000</v>
      </c>
      <c r="H83" s="46">
        <f>H79/'1501 Summary'!W15</f>
        <v>200000</v>
      </c>
      <c r="I83" s="46">
        <f>I79/'1501 Summary'!X15</f>
        <v>200000</v>
      </c>
      <c r="J83" s="46">
        <f>J79/'1501 Summary'!Y15</f>
        <v>200000</v>
      </c>
      <c r="K83" s="46">
        <f>K79/'1501 Summary'!Z15</f>
        <v>200000</v>
      </c>
      <c r="L83" s="46">
        <f>L79/'1501 Summary'!AA15</f>
        <v>200000</v>
      </c>
      <c r="M83" s="46">
        <f>M79/'1501 Summary'!AB15</f>
        <v>200000</v>
      </c>
      <c r="N83" s="46">
        <f>N79/'1501 Summary'!AC15</f>
        <v>200000</v>
      </c>
      <c r="O83" s="46">
        <f>O79/'1501 Summary'!AD15</f>
        <v>200000</v>
      </c>
      <c r="P83" s="289"/>
    </row>
    <row r="84" spans="2:17">
      <c r="B84" s="1212">
        <v>80</v>
      </c>
      <c r="C84" s="70" t="s">
        <v>534</v>
      </c>
      <c r="D84" s="46">
        <f>D80/'1501 Summary'!S15</f>
        <v>200000</v>
      </c>
      <c r="E84" s="46">
        <f>E80/'1501 Summary'!T15</f>
        <v>62330.79526226734</v>
      </c>
      <c r="F84" s="46">
        <f>F80/'1501 Summary'!U15</f>
        <v>200000</v>
      </c>
      <c r="G84" s="46">
        <f>G80/'1501 Summary'!V15</f>
        <v>200000</v>
      </c>
      <c r="H84" s="46">
        <f>H80/'1501 Summary'!W15</f>
        <v>200000</v>
      </c>
      <c r="I84" s="46">
        <f>I80/'1501 Summary'!X15</f>
        <v>147784.11405295317</v>
      </c>
      <c r="J84" s="46">
        <f>J80/'1501 Summary'!Y15</f>
        <v>200000</v>
      </c>
      <c r="K84" s="46">
        <f>K80/'1501 Summary'!Z15</f>
        <v>200000</v>
      </c>
      <c r="L84" s="46">
        <f>L80/'1501 Summary'!AA15</f>
        <v>200000</v>
      </c>
      <c r="M84" s="46">
        <f>M80/'1501 Summary'!AB15</f>
        <v>200000</v>
      </c>
      <c r="N84" s="46">
        <f>N80/'1501 Summary'!AC15</f>
        <v>200000</v>
      </c>
      <c r="O84" s="46">
        <f>O80/'1501 Summary'!AD15</f>
        <v>200000</v>
      </c>
      <c r="P84" s="289"/>
    </row>
    <row r="85" spans="2:17">
      <c r="B85" s="1212">
        <v>81</v>
      </c>
      <c r="C85" s="70" t="s">
        <v>535</v>
      </c>
      <c r="D85" s="46">
        <f>D81/'1501 Summary'!S15</f>
        <v>797587.18861209962</v>
      </c>
      <c r="E85" s="46">
        <f>E81/'1501 Summary'!T15</f>
        <v>0</v>
      </c>
      <c r="F85" s="46">
        <f>F81/'1501 Summary'!U15</f>
        <v>261639</v>
      </c>
      <c r="G85" s="46">
        <f>G81/'1501 Summary'!V15</f>
        <v>2504872.1804511282</v>
      </c>
      <c r="H85" s="46">
        <f>H81/'1501 Summary'!W15</f>
        <v>2930843.3583959904</v>
      </c>
      <c r="I85" s="46">
        <f>I81/'1501 Summary'!X15</f>
        <v>0</v>
      </c>
      <c r="J85" s="46">
        <f>J81/'1501 Summary'!Y15</f>
        <v>236401.00250626568</v>
      </c>
      <c r="K85" s="46">
        <f>K81/'1501 Summary'!Z15</f>
        <v>1484278.1954887221</v>
      </c>
      <c r="L85" s="46">
        <f>L81/'1501 Summary'!AA15</f>
        <v>3834957.3934837095</v>
      </c>
      <c r="M85" s="46">
        <f>M81/'1501 Summary'!AB15</f>
        <v>4935909.7744360901</v>
      </c>
      <c r="N85" s="46">
        <f>N81/'1501 Summary'!AC15</f>
        <v>1090604.0100250628</v>
      </c>
      <c r="O85" s="46">
        <f>O81/'1501 Summary'!AD15</f>
        <v>416409.77443609026</v>
      </c>
      <c r="P85" s="289"/>
    </row>
    <row r="86" spans="2:17">
      <c r="B86" s="1212">
        <v>82</v>
      </c>
      <c r="C86" s="70" t="s">
        <v>539</v>
      </c>
      <c r="D86" s="71">
        <f>SUM(D78:D81)/'1501 Summary'!S15</f>
        <v>1297587.1886120997</v>
      </c>
      <c r="E86" s="71">
        <f>SUM(E78:E81)/'1501 Summary'!T15</f>
        <v>362330.79526226735</v>
      </c>
      <c r="F86" s="71">
        <f>SUM(F78:F81)/'1501 Summary'!U15</f>
        <v>761639</v>
      </c>
      <c r="G86" s="71">
        <f>SUM(G78:G81)/'1501 Summary'!V15</f>
        <v>3004872.1804511282</v>
      </c>
      <c r="H86" s="71">
        <f>SUM(H78:H81)/'1501 Summary'!W15</f>
        <v>3430843.3583959904</v>
      </c>
      <c r="I86" s="71">
        <f>SUM(I78:I81)/'1501 Summary'!X15</f>
        <v>447784.1140529532</v>
      </c>
      <c r="J86" s="71">
        <f>SUM(J78:J81)/'1501 Summary'!Y15</f>
        <v>736401.00250626565</v>
      </c>
      <c r="K86" s="71">
        <f>SUM(K78:K81)/'1501 Summary'!Z15</f>
        <v>1984278.1954887221</v>
      </c>
      <c r="L86" s="71">
        <f>SUM(L78:L81)/'1501 Summary'!AA15</f>
        <v>4334957.3934837095</v>
      </c>
      <c r="M86" s="71">
        <f>SUM(M78:M81)/'1501 Summary'!AB15</f>
        <v>5435909.7744360901</v>
      </c>
      <c r="N86" s="71">
        <f>SUM(N78:N81)/'1501 Summary'!AC15</f>
        <v>1590604.0100250628</v>
      </c>
      <c r="O86" s="71">
        <f>SUM(O78:O81)/'1501 Summary'!AD15</f>
        <v>916409.77443609026</v>
      </c>
      <c r="P86" s="289"/>
    </row>
    <row r="87" spans="2:17">
      <c r="B87" s="1212">
        <v>83</v>
      </c>
      <c r="C87" s="863">
        <v>906</v>
      </c>
      <c r="D87" s="864"/>
      <c r="E87" s="864"/>
      <c r="F87" s="864"/>
      <c r="G87" s="864"/>
      <c r="H87" s="864"/>
      <c r="I87" s="864"/>
      <c r="J87" s="864"/>
      <c r="K87" s="864"/>
      <c r="L87" s="864"/>
      <c r="M87" s="864"/>
      <c r="N87" s="864"/>
      <c r="O87" s="865"/>
    </row>
    <row r="88" spans="2:17">
      <c r="B88" s="1212">
        <v>84</v>
      </c>
      <c r="C88" s="51" t="s">
        <v>433</v>
      </c>
      <c r="D88" s="52">
        <f>IF('1501 Summary'!D381&gt;100000,100000,'1501 Summary'!D381)</f>
        <v>100000</v>
      </c>
      <c r="E88" s="52">
        <f>IF('1501 Summary'!E381&gt;100000,100000,'1501 Summary'!E381)</f>
        <v>100000</v>
      </c>
      <c r="F88" s="52">
        <f>IF('1501 Summary'!F381&gt;100000,100000,'1501 Summary'!F381)</f>
        <v>100000</v>
      </c>
      <c r="G88" s="52">
        <f>IF('1501 Summary'!G381&gt;100000,100000,'1501 Summary'!G381)</f>
        <v>100000</v>
      </c>
      <c r="H88" s="52">
        <f>IF('1501 Summary'!H381&gt;100000,100000,'1501 Summary'!H381)</f>
        <v>100000</v>
      </c>
      <c r="I88" s="52">
        <f>IF('1501 Summary'!I381&gt;100000,100000,'1501 Summary'!I381)</f>
        <v>0</v>
      </c>
      <c r="J88" s="52">
        <f>IF('1501 Summary'!J381&gt;100000,100000,'1501 Summary'!J381)</f>
        <v>0</v>
      </c>
      <c r="K88" s="52">
        <f>IF('1501 Summary'!K381&gt;100000,100000,'1501 Summary'!K381)</f>
        <v>0</v>
      </c>
      <c r="L88" s="52">
        <f>IF('1501 Summary'!L381&gt;100000,100000,'1501 Summary'!L381)</f>
        <v>0</v>
      </c>
      <c r="M88" s="52">
        <f>IF('1501 Summary'!M381&gt;100000,100000,'1501 Summary'!M381)</f>
        <v>0</v>
      </c>
      <c r="N88" s="52">
        <f>IF('1501 Summary'!N381&gt;100000,100000,'1501 Summary'!N381)</f>
        <v>0</v>
      </c>
      <c r="O88" s="52">
        <f>IF('1501 Summary'!O381&gt;100000,100000,'1501 Summary'!O381)</f>
        <v>0</v>
      </c>
      <c r="P88" s="289">
        <f>SUM(D88:O88)</f>
        <v>500000</v>
      </c>
    </row>
    <row r="89" spans="2:17">
      <c r="B89" s="1212">
        <v>85</v>
      </c>
      <c r="C89" s="51" t="s">
        <v>434</v>
      </c>
      <c r="D89" s="52">
        <f>IF(('1501 Summary'!D381)-(100000)&gt;200000,200000,('1501 Summary'!D381)-100000)</f>
        <v>200000</v>
      </c>
      <c r="E89" s="52">
        <f>IF(('1501 Summary'!E381)-(100000)&gt;200000,200000,('1501 Summary'!E381)-100000)</f>
        <v>200000</v>
      </c>
      <c r="F89" s="52">
        <f>IF(('1501 Summary'!F381)-(100000)&gt;200000,200000,('1501 Summary'!F381)-100000)</f>
        <v>200000</v>
      </c>
      <c r="G89" s="52">
        <f>IF(('1501 Summary'!G381)-(100000)&gt;200000,200000,('1501 Summary'!G381)-100000)</f>
        <v>200000</v>
      </c>
      <c r="H89" s="52">
        <f>IF(('1501 Summary'!H381)-(100000)&gt;200000,200000,('1501 Summary'!H381)-100000)</f>
        <v>200000</v>
      </c>
      <c r="I89" s="52">
        <v>0</v>
      </c>
      <c r="J89" s="52">
        <v>0</v>
      </c>
      <c r="K89" s="52">
        <v>0</v>
      </c>
      <c r="L89" s="52">
        <v>0</v>
      </c>
      <c r="M89" s="52">
        <v>0</v>
      </c>
      <c r="N89" s="52">
        <v>0</v>
      </c>
      <c r="O89" s="52">
        <v>0</v>
      </c>
      <c r="P89" s="289">
        <f>SUM(D89:O89)</f>
        <v>1000000</v>
      </c>
    </row>
    <row r="90" spans="2:17">
      <c r="B90" s="1212">
        <v>86</v>
      </c>
      <c r="C90" s="51" t="s">
        <v>434</v>
      </c>
      <c r="D90" s="52">
        <f>IF(('1501 Summary'!D381)-(300000)&gt;200000,200000,('1501 Summary'!D381)-300000)</f>
        <v>200000</v>
      </c>
      <c r="E90" s="52">
        <f>IF(('1501 Summary'!E381)-(300000)&gt;200000,200000,('1501 Summary'!E381)-300000)</f>
        <v>200000</v>
      </c>
      <c r="F90" s="52">
        <f>IF(('1501 Summary'!F381)-(300000)&gt;200000,200000,('1501 Summary'!F381)-300000)</f>
        <v>200000</v>
      </c>
      <c r="G90" s="52">
        <f>IF(('1501 Summary'!G381)-(300000)&gt;200000,200000,('1501 Summary'!G381)-300000)</f>
        <v>200000</v>
      </c>
      <c r="H90" s="52">
        <f>IF(('1501 Summary'!H381)-(300000)&gt;200000,200000,('1501 Summary'!H381)-300000)</f>
        <v>200000</v>
      </c>
      <c r="I90" s="52">
        <v>0</v>
      </c>
      <c r="J90" s="52">
        <v>0</v>
      </c>
      <c r="K90" s="52">
        <v>0</v>
      </c>
      <c r="L90" s="52">
        <v>0</v>
      </c>
      <c r="M90" s="52">
        <v>0</v>
      </c>
      <c r="N90" s="52">
        <v>0</v>
      </c>
      <c r="O90" s="52">
        <v>0</v>
      </c>
      <c r="P90" s="289">
        <f>SUM(D90:O90)</f>
        <v>1000000</v>
      </c>
    </row>
    <row r="91" spans="2:17">
      <c r="B91" s="1212">
        <v>87</v>
      </c>
      <c r="C91" s="51" t="s">
        <v>435</v>
      </c>
      <c r="D91" s="52">
        <f>IF(('1501 Summary'!D381)-(500000)&gt;=0,('1501 Summary'!D381)-(500000),0)</f>
        <v>3682562</v>
      </c>
      <c r="E91" s="52">
        <f>IF(('1501 Summary'!E381)-(500000)&gt;=0,('1501 Summary'!E381)-(500000),0)</f>
        <v>3706155</v>
      </c>
      <c r="F91" s="52">
        <f>IF(('1501 Summary'!F381)-(500000)&gt;=0,('1501 Summary'!F381)-(500000),0)</f>
        <v>3147038</v>
      </c>
      <c r="G91" s="52">
        <f>IF(('1501 Summary'!G381)-(500000)&gt;=0,('1501 Summary'!G381)-(500000),0)</f>
        <v>3245212</v>
      </c>
      <c r="H91" s="52">
        <f>IF(('1501 Summary'!H381)-(500000)&gt;=0,('1501 Summary'!H381)-(500000),0)</f>
        <v>2770112</v>
      </c>
      <c r="I91" s="52">
        <f>IF(('1501 Summary'!I381)-(500000)&gt;=0,('1501 Summary'!I381)-(500000),0)</f>
        <v>0</v>
      </c>
      <c r="J91" s="52">
        <f>IF(('1501 Summary'!J381)-(500000)&gt;=0,('1501 Summary'!J381)-(500000),0)</f>
        <v>0</v>
      </c>
      <c r="K91" s="52">
        <f>IF(('1501 Summary'!K381)-(500000)&gt;=0,('1501 Summary'!K381)-(500000),0)</f>
        <v>0</v>
      </c>
      <c r="L91" s="52">
        <f>IF(('1501 Summary'!L381)-(500000)&gt;=0,('1501 Summary'!L381)-(500000),0)</f>
        <v>0</v>
      </c>
      <c r="M91" s="52">
        <f>IF(('1501 Summary'!M381)-(500000)&gt;=0,('1501 Summary'!M381)-(500000),0)</f>
        <v>0</v>
      </c>
      <c r="N91" s="52">
        <f>IF(('1501 Summary'!N381)-(500000)&gt;=0,('1501 Summary'!N381)-(500000),0)</f>
        <v>0</v>
      </c>
      <c r="O91" s="52">
        <f>IF(('1501 Summary'!O381)-(500000)&gt;=0,('1501 Summary'!O381)-(500000),0)</f>
        <v>0</v>
      </c>
      <c r="P91" s="289">
        <f>SUM(D91:O91)</f>
        <v>16551079</v>
      </c>
      <c r="Q91" s="289">
        <f>SUM(P88:P91)-'1501 Summary'!P381</f>
        <v>0</v>
      </c>
    </row>
    <row r="92" spans="2:17">
      <c r="B92" s="1212">
        <v>88</v>
      </c>
      <c r="C92" s="59" t="s">
        <v>533</v>
      </c>
      <c r="D92" s="52">
        <f>D88/1</f>
        <v>100000</v>
      </c>
      <c r="E92" s="52">
        <f t="shared" ref="E92:O92" si="1">E88/1</f>
        <v>100000</v>
      </c>
      <c r="F92" s="52">
        <f t="shared" si="1"/>
        <v>100000</v>
      </c>
      <c r="G92" s="52">
        <f t="shared" si="1"/>
        <v>100000</v>
      </c>
      <c r="H92" s="52">
        <f t="shared" si="1"/>
        <v>100000</v>
      </c>
      <c r="I92" s="52">
        <f t="shared" si="1"/>
        <v>0</v>
      </c>
      <c r="J92" s="52">
        <f t="shared" si="1"/>
        <v>0</v>
      </c>
      <c r="K92" s="52">
        <f t="shared" si="1"/>
        <v>0</v>
      </c>
      <c r="L92" s="52">
        <f t="shared" si="1"/>
        <v>0</v>
      </c>
      <c r="M92" s="52">
        <f t="shared" si="1"/>
        <v>0</v>
      </c>
      <c r="N92" s="52">
        <f t="shared" si="1"/>
        <v>0</v>
      </c>
      <c r="O92" s="52">
        <f t="shared" si="1"/>
        <v>0</v>
      </c>
    </row>
    <row r="93" spans="2:17">
      <c r="B93" s="1212">
        <v>89</v>
      </c>
      <c r="C93" s="59" t="s">
        <v>534</v>
      </c>
      <c r="D93" s="52">
        <f t="shared" ref="D93:O95" si="2">D89/1</f>
        <v>200000</v>
      </c>
      <c r="E93" s="52">
        <f t="shared" si="2"/>
        <v>200000</v>
      </c>
      <c r="F93" s="52">
        <f t="shared" si="2"/>
        <v>200000</v>
      </c>
      <c r="G93" s="52">
        <f t="shared" si="2"/>
        <v>200000</v>
      </c>
      <c r="H93" s="52">
        <f t="shared" si="2"/>
        <v>200000</v>
      </c>
      <c r="I93" s="52">
        <f t="shared" si="2"/>
        <v>0</v>
      </c>
      <c r="J93" s="52">
        <f t="shared" si="2"/>
        <v>0</v>
      </c>
      <c r="K93" s="52">
        <f t="shared" si="2"/>
        <v>0</v>
      </c>
      <c r="L93" s="52">
        <f t="shared" si="2"/>
        <v>0</v>
      </c>
      <c r="M93" s="52">
        <f t="shared" si="2"/>
        <v>0</v>
      </c>
      <c r="N93" s="52">
        <f t="shared" si="2"/>
        <v>0</v>
      </c>
      <c r="O93" s="52">
        <f t="shared" si="2"/>
        <v>0</v>
      </c>
    </row>
    <row r="94" spans="2:17">
      <c r="B94" s="1212">
        <v>90</v>
      </c>
      <c r="C94" s="59" t="s">
        <v>534</v>
      </c>
      <c r="D94" s="52">
        <f t="shared" si="2"/>
        <v>200000</v>
      </c>
      <c r="E94" s="52">
        <f t="shared" si="2"/>
        <v>200000</v>
      </c>
      <c r="F94" s="52">
        <f t="shared" si="2"/>
        <v>200000</v>
      </c>
      <c r="G94" s="52">
        <f t="shared" si="2"/>
        <v>200000</v>
      </c>
      <c r="H94" s="52">
        <f t="shared" si="2"/>
        <v>200000</v>
      </c>
      <c r="I94" s="52">
        <f t="shared" si="2"/>
        <v>0</v>
      </c>
      <c r="J94" s="52">
        <f t="shared" si="2"/>
        <v>0</v>
      </c>
      <c r="K94" s="52">
        <f t="shared" si="2"/>
        <v>0</v>
      </c>
      <c r="L94" s="52">
        <f t="shared" si="2"/>
        <v>0</v>
      </c>
      <c r="M94" s="52">
        <f t="shared" si="2"/>
        <v>0</v>
      </c>
      <c r="N94" s="52">
        <f t="shared" si="2"/>
        <v>0</v>
      </c>
      <c r="O94" s="52">
        <f t="shared" si="2"/>
        <v>0</v>
      </c>
    </row>
    <row r="95" spans="2:17">
      <c r="B95" s="1212">
        <v>91</v>
      </c>
      <c r="C95" s="59" t="s">
        <v>535</v>
      </c>
      <c r="D95" s="52">
        <f t="shared" si="2"/>
        <v>3682562</v>
      </c>
      <c r="E95" s="52">
        <f t="shared" si="2"/>
        <v>3706155</v>
      </c>
      <c r="F95" s="52">
        <f t="shared" si="2"/>
        <v>3147038</v>
      </c>
      <c r="G95" s="52">
        <f t="shared" si="2"/>
        <v>3245212</v>
      </c>
      <c r="H95" s="52">
        <f t="shared" si="2"/>
        <v>2770112</v>
      </c>
      <c r="I95" s="52">
        <f t="shared" si="2"/>
        <v>0</v>
      </c>
      <c r="J95" s="52">
        <f t="shared" si="2"/>
        <v>0</v>
      </c>
      <c r="K95" s="52">
        <f t="shared" si="2"/>
        <v>0</v>
      </c>
      <c r="L95" s="52">
        <f t="shared" si="2"/>
        <v>0</v>
      </c>
      <c r="M95" s="52">
        <f t="shared" si="2"/>
        <v>0</v>
      </c>
      <c r="N95" s="52">
        <f t="shared" si="2"/>
        <v>0</v>
      </c>
      <c r="O95" s="52">
        <f t="shared" si="2"/>
        <v>0</v>
      </c>
    </row>
    <row r="96" spans="2:17">
      <c r="B96" s="1212">
        <v>92</v>
      </c>
      <c r="C96" s="59" t="s">
        <v>540</v>
      </c>
      <c r="D96" s="857">
        <f>SUM(D88:D91)/1</f>
        <v>4182562</v>
      </c>
      <c r="E96" s="857">
        <f t="shared" ref="E96:O96" si="3">SUM(E88:E91)/1</f>
        <v>4206155</v>
      </c>
      <c r="F96" s="857">
        <f t="shared" si="3"/>
        <v>3647038</v>
      </c>
      <c r="G96" s="857">
        <f t="shared" si="3"/>
        <v>3745212</v>
      </c>
      <c r="H96" s="857">
        <f t="shared" si="3"/>
        <v>3270112</v>
      </c>
      <c r="I96" s="857">
        <f t="shared" si="3"/>
        <v>0</v>
      </c>
      <c r="J96" s="857">
        <f t="shared" si="3"/>
        <v>0</v>
      </c>
      <c r="K96" s="857">
        <f t="shared" si="3"/>
        <v>0</v>
      </c>
      <c r="L96" s="857">
        <f t="shared" si="3"/>
        <v>0</v>
      </c>
      <c r="M96" s="857">
        <f t="shared" si="3"/>
        <v>0</v>
      </c>
      <c r="N96" s="857">
        <f t="shared" si="3"/>
        <v>0</v>
      </c>
      <c r="O96" s="857">
        <f t="shared" si="3"/>
        <v>0</v>
      </c>
      <c r="P96" s="1501"/>
      <c r="Q96" s="1501"/>
    </row>
    <row r="97" spans="2:21">
      <c r="B97" s="1212">
        <v>93</v>
      </c>
      <c r="C97" s="48" t="s">
        <v>541</v>
      </c>
      <c r="D97" s="55">
        <f>SUM(D48,D58,D68,D78,D88)/SUM('1501 Summary'!S12,'1501 Summary'!S13,'1501 Summary'!S14,'1501 Summary'!S15)</f>
        <v>43654.652575423213</v>
      </c>
      <c r="E97" s="55">
        <f>SUM(E48,E58,E68,E78,E88)/SUM('1501 Summary'!T12,'1501 Summary'!T13,'1501 Summary'!T14,'1501 Summary'!T15)</f>
        <v>44310.609246808635</v>
      </c>
      <c r="F97" s="55">
        <f>SUM(F48,F58,F68,F78,F88)/SUM('1501 Summary'!U12,'1501 Summary'!U13,'1501 Summary'!U14,'1501 Summary'!U15)</f>
        <v>43570.209993187804</v>
      </c>
      <c r="G97" s="55">
        <f>SUM(G48,G58,G68,G78,G88)/SUM('1501 Summary'!V12,'1501 Summary'!V13,'1501 Summary'!V14,'1501 Summary'!V15)</f>
        <v>43915.588632068851</v>
      </c>
      <c r="H97" s="55">
        <f>SUM(H48,H58,H68,H78,H88)/SUM('1501 Summary'!W12,'1501 Summary'!W13,'1501 Summary'!W14,'1501 Summary'!W15)</f>
        <v>38196.702773426769</v>
      </c>
      <c r="I97" s="55">
        <f>SUM(I48,I58,I68,I78,I88)/SUM('1501 Summary'!X12,'1501 Summary'!X13,'1501 Summary'!X14,'1501 Summary'!X15)</f>
        <v>36594.705205156824</v>
      </c>
      <c r="J97" s="55">
        <f>SUM(J48,J58,J68,J78,J88)/SUM('1501 Summary'!Y12,'1501 Summary'!Y13,'1501 Summary'!Y14,'1501 Summary'!Y15)</f>
        <v>38278.794736842108</v>
      </c>
      <c r="K97" s="55">
        <f>SUM(K48,K58,K68,K78,K88)/SUM('1501 Summary'!Z12,'1501 Summary'!Z13,'1501 Summary'!Z14,'1501 Summary'!Z15)</f>
        <v>36916.18669314796</v>
      </c>
      <c r="L97" s="55">
        <f>SUM(L48,L58,L68,L78,L88)/SUM('1501 Summary'!AA12,'1501 Summary'!AA13,'1501 Summary'!AA14,'1501 Summary'!AA15)</f>
        <v>38280.926315789475</v>
      </c>
      <c r="M97" s="55">
        <f>SUM(M48,M58,M68,M78,M88)/SUM('1501 Summary'!AB12,'1501 Summary'!AB13,'1501 Summary'!AB14,'1501 Summary'!AB15)</f>
        <v>43849.206790933291</v>
      </c>
      <c r="N97" s="55">
        <f>SUM(N48,N58,N68,N78,N88)/SUM('1501 Summary'!AC12,'1501 Summary'!AC13,'1501 Summary'!AC14,'1501 Summary'!AC15)</f>
        <v>46509.183926877791</v>
      </c>
      <c r="O97" s="55">
        <f>SUM(O48,O58,O68,O78,O88)/SUM('1501 Summary'!AD12,'1501 Summary'!AD13,'1501 Summary'!AD14,'1501 Summary'!AD15)</f>
        <v>45268.546206766281</v>
      </c>
      <c r="P97" s="866"/>
      <c r="Q97" s="866"/>
    </row>
    <row r="98" spans="2:21">
      <c r="B98" s="1212">
        <v>94</v>
      </c>
      <c r="C98" s="48" t="s">
        <v>542</v>
      </c>
      <c r="D98" s="55">
        <f>SUM(D49,D59,D69,D79,D89)/SUM('1501 Summary'!S12,'1501 Summary'!S13,'1501 Summary'!S14,'1501 Summary'!S15)</f>
        <v>31921.732459387073</v>
      </c>
      <c r="E98" s="55">
        <f>SUM(E49,E59,E69,E79,E89)/SUM('1501 Summary'!T12,'1501 Summary'!T13,'1501 Summary'!T14,'1501 Summary'!T15)</f>
        <v>32641.095927479368</v>
      </c>
      <c r="F98" s="55">
        <f>SUM(F49,F59,F69,F79,F89)/SUM('1501 Summary'!U12,'1501 Summary'!U13,'1501 Summary'!U14,'1501 Summary'!U15)</f>
        <v>32016.574211879313</v>
      </c>
      <c r="G98" s="55">
        <f>SUM(G49,G59,G69,G79,G89)/SUM('1501 Summary'!V12,'1501 Summary'!V13,'1501 Summary'!V14,'1501 Summary'!V15)</f>
        <v>33250.055712930225</v>
      </c>
      <c r="H98" s="55">
        <f>SUM(H49,H59,H69,H79,H89)/SUM('1501 Summary'!W12,'1501 Summary'!W13,'1501 Summary'!W14,'1501 Summary'!W15)</f>
        <v>28526.111559111996</v>
      </c>
      <c r="I98" s="55">
        <f>SUM(I49,I59,I69,I79,I89)/SUM('1501 Summary'!X12,'1501 Summary'!X13,'1501 Summary'!X14,'1501 Summary'!X15)</f>
        <v>27447.491829878651</v>
      </c>
      <c r="J98" s="55">
        <f>SUM(J49,J59,J69,J79,J89)/SUM('1501 Summary'!Y12,'1501 Summary'!Y13,'1501 Summary'!Y14,'1501 Summary'!Y15)</f>
        <v>29882.963157894737</v>
      </c>
      <c r="K98" s="55">
        <f>SUM(K49,K59,K69,K79,K89)/SUM('1501 Summary'!Z12,'1501 Summary'!Z13,'1501 Summary'!Z14,'1501 Summary'!Z15)</f>
        <v>29404.595836094795</v>
      </c>
      <c r="L98" s="55">
        <f>SUM(L49,L59,L69,L79,L89)/SUM('1501 Summary'!AA12,'1501 Summary'!AA13,'1501 Summary'!AA14,'1501 Summary'!AA15)</f>
        <v>31693.669584295087</v>
      </c>
      <c r="M98" s="55">
        <f>SUM(M49,M59,M69,M79,M89)/SUM('1501 Summary'!AB12,'1501 Summary'!AB13,'1501 Summary'!AB14,'1501 Summary'!AB15)</f>
        <v>32716.386243386245</v>
      </c>
      <c r="N98" s="55">
        <f>SUM(N49,N59,N69,N79,N89)/SUM('1501 Summary'!AC12,'1501 Summary'!AC13,'1501 Summary'!AC14,'1501 Summary'!AC15)</f>
        <v>34557.412423874397</v>
      </c>
      <c r="O98" s="55">
        <f>SUM(O49,O59,O69,O79,O89)/SUM('1501 Summary'!AD12,'1501 Summary'!AD13,'1501 Summary'!AD14,'1501 Summary'!AD15)</f>
        <v>32502.247474747473</v>
      </c>
      <c r="P98" s="866"/>
      <c r="Q98" s="866"/>
    </row>
    <row r="99" spans="2:21">
      <c r="B99" s="1212">
        <v>95</v>
      </c>
      <c r="C99" s="48" t="s">
        <v>542</v>
      </c>
      <c r="D99" s="55">
        <f>SUM(D50,D60,D70,D80,D90)/SUM('1501 Summary'!S12,'1501 Summary'!S13,'1501 Summary'!S14,'1501 Summary'!S15)</f>
        <v>18067.154791328921</v>
      </c>
      <c r="E99" s="55">
        <f>SUM(E50,E60,E70,E80,E90)/SUM('1501 Summary'!T12,'1501 Summary'!T13,'1501 Summary'!T14,'1501 Summary'!T15)</f>
        <v>18670.549470122005</v>
      </c>
      <c r="F99" s="55">
        <f>SUM(F50,F60,F70,F80,F90)/SUM('1501 Summary'!U12,'1501 Summary'!U13,'1501 Summary'!U14,'1501 Summary'!U15)</f>
        <v>17646.094932763379</v>
      </c>
      <c r="G99" s="55">
        <f>SUM(G50,G60,G70,G80,G90)/SUM('1501 Summary'!V12,'1501 Summary'!V13,'1501 Summary'!V14,'1501 Summary'!V15)</f>
        <v>18961.8709971731</v>
      </c>
      <c r="H99" s="55">
        <f>SUM(H50,H60,H70,H80,H90)/SUM('1501 Summary'!W12,'1501 Summary'!W13,'1501 Summary'!W14,'1501 Summary'!W15)</f>
        <v>14195.132275132275</v>
      </c>
      <c r="I99" s="55">
        <f>SUM(I50,I60,I70,I80,I90)/SUM('1501 Summary'!X12,'1501 Summary'!X13,'1501 Summary'!X14,'1501 Summary'!X15)</f>
        <v>14723.61453531997</v>
      </c>
      <c r="J99" s="55">
        <f>SUM(J50,J60,J70,J80,J90)/SUM('1501 Summary'!Y12,'1501 Summary'!Y13,'1501 Summary'!Y14,'1501 Summary'!Y15)</f>
        <v>16131.363157894737</v>
      </c>
      <c r="K99" s="55">
        <f>SUM(K50,K60,K70,K80,K90)/SUM('1501 Summary'!Z12,'1501 Summary'!Z13,'1501 Summary'!Z14,'1501 Summary'!Z15)</f>
        <v>16617.196930717833</v>
      </c>
      <c r="L99" s="55">
        <f>SUM(L50,L60,L70,L80,L90)/SUM('1501 Summary'!AA12,'1501 Summary'!AA13,'1501 Summary'!AA14,'1501 Summary'!AA15)</f>
        <v>16953.768421052631</v>
      </c>
      <c r="M99" s="55">
        <f>SUM(M50,M60,M70,M80,M90)/SUM('1501 Summary'!AB12,'1501 Summary'!AB13,'1501 Summary'!AB14,'1501 Summary'!AB15)</f>
        <v>16128.01829042698</v>
      </c>
      <c r="N99" s="55">
        <f>SUM(N50,N60,N70,N80,N90)/SUM('1501 Summary'!AC12,'1501 Summary'!AC13,'1501 Summary'!AC14,'1501 Summary'!AC15)</f>
        <v>18177.403069118929</v>
      </c>
      <c r="O99" s="55">
        <f>SUM(O50,O60,O70,O80,O90)/SUM('1501 Summary'!AD12,'1501 Summary'!AD13,'1501 Summary'!AD14,'1501 Summary'!AD15)</f>
        <v>17474.333333333332</v>
      </c>
      <c r="P99" s="866"/>
      <c r="Q99" s="866"/>
    </row>
    <row r="100" spans="2:21">
      <c r="B100" s="1212">
        <v>96</v>
      </c>
      <c r="C100" s="48" t="s">
        <v>543</v>
      </c>
      <c r="D100" s="867">
        <f>SUM(D51,D61,D71,D81,D91)/SUM('1501 Summary'!S12,'1501 Summary'!S13,'1501 Summary'!S14,'1501 Summary'!S15)</f>
        <v>252133.32160757206</v>
      </c>
      <c r="E100" s="867">
        <f>SUM(E51,E61,E71,E81,E91)/SUM('1501 Summary'!T12,'1501 Summary'!T13,'1501 Summary'!T14,'1501 Summary'!T15)</f>
        <v>219687.55527252296</v>
      </c>
      <c r="F100" s="867">
        <f>SUM(F51,F61,F71,F81,F91)/SUM('1501 Summary'!U12,'1501 Summary'!U13,'1501 Summary'!U14,'1501 Summary'!U15)</f>
        <v>196186.48698258103</v>
      </c>
      <c r="G100" s="867">
        <f>SUM(G51,G61,G71,G81,G91)/SUM('1501 Summary'!V12,'1501 Summary'!V13,'1501 Summary'!V14,'1501 Summary'!V15)</f>
        <v>275363.91603346996</v>
      </c>
      <c r="H100" s="867">
        <f>SUM(H51,H61,H71,H81,H91)/SUM('1501 Summary'!W12,'1501 Summary'!W13,'1501 Summary'!W14,'1501 Summary'!W15)</f>
        <v>232393.64412353636</v>
      </c>
      <c r="I100" s="867">
        <f>SUM(I51,I61,I71,I81,I91)/SUM('1501 Summary'!X12,'1501 Summary'!X13,'1501 Summary'!X14,'1501 Summary'!X15)</f>
        <v>96079.598417095389</v>
      </c>
      <c r="J100" s="867">
        <f>SUM(J51,J61,J71,J81,J91)/SUM('1501 Summary'!Y12,'1501 Summary'!Y13,'1501 Summary'!Y14,'1501 Summary'!Y15)</f>
        <v>82292.384830497293</v>
      </c>
      <c r="K100" s="867">
        <f>SUM(K51,K61,K71,K81,K91)/SUM('1501 Summary'!Z12,'1501 Summary'!Z13,'1501 Summary'!Z14,'1501 Summary'!Z15)</f>
        <v>169174.81862551117</v>
      </c>
      <c r="L100" s="867">
        <f>SUM(L51,L61,L71,L81,L91)/SUM('1501 Summary'!AA12,'1501 Summary'!AA13,'1501 Summary'!AA14,'1501 Summary'!AA15)</f>
        <v>231361.55154992751</v>
      </c>
      <c r="M100" s="867">
        <f>SUM(M51,M61,M71,M81,M91)/SUM('1501 Summary'!AB12,'1501 Summary'!AB13,'1501 Summary'!AB14,'1501 Summary'!AB15)</f>
        <v>260071.62319820718</v>
      </c>
      <c r="N100" s="867">
        <f>SUM(N51,N61,N71,N81,N91)/SUM('1501 Summary'!AC12,'1501 Summary'!AC13,'1501 Summary'!AC14,'1501 Summary'!AC15)</f>
        <v>185626.65547116526</v>
      </c>
      <c r="O100" s="867">
        <f>SUM(O51,O61,O71,O81,O91)/SUM('1501 Summary'!AD12,'1501 Summary'!AD13,'1501 Summary'!AD14,'1501 Summary'!AD15)</f>
        <v>150543.17475506949</v>
      </c>
      <c r="P100" s="411"/>
      <c r="Q100" s="411"/>
    </row>
    <row r="101" spans="2:21" ht="15.75" thickBot="1">
      <c r="B101" s="1212">
        <v>97</v>
      </c>
      <c r="C101" s="936"/>
      <c r="D101" s="894"/>
      <c r="E101" s="895"/>
      <c r="F101" s="895"/>
      <c r="G101" s="895"/>
      <c r="H101" s="895"/>
      <c r="I101" s="895"/>
      <c r="J101" s="895"/>
      <c r="K101" s="895"/>
      <c r="L101" s="895"/>
      <c r="M101" s="895"/>
      <c r="N101" s="895"/>
      <c r="O101" s="896"/>
    </row>
    <row r="102" spans="2:21" ht="15.75" thickBot="1">
      <c r="B102" s="1212">
        <v>98</v>
      </c>
    </row>
    <row r="103" spans="2:21" ht="15" customHeight="1">
      <c r="B103" s="1212">
        <v>99</v>
      </c>
      <c r="C103" s="1494" t="s">
        <v>544</v>
      </c>
      <c r="D103" s="1494"/>
      <c r="E103" s="1494"/>
      <c r="F103" s="1494"/>
      <c r="G103" s="1494"/>
      <c r="H103" s="1494"/>
      <c r="I103" s="1494"/>
      <c r="J103" s="1494"/>
      <c r="K103" s="1494"/>
      <c r="L103" s="1494"/>
      <c r="M103" s="1494"/>
      <c r="N103" s="1494"/>
      <c r="O103" s="1495"/>
    </row>
    <row r="104" spans="2:21">
      <c r="B104" s="1212">
        <v>100</v>
      </c>
      <c r="C104" s="1209" t="s">
        <v>2</v>
      </c>
      <c r="D104" s="1209" t="s">
        <v>3</v>
      </c>
      <c r="E104" s="1209" t="s">
        <v>4</v>
      </c>
      <c r="F104" s="1209" t="s">
        <v>5</v>
      </c>
      <c r="G104" s="1209" t="s">
        <v>6</v>
      </c>
      <c r="H104" s="1209" t="s">
        <v>273</v>
      </c>
      <c r="I104" s="1209" t="s">
        <v>274</v>
      </c>
      <c r="J104" s="1209" t="s">
        <v>275</v>
      </c>
      <c r="K104" s="1209" t="s">
        <v>276</v>
      </c>
      <c r="L104" s="1209" t="s">
        <v>277</v>
      </c>
      <c r="M104" s="1209" t="s">
        <v>278</v>
      </c>
      <c r="N104" s="1209" t="s">
        <v>279</v>
      </c>
      <c r="O104" s="889" t="s">
        <v>280</v>
      </c>
      <c r="P104" s="1209" t="s">
        <v>281</v>
      </c>
      <c r="Q104" s="1209" t="s">
        <v>282</v>
      </c>
      <c r="R104" s="889" t="s">
        <v>283</v>
      </c>
      <c r="S104" s="1209"/>
    </row>
    <row r="105" spans="2:21" ht="43.5" customHeight="1">
      <c r="B105" s="1212">
        <v>101</v>
      </c>
      <c r="C105" s="897" t="s">
        <v>498</v>
      </c>
      <c r="D105" s="897" t="s">
        <v>499</v>
      </c>
      <c r="E105" s="897" t="s">
        <v>500</v>
      </c>
      <c r="F105" s="897" t="s">
        <v>501</v>
      </c>
      <c r="G105" s="897" t="s">
        <v>502</v>
      </c>
      <c r="H105" s="897" t="s">
        <v>503</v>
      </c>
      <c r="I105" s="897" t="s">
        <v>504</v>
      </c>
      <c r="J105" s="897" t="s">
        <v>505</v>
      </c>
      <c r="K105" s="897" t="s">
        <v>506</v>
      </c>
      <c r="L105" s="897" t="s">
        <v>507</v>
      </c>
      <c r="M105" s="897" t="s">
        <v>508</v>
      </c>
      <c r="N105" s="897" t="s">
        <v>509</v>
      </c>
      <c r="O105" s="897" t="s">
        <v>510</v>
      </c>
      <c r="P105" s="898"/>
      <c r="Q105" s="899" t="s">
        <v>545</v>
      </c>
      <c r="R105" s="899" t="s">
        <v>546</v>
      </c>
      <c r="S105" s="114"/>
      <c r="U105" s="114"/>
    </row>
    <row r="106" spans="2:21">
      <c r="B106" s="1212">
        <v>102</v>
      </c>
      <c r="C106" s="893" t="s">
        <v>547</v>
      </c>
      <c r="D106" s="880">
        <f>D8*(SUM($Q$106)/12)</f>
        <v>20949779.125481114</v>
      </c>
      <c r="E106" s="880">
        <f t="shared" ref="E106:O106" si="4">E8*(SUM($Q$106)/12)</f>
        <v>17042296.781877652</v>
      </c>
      <c r="F106" s="880">
        <f t="shared" si="4"/>
        <v>14454420.283188764</v>
      </c>
      <c r="G106" s="880">
        <f t="shared" si="4"/>
        <v>9423692.6078356951</v>
      </c>
      <c r="H106" s="880">
        <f t="shared" si="4"/>
        <v>6041098.2725353083</v>
      </c>
      <c r="I106" s="880">
        <f t="shared" si="4"/>
        <v>3865257.005920711</v>
      </c>
      <c r="J106" s="880">
        <f t="shared" si="4"/>
        <v>3164860.8704397986</v>
      </c>
      <c r="K106" s="880">
        <f t="shared" si="4"/>
        <v>3169488.2621706687</v>
      </c>
      <c r="L106" s="880">
        <f t="shared" si="4"/>
        <v>3838515.8868167466</v>
      </c>
      <c r="M106" s="880">
        <f t="shared" si="4"/>
        <v>8764598.5748998914</v>
      </c>
      <c r="N106" s="880">
        <f t="shared" si="4"/>
        <v>16528146.305388767</v>
      </c>
      <c r="O106" s="880">
        <f t="shared" si="4"/>
        <v>21430781</v>
      </c>
      <c r="P106" s="72">
        <f>SUM(D106:O106)</f>
        <v>128672934.97655511</v>
      </c>
      <c r="Q106" s="429">
        <f>'1501 Summary'!AD7*12</f>
        <v>2386620</v>
      </c>
      <c r="R106" s="73">
        <f>Q106/12</f>
        <v>198885</v>
      </c>
      <c r="S106" s="429"/>
      <c r="T106" s="289"/>
      <c r="U106" s="61"/>
    </row>
    <row r="107" spans="2:21">
      <c r="B107" s="1212">
        <v>103</v>
      </c>
      <c r="C107" s="890" t="s">
        <v>548</v>
      </c>
      <c r="D107" s="900">
        <f>D10*(SUM($Q$107)/12)</f>
        <v>14089859.628245069</v>
      </c>
      <c r="E107" s="900">
        <f t="shared" ref="E107:O107" si="5">E10*(SUM($Q$107)/12)</f>
        <v>11605782.506156357</v>
      </c>
      <c r="F107" s="900">
        <f t="shared" si="5"/>
        <v>9203147.878691528</v>
      </c>
      <c r="G107" s="900">
        <f t="shared" si="5"/>
        <v>5881317.456387273</v>
      </c>
      <c r="H107" s="900">
        <f t="shared" si="5"/>
        <v>4091419.8955173828</v>
      </c>
      <c r="I107" s="900">
        <f t="shared" si="5"/>
        <v>2807353.9362233491</v>
      </c>
      <c r="J107" s="900">
        <f t="shared" si="5"/>
        <v>2904248.8850334291</v>
      </c>
      <c r="K107" s="900">
        <f t="shared" si="5"/>
        <v>2909783.4181579934</v>
      </c>
      <c r="L107" s="900">
        <f t="shared" si="5"/>
        <v>3771130.2209946825</v>
      </c>
      <c r="M107" s="900">
        <f t="shared" si="5"/>
        <v>6895935.9567411952</v>
      </c>
      <c r="N107" s="900">
        <f t="shared" si="5"/>
        <v>10454193.237861369</v>
      </c>
      <c r="O107" s="900">
        <f t="shared" si="5"/>
        <v>13424802</v>
      </c>
      <c r="P107" s="72">
        <f>SUM(D107:O107)</f>
        <v>88038975.020009622</v>
      </c>
      <c r="Q107" s="429">
        <f>'1501 Summary'!AD8*12</f>
        <v>324372</v>
      </c>
      <c r="R107" s="73">
        <f>Q107/12</f>
        <v>27031</v>
      </c>
      <c r="S107" s="429"/>
      <c r="T107" s="289"/>
      <c r="U107" s="61"/>
    </row>
    <row r="108" spans="2:21">
      <c r="B108" s="1212">
        <v>104</v>
      </c>
      <c r="C108" s="893">
        <v>505</v>
      </c>
      <c r="D108" s="880"/>
      <c r="E108" s="880"/>
      <c r="F108" s="880"/>
      <c r="G108" s="880"/>
      <c r="H108" s="880"/>
      <c r="I108" s="880"/>
      <c r="J108" s="880"/>
      <c r="K108" s="880"/>
      <c r="L108" s="880"/>
      <c r="M108" s="880"/>
      <c r="N108" s="880"/>
      <c r="O108" s="880"/>
      <c r="P108" s="637"/>
      <c r="Q108" s="348"/>
      <c r="R108" s="73"/>
      <c r="S108" s="429"/>
      <c r="T108" s="289"/>
      <c r="U108" s="61"/>
    </row>
    <row r="109" spans="2:21">
      <c r="B109" s="1212">
        <v>105</v>
      </c>
      <c r="C109" s="893" t="s">
        <v>406</v>
      </c>
      <c r="D109" s="880">
        <f t="shared" ref="D109:O111" si="6">(D20)*($Q$109/12)</f>
        <v>198724.33540372673</v>
      </c>
      <c r="E109" s="880">
        <f t="shared" si="6"/>
        <v>194572.28838174275</v>
      </c>
      <c r="F109" s="880">
        <f t="shared" si="6"/>
        <v>185404.75413223141</v>
      </c>
      <c r="G109" s="880">
        <f t="shared" si="6"/>
        <v>178019.52928870294</v>
      </c>
      <c r="H109" s="880">
        <f t="shared" si="6"/>
        <v>135978.3097259707</v>
      </c>
      <c r="I109" s="880">
        <f t="shared" si="6"/>
        <v>107246.66603329372</v>
      </c>
      <c r="J109" s="880">
        <f t="shared" si="6"/>
        <v>97096.369309741625</v>
      </c>
      <c r="K109" s="880">
        <f t="shared" si="6"/>
        <v>85414.715853189045</v>
      </c>
      <c r="L109" s="880">
        <f t="shared" si="6"/>
        <v>89800.950086444267</v>
      </c>
      <c r="M109" s="880">
        <f t="shared" si="6"/>
        <v>104783.02290360293</v>
      </c>
      <c r="N109" s="880">
        <f t="shared" si="6"/>
        <v>157310.1704996035</v>
      </c>
      <c r="O109" s="880">
        <f t="shared" si="6"/>
        <v>185558.0888183981</v>
      </c>
      <c r="P109" s="72">
        <f>SUM(D109:O109)</f>
        <v>1719909.200436648</v>
      </c>
      <c r="Q109" s="429">
        <f>SUM('1501 Summary'!AD9,'1501 Summary'!AD17)*12</f>
        <v>5868</v>
      </c>
      <c r="R109" s="73">
        <f>Q109/12</f>
        <v>489</v>
      </c>
      <c r="S109" s="429"/>
      <c r="T109" s="289"/>
      <c r="U109" s="61"/>
    </row>
    <row r="110" spans="2:21">
      <c r="B110" s="1212">
        <v>106</v>
      </c>
      <c r="C110" s="893" t="s">
        <v>407</v>
      </c>
      <c r="D110" s="880">
        <f t="shared" si="6"/>
        <v>727940.7888198758</v>
      </c>
      <c r="E110" s="880">
        <f t="shared" si="6"/>
        <v>660735.37966804975</v>
      </c>
      <c r="F110" s="880">
        <f t="shared" si="6"/>
        <v>643252.22107438021</v>
      </c>
      <c r="G110" s="880">
        <f t="shared" si="6"/>
        <v>556007.32217573223</v>
      </c>
      <c r="H110" s="880">
        <f t="shared" si="6"/>
        <v>355060.93705080409</v>
      </c>
      <c r="I110" s="880">
        <f t="shared" si="6"/>
        <v>301742.62506778736</v>
      </c>
      <c r="J110" s="880">
        <f t="shared" si="6"/>
        <v>275088.74315172475</v>
      </c>
      <c r="K110" s="880">
        <f t="shared" si="6"/>
        <v>247053.51226774143</v>
      </c>
      <c r="L110" s="880">
        <f t="shared" si="6"/>
        <v>283764.09311531705</v>
      </c>
      <c r="M110" s="880">
        <f t="shared" si="6"/>
        <v>330187.60271903226</v>
      </c>
      <c r="N110" s="880">
        <f t="shared" si="6"/>
        <v>436186</v>
      </c>
      <c r="O110" s="880">
        <f t="shared" si="6"/>
        <v>648583</v>
      </c>
      <c r="P110" s="72">
        <f>SUM(D110:O110)</f>
        <v>5465602.2251104452</v>
      </c>
      <c r="Q110" s="348"/>
      <c r="R110" s="73"/>
      <c r="S110" s="429"/>
      <c r="T110" s="289"/>
      <c r="U110" s="61"/>
    </row>
    <row r="111" spans="2:21">
      <c r="B111" s="1212">
        <v>107</v>
      </c>
      <c r="C111" s="893" t="s">
        <v>460</v>
      </c>
      <c r="D111" s="880">
        <f t="shared" si="6"/>
        <v>615272.02643760492</v>
      </c>
      <c r="E111" s="880">
        <f t="shared" si="6"/>
        <v>486479.48120281956</v>
      </c>
      <c r="F111" s="880">
        <f t="shared" si="6"/>
        <v>511421.25619834708</v>
      </c>
      <c r="G111" s="880">
        <f t="shared" si="6"/>
        <v>420545.11506276147</v>
      </c>
      <c r="H111" s="880">
        <f t="shared" si="6"/>
        <v>234228.87537124802</v>
      </c>
      <c r="I111" s="880">
        <f t="shared" si="6"/>
        <v>238839.50555708387</v>
      </c>
      <c r="J111" s="880">
        <f t="shared" si="6"/>
        <v>199635.10268948943</v>
      </c>
      <c r="K111" s="880">
        <f t="shared" si="6"/>
        <v>172097.55271934986</v>
      </c>
      <c r="L111" s="880">
        <f t="shared" si="6"/>
        <v>254945.09212229817</v>
      </c>
      <c r="M111" s="880">
        <f t="shared" si="6"/>
        <v>574023.63151014771</v>
      </c>
      <c r="N111" s="880">
        <f t="shared" si="6"/>
        <v>276791.24536833511</v>
      </c>
      <c r="O111" s="880">
        <f t="shared" si="6"/>
        <v>522182.9429127677</v>
      </c>
      <c r="P111" s="72">
        <f>SUM(D111:O111)</f>
        <v>4506461.8271522531</v>
      </c>
      <c r="Q111" s="348"/>
      <c r="R111" s="73"/>
      <c r="S111" s="429"/>
      <c r="T111" s="289"/>
      <c r="U111" s="61"/>
    </row>
    <row r="112" spans="2:21">
      <c r="B112" s="1212">
        <v>108</v>
      </c>
      <c r="C112" s="893" t="s">
        <v>549</v>
      </c>
      <c r="D112" s="880">
        <f>SUM(D109:D111)</f>
        <v>1541937.1506612073</v>
      </c>
      <c r="E112" s="880">
        <f t="shared" ref="E112:O112" si="7">SUM(E109:E111)</f>
        <v>1341787.1492526121</v>
      </c>
      <c r="F112" s="880">
        <f t="shared" si="7"/>
        <v>1340078.2314049588</v>
      </c>
      <c r="G112" s="880">
        <f t="shared" si="7"/>
        <v>1154571.9665271966</v>
      </c>
      <c r="H112" s="880">
        <f t="shared" si="7"/>
        <v>725268.12214802275</v>
      </c>
      <c r="I112" s="880">
        <f t="shared" si="7"/>
        <v>647828.79665816494</v>
      </c>
      <c r="J112" s="880">
        <f t="shared" si="7"/>
        <v>571820.21515095583</v>
      </c>
      <c r="K112" s="880">
        <f t="shared" si="7"/>
        <v>504565.78084028035</v>
      </c>
      <c r="L112" s="880">
        <f t="shared" si="7"/>
        <v>628510.13532405952</v>
      </c>
      <c r="M112" s="880">
        <f t="shared" si="7"/>
        <v>1008994.2571327828</v>
      </c>
      <c r="N112" s="880">
        <f t="shared" si="7"/>
        <v>870287.41586793866</v>
      </c>
      <c r="O112" s="880">
        <f t="shared" si="7"/>
        <v>1356324.0317311657</v>
      </c>
      <c r="P112" s="72">
        <f>SUM(D112:O112)</f>
        <v>11691973.252699345</v>
      </c>
      <c r="R112" s="73"/>
      <c r="S112" s="429"/>
      <c r="T112" s="289"/>
      <c r="U112" s="61"/>
    </row>
    <row r="113" spans="2:21">
      <c r="B113" s="1212">
        <v>109</v>
      </c>
      <c r="C113" s="890">
        <v>511</v>
      </c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72"/>
      <c r="R113" s="73"/>
      <c r="S113" s="429"/>
      <c r="T113" s="289"/>
      <c r="U113" s="5"/>
    </row>
    <row r="114" spans="2:21">
      <c r="B114" s="1212">
        <v>110</v>
      </c>
      <c r="C114" s="890" t="s">
        <v>408</v>
      </c>
      <c r="D114" s="52">
        <f>D37*($Q$114/12)</f>
        <v>1209427.9504125447</v>
      </c>
      <c r="E114" s="52">
        <f t="shared" ref="E114:O116" si="8">E37*($Q$114/12)</f>
        <v>1110468.6544439511</v>
      </c>
      <c r="F114" s="52">
        <f t="shared" si="8"/>
        <v>1086044.6316268053</v>
      </c>
      <c r="G114" s="52">
        <f t="shared" si="8"/>
        <v>948137.73740347405</v>
      </c>
      <c r="H114" s="52">
        <f t="shared" si="8"/>
        <v>609346.25673021039</v>
      </c>
      <c r="I114" s="52">
        <f t="shared" si="8"/>
        <v>539832.12995717744</v>
      </c>
      <c r="J114" s="52">
        <f t="shared" si="8"/>
        <v>546622.08868797938</v>
      </c>
      <c r="K114" s="52">
        <f t="shared" si="8"/>
        <v>414533.16361718101</v>
      </c>
      <c r="L114" s="52">
        <f t="shared" si="8"/>
        <v>416231.71770619997</v>
      </c>
      <c r="M114" s="52">
        <f t="shared" si="8"/>
        <v>514198.63528741623</v>
      </c>
      <c r="N114" s="52">
        <f t="shared" si="8"/>
        <v>749330.81323260837</v>
      </c>
      <c r="O114" s="52">
        <f>O37*($Q$114/12)</f>
        <v>1118932.8492521564</v>
      </c>
      <c r="P114" s="72">
        <f>SUM(D114:O114)</f>
        <v>9263106.6283577029</v>
      </c>
      <c r="Q114" s="868">
        <f>SUM('1501 Summary'!AD10,'1501 Summary'!AD18)*12</f>
        <v>1116</v>
      </c>
      <c r="R114" s="73">
        <f>Q114/12</f>
        <v>93</v>
      </c>
      <c r="S114" s="869"/>
      <c r="T114" s="289"/>
      <c r="U114" s="61"/>
    </row>
    <row r="115" spans="2:21">
      <c r="B115" s="1212">
        <v>111</v>
      </c>
      <c r="C115" s="890" t="s">
        <v>409</v>
      </c>
      <c r="D115" s="52">
        <f>D38*($Q$114/12)</f>
        <v>807549.02050040709</v>
      </c>
      <c r="E115" s="52">
        <f t="shared" si="8"/>
        <v>701583.59266370931</v>
      </c>
      <c r="F115" s="52">
        <f t="shared" si="8"/>
        <v>680669.80655057495</v>
      </c>
      <c r="G115" s="52">
        <f t="shared" si="8"/>
        <v>666355.19265368918</v>
      </c>
      <c r="H115" s="52">
        <f t="shared" si="8"/>
        <v>400625.00184100587</v>
      </c>
      <c r="I115" s="52">
        <f t="shared" si="8"/>
        <v>538623.39668029838</v>
      </c>
      <c r="J115" s="52">
        <f t="shared" si="8"/>
        <v>451507.62238982669</v>
      </c>
      <c r="K115" s="52">
        <f t="shared" si="8"/>
        <v>390884.62679719977</v>
      </c>
      <c r="L115" s="52">
        <f t="shared" si="8"/>
        <v>376077.94164541742</v>
      </c>
      <c r="M115" s="52">
        <f t="shared" si="8"/>
        <v>445993.9515144442</v>
      </c>
      <c r="N115" s="52">
        <f t="shared" si="8"/>
        <v>378484.20249873324</v>
      </c>
      <c r="O115" s="52">
        <f t="shared" si="8"/>
        <v>562161.97578381852</v>
      </c>
      <c r="P115" s="72">
        <f>SUM(D115:O115)</f>
        <v>6400516.3315191241</v>
      </c>
      <c r="Q115" s="901"/>
      <c r="R115" s="73"/>
      <c r="S115" s="429"/>
      <c r="T115" s="289"/>
      <c r="U115" s="5"/>
    </row>
    <row r="116" spans="2:21">
      <c r="B116" s="1212">
        <v>112</v>
      </c>
      <c r="C116" s="890" t="s">
        <v>410</v>
      </c>
      <c r="D116" s="52">
        <f>D39*($Q$114/12)</f>
        <v>484453.77458580333</v>
      </c>
      <c r="E116" s="52">
        <f t="shared" si="8"/>
        <v>477412.18229918234</v>
      </c>
      <c r="F116" s="52">
        <f t="shared" si="8"/>
        <v>458755.10397440626</v>
      </c>
      <c r="G116" s="52">
        <f t="shared" si="8"/>
        <v>509283.53650561371</v>
      </c>
      <c r="H116" s="52">
        <f t="shared" si="8"/>
        <v>260054.69196870443</v>
      </c>
      <c r="I116" s="52">
        <f t="shared" si="8"/>
        <v>155428.87676674378</v>
      </c>
      <c r="J116" s="52">
        <f t="shared" si="8"/>
        <v>65640.718584431466</v>
      </c>
      <c r="K116" s="52">
        <f t="shared" si="8"/>
        <v>57295.554202533414</v>
      </c>
      <c r="L116" s="52">
        <f t="shared" si="8"/>
        <v>69544.326096997698</v>
      </c>
      <c r="M116" s="52">
        <f t="shared" si="8"/>
        <v>70417.521093910778</v>
      </c>
      <c r="N116" s="52">
        <f t="shared" si="8"/>
        <v>71229.187140681053</v>
      </c>
      <c r="O116" s="52">
        <f t="shared" si="8"/>
        <v>225628.17551963049</v>
      </c>
      <c r="P116" s="72">
        <f>SUM(D116:O116)</f>
        <v>2905143.6487386376</v>
      </c>
      <c r="Q116" s="348"/>
      <c r="R116" s="73"/>
      <c r="S116" s="429"/>
      <c r="T116" s="289"/>
      <c r="U116" s="5"/>
    </row>
    <row r="117" spans="2:21">
      <c r="B117" s="1212">
        <v>113</v>
      </c>
      <c r="C117" s="890" t="s">
        <v>550</v>
      </c>
      <c r="D117" s="52">
        <f>SUM(D114:D116)</f>
        <v>2501430.745498755</v>
      </c>
      <c r="E117" s="52">
        <f t="shared" ref="E117:O117" si="9">SUM(E114:E116)</f>
        <v>2289464.4294068427</v>
      </c>
      <c r="F117" s="52">
        <f t="shared" si="9"/>
        <v>2225469.5421517864</v>
      </c>
      <c r="G117" s="52">
        <f t="shared" si="9"/>
        <v>2123776.4665627768</v>
      </c>
      <c r="H117" s="52">
        <f t="shared" si="9"/>
        <v>1270025.9505399207</v>
      </c>
      <c r="I117" s="52">
        <f t="shared" si="9"/>
        <v>1233884.4034042198</v>
      </c>
      <c r="J117" s="52">
        <f t="shared" si="9"/>
        <v>1063770.4296622376</v>
      </c>
      <c r="K117" s="52">
        <f t="shared" si="9"/>
        <v>862713.34461691428</v>
      </c>
      <c r="L117" s="52">
        <f t="shared" si="9"/>
        <v>861853.98544861504</v>
      </c>
      <c r="M117" s="52">
        <f t="shared" si="9"/>
        <v>1030610.1078957713</v>
      </c>
      <c r="N117" s="52">
        <f>SUM(N114:N116)</f>
        <v>1199044.2028720228</v>
      </c>
      <c r="O117" s="52">
        <f t="shared" si="9"/>
        <v>1906723.0005556054</v>
      </c>
      <c r="P117" s="72">
        <f>SUM(D117:O117)</f>
        <v>18568766.608615469</v>
      </c>
      <c r="Q117" s="348"/>
      <c r="R117" s="73"/>
      <c r="S117" s="429"/>
      <c r="T117" s="289"/>
      <c r="U117" s="5"/>
    </row>
    <row r="118" spans="2:21">
      <c r="B118" s="1212">
        <v>114</v>
      </c>
      <c r="C118" s="893">
        <v>570</v>
      </c>
      <c r="D118" s="880"/>
      <c r="E118" s="880"/>
      <c r="F118" s="880"/>
      <c r="G118" s="880"/>
      <c r="H118" s="880"/>
      <c r="I118" s="880"/>
      <c r="J118" s="880"/>
      <c r="K118" s="880"/>
      <c r="L118" s="880"/>
      <c r="M118" s="880"/>
      <c r="N118" s="880"/>
      <c r="O118" s="880"/>
      <c r="P118" s="72"/>
      <c r="Q118" s="348"/>
      <c r="R118" s="73"/>
      <c r="S118" s="429"/>
      <c r="T118" s="289"/>
      <c r="U118" s="5"/>
    </row>
    <row r="119" spans="2:21">
      <c r="B119" s="1212">
        <v>115</v>
      </c>
      <c r="C119" s="54" t="s">
        <v>463</v>
      </c>
      <c r="D119" s="880">
        <f t="shared" ref="D119:O120" si="10">D44*($Q$119/12)</f>
        <v>106067.40025332487</v>
      </c>
      <c r="E119" s="880">
        <f t="shared" si="10"/>
        <v>101413.44205193159</v>
      </c>
      <c r="F119" s="880">
        <f t="shared" si="10"/>
        <v>93032.615579480684</v>
      </c>
      <c r="G119" s="880">
        <f t="shared" si="10"/>
        <v>93550.61914323963</v>
      </c>
      <c r="H119" s="880">
        <f t="shared" si="10"/>
        <v>84659.764056224914</v>
      </c>
      <c r="I119" s="880">
        <f t="shared" si="10"/>
        <v>79434.530474192652</v>
      </c>
      <c r="J119" s="880">
        <f t="shared" si="10"/>
        <v>77009.928603302105</v>
      </c>
      <c r="K119" s="880">
        <f t="shared" si="10"/>
        <v>83097.05488621151</v>
      </c>
      <c r="L119" s="880">
        <f t="shared" si="10"/>
        <v>81593.931280678269</v>
      </c>
      <c r="M119" s="880">
        <f t="shared" si="10"/>
        <v>73793.842034805901</v>
      </c>
      <c r="N119" s="880">
        <f t="shared" si="10"/>
        <v>113112.00356983491</v>
      </c>
      <c r="O119" s="880">
        <f t="shared" si="10"/>
        <v>101431.95002231147</v>
      </c>
      <c r="P119" s="72">
        <f>SUM(D119:O119)</f>
        <v>1088197.0819555386</v>
      </c>
      <c r="Q119" s="348">
        <f>'1501 Summary'!AD11*12</f>
        <v>84</v>
      </c>
      <c r="R119" s="73">
        <f>Q119/12</f>
        <v>7</v>
      </c>
      <c r="S119" s="429"/>
      <c r="T119" s="289"/>
      <c r="U119" s="61"/>
    </row>
    <row r="120" spans="2:21">
      <c r="B120" s="1212">
        <v>116</v>
      </c>
      <c r="C120" s="54" t="s">
        <v>464</v>
      </c>
      <c r="D120" s="880">
        <f t="shared" si="10"/>
        <v>116195.56272241993</v>
      </c>
      <c r="E120" s="880">
        <f t="shared" si="10"/>
        <v>122763.90124555159</v>
      </c>
      <c r="F120" s="880">
        <f t="shared" si="10"/>
        <v>107334.63078291815</v>
      </c>
      <c r="G120" s="880">
        <f t="shared" si="10"/>
        <v>107056.26553070641</v>
      </c>
      <c r="H120" s="880">
        <f t="shared" si="10"/>
        <v>81171.237131700385</v>
      </c>
      <c r="I120" s="880">
        <f t="shared" si="10"/>
        <v>48932.000102140286</v>
      </c>
      <c r="J120" s="880">
        <f t="shared" si="10"/>
        <v>32379.836705715301</v>
      </c>
      <c r="K120" s="880">
        <f t="shared" si="10"/>
        <v>23286.119985800498</v>
      </c>
      <c r="L120" s="880">
        <f t="shared" si="10"/>
        <v>18905.928292509765</v>
      </c>
      <c r="M120" s="880">
        <f t="shared" si="10"/>
        <v>20764.998225062125</v>
      </c>
      <c r="N120" s="880">
        <f t="shared" si="10"/>
        <v>65728.079517216887</v>
      </c>
      <c r="O120" s="880">
        <f t="shared" si="10"/>
        <v>118885.69400070998</v>
      </c>
      <c r="P120" s="72">
        <f>SUM(D120:O120)</f>
        <v>863404.25424245116</v>
      </c>
      <c r="Q120" s="348"/>
      <c r="R120" s="73"/>
      <c r="T120" s="289"/>
      <c r="U120" s="5"/>
    </row>
    <row r="121" spans="2:21">
      <c r="B121" s="1212">
        <v>117</v>
      </c>
      <c r="C121" s="893" t="s">
        <v>551</v>
      </c>
      <c r="D121" s="880">
        <f>SUM(D119:D120)</f>
        <v>222262.9629757448</v>
      </c>
      <c r="E121" s="880">
        <f t="shared" ref="E121:O121" si="11">SUM(E119:E120)</f>
        <v>224177.34329748317</v>
      </c>
      <c r="F121" s="880">
        <f t="shared" si="11"/>
        <v>200367.24636239884</v>
      </c>
      <c r="G121" s="880">
        <f t="shared" si="11"/>
        <v>200606.88467394604</v>
      </c>
      <c r="H121" s="880">
        <f t="shared" si="11"/>
        <v>165831.00118792529</v>
      </c>
      <c r="I121" s="880">
        <f t="shared" si="11"/>
        <v>128366.53057633294</v>
      </c>
      <c r="J121" s="880">
        <f t="shared" si="11"/>
        <v>109389.76530901741</v>
      </c>
      <c r="K121" s="880">
        <f t="shared" si="11"/>
        <v>106383.17487201201</v>
      </c>
      <c r="L121" s="880">
        <f t="shared" si="11"/>
        <v>100499.85957318803</v>
      </c>
      <c r="M121" s="880">
        <f t="shared" si="11"/>
        <v>94558.840259868026</v>
      </c>
      <c r="N121" s="880">
        <f t="shared" si="11"/>
        <v>178840.08308705181</v>
      </c>
      <c r="O121" s="880">
        <f t="shared" si="11"/>
        <v>220317.64402302145</v>
      </c>
      <c r="P121" s="72">
        <f>SUM(D121:O121)</f>
        <v>1951601.3361979898</v>
      </c>
      <c r="Q121" s="348"/>
      <c r="R121" s="73"/>
      <c r="T121" s="289"/>
      <c r="U121" s="5"/>
    </row>
    <row r="122" spans="2:21">
      <c r="B122" s="1212">
        <v>118</v>
      </c>
      <c r="C122" s="74" t="s">
        <v>552</v>
      </c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72"/>
      <c r="Q122" s="348"/>
      <c r="R122" s="73"/>
      <c r="T122" s="289"/>
      <c r="U122" s="61"/>
    </row>
    <row r="123" spans="2:21">
      <c r="B123" s="1212">
        <v>119</v>
      </c>
      <c r="C123" s="74" t="s">
        <v>541</v>
      </c>
      <c r="D123" s="52">
        <f t="shared" ref="D123:O126" si="12">D97*($Q$123/12)</f>
        <v>8643621.2099337969</v>
      </c>
      <c r="E123" s="52">
        <f t="shared" si="12"/>
        <v>8773500.6308681089</v>
      </c>
      <c r="F123" s="52">
        <f t="shared" si="12"/>
        <v>8626901.5786511861</v>
      </c>
      <c r="G123" s="52">
        <f t="shared" si="12"/>
        <v>8695286.5491496325</v>
      </c>
      <c r="H123" s="52">
        <f t="shared" si="12"/>
        <v>7562947.1491385</v>
      </c>
      <c r="I123" s="52">
        <f t="shared" si="12"/>
        <v>7245751.6306210514</v>
      </c>
      <c r="J123" s="52">
        <f t="shared" si="12"/>
        <v>7579201.3578947373</v>
      </c>
      <c r="K123" s="52">
        <f t="shared" si="12"/>
        <v>7309404.9652432958</v>
      </c>
      <c r="L123" s="52">
        <f t="shared" si="12"/>
        <v>7579623.4105263157</v>
      </c>
      <c r="M123" s="52">
        <f t="shared" si="12"/>
        <v>8682142.9446047917</v>
      </c>
      <c r="N123" s="52">
        <f t="shared" si="12"/>
        <v>9208818.4175218027</v>
      </c>
      <c r="O123" s="52">
        <f t="shared" si="12"/>
        <v>8963172.1489397231</v>
      </c>
      <c r="P123" s="72">
        <f>SUM(D123:O123)</f>
        <v>98870371.993092954</v>
      </c>
      <c r="Q123" s="348">
        <f>SUM('1501 Summary'!AD12:AD15)*12</f>
        <v>2376</v>
      </c>
      <c r="R123" s="73">
        <f>Q123/12</f>
        <v>198</v>
      </c>
      <c r="T123" s="289"/>
      <c r="U123" s="61"/>
    </row>
    <row r="124" spans="2:21">
      <c r="B124" s="1212">
        <v>120</v>
      </c>
      <c r="C124" s="74" t="s">
        <v>542</v>
      </c>
      <c r="D124" s="52">
        <f t="shared" si="12"/>
        <v>6320503.0269586407</v>
      </c>
      <c r="E124" s="52">
        <f t="shared" si="12"/>
        <v>6462936.9936409146</v>
      </c>
      <c r="F124" s="52">
        <f t="shared" si="12"/>
        <v>6339281.6939521041</v>
      </c>
      <c r="G124" s="52">
        <f t="shared" si="12"/>
        <v>6583511.0311601842</v>
      </c>
      <c r="H124" s="52">
        <f t="shared" si="12"/>
        <v>5648170.0887041753</v>
      </c>
      <c r="I124" s="52">
        <f t="shared" si="12"/>
        <v>5434603.3823159728</v>
      </c>
      <c r="J124" s="52">
        <f t="shared" si="12"/>
        <v>5916826.7052631583</v>
      </c>
      <c r="K124" s="52">
        <f t="shared" si="12"/>
        <v>5822109.9755467698</v>
      </c>
      <c r="L124" s="52">
        <f t="shared" si="12"/>
        <v>6275346.5776904272</v>
      </c>
      <c r="M124" s="52">
        <f t="shared" si="12"/>
        <v>6477844.4761904767</v>
      </c>
      <c r="N124" s="52">
        <f t="shared" si="12"/>
        <v>6842367.6599271307</v>
      </c>
      <c r="O124" s="52">
        <f t="shared" si="12"/>
        <v>6435445</v>
      </c>
      <c r="P124" s="72">
        <f>SUM(D124:O124)</f>
        <v>74558946.611349955</v>
      </c>
      <c r="Q124" s="348"/>
      <c r="R124" s="451"/>
      <c r="T124" s="289"/>
    </row>
    <row r="125" spans="2:21">
      <c r="B125" s="1212">
        <v>121</v>
      </c>
      <c r="C125" s="74" t="s">
        <v>542</v>
      </c>
      <c r="D125" s="52">
        <f t="shared" si="12"/>
        <v>3577296.6486831266</v>
      </c>
      <c r="E125" s="52">
        <f t="shared" si="12"/>
        <v>3696768.795084157</v>
      </c>
      <c r="F125" s="52">
        <f t="shared" si="12"/>
        <v>3493926.796687149</v>
      </c>
      <c r="G125" s="52">
        <f t="shared" si="12"/>
        <v>3754450.4574402738</v>
      </c>
      <c r="H125" s="52">
        <f t="shared" si="12"/>
        <v>2810636.1904761903</v>
      </c>
      <c r="I125" s="52">
        <f t="shared" si="12"/>
        <v>2915275.6779933539</v>
      </c>
      <c r="J125" s="52">
        <f t="shared" si="12"/>
        <v>3194009.905263158</v>
      </c>
      <c r="K125" s="52">
        <f t="shared" si="12"/>
        <v>3290204.9922821312</v>
      </c>
      <c r="L125" s="52">
        <f t="shared" si="12"/>
        <v>3356846.1473684208</v>
      </c>
      <c r="M125" s="52">
        <f t="shared" si="12"/>
        <v>3193347.621504542</v>
      </c>
      <c r="N125" s="52">
        <f t="shared" si="12"/>
        <v>3599125.807685548</v>
      </c>
      <c r="O125" s="52">
        <f t="shared" si="12"/>
        <v>3459917.9999999995</v>
      </c>
      <c r="P125" s="72">
        <f>SUM(D125:O125)</f>
        <v>40341807.040468045</v>
      </c>
      <c r="Q125" s="348"/>
      <c r="R125" s="289"/>
      <c r="T125" s="289"/>
    </row>
    <row r="126" spans="2:21">
      <c r="B126" s="1212">
        <v>122</v>
      </c>
      <c r="C126" s="74" t="s">
        <v>543</v>
      </c>
      <c r="D126" s="52">
        <f t="shared" si="12"/>
        <v>49922397.678299271</v>
      </c>
      <c r="E126" s="52">
        <f t="shared" si="12"/>
        <v>43498135.943959549</v>
      </c>
      <c r="F126" s="52">
        <f t="shared" si="12"/>
        <v>38844924.422551043</v>
      </c>
      <c r="G126" s="52">
        <f t="shared" si="12"/>
        <v>54522055.374627054</v>
      </c>
      <c r="H126" s="52">
        <f t="shared" si="12"/>
        <v>46013941.536460198</v>
      </c>
      <c r="I126" s="52">
        <f t="shared" si="12"/>
        <v>19023760.486584887</v>
      </c>
      <c r="J126" s="52">
        <f t="shared" si="12"/>
        <v>16293892.196438463</v>
      </c>
      <c r="K126" s="52">
        <f t="shared" si="12"/>
        <v>33496614.087851211</v>
      </c>
      <c r="L126" s="52">
        <f t="shared" si="12"/>
        <v>45809587.206885643</v>
      </c>
      <c r="M126" s="52">
        <f t="shared" si="12"/>
        <v>51494181.393245019</v>
      </c>
      <c r="N126" s="52">
        <f t="shared" si="12"/>
        <v>36754077.783290721</v>
      </c>
      <c r="O126" s="52">
        <f t="shared" si="12"/>
        <v>29807548.60150376</v>
      </c>
      <c r="P126" s="72">
        <f>SUM(D126:O126)</f>
        <v>465481116.71169686</v>
      </c>
      <c r="Q126" s="348"/>
    </row>
    <row r="127" spans="2:21">
      <c r="B127" s="1212">
        <v>123</v>
      </c>
      <c r="C127" s="51" t="s">
        <v>553</v>
      </c>
      <c r="D127" s="52">
        <f>SUM(D123:D126)</f>
        <v>68463818.563874841</v>
      </c>
      <c r="E127" s="52">
        <f t="shared" ref="E127:O127" si="13">SUM(E123:E126)</f>
        <v>62431342.363552734</v>
      </c>
      <c r="F127" s="52">
        <f t="shared" si="13"/>
        <v>57305034.49184148</v>
      </c>
      <c r="G127" s="52">
        <f t="shared" si="13"/>
        <v>73555303.412377149</v>
      </c>
      <c r="H127" s="52">
        <f t="shared" si="13"/>
        <v>62035694.964779064</v>
      </c>
      <c r="I127" s="52">
        <f t="shared" si="13"/>
        <v>34619391.177515268</v>
      </c>
      <c r="J127" s="52">
        <f t="shared" si="13"/>
        <v>32983930.164859518</v>
      </c>
      <c r="K127" s="52">
        <f t="shared" si="13"/>
        <v>49918334.020923406</v>
      </c>
      <c r="L127" s="52">
        <f t="shared" si="13"/>
        <v>63021403.34247081</v>
      </c>
      <c r="M127" s="52">
        <f t="shared" si="13"/>
        <v>69847516.435544834</v>
      </c>
      <c r="N127" s="52">
        <f t="shared" si="13"/>
        <v>56404389.668425202</v>
      </c>
      <c r="O127" s="52">
        <f t="shared" si="13"/>
        <v>48666083.750443481</v>
      </c>
      <c r="P127" s="72">
        <f>SUM(D127:O127)</f>
        <v>679252242.35660779</v>
      </c>
      <c r="Q127" s="289"/>
      <c r="R127" s="289"/>
    </row>
    <row r="128" spans="2:21" ht="15.75" thickBot="1">
      <c r="B128" s="1212">
        <v>124</v>
      </c>
      <c r="C128" s="936"/>
      <c r="D128" s="936"/>
      <c r="E128" s="936"/>
      <c r="F128" s="936"/>
      <c r="G128" s="936"/>
      <c r="H128" s="936"/>
      <c r="I128" s="936"/>
      <c r="J128" s="936"/>
      <c r="K128" s="936"/>
      <c r="L128" s="936"/>
      <c r="M128" s="936"/>
      <c r="N128" s="936"/>
      <c r="O128" s="885"/>
      <c r="P128" s="884"/>
      <c r="Q128" s="289"/>
      <c r="R128" s="289"/>
    </row>
    <row r="129" spans="2:16">
      <c r="B129" s="1212">
        <v>125</v>
      </c>
    </row>
    <row r="130" spans="2:16">
      <c r="D130" s="289"/>
      <c r="E130" s="289"/>
      <c r="F130" s="289"/>
      <c r="G130" s="289"/>
      <c r="H130" s="289"/>
      <c r="I130" s="289"/>
      <c r="J130" s="289"/>
      <c r="K130" s="289"/>
      <c r="L130" s="289"/>
      <c r="M130" s="289"/>
      <c r="N130" s="289"/>
      <c r="O130" s="289"/>
      <c r="P130" s="289"/>
    </row>
    <row r="137" spans="2:16">
      <c r="D137" s="289"/>
      <c r="E137" s="289"/>
      <c r="F137" s="289"/>
      <c r="G137" s="289"/>
      <c r="H137" s="289"/>
      <c r="I137" s="289"/>
      <c r="J137" s="289"/>
      <c r="K137" s="289"/>
      <c r="L137" s="289"/>
      <c r="M137" s="289"/>
      <c r="N137" s="289"/>
      <c r="O137" s="289"/>
    </row>
    <row r="138" spans="2:16">
      <c r="D138" s="289"/>
      <c r="E138" s="289"/>
      <c r="F138" s="289"/>
      <c r="G138" s="289"/>
      <c r="H138" s="289"/>
      <c r="I138" s="289"/>
      <c r="J138" s="289"/>
      <c r="K138" s="289"/>
      <c r="L138" s="289"/>
      <c r="M138" s="289"/>
      <c r="N138" s="289"/>
      <c r="O138" s="289"/>
    </row>
    <row r="139" spans="2:16">
      <c r="D139" s="289"/>
      <c r="E139" s="289"/>
      <c r="F139" s="289"/>
      <c r="G139" s="289"/>
      <c r="H139" s="289"/>
      <c r="I139" s="289"/>
      <c r="J139" s="289"/>
      <c r="K139" s="289"/>
      <c r="L139" s="289"/>
      <c r="M139" s="289"/>
      <c r="N139" s="289"/>
      <c r="O139" s="289"/>
    </row>
    <row r="142" spans="2:16">
      <c r="D142" s="289"/>
      <c r="E142" s="289"/>
      <c r="F142" s="289"/>
      <c r="G142" s="289"/>
      <c r="H142" s="289"/>
      <c r="I142" s="289"/>
      <c r="J142" s="289"/>
      <c r="K142" s="289"/>
      <c r="L142" s="289"/>
      <c r="M142" s="289"/>
      <c r="N142" s="289"/>
      <c r="O142" s="289"/>
    </row>
    <row r="143" spans="2:16">
      <c r="D143" s="289"/>
      <c r="E143" s="289"/>
      <c r="F143" s="289"/>
      <c r="G143" s="289"/>
      <c r="H143" s="289"/>
      <c r="I143" s="289"/>
      <c r="J143" s="289"/>
      <c r="K143" s="289"/>
      <c r="L143" s="289"/>
      <c r="M143" s="289"/>
      <c r="N143" s="289"/>
      <c r="O143" s="289"/>
    </row>
    <row r="144" spans="2:16">
      <c r="D144" s="289"/>
      <c r="E144" s="289"/>
      <c r="F144" s="289"/>
      <c r="G144" s="289"/>
      <c r="H144" s="289"/>
      <c r="I144" s="289"/>
      <c r="J144" s="289"/>
      <c r="K144" s="289"/>
      <c r="L144" s="289"/>
      <c r="M144" s="289"/>
      <c r="N144" s="289"/>
      <c r="O144" s="289"/>
    </row>
  </sheetData>
  <mergeCells count="6">
    <mergeCell ref="C103:O103"/>
    <mergeCell ref="B4:O4"/>
    <mergeCell ref="P4:Q4"/>
    <mergeCell ref="P25:Q25"/>
    <mergeCell ref="P47:Q47"/>
    <mergeCell ref="P96:Q96"/>
  </mergeCells>
  <pageMargins left="0.7" right="0.7" top="1.5" bottom="0.75" header="0.3" footer="0.3"/>
  <pageSetup scale="28" fitToHeight="0" orientation="landscape" r:id="rId1"/>
  <headerFooter scaleWithDoc="0">
    <oddHeader>&amp;CCascade Natural Gas Corporation
End of Period Calculations
IDM WP-1.3&amp;RPage &amp;P of &amp;N</oddHeader>
    <oddFooter>&amp;L&amp;A</oddFooter>
  </headerFooter>
  <rowBreaks count="1" manualBreakCount="1">
    <brk id="101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08A3E-5C96-4F3C-B11A-0A7F4A38728E}">
  <sheetPr codeName="Sheet22">
    <tabColor theme="8" tint="0.79998168889431442"/>
  </sheetPr>
  <dimension ref="A1:N40"/>
  <sheetViews>
    <sheetView zoomScale="80" zoomScaleNormal="80" workbookViewId="0">
      <selection activeCell="N36" sqref="N36"/>
    </sheetView>
  </sheetViews>
  <sheetFormatPr defaultRowHeight="15"/>
  <cols>
    <col min="1" max="1" width="48.140625" customWidth="1"/>
    <col min="2" max="2" width="16.28515625" bestFit="1" customWidth="1"/>
    <col min="3" max="4" width="13.42578125" bestFit="1" customWidth="1"/>
    <col min="5" max="5" width="13.140625" customWidth="1"/>
    <col min="6" max="6" width="16" customWidth="1"/>
    <col min="7" max="7" width="16.140625" customWidth="1"/>
    <col min="8" max="8" width="16.5703125" customWidth="1"/>
    <col min="9" max="9" width="15" customWidth="1"/>
    <col min="10" max="10" width="13.7109375" customWidth="1"/>
    <col min="11" max="11" width="15.28515625" customWidth="1"/>
    <col min="12" max="12" width="17.28515625" customWidth="1"/>
    <col min="13" max="13" width="14.5703125" customWidth="1"/>
    <col min="14" max="14" width="19.7109375" customWidth="1"/>
  </cols>
  <sheetData>
    <row r="1" spans="1:14">
      <c r="A1" s="972" t="s">
        <v>554</v>
      </c>
      <c r="B1" s="976">
        <v>511</v>
      </c>
      <c r="C1" s="962"/>
      <c r="D1" s="962"/>
      <c r="E1" s="962"/>
      <c r="F1" s="962"/>
      <c r="G1" s="962"/>
      <c r="H1" s="962"/>
      <c r="I1" s="962"/>
      <c r="J1" s="962"/>
      <c r="K1" s="962"/>
      <c r="L1" s="976">
        <v>663</v>
      </c>
      <c r="M1" s="962"/>
      <c r="N1" s="962"/>
    </row>
    <row r="2" spans="1:14">
      <c r="B2" t="s">
        <v>499</v>
      </c>
      <c r="C2" t="s">
        <v>500</v>
      </c>
      <c r="D2" t="s">
        <v>501</v>
      </c>
      <c r="E2" t="s">
        <v>502</v>
      </c>
      <c r="F2" t="s">
        <v>503</v>
      </c>
      <c r="G2" t="s">
        <v>504</v>
      </c>
      <c r="H2" t="s">
        <v>505</v>
      </c>
      <c r="I2" t="s">
        <v>506</v>
      </c>
      <c r="J2" t="s">
        <v>507</v>
      </c>
      <c r="K2" t="s">
        <v>508</v>
      </c>
      <c r="L2" t="s">
        <v>509</v>
      </c>
      <c r="M2" t="s">
        <v>510</v>
      </c>
    </row>
    <row r="3" spans="1:14">
      <c r="A3" s="873" t="s">
        <v>389</v>
      </c>
      <c r="B3" s="959">
        <v>503728.61294000002</v>
      </c>
      <c r="C3" s="959">
        <v>538902.93807000003</v>
      </c>
      <c r="D3" s="959">
        <v>495503.86501000007</v>
      </c>
      <c r="E3" s="959">
        <v>532313.22032000008</v>
      </c>
      <c r="F3" s="959">
        <v>440036.55283000006</v>
      </c>
      <c r="G3" s="959">
        <v>313043.07888000004</v>
      </c>
      <c r="H3" s="959">
        <v>237921.96834000002</v>
      </c>
      <c r="I3" s="959">
        <v>222342.37095000001</v>
      </c>
      <c r="J3" s="959">
        <v>202908.69424000001</v>
      </c>
      <c r="K3" s="959">
        <v>190918.47292000003</v>
      </c>
      <c r="L3" s="973"/>
      <c r="M3" s="973"/>
      <c r="N3" s="959">
        <f t="shared" ref="N3:N22" si="0">SUM(B3:M3)</f>
        <v>3677619.7745000003</v>
      </c>
    </row>
    <row r="4" spans="1:14">
      <c r="A4" s="873" t="s">
        <v>403</v>
      </c>
      <c r="B4" s="959">
        <v>625</v>
      </c>
      <c r="C4" s="959">
        <v>625</v>
      </c>
      <c r="D4" s="959">
        <v>625</v>
      </c>
      <c r="E4" s="959">
        <v>625</v>
      </c>
      <c r="F4" s="959">
        <v>625</v>
      </c>
      <c r="G4" s="959">
        <v>625</v>
      </c>
      <c r="H4" s="959">
        <v>625</v>
      </c>
      <c r="I4" s="959">
        <v>625</v>
      </c>
      <c r="J4" s="959">
        <v>625</v>
      </c>
      <c r="K4" s="959">
        <v>625</v>
      </c>
      <c r="L4" s="959"/>
      <c r="M4" s="959"/>
      <c r="N4" s="959">
        <f t="shared" si="0"/>
        <v>6250</v>
      </c>
    </row>
    <row r="5" spans="1:14">
      <c r="A5" s="1" t="s">
        <v>199</v>
      </c>
      <c r="B5" s="959">
        <v>5331</v>
      </c>
      <c r="C5" s="959">
        <v>5331</v>
      </c>
      <c r="D5" s="959"/>
      <c r="E5" s="959"/>
      <c r="F5" s="959"/>
      <c r="G5" s="959"/>
      <c r="H5" s="959"/>
      <c r="I5" s="959"/>
      <c r="J5" s="959"/>
      <c r="K5" s="959"/>
      <c r="L5" s="959"/>
      <c r="M5" s="959"/>
      <c r="N5" s="959">
        <f t="shared" si="0"/>
        <v>10662</v>
      </c>
    </row>
    <row r="6" spans="1:14">
      <c r="A6" s="1" t="s">
        <v>200</v>
      </c>
      <c r="B6" s="959"/>
      <c r="C6" s="959"/>
      <c r="D6" s="959">
        <v>5989</v>
      </c>
      <c r="E6" s="959">
        <v>5989</v>
      </c>
      <c r="F6" s="959">
        <v>5989</v>
      </c>
      <c r="G6" s="959">
        <v>5989</v>
      </c>
      <c r="H6" s="959">
        <v>5989</v>
      </c>
      <c r="I6" s="959">
        <v>5989</v>
      </c>
      <c r="J6" s="959">
        <v>5989</v>
      </c>
      <c r="K6" s="959">
        <v>5989</v>
      </c>
      <c r="L6" s="959">
        <v>5989</v>
      </c>
      <c r="M6" s="959">
        <v>5989</v>
      </c>
      <c r="N6" s="959">
        <f t="shared" si="0"/>
        <v>59890</v>
      </c>
    </row>
    <row r="7" spans="1:14">
      <c r="A7" s="1" t="s">
        <v>203</v>
      </c>
      <c r="B7" s="959">
        <v>1944.9999999999998</v>
      </c>
      <c r="C7" s="959">
        <v>2303</v>
      </c>
      <c r="D7" s="959"/>
      <c r="E7" s="959"/>
      <c r="F7" s="959"/>
      <c r="G7" s="959"/>
      <c r="H7" s="959"/>
      <c r="I7" s="959"/>
      <c r="J7" s="959"/>
      <c r="K7" s="959"/>
      <c r="L7" s="959"/>
      <c r="M7" s="959"/>
      <c r="N7" s="959">
        <f t="shared" si="0"/>
        <v>4248</v>
      </c>
    </row>
    <row r="8" spans="1:14">
      <c r="A8" s="1" t="s">
        <v>204</v>
      </c>
      <c r="B8" s="959"/>
      <c r="C8" s="959"/>
      <c r="D8" s="959">
        <v>2303</v>
      </c>
      <c r="E8" s="959">
        <v>2303</v>
      </c>
      <c r="F8" s="959">
        <v>2303</v>
      </c>
      <c r="G8" s="959">
        <v>2303</v>
      </c>
      <c r="H8" s="959">
        <v>2303</v>
      </c>
      <c r="I8" s="959">
        <v>2303</v>
      </c>
      <c r="J8" s="959">
        <v>2303</v>
      </c>
      <c r="K8" s="959">
        <v>2303</v>
      </c>
      <c r="L8" s="959">
        <v>4606</v>
      </c>
      <c r="M8" s="959">
        <v>4606</v>
      </c>
      <c r="N8" s="959">
        <f t="shared" si="0"/>
        <v>27636</v>
      </c>
    </row>
    <row r="9" spans="1:14">
      <c r="A9" s="1" t="s">
        <v>201</v>
      </c>
      <c r="B9" s="959">
        <v>3546</v>
      </c>
      <c r="C9" s="959">
        <v>4419</v>
      </c>
      <c r="D9" s="959"/>
      <c r="E9" s="959"/>
      <c r="F9" s="959"/>
      <c r="G9" s="959"/>
      <c r="H9" s="959"/>
      <c r="I9" s="959"/>
      <c r="J9" s="959"/>
      <c r="K9" s="959"/>
      <c r="L9" s="959"/>
      <c r="M9" s="959"/>
      <c r="N9" s="959">
        <f t="shared" si="0"/>
        <v>7965</v>
      </c>
    </row>
    <row r="10" spans="1:14">
      <c r="A10" s="1" t="s">
        <v>202</v>
      </c>
      <c r="B10" s="959"/>
      <c r="C10" s="959"/>
      <c r="D10" s="959">
        <v>4419</v>
      </c>
      <c r="E10" s="959">
        <v>4419</v>
      </c>
      <c r="F10" s="959">
        <v>4419</v>
      </c>
      <c r="G10" s="959">
        <v>4419</v>
      </c>
      <c r="H10" s="959">
        <v>3342.8556600000002</v>
      </c>
      <c r="I10" s="959">
        <v>2931.0490500000001</v>
      </c>
      <c r="J10" s="959">
        <v>2417.36976</v>
      </c>
      <c r="K10" s="959">
        <v>2100.4390800000001</v>
      </c>
      <c r="L10" s="959">
        <v>2946</v>
      </c>
      <c r="M10" s="959">
        <v>2946</v>
      </c>
      <c r="N10" s="959">
        <f t="shared" si="0"/>
        <v>34359.71355</v>
      </c>
    </row>
    <row r="11" spans="1:14">
      <c r="A11" s="1" t="s">
        <v>205</v>
      </c>
      <c r="B11" s="959">
        <v>2270.0416399999999</v>
      </c>
      <c r="C11" s="959">
        <v>3726.9871799999996</v>
      </c>
      <c r="D11" s="959"/>
      <c r="E11" s="959"/>
      <c r="F11" s="959"/>
      <c r="G11" s="959"/>
      <c r="H11" s="959"/>
      <c r="I11" s="959"/>
      <c r="J11" s="959"/>
      <c r="K11" s="959"/>
      <c r="L11" s="959"/>
      <c r="M11" s="959"/>
      <c r="N11" s="959">
        <f t="shared" si="0"/>
        <v>5997.0288199999995</v>
      </c>
    </row>
    <row r="12" spans="1:14">
      <c r="A12" s="1" t="s">
        <v>206</v>
      </c>
      <c r="B12" s="959"/>
      <c r="C12" s="959"/>
      <c r="D12" s="959">
        <v>3105.5207399999999</v>
      </c>
      <c r="E12" s="959">
        <v>3632.6236799999997</v>
      </c>
      <c r="F12" s="959">
        <v>2311.2394199999999</v>
      </c>
      <c r="G12" s="959">
        <v>492.71711999999997</v>
      </c>
      <c r="H12" s="959">
        <v>0</v>
      </c>
      <c r="I12" s="959">
        <v>0</v>
      </c>
      <c r="J12" s="959">
        <v>0</v>
      </c>
      <c r="K12" s="959">
        <v>0</v>
      </c>
      <c r="L12" s="959">
        <v>105.38</v>
      </c>
      <c r="M12" s="959">
        <v>2227.1</v>
      </c>
      <c r="N12" s="959">
        <f t="shared" si="0"/>
        <v>11874.580959999998</v>
      </c>
    </row>
    <row r="13" spans="1:14">
      <c r="A13" s="962" t="s">
        <v>412</v>
      </c>
      <c r="B13" s="959"/>
      <c r="C13" s="959"/>
      <c r="D13" s="959"/>
      <c r="E13" s="959"/>
      <c r="F13" s="959"/>
      <c r="G13" s="959"/>
      <c r="H13" s="959"/>
      <c r="I13" s="959"/>
      <c r="J13" s="959"/>
      <c r="K13" s="959"/>
      <c r="L13" s="959">
        <v>955.15</v>
      </c>
      <c r="M13" s="959">
        <v>1117.25</v>
      </c>
      <c r="N13" s="959">
        <f>SUM(B13:M13)</f>
        <v>2072.4</v>
      </c>
    </row>
    <row r="14" spans="1:14">
      <c r="A14" s="962" t="s">
        <v>417</v>
      </c>
      <c r="B14" s="959">
        <v>361.56880000000001</v>
      </c>
      <c r="C14" s="959">
        <v>386.81640000000004</v>
      </c>
      <c r="D14" s="959">
        <v>355.66520000000003</v>
      </c>
      <c r="E14" s="959">
        <v>382.08640000000003</v>
      </c>
      <c r="F14" s="959">
        <v>315.85160000000002</v>
      </c>
      <c r="G14" s="959">
        <v>224.69760000000002</v>
      </c>
      <c r="H14" s="959">
        <v>170.77680000000001</v>
      </c>
      <c r="I14" s="959">
        <v>159.59399999999999</v>
      </c>
      <c r="J14" s="959">
        <v>145.6448</v>
      </c>
      <c r="K14" s="959">
        <v>137.0384</v>
      </c>
      <c r="L14" s="959">
        <v>205.28</v>
      </c>
      <c r="M14" s="959">
        <v>311.63</v>
      </c>
      <c r="N14" s="959">
        <f t="shared" si="0"/>
        <v>3156.6500000000005</v>
      </c>
    </row>
    <row r="15" spans="1:14">
      <c r="A15" s="962" t="s">
        <v>419</v>
      </c>
      <c r="B15" s="959"/>
      <c r="C15" s="959"/>
      <c r="D15" s="959"/>
      <c r="E15" s="959"/>
      <c r="F15" s="959"/>
      <c r="G15" s="959"/>
      <c r="H15" s="959"/>
      <c r="I15" s="959"/>
      <c r="J15" s="959"/>
      <c r="K15" s="959"/>
      <c r="L15" s="959">
        <v>625</v>
      </c>
      <c r="M15" s="959">
        <v>625</v>
      </c>
      <c r="N15" s="959">
        <f t="shared" si="0"/>
        <v>1250</v>
      </c>
    </row>
    <row r="16" spans="1:14" ht="30" customHeight="1">
      <c r="A16" s="968" t="s">
        <v>420</v>
      </c>
      <c r="B16" s="959">
        <v>271.17659999999995</v>
      </c>
      <c r="C16" s="959">
        <v>290.11229999999995</v>
      </c>
      <c r="D16" s="959">
        <v>266.74889999999999</v>
      </c>
      <c r="E16" s="959">
        <v>286.56479999999999</v>
      </c>
      <c r="F16" s="959">
        <v>236.88869999999997</v>
      </c>
      <c r="G16" s="959">
        <v>168.52319999999997</v>
      </c>
      <c r="H16" s="959">
        <v>128.08259999999999</v>
      </c>
      <c r="I16" s="959">
        <v>119.6955</v>
      </c>
      <c r="J16" s="959">
        <v>109.2336</v>
      </c>
      <c r="K16" s="959">
        <v>102.77879999999999</v>
      </c>
      <c r="L16" s="959">
        <v>153.96</v>
      </c>
      <c r="M16" s="959">
        <v>233.73</v>
      </c>
      <c r="N16" s="959">
        <f t="shared" si="0"/>
        <v>2367.4949999999999</v>
      </c>
    </row>
    <row r="17" spans="1:14">
      <c r="A17" s="962" t="s">
        <v>422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959">
        <v>631.47</v>
      </c>
      <c r="M17" s="959">
        <v>728.66</v>
      </c>
      <c r="N17" s="959">
        <f t="shared" si="0"/>
        <v>1360.13</v>
      </c>
    </row>
    <row r="18" spans="1:14" ht="27.75" customHeight="1">
      <c r="A18" s="968" t="s">
        <v>424</v>
      </c>
      <c r="B18" s="959">
        <v>-641.78462000000002</v>
      </c>
      <c r="C18" s="959">
        <v>-686.59911</v>
      </c>
      <c r="D18" s="959">
        <v>-631.30573000000004</v>
      </c>
      <c r="E18" s="959">
        <v>-678.20335999999998</v>
      </c>
      <c r="F18" s="959">
        <v>-560.63659000000007</v>
      </c>
      <c r="G18" s="959">
        <v>-398.83823999999998</v>
      </c>
      <c r="H18" s="959">
        <v>-303.12882000000002</v>
      </c>
      <c r="I18" s="959">
        <v>-283.27935000000002</v>
      </c>
      <c r="J18" s="959">
        <v>-258.51952</v>
      </c>
      <c r="K18" s="959">
        <v>-243.24316000000002</v>
      </c>
      <c r="L18" s="959">
        <v>-364.38</v>
      </c>
      <c r="M18" s="959">
        <v>-490.82</v>
      </c>
      <c r="N18" s="959">
        <f t="shared" si="0"/>
        <v>-5540.7384999999995</v>
      </c>
    </row>
    <row r="19" spans="1:14" ht="26.25" customHeight="1">
      <c r="A19" s="968" t="s">
        <v>426</v>
      </c>
      <c r="B19" s="959">
        <v>1572.82428</v>
      </c>
      <c r="C19" s="959">
        <v>1682.6513400000001</v>
      </c>
      <c r="D19" s="959">
        <v>346.77357000000001</v>
      </c>
      <c r="E19" s="959">
        <v>372.53424000000001</v>
      </c>
      <c r="F19" s="959">
        <v>307.95531</v>
      </c>
      <c r="G19" s="959">
        <v>219.08016000000001</v>
      </c>
      <c r="H19" s="959">
        <v>166.50737999999998</v>
      </c>
      <c r="I19" s="959">
        <v>155.60415</v>
      </c>
      <c r="J19" s="959">
        <v>142.00368</v>
      </c>
      <c r="K19" s="959">
        <v>133.61243999999999</v>
      </c>
      <c r="L19" s="959">
        <v>200.15</v>
      </c>
      <c r="M19" s="959">
        <v>576.52</v>
      </c>
      <c r="N19" s="959">
        <f t="shared" si="0"/>
        <v>5876.2165499999992</v>
      </c>
    </row>
    <row r="20" spans="1:14" ht="37.5" customHeight="1">
      <c r="A20" s="968" t="s">
        <v>430</v>
      </c>
      <c r="B20" s="959">
        <v>-235.923642</v>
      </c>
      <c r="C20" s="959">
        <v>-252.39770100000001</v>
      </c>
      <c r="D20" s="959">
        <v>-232.07154299999999</v>
      </c>
      <c r="E20" s="959">
        <v>-249.311376</v>
      </c>
      <c r="F20" s="959">
        <v>-206.09316899999999</v>
      </c>
      <c r="G20" s="959">
        <v>-146.615184</v>
      </c>
      <c r="H20" s="959">
        <v>-111.431862</v>
      </c>
      <c r="I20" s="959">
        <v>-104.135085</v>
      </c>
      <c r="J20" s="959">
        <v>-95.033231999999998</v>
      </c>
      <c r="K20" s="959">
        <v>-89.417556000000005</v>
      </c>
      <c r="L20" s="959">
        <v>-133.94999999999999</v>
      </c>
      <c r="M20" s="959">
        <v>-249.31</v>
      </c>
      <c r="N20" s="959">
        <f t="shared" si="0"/>
        <v>-2105.6903500000003</v>
      </c>
    </row>
    <row r="21" spans="1:14">
      <c r="A21" s="1" t="s">
        <v>400</v>
      </c>
      <c r="B21" s="977">
        <f>SUM(B3:B20)</f>
        <v>518773.51599800005</v>
      </c>
      <c r="C21" s="977">
        <f t="shared" ref="C21:M21" si="1">SUM(C3:C20)</f>
        <v>556728.50847900019</v>
      </c>
      <c r="D21" s="977">
        <f t="shared" si="1"/>
        <v>512051.19614700007</v>
      </c>
      <c r="E21" s="977">
        <f t="shared" si="1"/>
        <v>549395.51470399997</v>
      </c>
      <c r="F21" s="977">
        <f t="shared" si="1"/>
        <v>455777.75810100004</v>
      </c>
      <c r="G21" s="977">
        <f t="shared" si="1"/>
        <v>326938.64353600005</v>
      </c>
      <c r="H21" s="977">
        <f t="shared" si="1"/>
        <v>250232.63009799999</v>
      </c>
      <c r="I21" s="977">
        <f t="shared" si="1"/>
        <v>234237.89921500004</v>
      </c>
      <c r="J21" s="977">
        <f t="shared" si="1"/>
        <v>214286.39332800003</v>
      </c>
      <c r="K21" s="977">
        <f t="shared" si="1"/>
        <v>201976.68092400001</v>
      </c>
      <c r="L21" s="977">
        <f t="shared" si="1"/>
        <v>15919.059999999998</v>
      </c>
      <c r="M21" s="977">
        <f t="shared" si="1"/>
        <v>18620.759999999998</v>
      </c>
      <c r="N21" s="959">
        <f t="shared" si="0"/>
        <v>3854938.5605300004</v>
      </c>
    </row>
    <row r="22" spans="1:14">
      <c r="A22" s="1" t="s">
        <v>401</v>
      </c>
      <c r="B22" s="969">
        <v>903922</v>
      </c>
      <c r="C22" s="969">
        <v>967041</v>
      </c>
      <c r="D22" s="969">
        <v>889163</v>
      </c>
      <c r="E22" s="969">
        <v>955216</v>
      </c>
      <c r="F22" s="969">
        <v>789629</v>
      </c>
      <c r="G22" s="969">
        <v>561744</v>
      </c>
      <c r="H22" s="969">
        <v>426942</v>
      </c>
      <c r="I22" s="969">
        <v>398985</v>
      </c>
      <c r="J22" s="969">
        <v>364112</v>
      </c>
      <c r="K22" s="969">
        <v>342596</v>
      </c>
      <c r="L22" s="969">
        <v>513206</v>
      </c>
      <c r="M22" s="969">
        <v>779085</v>
      </c>
      <c r="N22" s="969">
        <f t="shared" si="0"/>
        <v>7891641</v>
      </c>
    </row>
    <row r="23" spans="1:14">
      <c r="A23" s="1"/>
      <c r="B23" s="962"/>
      <c r="C23" s="962"/>
      <c r="D23" s="962"/>
      <c r="E23" s="962"/>
      <c r="F23" s="962"/>
      <c r="G23" s="962"/>
      <c r="H23" s="962"/>
      <c r="I23" s="962"/>
      <c r="J23" s="962"/>
      <c r="K23" s="962"/>
      <c r="L23" s="962"/>
      <c r="M23" s="962"/>
      <c r="N23" s="962"/>
    </row>
    <row r="24" spans="1:14">
      <c r="A24" s="1024" t="s">
        <v>433</v>
      </c>
      <c r="B24" s="974">
        <f>IF(B22&gt;100000,100000,B22)</f>
        <v>100000</v>
      </c>
      <c r="C24" s="974">
        <f t="shared" ref="C24:M24" si="2">IF(C22&gt;100000,100000,C22)</f>
        <v>100000</v>
      </c>
      <c r="D24" s="974">
        <f t="shared" si="2"/>
        <v>100000</v>
      </c>
      <c r="E24" s="974">
        <f t="shared" si="2"/>
        <v>100000</v>
      </c>
      <c r="F24" s="974">
        <f t="shared" si="2"/>
        <v>100000</v>
      </c>
      <c r="G24" s="974">
        <f t="shared" si="2"/>
        <v>100000</v>
      </c>
      <c r="H24" s="974">
        <f t="shared" si="2"/>
        <v>100000</v>
      </c>
      <c r="I24" s="974">
        <f t="shared" si="2"/>
        <v>100000</v>
      </c>
      <c r="J24" s="974">
        <f t="shared" si="2"/>
        <v>100000</v>
      </c>
      <c r="K24" s="974">
        <f t="shared" si="2"/>
        <v>100000</v>
      </c>
      <c r="L24" s="974">
        <f t="shared" si="2"/>
        <v>100000</v>
      </c>
      <c r="M24" s="974">
        <f t="shared" si="2"/>
        <v>100000</v>
      </c>
      <c r="N24" s="974">
        <f>SUM(B24:M24)</f>
        <v>1200000</v>
      </c>
    </row>
    <row r="25" spans="1:14">
      <c r="A25" s="1024" t="s">
        <v>434</v>
      </c>
      <c r="B25" s="974">
        <f>IF(B22&gt;300000,200000,(B22)-100000)</f>
        <v>200000</v>
      </c>
      <c r="C25" s="974">
        <f t="shared" ref="C25:M25" si="3">IF(C22&gt;300000,200000,(C22)-100000)</f>
        <v>200000</v>
      </c>
      <c r="D25" s="974">
        <f t="shared" si="3"/>
        <v>200000</v>
      </c>
      <c r="E25" s="974">
        <f t="shared" si="3"/>
        <v>200000</v>
      </c>
      <c r="F25" s="974">
        <f t="shared" si="3"/>
        <v>200000</v>
      </c>
      <c r="G25" s="974">
        <f t="shared" si="3"/>
        <v>200000</v>
      </c>
      <c r="H25" s="974">
        <f t="shared" si="3"/>
        <v>200000</v>
      </c>
      <c r="I25" s="974">
        <f t="shared" si="3"/>
        <v>200000</v>
      </c>
      <c r="J25" s="974">
        <f t="shared" si="3"/>
        <v>200000</v>
      </c>
      <c r="K25" s="974">
        <f t="shared" si="3"/>
        <v>200000</v>
      </c>
      <c r="L25" s="974">
        <f t="shared" si="3"/>
        <v>200000</v>
      </c>
      <c r="M25" s="974">
        <f t="shared" si="3"/>
        <v>200000</v>
      </c>
      <c r="N25" s="974">
        <f>SUM(B25:M25)</f>
        <v>2400000</v>
      </c>
    </row>
    <row r="26" spans="1:14">
      <c r="A26" s="1024" t="s">
        <v>434</v>
      </c>
      <c r="B26" s="974">
        <f>IF(B22&gt;500000,200000,(B22)-(SUM(B24:B25)))</f>
        <v>200000</v>
      </c>
      <c r="C26" s="974">
        <f t="shared" ref="C26:M26" si="4">IF(C22&gt;500000,200000,(C22)-(SUM(C24:C25)))</f>
        <v>200000</v>
      </c>
      <c r="D26" s="974">
        <f t="shared" si="4"/>
        <v>200000</v>
      </c>
      <c r="E26" s="974">
        <f t="shared" si="4"/>
        <v>200000</v>
      </c>
      <c r="F26" s="974">
        <f t="shared" si="4"/>
        <v>200000</v>
      </c>
      <c r="G26" s="974">
        <f t="shared" si="4"/>
        <v>200000</v>
      </c>
      <c r="H26" s="974">
        <f t="shared" si="4"/>
        <v>126942</v>
      </c>
      <c r="I26" s="974">
        <f t="shared" si="4"/>
        <v>98985</v>
      </c>
      <c r="J26" s="974">
        <f t="shared" si="4"/>
        <v>64112</v>
      </c>
      <c r="K26" s="974">
        <f t="shared" si="4"/>
        <v>42596</v>
      </c>
      <c r="L26" s="974">
        <f t="shared" si="4"/>
        <v>200000</v>
      </c>
      <c r="M26" s="974">
        <f t="shared" si="4"/>
        <v>200000</v>
      </c>
      <c r="N26" s="974">
        <f>SUM(B26:M26)</f>
        <v>1932635</v>
      </c>
    </row>
    <row r="27" spans="1:14">
      <c r="A27" s="1024" t="s">
        <v>435</v>
      </c>
      <c r="B27" s="974">
        <f>IF(B22&gt;500000,(B22)-(500000),0)</f>
        <v>403922</v>
      </c>
      <c r="C27" s="974">
        <f t="shared" ref="C27:M27" si="5">IF(C22&gt;500000,(C22)-(500000),0)</f>
        <v>467041</v>
      </c>
      <c r="D27" s="974">
        <f t="shared" si="5"/>
        <v>389163</v>
      </c>
      <c r="E27" s="974">
        <f t="shared" si="5"/>
        <v>455216</v>
      </c>
      <c r="F27" s="974">
        <f t="shared" si="5"/>
        <v>289629</v>
      </c>
      <c r="G27" s="974">
        <f t="shared" si="5"/>
        <v>61744</v>
      </c>
      <c r="H27" s="974">
        <f t="shared" si="5"/>
        <v>0</v>
      </c>
      <c r="I27" s="974">
        <f t="shared" si="5"/>
        <v>0</v>
      </c>
      <c r="J27" s="974">
        <f t="shared" si="5"/>
        <v>0</v>
      </c>
      <c r="K27" s="974">
        <f t="shared" si="5"/>
        <v>0</v>
      </c>
      <c r="L27" s="974">
        <f t="shared" si="5"/>
        <v>13206</v>
      </c>
      <c r="M27" s="974">
        <f t="shared" si="5"/>
        <v>279085</v>
      </c>
      <c r="N27" s="974">
        <f>SUM(B27:M27)</f>
        <v>2359006</v>
      </c>
    </row>
    <row r="28" spans="1:14">
      <c r="A28" s="962" t="s">
        <v>555</v>
      </c>
      <c r="B28" s="975">
        <f>SUM(B24:B27)-B22</f>
        <v>0</v>
      </c>
      <c r="C28" s="975">
        <f t="shared" ref="C28:K28" si="6">SUM(C24:C27)-C22</f>
        <v>0</v>
      </c>
      <c r="D28" s="975">
        <f t="shared" si="6"/>
        <v>0</v>
      </c>
      <c r="E28" s="975">
        <f t="shared" si="6"/>
        <v>0</v>
      </c>
      <c r="F28" s="975">
        <f t="shared" si="6"/>
        <v>0</v>
      </c>
      <c r="G28" s="975">
        <f t="shared" si="6"/>
        <v>0</v>
      </c>
      <c r="H28" s="975">
        <f>SUM(H24:H27)-H22</f>
        <v>0</v>
      </c>
      <c r="I28" s="975">
        <f t="shared" si="6"/>
        <v>0</v>
      </c>
      <c r="J28" s="975">
        <f t="shared" si="6"/>
        <v>0</v>
      </c>
      <c r="K28" s="975">
        <f t="shared" si="6"/>
        <v>0</v>
      </c>
      <c r="L28" s="975">
        <f>SUM(L24:L27)-L22</f>
        <v>0</v>
      </c>
      <c r="M28" s="975">
        <f>SUM(M24:M27)-M22</f>
        <v>0</v>
      </c>
      <c r="N28" s="975">
        <f>SUM(N24:N27)-N22</f>
        <v>0</v>
      </c>
    </row>
    <row r="29" spans="1:14">
      <c r="A29" s="1"/>
      <c r="B29" s="962"/>
      <c r="C29" s="962"/>
      <c r="D29" s="962"/>
      <c r="E29" s="962"/>
      <c r="F29" s="962"/>
      <c r="G29" s="962"/>
      <c r="H29" s="962"/>
      <c r="I29" s="962"/>
      <c r="J29" s="962"/>
      <c r="K29" s="962"/>
      <c r="L29" s="962"/>
      <c r="M29" s="962"/>
      <c r="N29" s="962"/>
    </row>
    <row r="30" spans="1:14">
      <c r="A30" s="1024" t="s">
        <v>433</v>
      </c>
      <c r="B30" s="974">
        <f>IF(B22&gt;100000,100000,B22)</f>
        <v>100000</v>
      </c>
      <c r="C30" s="974">
        <f t="shared" ref="C30:K30" si="7">IF(C22&gt;100000,100000,C22)</f>
        <v>100000</v>
      </c>
      <c r="D30" s="974">
        <f t="shared" si="7"/>
        <v>100000</v>
      </c>
      <c r="E30" s="974">
        <f t="shared" si="7"/>
        <v>100000</v>
      </c>
      <c r="F30" s="974">
        <f t="shared" si="7"/>
        <v>100000</v>
      </c>
      <c r="G30" s="974">
        <f t="shared" si="7"/>
        <v>100000</v>
      </c>
      <c r="H30" s="974">
        <f t="shared" si="7"/>
        <v>100000</v>
      </c>
      <c r="I30" s="974">
        <f t="shared" si="7"/>
        <v>100000</v>
      </c>
      <c r="J30" s="974">
        <f t="shared" si="7"/>
        <v>100000</v>
      </c>
      <c r="K30" s="974">
        <f t="shared" si="7"/>
        <v>100000</v>
      </c>
      <c r="L30" s="974"/>
      <c r="M30" s="974"/>
      <c r="N30" s="974">
        <f>SUM(B30:M30)</f>
        <v>1000000</v>
      </c>
    </row>
    <row r="31" spans="1:14">
      <c r="A31" s="1024" t="s">
        <v>434</v>
      </c>
      <c r="B31" s="974">
        <f>IF(B22&gt;300000,200000,(B22)-100000)</f>
        <v>200000</v>
      </c>
      <c r="C31" s="974">
        <f t="shared" ref="C31:K31" si="8">IF(C22&gt;300000,200000,(C22)-100000)</f>
        <v>200000</v>
      </c>
      <c r="D31" s="974">
        <f t="shared" si="8"/>
        <v>200000</v>
      </c>
      <c r="E31" s="974">
        <f t="shared" si="8"/>
        <v>200000</v>
      </c>
      <c r="F31" s="974">
        <f t="shared" si="8"/>
        <v>200000</v>
      </c>
      <c r="G31" s="974">
        <f t="shared" si="8"/>
        <v>200000</v>
      </c>
      <c r="H31" s="974">
        <f t="shared" si="8"/>
        <v>200000</v>
      </c>
      <c r="I31" s="974">
        <f t="shared" si="8"/>
        <v>200000</v>
      </c>
      <c r="J31" s="974">
        <f t="shared" si="8"/>
        <v>200000</v>
      </c>
      <c r="K31" s="974">
        <f t="shared" si="8"/>
        <v>200000</v>
      </c>
      <c r="L31" s="974"/>
      <c r="M31" s="974"/>
      <c r="N31" s="974">
        <f>SUM(B31:M31)</f>
        <v>2000000</v>
      </c>
    </row>
    <row r="32" spans="1:14">
      <c r="A32" s="1024" t="s">
        <v>434</v>
      </c>
      <c r="B32" s="974">
        <f>IF(B22&gt;500000,200000,(B22)-(SUM(B30:B31)))</f>
        <v>200000</v>
      </c>
      <c r="C32" s="974">
        <f t="shared" ref="C32:K32" si="9">IF(C22&gt;500000,200000,(C22)-(SUM(C30:C31)))</f>
        <v>200000</v>
      </c>
      <c r="D32" s="974">
        <f t="shared" si="9"/>
        <v>200000</v>
      </c>
      <c r="E32" s="974">
        <f t="shared" si="9"/>
        <v>200000</v>
      </c>
      <c r="F32" s="974">
        <f t="shared" si="9"/>
        <v>200000</v>
      </c>
      <c r="G32" s="974">
        <f t="shared" si="9"/>
        <v>200000</v>
      </c>
      <c r="H32" s="974">
        <f t="shared" si="9"/>
        <v>126942</v>
      </c>
      <c r="I32" s="974">
        <f t="shared" si="9"/>
        <v>98985</v>
      </c>
      <c r="J32" s="974">
        <f t="shared" si="9"/>
        <v>64112</v>
      </c>
      <c r="K32" s="974">
        <f t="shared" si="9"/>
        <v>42596</v>
      </c>
      <c r="L32" s="974"/>
      <c r="M32" s="974"/>
      <c r="N32" s="974">
        <f>SUM(B32:M32)</f>
        <v>1532635</v>
      </c>
    </row>
    <row r="33" spans="1:14">
      <c r="A33" s="1024" t="s">
        <v>435</v>
      </c>
      <c r="B33" s="974">
        <f>IF(B22&gt;500000,(B22)-(500000),0)</f>
        <v>403922</v>
      </c>
      <c r="C33" s="974">
        <f t="shared" ref="C33:K33" si="10">IF(C22&gt;500000,(C22)-(500000),0)</f>
        <v>467041</v>
      </c>
      <c r="D33" s="974">
        <f t="shared" si="10"/>
        <v>389163</v>
      </c>
      <c r="E33" s="974">
        <f t="shared" si="10"/>
        <v>455216</v>
      </c>
      <c r="F33" s="974">
        <f t="shared" si="10"/>
        <v>289629</v>
      </c>
      <c r="G33" s="974">
        <f t="shared" si="10"/>
        <v>61744</v>
      </c>
      <c r="H33" s="974">
        <f t="shared" si="10"/>
        <v>0</v>
      </c>
      <c r="I33" s="974">
        <f t="shared" si="10"/>
        <v>0</v>
      </c>
      <c r="J33" s="974">
        <f t="shared" si="10"/>
        <v>0</v>
      </c>
      <c r="K33" s="974">
        <f t="shared" si="10"/>
        <v>0</v>
      </c>
      <c r="L33" s="974"/>
      <c r="M33" s="974"/>
      <c r="N33" s="974">
        <f>SUM(B33:M33)</f>
        <v>2066715</v>
      </c>
    </row>
    <row r="34" spans="1:14">
      <c r="A34">
        <v>663</v>
      </c>
      <c r="B34" s="975"/>
      <c r="C34" s="975"/>
      <c r="D34" s="975"/>
      <c r="E34" s="975"/>
      <c r="F34" s="975"/>
      <c r="G34" s="975"/>
      <c r="H34" s="975"/>
      <c r="I34" s="975"/>
      <c r="J34" s="975"/>
      <c r="K34" s="975"/>
      <c r="L34" s="975"/>
      <c r="M34" s="975"/>
      <c r="N34" s="975"/>
    </row>
    <row r="35" spans="1:14">
      <c r="N35" s="971"/>
    </row>
    <row r="36" spans="1:14">
      <c r="A36" s="970" t="s">
        <v>408</v>
      </c>
      <c r="B36" s="974">
        <v>20000</v>
      </c>
      <c r="C36" s="974">
        <v>20000</v>
      </c>
      <c r="D36" s="974">
        <v>20000</v>
      </c>
      <c r="E36" s="974">
        <v>20000</v>
      </c>
      <c r="F36" s="974">
        <v>20000</v>
      </c>
      <c r="G36" s="974">
        <v>20000</v>
      </c>
      <c r="H36" s="974">
        <v>20000</v>
      </c>
      <c r="I36" s="974">
        <v>20000</v>
      </c>
      <c r="J36" s="974">
        <v>20000</v>
      </c>
      <c r="K36" s="974">
        <v>20000</v>
      </c>
      <c r="L36" s="974"/>
      <c r="M36" s="974"/>
      <c r="N36" s="974">
        <f>SUM(B36:M36)</f>
        <v>200000</v>
      </c>
    </row>
    <row r="37" spans="1:14">
      <c r="A37" s="970" t="s">
        <v>409</v>
      </c>
      <c r="B37" s="974">
        <v>80000</v>
      </c>
      <c r="C37" s="974">
        <v>80000</v>
      </c>
      <c r="D37" s="974">
        <v>80000</v>
      </c>
      <c r="E37" s="974">
        <v>80000</v>
      </c>
      <c r="F37" s="974">
        <v>80000</v>
      </c>
      <c r="G37" s="974">
        <v>80000</v>
      </c>
      <c r="H37" s="974">
        <v>80000</v>
      </c>
      <c r="I37" s="974">
        <v>80000</v>
      </c>
      <c r="J37" s="974">
        <v>80000</v>
      </c>
      <c r="K37" s="974">
        <v>80000</v>
      </c>
      <c r="L37" s="974"/>
      <c r="M37" s="974"/>
      <c r="N37" s="974">
        <f>SUM(B37:M37)</f>
        <v>800000</v>
      </c>
    </row>
    <row r="38" spans="1:14">
      <c r="A38" s="970" t="s">
        <v>410</v>
      </c>
      <c r="B38" s="974">
        <f>B22-SUM(B36:B37)</f>
        <v>803922</v>
      </c>
      <c r="C38" s="974">
        <f t="shared" ref="C38:K38" si="11">C22-SUM(C36:C37)</f>
        <v>867041</v>
      </c>
      <c r="D38" s="974">
        <f t="shared" si="11"/>
        <v>789163</v>
      </c>
      <c r="E38" s="974">
        <f t="shared" si="11"/>
        <v>855216</v>
      </c>
      <c r="F38" s="974">
        <f t="shared" si="11"/>
        <v>689629</v>
      </c>
      <c r="G38" s="974">
        <f t="shared" si="11"/>
        <v>461744</v>
      </c>
      <c r="H38" s="974">
        <f t="shared" si="11"/>
        <v>326942</v>
      </c>
      <c r="I38" s="974">
        <f t="shared" si="11"/>
        <v>298985</v>
      </c>
      <c r="J38" s="974">
        <f t="shared" si="11"/>
        <v>264112</v>
      </c>
      <c r="K38" s="974">
        <f t="shared" si="11"/>
        <v>242596</v>
      </c>
      <c r="L38" s="974"/>
      <c r="M38" s="974"/>
      <c r="N38" s="974">
        <f>SUM(B38:M38)</f>
        <v>5599350</v>
      </c>
    </row>
    <row r="39" spans="1:14">
      <c r="A39">
        <v>511</v>
      </c>
    </row>
    <row r="40" spans="1:14">
      <c r="N40" s="969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74D25-68E4-4F0A-B281-F757D78ADB3E}">
  <sheetPr codeName="Sheet24">
    <tabColor theme="8" tint="0.79998168889431442"/>
    <pageSetUpPr fitToPage="1"/>
  </sheetPr>
  <dimension ref="A1:AB32"/>
  <sheetViews>
    <sheetView topLeftCell="B1" zoomScale="80" zoomScaleNormal="80" workbookViewId="0">
      <selection activeCell="P26" sqref="P26"/>
    </sheetView>
  </sheetViews>
  <sheetFormatPr defaultColWidth="8.7109375" defaultRowHeight="15"/>
  <cols>
    <col min="1" max="1" width="8.7109375" style="33"/>
    <col min="2" max="2" width="8.7109375" style="78"/>
    <col min="3" max="3" width="34.28515625" style="33" customWidth="1"/>
    <col min="4" max="4" width="15.85546875" style="33" bestFit="1" customWidth="1"/>
    <col min="5" max="5" width="16.85546875" style="33" bestFit="1" customWidth="1"/>
    <col min="6" max="8" width="16.42578125" style="33" bestFit="1" customWidth="1"/>
    <col min="9" max="11" width="15.42578125" style="33" bestFit="1" customWidth="1"/>
    <col min="12" max="13" width="16.42578125" style="33" bestFit="1" customWidth="1"/>
    <col min="14" max="14" width="16.85546875" style="33" bestFit="1" customWidth="1"/>
    <col min="15" max="15" width="15.85546875" style="33" bestFit="1" customWidth="1"/>
    <col min="16" max="16" width="18.140625" style="33" bestFit="1" customWidth="1"/>
    <col min="17" max="16384" width="8.7109375" style="33"/>
  </cols>
  <sheetData>
    <row r="1" spans="1:28">
      <c r="A1" s="75"/>
      <c r="B1" s="75" t="s">
        <v>12</v>
      </c>
      <c r="C1" s="870"/>
      <c r="D1" s="870"/>
      <c r="E1" s="870"/>
    </row>
    <row r="2" spans="1:28">
      <c r="B2" s="871"/>
      <c r="C2" s="870"/>
      <c r="D2" s="76" t="s">
        <v>468</v>
      </c>
      <c r="E2" s="76" t="s">
        <v>469</v>
      </c>
      <c r="F2" s="76" t="s">
        <v>470</v>
      </c>
      <c r="G2" s="76" t="s">
        <v>471</v>
      </c>
      <c r="H2" s="76" t="s">
        <v>472</v>
      </c>
      <c r="I2" s="76" t="s">
        <v>473</v>
      </c>
      <c r="J2" s="76" t="s">
        <v>474</v>
      </c>
      <c r="K2" s="76" t="s">
        <v>475</v>
      </c>
      <c r="L2" s="76" t="s">
        <v>476</v>
      </c>
      <c r="M2" s="76" t="s">
        <v>477</v>
      </c>
      <c r="N2" s="76" t="s">
        <v>478</v>
      </c>
      <c r="O2" s="76" t="s">
        <v>479</v>
      </c>
      <c r="P2" s="870"/>
    </row>
    <row r="3" spans="1:28" s="113" customFormat="1">
      <c r="A3" s="1209" t="s">
        <v>2</v>
      </c>
      <c r="B3" s="1209" t="s">
        <v>3</v>
      </c>
      <c r="C3" s="1209" t="s">
        <v>4</v>
      </c>
      <c r="D3" s="1209" t="s">
        <v>5</v>
      </c>
      <c r="E3" s="1209" t="s">
        <v>6</v>
      </c>
      <c r="F3" s="1209" t="s">
        <v>273</v>
      </c>
      <c r="G3" s="1209" t="s">
        <v>274</v>
      </c>
      <c r="H3" s="1209" t="s">
        <v>275</v>
      </c>
      <c r="I3" s="1209" t="s">
        <v>276</v>
      </c>
      <c r="J3" s="888" t="s">
        <v>277</v>
      </c>
      <c r="K3" s="1209" t="s">
        <v>278</v>
      </c>
      <c r="L3" s="1209" t="s">
        <v>279</v>
      </c>
      <c r="M3" s="1209" t="s">
        <v>280</v>
      </c>
      <c r="N3" s="888" t="s">
        <v>281</v>
      </c>
      <c r="O3" s="1209" t="s">
        <v>282</v>
      </c>
      <c r="P3" s="1209" t="s">
        <v>283</v>
      </c>
      <c r="Q3" s="1209"/>
      <c r="R3" s="1209"/>
      <c r="S3" s="1209"/>
      <c r="T3" s="1209"/>
      <c r="U3" s="1209"/>
      <c r="V3" s="1209"/>
      <c r="W3" s="1209"/>
      <c r="X3" s="889"/>
      <c r="Z3" s="33"/>
      <c r="AA3" s="33"/>
      <c r="AB3" s="33"/>
    </row>
    <row r="4" spans="1:28">
      <c r="A4" s="33">
        <v>1</v>
      </c>
      <c r="B4" s="871"/>
      <c r="C4" s="870"/>
      <c r="D4" s="77">
        <v>43831</v>
      </c>
      <c r="E4" s="77">
        <v>43862</v>
      </c>
      <c r="F4" s="77">
        <v>43891</v>
      </c>
      <c r="G4" s="77">
        <v>43922</v>
      </c>
      <c r="H4" s="77">
        <v>43952</v>
      </c>
      <c r="I4" s="77">
        <v>43983</v>
      </c>
      <c r="J4" s="77">
        <v>44013</v>
      </c>
      <c r="K4" s="77">
        <v>44044</v>
      </c>
      <c r="L4" s="77">
        <v>44075</v>
      </c>
      <c r="M4" s="77">
        <v>44105</v>
      </c>
      <c r="N4" s="77">
        <v>44136</v>
      </c>
      <c r="O4" s="77">
        <v>44166</v>
      </c>
      <c r="P4" s="78" t="s">
        <v>294</v>
      </c>
    </row>
    <row r="5" spans="1:28">
      <c r="A5" s="33">
        <v>2</v>
      </c>
      <c r="B5" s="871"/>
      <c r="C5" s="870" t="s">
        <v>556</v>
      </c>
      <c r="D5" s="871"/>
      <c r="E5" s="871"/>
    </row>
    <row r="6" spans="1:28">
      <c r="A6" s="33">
        <v>3</v>
      </c>
      <c r="C6" s="870"/>
      <c r="D6" s="872"/>
      <c r="E6" s="872"/>
    </row>
    <row r="7" spans="1:28">
      <c r="A7" s="33">
        <v>4</v>
      </c>
      <c r="B7" s="871" t="s">
        <v>557</v>
      </c>
      <c r="C7" s="870" t="s">
        <v>558</v>
      </c>
      <c r="D7" s="251">
        <v>18881362.5</v>
      </c>
      <c r="E7" s="252">
        <v>16329851.640000001</v>
      </c>
      <c r="F7" s="251">
        <v>15546823.77</v>
      </c>
      <c r="G7" s="251">
        <v>9994048.0800000001</v>
      </c>
      <c r="H7" s="251">
        <v>6408669.2199999997</v>
      </c>
      <c r="I7" s="251">
        <v>4794208.42</v>
      </c>
      <c r="J7" s="251">
        <v>4268419.62</v>
      </c>
      <c r="K7" s="251">
        <v>3525156.06</v>
      </c>
      <c r="L7" s="251">
        <v>4543756.25</v>
      </c>
      <c r="M7" s="251">
        <v>8907181.2799999993</v>
      </c>
      <c r="N7" s="251">
        <v>17382999.469999999</v>
      </c>
      <c r="O7" s="251">
        <v>20826666.309999999</v>
      </c>
      <c r="P7" s="79">
        <f>SUM(D7:O7)</f>
        <v>131409142.62</v>
      </c>
    </row>
    <row r="8" spans="1:28">
      <c r="A8" s="33">
        <v>5</v>
      </c>
      <c r="B8" s="871" t="s">
        <v>559</v>
      </c>
      <c r="C8" s="870" t="s">
        <v>560</v>
      </c>
      <c r="D8" s="251">
        <v>15866723.85</v>
      </c>
      <c r="E8" s="252">
        <v>13914265.609999999</v>
      </c>
      <c r="F8" s="251">
        <v>12732302.189999999</v>
      </c>
      <c r="G8" s="251">
        <v>8107434.6900000004</v>
      </c>
      <c r="H8" s="251">
        <v>5390530.4800000004</v>
      </c>
      <c r="I8" s="251">
        <v>4509496.3499999996</v>
      </c>
      <c r="J8" s="251">
        <v>4339295.53</v>
      </c>
      <c r="K8" s="251">
        <v>3955826.76</v>
      </c>
      <c r="L8" s="251">
        <v>4794025.67</v>
      </c>
      <c r="M8" s="251">
        <v>8083004.8899999997</v>
      </c>
      <c r="N8" s="251">
        <v>11025921.220000001</v>
      </c>
      <c r="O8" s="251">
        <v>15492271.51</v>
      </c>
      <c r="P8" s="79">
        <f>SUM(D8:O8)</f>
        <v>108211098.75</v>
      </c>
    </row>
    <row r="9" spans="1:28">
      <c r="A9" s="33">
        <v>6</v>
      </c>
      <c r="C9" s="870" t="s">
        <v>561</v>
      </c>
      <c r="D9" s="253">
        <f>SUM(D7:D8)</f>
        <v>34748086.350000001</v>
      </c>
      <c r="E9" s="253">
        <f t="shared" ref="E9:O9" si="0">SUM(E7:E8)</f>
        <v>30244117.25</v>
      </c>
      <c r="F9" s="253">
        <f t="shared" si="0"/>
        <v>28279125.960000001</v>
      </c>
      <c r="G9" s="253">
        <f t="shared" si="0"/>
        <v>18101482.77</v>
      </c>
      <c r="H9" s="253">
        <f t="shared" si="0"/>
        <v>11799199.699999999</v>
      </c>
      <c r="I9" s="253">
        <f t="shared" si="0"/>
        <v>9303704.7699999996</v>
      </c>
      <c r="J9" s="253">
        <f t="shared" si="0"/>
        <v>8607715.1500000004</v>
      </c>
      <c r="K9" s="253">
        <f t="shared" si="0"/>
        <v>7480982.8200000003</v>
      </c>
      <c r="L9" s="253">
        <f t="shared" si="0"/>
        <v>9337781.9199999999</v>
      </c>
      <c r="M9" s="253">
        <f t="shared" si="0"/>
        <v>16990186.169999998</v>
      </c>
      <c r="N9" s="253">
        <f t="shared" si="0"/>
        <v>28408920.689999998</v>
      </c>
      <c r="O9" s="253">
        <f t="shared" si="0"/>
        <v>36318937.82</v>
      </c>
      <c r="P9" s="79">
        <f>SUM(D9:O9)</f>
        <v>239620241.36999995</v>
      </c>
    </row>
    <row r="10" spans="1:28">
      <c r="A10" s="33">
        <v>7</v>
      </c>
      <c r="D10" s="251"/>
      <c r="E10" s="251"/>
      <c r="F10" s="251"/>
      <c r="G10" s="251"/>
      <c r="H10" s="251"/>
      <c r="I10" s="251"/>
      <c r="J10" s="251"/>
      <c r="K10" s="251"/>
      <c r="L10" s="251"/>
      <c r="M10" s="251"/>
      <c r="N10" s="251"/>
      <c r="O10" s="251"/>
      <c r="P10" s="79"/>
    </row>
    <row r="11" spans="1:28">
      <c r="A11" s="33">
        <v>8</v>
      </c>
      <c r="C11" s="33" t="s">
        <v>562</v>
      </c>
      <c r="D11" s="251"/>
      <c r="E11" s="251"/>
      <c r="F11" s="251"/>
      <c r="G11" s="251"/>
      <c r="H11" s="251"/>
      <c r="I11" s="251"/>
      <c r="J11" s="251"/>
      <c r="K11" s="251"/>
      <c r="L11" s="251"/>
      <c r="M11" s="251"/>
      <c r="N11" s="251"/>
      <c r="O11" s="251"/>
      <c r="P11" s="79"/>
    </row>
    <row r="12" spans="1:28">
      <c r="A12" s="33">
        <v>9</v>
      </c>
      <c r="B12" s="78" t="s">
        <v>563</v>
      </c>
      <c r="C12" s="33" t="s">
        <v>246</v>
      </c>
      <c r="D12" s="251">
        <v>57673.51</v>
      </c>
      <c r="E12" s="251">
        <v>63426.74</v>
      </c>
      <c r="F12" s="251">
        <v>59191.1</v>
      </c>
      <c r="G12" s="251">
        <v>16028.08</v>
      </c>
      <c r="H12" s="251">
        <v>21795.8</v>
      </c>
      <c r="I12" s="251">
        <v>12836.94</v>
      </c>
      <c r="J12" s="251">
        <v>17673.36</v>
      </c>
      <c r="K12" s="251">
        <v>12871.87</v>
      </c>
      <c r="L12" s="251">
        <v>4853.01</v>
      </c>
      <c r="M12" s="251">
        <v>11416.54</v>
      </c>
      <c r="N12" s="251">
        <v>6868.39</v>
      </c>
      <c r="O12" s="251">
        <v>14000.09</v>
      </c>
      <c r="P12" s="79">
        <f t="shared" ref="P12:P20" si="1">SUM(D12:O12)</f>
        <v>298635.43</v>
      </c>
    </row>
    <row r="13" spans="1:28">
      <c r="A13" s="33">
        <v>10</v>
      </c>
      <c r="B13" s="78" t="s">
        <v>564</v>
      </c>
      <c r="C13" s="33" t="s">
        <v>565</v>
      </c>
      <c r="D13" s="251">
        <v>2121929.7400000002</v>
      </c>
      <c r="E13" s="251">
        <v>2010038.92</v>
      </c>
      <c r="F13" s="251">
        <v>2312105.11</v>
      </c>
      <c r="G13" s="251">
        <v>2077828.22</v>
      </c>
      <c r="H13" s="251">
        <v>1817832.68</v>
      </c>
      <c r="I13" s="251">
        <v>1821738.75</v>
      </c>
      <c r="J13" s="251">
        <v>1947083.39</v>
      </c>
      <c r="K13" s="251">
        <v>2142323.9500000002</v>
      </c>
      <c r="L13" s="251">
        <v>2264770.83</v>
      </c>
      <c r="M13" s="251">
        <v>2181572.67</v>
      </c>
      <c r="N13" s="251">
        <v>2141127.12</v>
      </c>
      <c r="O13" s="251">
        <v>2270311.39</v>
      </c>
      <c r="P13" s="79">
        <f t="shared" si="1"/>
        <v>25108662.770000007</v>
      </c>
    </row>
    <row r="14" spans="1:28">
      <c r="A14" s="33">
        <v>11</v>
      </c>
      <c r="B14" s="78" t="s">
        <v>566</v>
      </c>
      <c r="C14" s="33" t="s">
        <v>248</v>
      </c>
      <c r="D14" s="251">
        <v>0</v>
      </c>
      <c r="E14" s="251">
        <v>0</v>
      </c>
      <c r="F14" s="251">
        <v>0</v>
      </c>
      <c r="G14" s="251">
        <v>0</v>
      </c>
      <c r="H14" s="251">
        <v>0</v>
      </c>
      <c r="I14" s="251">
        <v>0</v>
      </c>
      <c r="J14" s="251">
        <v>0</v>
      </c>
      <c r="K14" s="251">
        <v>0</v>
      </c>
      <c r="L14" s="251">
        <v>0</v>
      </c>
      <c r="M14" s="251">
        <v>0</v>
      </c>
      <c r="N14" s="251">
        <v>0</v>
      </c>
      <c r="O14" s="251">
        <v>0</v>
      </c>
      <c r="P14" s="79">
        <f t="shared" si="1"/>
        <v>0</v>
      </c>
    </row>
    <row r="15" spans="1:28">
      <c r="A15" s="33">
        <v>12</v>
      </c>
      <c r="B15" s="78" t="s">
        <v>567</v>
      </c>
      <c r="C15" s="33" t="s">
        <v>250</v>
      </c>
      <c r="D15" s="251">
        <v>0</v>
      </c>
      <c r="E15" s="251">
        <v>15005.5</v>
      </c>
      <c r="F15" s="251">
        <v>7502.75</v>
      </c>
      <c r="G15" s="254">
        <v>7502.75</v>
      </c>
      <c r="H15" s="251">
        <v>7502.75</v>
      </c>
      <c r="I15" s="251">
        <v>7502.75</v>
      </c>
      <c r="J15" s="251">
        <v>7502.75</v>
      </c>
      <c r="K15" s="251">
        <v>7502.75</v>
      </c>
      <c r="L15" s="251">
        <v>7502.75</v>
      </c>
      <c r="M15" s="251">
        <v>7502.75</v>
      </c>
      <c r="N15" s="251">
        <v>7502.75</v>
      </c>
      <c r="O15" s="251">
        <v>7502.75</v>
      </c>
      <c r="P15" s="79">
        <f t="shared" si="1"/>
        <v>90033</v>
      </c>
    </row>
    <row r="16" spans="1:28">
      <c r="A16" s="33">
        <v>13</v>
      </c>
      <c r="B16" s="78" t="s">
        <v>568</v>
      </c>
      <c r="C16" s="33" t="s">
        <v>251</v>
      </c>
      <c r="D16" s="251">
        <v>107.38</v>
      </c>
      <c r="E16" s="251">
        <v>5560.78</v>
      </c>
      <c r="F16" s="251">
        <v>2345.4299999999998</v>
      </c>
      <c r="G16" s="254">
        <v>-851.29</v>
      </c>
      <c r="H16" s="251">
        <v>6258.14</v>
      </c>
      <c r="I16" s="251">
        <v>9949.9600000000009</v>
      </c>
      <c r="J16" s="251">
        <v>1775.38</v>
      </c>
      <c r="K16" s="251">
        <v>26493</v>
      </c>
      <c r="L16" s="251">
        <v>93228.17</v>
      </c>
      <c r="M16" s="251">
        <v>55954.66</v>
      </c>
      <c r="N16" s="251">
        <v>-3533.09</v>
      </c>
      <c r="O16" s="251">
        <v>-131931.12</v>
      </c>
      <c r="P16" s="79">
        <f t="shared" si="1"/>
        <v>65357.400000000023</v>
      </c>
    </row>
    <row r="17" spans="1:16">
      <c r="A17" s="33">
        <v>14</v>
      </c>
      <c r="B17" s="78" t="s">
        <v>569</v>
      </c>
      <c r="C17" s="33" t="s">
        <v>570</v>
      </c>
      <c r="D17" s="255">
        <v>0</v>
      </c>
      <c r="E17" s="255">
        <v>0</v>
      </c>
      <c r="F17" s="255">
        <v>0</v>
      </c>
      <c r="G17" s="254">
        <v>0</v>
      </c>
      <c r="H17" s="255">
        <v>0</v>
      </c>
      <c r="I17" s="255">
        <v>0</v>
      </c>
      <c r="J17" s="255">
        <v>0</v>
      </c>
      <c r="K17" s="255">
        <v>0</v>
      </c>
      <c r="L17" s="255">
        <v>0</v>
      </c>
      <c r="M17" s="255">
        <v>0</v>
      </c>
      <c r="N17" s="255">
        <v>0</v>
      </c>
      <c r="O17" s="255">
        <v>0</v>
      </c>
      <c r="P17" s="79">
        <f t="shared" si="1"/>
        <v>0</v>
      </c>
    </row>
    <row r="18" spans="1:16">
      <c r="A18" s="33">
        <v>15</v>
      </c>
      <c r="B18" s="78">
        <v>4962</v>
      </c>
      <c r="C18" s="33" t="s">
        <v>253</v>
      </c>
      <c r="D18" s="255">
        <v>191692.06</v>
      </c>
      <c r="E18" s="255">
        <v>144620.17000000001</v>
      </c>
      <c r="F18" s="255">
        <v>136235.39000000001</v>
      </c>
      <c r="G18" s="254">
        <v>13623.87</v>
      </c>
      <c r="H18" s="255">
        <v>-78914.820000000007</v>
      </c>
      <c r="I18" s="255">
        <v>-104319.79</v>
      </c>
      <c r="J18" s="255">
        <v>-96947.5</v>
      </c>
      <c r="K18" s="255">
        <v>-90837.05</v>
      </c>
      <c r="L18" s="255">
        <v>-79207.66</v>
      </c>
      <c r="M18" s="255">
        <v>-18744.87</v>
      </c>
      <c r="N18" s="255">
        <v>81741.38</v>
      </c>
      <c r="O18" s="255">
        <v>230382.42</v>
      </c>
      <c r="P18" s="79">
        <f t="shared" si="1"/>
        <v>329323.60000000003</v>
      </c>
    </row>
    <row r="19" spans="1:16">
      <c r="A19" s="33">
        <v>16</v>
      </c>
      <c r="C19" s="33" t="s">
        <v>571</v>
      </c>
      <c r="D19" s="253">
        <f>SUM(D12:D18)</f>
        <v>2371402.69</v>
      </c>
      <c r="E19" s="253">
        <f t="shared" ref="E19:O19" si="2">SUM(E12:E18)</f>
        <v>2238652.11</v>
      </c>
      <c r="F19" s="253">
        <f t="shared" si="2"/>
        <v>2517379.7800000003</v>
      </c>
      <c r="G19" s="253">
        <f t="shared" si="2"/>
        <v>2114131.63</v>
      </c>
      <c r="H19" s="253">
        <f t="shared" si="2"/>
        <v>1774474.5499999998</v>
      </c>
      <c r="I19" s="253">
        <f t="shared" si="2"/>
        <v>1747708.6099999999</v>
      </c>
      <c r="J19" s="253">
        <f t="shared" si="2"/>
        <v>1877087.38</v>
      </c>
      <c r="K19" s="253">
        <f t="shared" si="2"/>
        <v>2098354.5200000005</v>
      </c>
      <c r="L19" s="253">
        <f t="shared" si="2"/>
        <v>2291147.0999999996</v>
      </c>
      <c r="M19" s="253">
        <f t="shared" si="2"/>
        <v>2237701.75</v>
      </c>
      <c r="N19" s="253">
        <f t="shared" si="2"/>
        <v>2233706.5500000003</v>
      </c>
      <c r="O19" s="253">
        <f t="shared" si="2"/>
        <v>2390265.5299999998</v>
      </c>
      <c r="P19" s="79">
        <f>SUM(D19:O19)</f>
        <v>25892012.199999999</v>
      </c>
    </row>
    <row r="20" spans="1:16" ht="15.75" thickBot="1">
      <c r="A20" s="33">
        <v>17</v>
      </c>
      <c r="C20" s="33" t="s">
        <v>572</v>
      </c>
      <c r="D20" s="256">
        <f>D19+D9</f>
        <v>37119489.039999999</v>
      </c>
      <c r="E20" s="256">
        <f t="shared" ref="E20:O20" si="3">E19+E9</f>
        <v>32482769.359999999</v>
      </c>
      <c r="F20" s="256">
        <f t="shared" si="3"/>
        <v>30796505.740000002</v>
      </c>
      <c r="G20" s="256">
        <f t="shared" si="3"/>
        <v>20215614.399999999</v>
      </c>
      <c r="H20" s="256">
        <f t="shared" si="3"/>
        <v>13573674.25</v>
      </c>
      <c r="I20" s="256">
        <f t="shared" si="3"/>
        <v>11051413.379999999</v>
      </c>
      <c r="J20" s="256">
        <f t="shared" si="3"/>
        <v>10484802.530000001</v>
      </c>
      <c r="K20" s="256">
        <f t="shared" si="3"/>
        <v>9579337.3399999999</v>
      </c>
      <c r="L20" s="256">
        <f t="shared" si="3"/>
        <v>11628929.02</v>
      </c>
      <c r="M20" s="256">
        <f t="shared" si="3"/>
        <v>19227887.919999998</v>
      </c>
      <c r="N20" s="256">
        <f t="shared" si="3"/>
        <v>30642627.239999998</v>
      </c>
      <c r="O20" s="256">
        <f t="shared" si="3"/>
        <v>38709203.350000001</v>
      </c>
      <c r="P20" s="79">
        <f t="shared" si="1"/>
        <v>265512253.57000002</v>
      </c>
    </row>
    <row r="21" spans="1:16" ht="15.75" thickTop="1">
      <c r="A21" s="33">
        <v>18</v>
      </c>
      <c r="G21" s="80"/>
    </row>
    <row r="22" spans="1:16">
      <c r="A22" s="33">
        <v>19</v>
      </c>
      <c r="G22" s="80"/>
    </row>
    <row r="23" spans="1:16">
      <c r="A23" s="33">
        <v>20</v>
      </c>
      <c r="P23" s="39"/>
    </row>
    <row r="24" spans="1:16">
      <c r="A24" s="33">
        <v>21</v>
      </c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</row>
    <row r="25" spans="1:16">
      <c r="A25" s="33">
        <v>22</v>
      </c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>
        <f>P9+P19</f>
        <v>265512253.56999993</v>
      </c>
    </row>
    <row r="26" spans="1:16">
      <c r="A26" s="33">
        <v>23</v>
      </c>
      <c r="C26" s="870" t="s">
        <v>573</v>
      </c>
      <c r="D26" s="79">
        <f>D9</f>
        <v>34748086.350000001</v>
      </c>
      <c r="E26" s="79">
        <f t="shared" ref="E26:O26" si="4">E9</f>
        <v>30244117.25</v>
      </c>
      <c r="F26" s="79">
        <f t="shared" si="4"/>
        <v>28279125.960000001</v>
      </c>
      <c r="G26" s="79">
        <f t="shared" si="4"/>
        <v>18101482.77</v>
      </c>
      <c r="H26" s="79">
        <f t="shared" si="4"/>
        <v>11799199.699999999</v>
      </c>
      <c r="I26" s="79">
        <f t="shared" si="4"/>
        <v>9303704.7699999996</v>
      </c>
      <c r="J26" s="79">
        <f t="shared" si="4"/>
        <v>8607715.1500000004</v>
      </c>
      <c r="K26" s="79">
        <f t="shared" si="4"/>
        <v>7480982.8200000003</v>
      </c>
      <c r="L26" s="79">
        <f t="shared" si="4"/>
        <v>9337781.9199999999</v>
      </c>
      <c r="M26" s="79">
        <f t="shared" si="4"/>
        <v>16990186.169999998</v>
      </c>
      <c r="N26" s="79">
        <f t="shared" si="4"/>
        <v>28408920.689999998</v>
      </c>
      <c r="O26" s="79">
        <f t="shared" si="4"/>
        <v>36318937.82</v>
      </c>
    </row>
    <row r="27" spans="1:16">
      <c r="A27" s="33">
        <v>24</v>
      </c>
      <c r="C27" s="33" t="s">
        <v>574</v>
      </c>
      <c r="D27" s="638">
        <f>D19</f>
        <v>2371402.69</v>
      </c>
      <c r="E27" s="638">
        <f t="shared" ref="E27:O27" si="5">E19</f>
        <v>2238652.11</v>
      </c>
      <c r="F27" s="638">
        <f t="shared" si="5"/>
        <v>2517379.7800000003</v>
      </c>
      <c r="G27" s="638">
        <f t="shared" si="5"/>
        <v>2114131.63</v>
      </c>
      <c r="H27" s="638">
        <f t="shared" si="5"/>
        <v>1774474.5499999998</v>
      </c>
      <c r="I27" s="638">
        <f t="shared" si="5"/>
        <v>1747708.6099999999</v>
      </c>
      <c r="J27" s="638">
        <f t="shared" si="5"/>
        <v>1877087.38</v>
      </c>
      <c r="K27" s="638">
        <f t="shared" si="5"/>
        <v>2098354.5200000005</v>
      </c>
      <c r="L27" s="638">
        <f t="shared" si="5"/>
        <v>2291147.0999999996</v>
      </c>
      <c r="M27" s="638">
        <f t="shared" si="5"/>
        <v>2237701.75</v>
      </c>
      <c r="N27" s="638">
        <f t="shared" si="5"/>
        <v>2233706.5500000003</v>
      </c>
      <c r="O27" s="638">
        <f t="shared" si="5"/>
        <v>2390265.5299999998</v>
      </c>
    </row>
    <row r="28" spans="1:16">
      <c r="A28" s="33">
        <v>25</v>
      </c>
      <c r="C28" s="33" t="s">
        <v>254</v>
      </c>
      <c r="D28" s="79">
        <f>SUM(D26:D27)</f>
        <v>37119489.039999999</v>
      </c>
      <c r="E28" s="79">
        <f t="shared" ref="E28:O28" si="6">SUM(E26:E27)</f>
        <v>32482769.359999999</v>
      </c>
      <c r="F28" s="79">
        <f t="shared" si="6"/>
        <v>30796505.740000002</v>
      </c>
      <c r="G28" s="79">
        <f t="shared" si="6"/>
        <v>20215614.399999999</v>
      </c>
      <c r="H28" s="79">
        <f t="shared" si="6"/>
        <v>13573674.25</v>
      </c>
      <c r="I28" s="79">
        <f t="shared" si="6"/>
        <v>11051413.379999999</v>
      </c>
      <c r="J28" s="79">
        <f t="shared" si="6"/>
        <v>10484802.530000001</v>
      </c>
      <c r="K28" s="79">
        <f t="shared" si="6"/>
        <v>9579337.3399999999</v>
      </c>
      <c r="L28" s="79">
        <f t="shared" si="6"/>
        <v>11628929.02</v>
      </c>
      <c r="M28" s="79">
        <f t="shared" si="6"/>
        <v>19227887.919999998</v>
      </c>
      <c r="N28" s="79">
        <f t="shared" si="6"/>
        <v>30642627.239999998</v>
      </c>
      <c r="O28" s="79">
        <f t="shared" si="6"/>
        <v>38709203.350000001</v>
      </c>
    </row>
    <row r="29" spans="1:16">
      <c r="A29" s="33">
        <v>26</v>
      </c>
      <c r="C29" s="33" t="s">
        <v>149</v>
      </c>
      <c r="D29" s="79">
        <f>D20-D28</f>
        <v>0</v>
      </c>
      <c r="E29" s="79">
        <f t="shared" ref="E29:O29" si="7">E20-E28</f>
        <v>0</v>
      </c>
      <c r="F29" s="79">
        <f t="shared" si="7"/>
        <v>0</v>
      </c>
      <c r="G29" s="79">
        <f t="shared" si="7"/>
        <v>0</v>
      </c>
      <c r="H29" s="79">
        <f t="shared" si="7"/>
        <v>0</v>
      </c>
      <c r="I29" s="79">
        <f t="shared" si="7"/>
        <v>0</v>
      </c>
      <c r="J29" s="79">
        <f t="shared" si="7"/>
        <v>0</v>
      </c>
      <c r="K29" s="79">
        <f t="shared" si="7"/>
        <v>0</v>
      </c>
      <c r="L29" s="79">
        <f t="shared" si="7"/>
        <v>0</v>
      </c>
      <c r="M29" s="79">
        <f t="shared" si="7"/>
        <v>0</v>
      </c>
      <c r="N29" s="79">
        <f t="shared" si="7"/>
        <v>0</v>
      </c>
      <c r="O29" s="79">
        <f t="shared" si="7"/>
        <v>0</v>
      </c>
    </row>
    <row r="32" spans="1:16">
      <c r="C32" s="870"/>
      <c r="D32" s="81"/>
    </row>
  </sheetData>
  <printOptions horizontalCentered="1"/>
  <pageMargins left="0.5" right="0.5" top="1" bottom="0.75" header="0.5" footer="0.3"/>
  <pageSetup scale="48" fitToHeight="0" orientation="landscape" horizontalDpi="1200" verticalDpi="1200" r:id="rId1"/>
  <headerFooter scaleWithDoc="0">
    <oddHeader>&amp;C&amp;10Cascade Natural Gas Corporation
Allocation Report Summary 2019
IDM WP-1.4&amp;R&amp;9Page &amp;P of &amp;N</oddHeader>
    <oddFooter>&amp;L&amp;A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0B1CA-618B-47FB-8241-620435FB91D7}">
  <sheetPr codeName="Sheet25">
    <tabColor theme="8" tint="0.79998168889431442"/>
    <pageSetUpPr fitToPage="1"/>
  </sheetPr>
  <dimension ref="A1:T20"/>
  <sheetViews>
    <sheetView zoomScale="80" zoomScaleNormal="80" workbookViewId="0">
      <selection activeCell="E18" sqref="E18"/>
    </sheetView>
  </sheetViews>
  <sheetFormatPr defaultColWidth="9" defaultRowHeight="15"/>
  <cols>
    <col min="1" max="1" width="3.42578125" style="113" bestFit="1" customWidth="1"/>
    <col min="2" max="2" width="10.5703125" style="113" bestFit="1" customWidth="1"/>
    <col min="3" max="3" width="13.42578125" style="113" bestFit="1" customWidth="1"/>
    <col min="4" max="4" width="12" style="113" bestFit="1" customWidth="1"/>
    <col min="5" max="5" width="13.42578125" style="113" bestFit="1" customWidth="1"/>
    <col min="6" max="6" width="2.28515625" style="113" bestFit="1" customWidth="1"/>
    <col min="7" max="7" width="10.5703125" style="113" bestFit="1" customWidth="1"/>
    <col min="8" max="8" width="12.28515625" style="113" bestFit="1" customWidth="1"/>
    <col min="9" max="9" width="11.28515625" style="113" bestFit="1" customWidth="1"/>
    <col min="10" max="10" width="12.28515625" style="113" bestFit="1" customWidth="1"/>
    <col min="11" max="16384" width="9" style="113"/>
  </cols>
  <sheetData>
    <row r="1" spans="1:10">
      <c r="A1" s="1209"/>
      <c r="B1" s="1209" t="s">
        <v>2</v>
      </c>
      <c r="C1" s="1209" t="s">
        <v>3</v>
      </c>
      <c r="D1" s="1209" t="s">
        <v>4</v>
      </c>
      <c r="E1" s="1209" t="s">
        <v>5</v>
      </c>
      <c r="F1" s="1209" t="s">
        <v>6</v>
      </c>
      <c r="G1" s="1209" t="s">
        <v>273</v>
      </c>
      <c r="H1" s="1209" t="s">
        <v>274</v>
      </c>
      <c r="I1" s="1209" t="s">
        <v>274</v>
      </c>
      <c r="J1" s="1209" t="s">
        <v>276</v>
      </c>
    </row>
    <row r="2" spans="1:10">
      <c r="A2" s="113">
        <v>1</v>
      </c>
      <c r="B2" s="1492" t="s">
        <v>575</v>
      </c>
      <c r="C2" s="1492"/>
      <c r="D2" s="1492"/>
      <c r="E2" s="1492"/>
      <c r="G2" s="1492" t="s">
        <v>576</v>
      </c>
      <c r="H2" s="1492"/>
      <c r="I2" s="1492"/>
      <c r="J2" s="1492"/>
    </row>
    <row r="3" spans="1:10">
      <c r="A3" s="113">
        <v>2</v>
      </c>
      <c r="B3" s="113" t="s">
        <v>71</v>
      </c>
      <c r="C3" s="113" t="s">
        <v>577</v>
      </c>
      <c r="D3" s="113" t="s">
        <v>578</v>
      </c>
      <c r="E3" s="113" t="s">
        <v>294</v>
      </c>
      <c r="G3" s="113" t="s">
        <v>71</v>
      </c>
      <c r="H3" s="113" t="s">
        <v>577</v>
      </c>
      <c r="I3" s="113" t="s">
        <v>578</v>
      </c>
      <c r="J3" s="113" t="s">
        <v>294</v>
      </c>
    </row>
    <row r="4" spans="1:10">
      <c r="A4" s="113">
        <v>3</v>
      </c>
      <c r="B4" s="886">
        <v>43831</v>
      </c>
      <c r="C4" s="452">
        <v>19143613</v>
      </c>
      <c r="D4" s="941">
        <v>1464245</v>
      </c>
      <c r="E4" s="289">
        <f>SUM(C4:D4)</f>
        <v>20607858</v>
      </c>
      <c r="G4" s="886">
        <v>43831</v>
      </c>
      <c r="H4" s="452">
        <v>10806170</v>
      </c>
      <c r="I4" s="232">
        <v>3248766</v>
      </c>
      <c r="J4" s="289">
        <f t="shared" ref="J4:J15" si="0">SUM(H4:I4)</f>
        <v>14054936</v>
      </c>
    </row>
    <row r="5" spans="1:10">
      <c r="A5" s="113">
        <v>4</v>
      </c>
      <c r="B5" s="886">
        <v>43862</v>
      </c>
      <c r="C5" s="452">
        <v>16839336</v>
      </c>
      <c r="D5" s="941">
        <v>-72530</v>
      </c>
      <c r="E5" s="289">
        <f t="shared" ref="E5:E15" si="1">SUM(C5:D5)</f>
        <v>16766806</v>
      </c>
      <c r="G5" s="886">
        <v>43862</v>
      </c>
      <c r="H5" s="452">
        <v>11772389</v>
      </c>
      <c r="I5" s="232">
        <v>-195373</v>
      </c>
      <c r="J5" s="289">
        <f t="shared" si="0"/>
        <v>11577016</v>
      </c>
    </row>
    <row r="6" spans="1:10">
      <c r="A6" s="113">
        <v>5</v>
      </c>
      <c r="B6" s="886">
        <v>43891</v>
      </c>
      <c r="C6" s="452">
        <v>15506070.999999998</v>
      </c>
      <c r="D6" s="941">
        <v>-1220262</v>
      </c>
      <c r="E6" s="289">
        <f t="shared" si="1"/>
        <v>14285808.999999998</v>
      </c>
      <c r="G6" s="886">
        <v>43891</v>
      </c>
      <c r="H6" s="452">
        <v>9857624</v>
      </c>
      <c r="I6" s="232">
        <v>-653725</v>
      </c>
      <c r="J6" s="289">
        <f t="shared" si="0"/>
        <v>9203899</v>
      </c>
    </row>
    <row r="7" spans="1:10">
      <c r="A7" s="113">
        <v>6</v>
      </c>
      <c r="B7" s="886">
        <v>43922</v>
      </c>
      <c r="C7" s="452">
        <v>8818616</v>
      </c>
      <c r="D7" s="941">
        <v>483978</v>
      </c>
      <c r="E7" s="289">
        <f t="shared" si="1"/>
        <v>9302594</v>
      </c>
      <c r="G7" s="886">
        <v>43922</v>
      </c>
      <c r="H7" s="452">
        <v>4129568</v>
      </c>
      <c r="I7" s="232">
        <v>1744787</v>
      </c>
      <c r="J7" s="289">
        <f t="shared" si="0"/>
        <v>5874355</v>
      </c>
    </row>
    <row r="8" spans="1:10">
      <c r="A8" s="113">
        <v>7</v>
      </c>
      <c r="B8" s="886">
        <v>43952</v>
      </c>
      <c r="C8" s="452">
        <v>5420623</v>
      </c>
      <c r="D8" s="941">
        <v>534636</v>
      </c>
      <c r="E8" s="289">
        <f t="shared" si="1"/>
        <v>5955259</v>
      </c>
      <c r="G8" s="886">
        <v>43952</v>
      </c>
      <c r="H8" s="452">
        <v>3165969</v>
      </c>
      <c r="I8" s="232">
        <v>896087</v>
      </c>
      <c r="J8" s="289">
        <f t="shared" si="0"/>
        <v>4062056</v>
      </c>
    </row>
    <row r="9" spans="1:10">
      <c r="A9" s="113">
        <v>8</v>
      </c>
      <c r="B9" s="886">
        <v>43983</v>
      </c>
      <c r="C9" s="452">
        <v>3969679</v>
      </c>
      <c r="D9" s="941">
        <v>-148869</v>
      </c>
      <c r="E9" s="289">
        <f t="shared" si="1"/>
        <v>3820810</v>
      </c>
      <c r="G9" s="886">
        <v>43983</v>
      </c>
      <c r="H9" s="452">
        <v>2278038</v>
      </c>
      <c r="I9" s="232">
        <v>508233</v>
      </c>
      <c r="J9" s="289">
        <f t="shared" si="0"/>
        <v>2786271</v>
      </c>
    </row>
    <row r="10" spans="1:10">
      <c r="A10" s="113">
        <v>9</v>
      </c>
      <c r="B10" s="886">
        <v>44013</v>
      </c>
      <c r="C10" s="452">
        <v>3611351</v>
      </c>
      <c r="D10" s="941">
        <v>-474688</v>
      </c>
      <c r="E10" s="289">
        <f t="shared" si="1"/>
        <v>3136663</v>
      </c>
      <c r="G10" s="886">
        <v>44013</v>
      </c>
      <c r="H10" s="452">
        <v>2532545</v>
      </c>
      <c r="I10" s="232">
        <v>343984</v>
      </c>
      <c r="J10" s="289">
        <f t="shared" si="0"/>
        <v>2876529</v>
      </c>
    </row>
    <row r="11" spans="1:10">
      <c r="A11" s="113">
        <v>10</v>
      </c>
      <c r="B11" s="886">
        <v>44044</v>
      </c>
      <c r="C11" s="452">
        <v>3237272</v>
      </c>
      <c r="D11" s="941">
        <v>-97983</v>
      </c>
      <c r="E11" s="289">
        <f t="shared" si="1"/>
        <v>3139289</v>
      </c>
      <c r="G11" s="886">
        <v>44044</v>
      </c>
      <c r="H11" s="452">
        <v>2861863</v>
      </c>
      <c r="I11" s="232">
        <v>13366</v>
      </c>
      <c r="J11" s="289">
        <f t="shared" si="0"/>
        <v>2875229</v>
      </c>
    </row>
    <row r="12" spans="1:10">
      <c r="A12" s="113">
        <v>11</v>
      </c>
      <c r="B12" s="886">
        <v>44075</v>
      </c>
      <c r="C12" s="452">
        <v>3509195</v>
      </c>
      <c r="D12" s="941">
        <v>298209</v>
      </c>
      <c r="E12" s="289">
        <f t="shared" si="1"/>
        <v>3807404</v>
      </c>
      <c r="G12" s="886">
        <v>44075</v>
      </c>
      <c r="H12" s="452">
        <v>3082851</v>
      </c>
      <c r="I12" s="232">
        <v>642380</v>
      </c>
      <c r="J12" s="289">
        <f t="shared" si="0"/>
        <v>3725231</v>
      </c>
    </row>
    <row r="13" spans="1:10">
      <c r="A13" s="113">
        <v>12</v>
      </c>
      <c r="B13" s="886">
        <v>44105</v>
      </c>
      <c r="C13" s="452">
        <v>8247151</v>
      </c>
      <c r="D13" s="941">
        <v>458043</v>
      </c>
      <c r="E13" s="289">
        <f t="shared" si="1"/>
        <v>8705194</v>
      </c>
      <c r="G13" s="886">
        <v>44105</v>
      </c>
      <c r="H13" s="452">
        <v>7017364</v>
      </c>
      <c r="I13" s="232">
        <v>-194135</v>
      </c>
      <c r="J13" s="289">
        <f t="shared" si="0"/>
        <v>6823229</v>
      </c>
    </row>
    <row r="14" spans="1:10">
      <c r="A14" s="113">
        <v>13</v>
      </c>
      <c r="B14" s="886">
        <v>44136</v>
      </c>
      <c r="C14" s="452">
        <v>16943344</v>
      </c>
      <c r="D14" s="941">
        <v>-472955</v>
      </c>
      <c r="E14" s="289">
        <f t="shared" si="1"/>
        <v>16470389</v>
      </c>
      <c r="G14" s="886">
        <v>44136</v>
      </c>
      <c r="H14" s="452">
        <v>9145178</v>
      </c>
      <c r="I14" s="232">
        <v>1249456</v>
      </c>
      <c r="J14" s="289">
        <f t="shared" si="0"/>
        <v>10394634</v>
      </c>
    </row>
    <row r="15" spans="1:10">
      <c r="A15" s="113">
        <v>14</v>
      </c>
      <c r="B15" s="886">
        <v>44166</v>
      </c>
      <c r="C15" s="452">
        <v>19322301</v>
      </c>
      <c r="D15" s="941">
        <v>2108480</v>
      </c>
      <c r="E15" s="887">
        <f t="shared" si="1"/>
        <v>21430781</v>
      </c>
      <c r="G15" s="886">
        <v>44166</v>
      </c>
      <c r="H15" s="503">
        <v>12951216</v>
      </c>
      <c r="I15" s="232">
        <v>473586</v>
      </c>
      <c r="J15" s="887">
        <f t="shared" si="0"/>
        <v>13424802</v>
      </c>
    </row>
    <row r="16" spans="1:10">
      <c r="A16" s="113">
        <v>15</v>
      </c>
      <c r="C16" s="6">
        <f>SUM(C4:C15)</f>
        <v>124568552</v>
      </c>
      <c r="D16" s="6">
        <f>SUM(D4:D15)</f>
        <v>2860304</v>
      </c>
      <c r="E16" s="289">
        <f>SUM(E4:E15)</f>
        <v>127428856</v>
      </c>
      <c r="G16" s="370"/>
      <c r="H16" s="289">
        <f>SUM(H4:H15)</f>
        <v>79600775</v>
      </c>
      <c r="I16" s="289">
        <f>SUM(I4:I15)</f>
        <v>8077412</v>
      </c>
      <c r="J16" s="289">
        <f>SUM(J4:J15)</f>
        <v>87678187</v>
      </c>
    </row>
    <row r="18" spans="5:20">
      <c r="E18" s="1356">
        <f>E16/C16-1</f>
        <v>2.2961686188661901E-2</v>
      </c>
    </row>
    <row r="19" spans="5:20">
      <c r="I19" s="452"/>
      <c r="J19" s="452"/>
      <c r="K19" s="452"/>
      <c r="L19" s="452"/>
      <c r="M19" s="452"/>
      <c r="N19" s="452"/>
      <c r="O19" s="452"/>
      <c r="P19" s="452"/>
      <c r="Q19" s="452"/>
      <c r="R19" s="452"/>
      <c r="S19" s="452"/>
      <c r="T19" s="452"/>
    </row>
    <row r="20" spans="5:20">
      <c r="H20" s="452"/>
      <c r="I20" s="452"/>
      <c r="J20" s="452"/>
      <c r="K20" s="452"/>
      <c r="L20" s="452"/>
      <c r="M20" s="452"/>
      <c r="N20" s="452"/>
      <c r="O20" s="452"/>
      <c r="P20" s="452"/>
      <c r="Q20" s="452"/>
      <c r="R20" s="452"/>
      <c r="S20" s="452"/>
    </row>
  </sheetData>
  <mergeCells count="2">
    <mergeCell ref="B2:E2"/>
    <mergeCell ref="G2:J2"/>
  </mergeCells>
  <pageMargins left="0.7" right="0.7" top="1.5" bottom="0.75" header="0.3" footer="0.3"/>
  <pageSetup scale="86" fitToHeight="0" orientation="portrait" r:id="rId1"/>
  <headerFooter>
    <oddHeader>&amp;CCascade Natural Gas Corporation
Weather Normalization
IDM WP-1.5&amp;RPage &amp;P of &amp;N</oddHeader>
    <oddFooter>&amp;L&amp;A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08F08-4237-4439-AA4D-8D956DCEC41A}">
  <sheetPr codeName="Sheet30">
    <tabColor theme="8" tint="0.79998168889431442"/>
    <pageSetUpPr fitToPage="1"/>
  </sheetPr>
  <dimension ref="A1:AZ166"/>
  <sheetViews>
    <sheetView topLeftCell="A2" zoomScale="80" zoomScaleNormal="80" workbookViewId="0">
      <pane xSplit="5" ySplit="6" topLeftCell="N8" activePane="bottomRight" state="frozen"/>
      <selection activeCell="A2" sqref="A2"/>
      <selection pane="topRight" activeCell="F2" sqref="F2"/>
      <selection pane="bottomLeft" activeCell="A8" sqref="A8"/>
      <selection pane="bottomRight" activeCell="D11" sqref="D11"/>
    </sheetView>
  </sheetViews>
  <sheetFormatPr defaultColWidth="9.140625" defaultRowHeight="15"/>
  <cols>
    <col min="1" max="1" width="1.85546875" style="962" customWidth="1"/>
    <col min="2" max="2" width="2.85546875" style="962" hidden="1" customWidth="1"/>
    <col min="3" max="3" width="57.42578125" style="962" customWidth="1"/>
    <col min="4" max="4" width="14.85546875" style="962" customWidth="1"/>
    <col min="5" max="5" width="14.7109375" style="962" bestFit="1" customWidth="1"/>
    <col min="6" max="6" width="15.85546875" style="962" bestFit="1" customWidth="1"/>
    <col min="7" max="7" width="14.85546875" style="962" customWidth="1"/>
    <col min="8" max="15" width="14.7109375" style="962" customWidth="1"/>
    <col min="16" max="16" width="15" style="962" customWidth="1"/>
    <col min="17" max="18" width="15.28515625" style="962" bestFit="1" customWidth="1"/>
    <col min="19" max="19" width="2" style="962" customWidth="1"/>
    <col min="20" max="20" width="18.7109375" style="962" customWidth="1"/>
    <col min="21" max="21" width="14.5703125" style="962" customWidth="1"/>
    <col min="22" max="23" width="14" style="962" bestFit="1" customWidth="1"/>
    <col min="24" max="24" width="12.28515625" style="962" bestFit="1" customWidth="1"/>
    <col min="25" max="25" width="3.140625" style="962" customWidth="1"/>
    <col min="26" max="26" width="9.140625" style="962" customWidth="1"/>
    <col min="27" max="27" width="0.7109375" style="962" customWidth="1"/>
    <col min="28" max="28" width="10.140625" style="962" bestFit="1" customWidth="1"/>
    <col min="29" max="29" width="9.140625" style="962" customWidth="1"/>
    <col min="30" max="30" width="8" style="962" bestFit="1" customWidth="1"/>
    <col min="31" max="31" width="16.7109375" style="962" customWidth="1"/>
    <col min="32" max="32" width="15.85546875" style="962" customWidth="1"/>
    <col min="33" max="33" width="12.28515625" style="962" bestFit="1" customWidth="1"/>
    <col min="34" max="34" width="18.7109375" style="962" bestFit="1" customWidth="1"/>
    <col min="35" max="35" width="14.85546875" style="962" bestFit="1" customWidth="1"/>
    <col min="36" max="36" width="12.28515625" style="962" bestFit="1" customWidth="1"/>
    <col min="37" max="37" width="7.5703125" style="962" bestFit="1" customWidth="1"/>
    <col min="38" max="38" width="10.5703125" style="962" bestFit="1" customWidth="1"/>
    <col min="39" max="39" width="9.140625" style="962"/>
    <col min="40" max="40" width="8" style="962" bestFit="1" customWidth="1"/>
    <col min="41" max="41" width="9.140625" style="962"/>
    <col min="42" max="42" width="9.7109375" style="962" bestFit="1" customWidth="1"/>
    <col min="43" max="43" width="9.140625" style="962"/>
    <col min="44" max="44" width="18.7109375" style="962" bestFit="1" customWidth="1"/>
    <col min="45" max="45" width="13.28515625" style="962" bestFit="1" customWidth="1"/>
    <col min="46" max="46" width="10.5703125" style="962" bestFit="1" customWidth="1"/>
    <col min="47" max="47" width="7.5703125" style="962" bestFit="1" customWidth="1"/>
    <col min="48" max="48" width="10.5703125" style="962" bestFit="1" customWidth="1"/>
    <col min="49" max="49" width="9.140625" style="962"/>
    <col min="50" max="50" width="8" style="962" bestFit="1" customWidth="1"/>
    <col min="51" max="51" width="9.140625" style="962"/>
    <col min="52" max="52" width="9.7109375" style="962" bestFit="1" customWidth="1"/>
    <col min="53" max="16384" width="9.140625" style="962"/>
  </cols>
  <sheetData>
    <row r="1" spans="1:52" hidden="1">
      <c r="B1" s="1502" t="s">
        <v>579</v>
      </c>
      <c r="C1" s="1502"/>
      <c r="D1" s="1502"/>
      <c r="E1" s="1502"/>
      <c r="F1" s="1502"/>
      <c r="G1" s="1502"/>
      <c r="H1" s="1502"/>
      <c r="I1" s="1502"/>
      <c r="J1" s="1502"/>
      <c r="K1" s="1502"/>
      <c r="L1" s="1502"/>
      <c r="M1" s="1502"/>
      <c r="N1" s="1502"/>
      <c r="O1" s="1502"/>
      <c r="P1" s="1502"/>
      <c r="Q1" s="1502"/>
    </row>
    <row r="2" spans="1:52">
      <c r="C2" s="1502" t="s">
        <v>580</v>
      </c>
      <c r="D2" s="1502"/>
      <c r="E2" s="1502"/>
      <c r="F2" s="1502"/>
      <c r="G2" s="1502"/>
      <c r="H2" s="1502"/>
      <c r="I2" s="1502"/>
      <c r="J2" s="1502"/>
      <c r="K2" s="1502"/>
      <c r="L2" s="1502"/>
      <c r="M2" s="1502"/>
      <c r="N2" s="1502"/>
      <c r="O2" s="1502"/>
      <c r="P2" s="1502"/>
      <c r="Q2" s="1502"/>
      <c r="R2" s="1502"/>
    </row>
    <row r="3" spans="1:52">
      <c r="C3" s="1502" t="s">
        <v>581</v>
      </c>
      <c r="D3" s="1502"/>
      <c r="E3" s="1502"/>
      <c r="F3" s="1502"/>
      <c r="G3" s="1502"/>
      <c r="H3" s="1502"/>
      <c r="I3" s="1502"/>
      <c r="J3" s="1502"/>
      <c r="K3" s="1502"/>
      <c r="L3" s="1502"/>
      <c r="M3" s="1502"/>
      <c r="N3" s="1502"/>
      <c r="O3" s="1502"/>
      <c r="P3" s="1502"/>
      <c r="Q3" s="1502"/>
      <c r="R3" s="1502"/>
    </row>
    <row r="4" spans="1:52">
      <c r="B4" s="1213"/>
      <c r="C4" s="1213"/>
      <c r="D4" s="1437"/>
      <c r="E4" s="1128"/>
      <c r="F4" s="1128"/>
      <c r="G4" s="1128"/>
      <c r="H4" s="1128"/>
      <c r="I4" s="1128"/>
      <c r="J4" s="1128"/>
      <c r="K4" s="1128"/>
      <c r="L4" s="1128"/>
      <c r="M4" s="1128"/>
      <c r="N4" s="1128"/>
      <c r="O4" s="1128"/>
      <c r="P4" s="1128"/>
      <c r="Q4" s="1128"/>
      <c r="R4" s="1042"/>
    </row>
    <row r="5" spans="1:52">
      <c r="A5" s="1043"/>
      <c r="B5" s="1044" t="s">
        <v>63</v>
      </c>
      <c r="C5" s="1129"/>
      <c r="D5" s="1045">
        <v>43830</v>
      </c>
      <c r="E5" s="1045">
        <v>43861</v>
      </c>
      <c r="F5" s="1046">
        <f t="shared" ref="F5:N5" si="0">+E5+29</f>
        <v>43890</v>
      </c>
      <c r="G5" s="1045">
        <f t="shared" si="0"/>
        <v>43919</v>
      </c>
      <c r="H5" s="1047">
        <f t="shared" si="0"/>
        <v>43948</v>
      </c>
      <c r="I5" s="1047">
        <f t="shared" si="0"/>
        <v>43977</v>
      </c>
      <c r="J5" s="1047">
        <f t="shared" si="0"/>
        <v>44006</v>
      </c>
      <c r="K5" s="1047">
        <f t="shared" si="0"/>
        <v>44035</v>
      </c>
      <c r="L5" s="1047">
        <f t="shared" si="0"/>
        <v>44064</v>
      </c>
      <c r="M5" s="1047">
        <f t="shared" si="0"/>
        <v>44093</v>
      </c>
      <c r="N5" s="1047">
        <f t="shared" si="0"/>
        <v>44122</v>
      </c>
      <c r="O5" s="1047" t="s">
        <v>582</v>
      </c>
      <c r="P5" s="1047">
        <f>+N5+29</f>
        <v>44151</v>
      </c>
      <c r="Q5" s="1048">
        <f>+P5+29</f>
        <v>44180</v>
      </c>
      <c r="R5" s="1049" t="s">
        <v>583</v>
      </c>
      <c r="S5" s="1050"/>
    </row>
    <row r="6" spans="1:52">
      <c r="A6" s="1043"/>
      <c r="B6" s="1213"/>
      <c r="C6" s="1051" t="s">
        <v>584</v>
      </c>
      <c r="D6" s="1082"/>
      <c r="E6" s="1052">
        <v>4.9599999999999998E-2</v>
      </c>
      <c r="F6" s="1053">
        <v>4.9599999999999998E-2</v>
      </c>
      <c r="G6" s="1052">
        <v>4.9599999999999998E-2</v>
      </c>
      <c r="H6" s="1053">
        <v>4.7500000000000001E-2</v>
      </c>
      <c r="I6" s="1053">
        <v>4.7500000000000001E-2</v>
      </c>
      <c r="J6" s="1053">
        <v>4.7500000000000001E-2</v>
      </c>
      <c r="K6" s="1053">
        <v>3.4299999999999997E-2</v>
      </c>
      <c r="L6" s="1053">
        <v>3.4299999999999997E-2</v>
      </c>
      <c r="M6" s="1053">
        <v>3.4299999999999997E-2</v>
      </c>
      <c r="N6" s="1053">
        <v>3.2500000000000001E-2</v>
      </c>
      <c r="O6" s="1054"/>
      <c r="P6" s="1053">
        <v>3.2500000000000001E-2</v>
      </c>
      <c r="Q6" s="1053">
        <v>3.2500000000000001E-2</v>
      </c>
      <c r="R6" s="1130"/>
      <c r="S6" s="1050"/>
      <c r="T6" s="962" t="s">
        <v>585</v>
      </c>
    </row>
    <row r="7" spans="1:52">
      <c r="A7" s="1043"/>
      <c r="B7" s="1213"/>
      <c r="C7" s="1051" t="s">
        <v>586</v>
      </c>
      <c r="D7" s="1439"/>
      <c r="E7" s="1055">
        <v>31</v>
      </c>
      <c r="F7" s="1056">
        <v>29</v>
      </c>
      <c r="G7" s="1055">
        <v>31</v>
      </c>
      <c r="H7" s="1055">
        <v>30</v>
      </c>
      <c r="I7" s="1055">
        <v>31</v>
      </c>
      <c r="J7" s="1055">
        <v>30</v>
      </c>
      <c r="K7" s="1055">
        <v>31</v>
      </c>
      <c r="L7" s="1055">
        <v>31</v>
      </c>
      <c r="M7" s="1055">
        <v>30</v>
      </c>
      <c r="N7" s="1055">
        <v>31</v>
      </c>
      <c r="O7" s="1057"/>
      <c r="P7" s="1055">
        <v>30</v>
      </c>
      <c r="Q7" s="1055">
        <v>31</v>
      </c>
      <c r="R7" s="1131"/>
      <c r="AC7" s="1058" t="s">
        <v>587</v>
      </c>
    </row>
    <row r="8" spans="1:52">
      <c r="A8" s="1043"/>
      <c r="B8" s="962" t="s">
        <v>588</v>
      </c>
      <c r="C8" s="1132" t="s">
        <v>589</v>
      </c>
      <c r="D8" s="1440"/>
      <c r="E8" s="1059"/>
      <c r="F8" s="1059"/>
      <c r="G8" s="732"/>
      <c r="H8" s="732"/>
      <c r="I8" s="1059"/>
      <c r="J8" s="1059"/>
      <c r="K8" s="1059"/>
      <c r="L8" s="1059"/>
      <c r="M8" s="1059"/>
      <c r="N8" s="1059"/>
      <c r="O8" s="1059"/>
      <c r="P8" s="1059"/>
      <c r="Q8" s="1060"/>
      <c r="R8" s="1061"/>
      <c r="U8" s="1213">
        <v>503</v>
      </c>
      <c r="V8" s="961">
        <v>18475354</v>
      </c>
      <c r="W8" s="962" t="s">
        <v>401</v>
      </c>
      <c r="X8" s="961">
        <f>V8</f>
        <v>18475354</v>
      </c>
      <c r="Z8" s="1213" t="s">
        <v>590</v>
      </c>
      <c r="AJ8" s="961"/>
      <c r="AL8" s="961"/>
      <c r="AT8" s="961"/>
      <c r="AV8" s="961"/>
    </row>
    <row r="9" spans="1:52">
      <c r="A9" s="1043"/>
      <c r="B9" s="976" t="s">
        <v>591</v>
      </c>
      <c r="C9" s="1062" t="s">
        <v>592</v>
      </c>
      <c r="D9" s="1441"/>
      <c r="E9" s="1059">
        <v>194266</v>
      </c>
      <c r="F9" s="1059">
        <v>194516</v>
      </c>
      <c r="G9" s="1059">
        <v>194699</v>
      </c>
      <c r="H9" s="1059">
        <v>194429</v>
      </c>
      <c r="I9" s="1059">
        <v>194478</v>
      </c>
      <c r="J9" s="1059">
        <v>194593</v>
      </c>
      <c r="K9" s="1059">
        <v>194759</v>
      </c>
      <c r="L9" s="1059">
        <v>194934</v>
      </c>
      <c r="M9" s="1059">
        <v>195321</v>
      </c>
      <c r="N9" s="1059">
        <v>196389</v>
      </c>
      <c r="O9" s="1059"/>
      <c r="P9" s="1059">
        <v>196954</v>
      </c>
      <c r="Q9" s="1059">
        <v>197405</v>
      </c>
      <c r="R9" s="1063"/>
      <c r="T9" s="1064" t="s">
        <v>590</v>
      </c>
      <c r="U9" s="731">
        <v>5740869</v>
      </c>
      <c r="V9" s="1065">
        <f>U9/V8</f>
        <v>0.31073120439261948</v>
      </c>
      <c r="X9" s="1065">
        <f>U9/X8</f>
        <v>0.31073120439261948</v>
      </c>
      <c r="Z9" s="962">
        <v>0.31073000000000001</v>
      </c>
      <c r="AB9" s="1065">
        <f>Z9-X9</f>
        <v>-1.2043926194693633E-6</v>
      </c>
      <c r="AF9" s="1065"/>
      <c r="AH9" s="1064"/>
      <c r="AI9" s="731"/>
      <c r="AJ9" s="1065"/>
      <c r="AL9" s="1065"/>
      <c r="AP9" s="1065"/>
      <c r="AR9" s="1064"/>
      <c r="AS9" s="731"/>
      <c r="AT9" s="1065"/>
      <c r="AV9" s="1065"/>
      <c r="AZ9" s="1065"/>
    </row>
    <row r="10" spans="1:52">
      <c r="A10" s="1043"/>
      <c r="B10" s="976" t="s">
        <v>593</v>
      </c>
      <c r="C10" s="1066" t="s">
        <v>594</v>
      </c>
      <c r="D10" s="1442"/>
      <c r="E10" s="732">
        <v>5833737.54</v>
      </c>
      <c r="F10" s="732">
        <v>4762707.5999999996</v>
      </c>
      <c r="G10" s="732">
        <v>5029134.43</v>
      </c>
      <c r="H10" s="732">
        <v>4322226.46</v>
      </c>
      <c r="I10" s="732">
        <v>2116022.56</v>
      </c>
      <c r="J10" s="732">
        <v>1555485.45</v>
      </c>
      <c r="K10" s="732">
        <v>1250731.19</v>
      </c>
      <c r="L10" s="732">
        <v>849117.64</v>
      </c>
      <c r="M10" s="732">
        <v>916236.85</v>
      </c>
      <c r="N10" s="732">
        <v>1315220.1599999999</v>
      </c>
      <c r="O10" s="732"/>
      <c r="P10" s="732">
        <v>3247769.27</v>
      </c>
      <c r="Q10" s="1070">
        <v>5740869</v>
      </c>
      <c r="R10" s="1067"/>
      <c r="T10" s="1064" t="s">
        <v>129</v>
      </c>
      <c r="U10" s="731">
        <v>8031766.2400000002</v>
      </c>
      <c r="V10" s="1065">
        <f>U10/V8</f>
        <v>0.43472867908241436</v>
      </c>
      <c r="X10" s="1065">
        <f>U10/X8</f>
        <v>0.43472867908241436</v>
      </c>
      <c r="Z10" s="962">
        <v>0.43465999999999999</v>
      </c>
      <c r="AB10" s="1065">
        <f>Z10-X10</f>
        <v>-6.8679082414369041E-5</v>
      </c>
      <c r="AF10" s="1065"/>
      <c r="AH10" s="1064"/>
      <c r="AI10" s="731"/>
      <c r="AJ10" s="1065"/>
      <c r="AL10" s="1065"/>
      <c r="AP10" s="1065"/>
      <c r="AR10" s="1064"/>
      <c r="AS10" s="731"/>
      <c r="AT10" s="1065"/>
      <c r="AV10" s="1065"/>
      <c r="AZ10" s="1065"/>
    </row>
    <row r="11" spans="1:52">
      <c r="A11" s="1043"/>
      <c r="B11" s="976" t="s">
        <v>595</v>
      </c>
      <c r="C11" s="1066" t="s">
        <v>596</v>
      </c>
      <c r="D11" s="1442"/>
      <c r="E11" s="732">
        <f>ROUND(11533219*0.27205,2)</f>
        <v>3137612.23</v>
      </c>
      <c r="F11" s="732">
        <f>ROUND(10865780*0.27205,2)</f>
        <v>2956035.45</v>
      </c>
      <c r="G11" s="732">
        <f>ROUND(8736040*0.31073,2)</f>
        <v>2714549.71</v>
      </c>
      <c r="H11" s="732">
        <f>ROUND(3624357*0.31073,2)</f>
        <v>1126196.45</v>
      </c>
      <c r="I11" s="732">
        <f>ROUND(2235478*0.31073,2)</f>
        <v>694630.08</v>
      </c>
      <c r="J11" s="732">
        <f>ROUND(1199677*0.31073,2)</f>
        <v>372775.63</v>
      </c>
      <c r="K11" s="732">
        <f>ROUND(786164*0.31073,2)</f>
        <v>244284.74</v>
      </c>
      <c r="L11" s="732">
        <f>ROUND(1291073*0.31073,2)</f>
        <v>401175.11</v>
      </c>
      <c r="M11" s="732">
        <f>ROUND(1851788*0.31073,2)</f>
        <v>575406.09</v>
      </c>
      <c r="N11" s="732">
        <f>ROUND(5866478*0.31073,2)</f>
        <v>1822890.71</v>
      </c>
      <c r="O11" s="732"/>
      <c r="P11" s="732">
        <f>ROUND(12357910*0.31073,2)</f>
        <v>3839973.37</v>
      </c>
      <c r="Q11" s="732">
        <f>ROUND(13204857*0.31073,2)</f>
        <v>4103145.22</v>
      </c>
      <c r="R11" s="1063"/>
      <c r="T11" s="1064"/>
      <c r="U11" s="731"/>
      <c r="V11" s="1065"/>
      <c r="X11" s="1065"/>
      <c r="AB11" s="1065"/>
    </row>
    <row r="12" spans="1:52" ht="30">
      <c r="A12" s="1043"/>
      <c r="B12" s="976" t="s">
        <v>595</v>
      </c>
      <c r="C12" s="1066" t="s">
        <v>597</v>
      </c>
      <c r="D12" s="1447">
        <v>-3763325.87</v>
      </c>
      <c r="E12" s="1448">
        <v>-3180351.56</v>
      </c>
      <c r="F12" s="1068">
        <f t="shared" ref="F12:N12" si="1">-E11</f>
        <v>-3137612.23</v>
      </c>
      <c r="G12" s="1068">
        <f t="shared" si="1"/>
        <v>-2956035.45</v>
      </c>
      <c r="H12" s="1068">
        <f t="shared" si="1"/>
        <v>-2714549.71</v>
      </c>
      <c r="I12" s="1068">
        <f t="shared" si="1"/>
        <v>-1126196.45</v>
      </c>
      <c r="J12" s="1068">
        <f t="shared" si="1"/>
        <v>-694630.08</v>
      </c>
      <c r="K12" s="1068">
        <f t="shared" si="1"/>
        <v>-372775.63</v>
      </c>
      <c r="L12" s="1068">
        <f t="shared" si="1"/>
        <v>-244284.74</v>
      </c>
      <c r="M12" s="1068">
        <f t="shared" si="1"/>
        <v>-401175.11</v>
      </c>
      <c r="N12" s="1068">
        <f t="shared" si="1"/>
        <v>-575406.09</v>
      </c>
      <c r="O12" s="1068"/>
      <c r="P12" s="1068">
        <f>-N11</f>
        <v>-1822890.71</v>
      </c>
      <c r="Q12" s="1069">
        <f>-P11</f>
        <v>-3839973.37</v>
      </c>
      <c r="R12" s="1063"/>
      <c r="V12" s="961"/>
      <c r="X12" s="961"/>
      <c r="AE12" s="968" t="s">
        <v>598</v>
      </c>
    </row>
    <row r="13" spans="1:52">
      <c r="A13" s="1043"/>
      <c r="B13" s="976"/>
      <c r="C13" s="1051" t="s">
        <v>599</v>
      </c>
      <c r="D13" s="1439"/>
      <c r="E13" s="732">
        <f t="shared" ref="E13:N13" si="2">SUM(E10:E12)</f>
        <v>5790998.209999999</v>
      </c>
      <c r="F13" s="732">
        <f t="shared" si="2"/>
        <v>4581130.82</v>
      </c>
      <c r="G13" s="732">
        <f t="shared" si="2"/>
        <v>4787648.6899999995</v>
      </c>
      <c r="H13" s="732">
        <f t="shared" si="2"/>
        <v>2733873.2</v>
      </c>
      <c r="I13" s="732">
        <f t="shared" si="2"/>
        <v>1684456.1900000002</v>
      </c>
      <c r="J13" s="732">
        <f t="shared" si="2"/>
        <v>1233631</v>
      </c>
      <c r="K13" s="732">
        <f t="shared" si="2"/>
        <v>1122240.2999999998</v>
      </c>
      <c r="L13" s="732">
        <f t="shared" si="2"/>
        <v>1006008.01</v>
      </c>
      <c r="M13" s="732">
        <f t="shared" si="2"/>
        <v>1090467.83</v>
      </c>
      <c r="N13" s="732">
        <f t="shared" si="2"/>
        <v>2562704.7800000003</v>
      </c>
      <c r="O13" s="732"/>
      <c r="P13" s="732">
        <f>SUM(P10:P12)</f>
        <v>5264851.9300000006</v>
      </c>
      <c r="Q13" s="1070">
        <f>SUM(Q10:Q12)</f>
        <v>6004040.8500000006</v>
      </c>
      <c r="R13" s="1067"/>
      <c r="T13" s="1064"/>
      <c r="U13" s="731"/>
      <c r="V13" s="1065"/>
      <c r="X13" s="1065"/>
      <c r="AB13" s="1065"/>
    </row>
    <row r="14" spans="1:52">
      <c r="A14" s="1043"/>
      <c r="B14" s="976"/>
      <c r="C14" s="1051" t="s">
        <v>600</v>
      </c>
      <c r="D14" s="1439"/>
      <c r="E14" s="1068">
        <v>-5895973.0999999996</v>
      </c>
      <c r="F14" s="1068">
        <v>-4337706.8</v>
      </c>
      <c r="G14" s="1068">
        <v>-4540380.68</v>
      </c>
      <c r="H14" s="1068">
        <v>-3116696.87</v>
      </c>
      <c r="I14" s="1068">
        <v>-1866988.8</v>
      </c>
      <c r="J14" s="1068">
        <v>-1190909.1599999999</v>
      </c>
      <c r="K14" s="1068">
        <v>-917314.89</v>
      </c>
      <c r="L14" s="1068">
        <v>-450297.54</v>
      </c>
      <c r="M14" s="1068">
        <v>-1298884.6499999999</v>
      </c>
      <c r="N14" s="1068">
        <v>-2798543.25</v>
      </c>
      <c r="O14" s="1068"/>
      <c r="P14" s="1068">
        <v>-5607280.3799999999</v>
      </c>
      <c r="Q14" s="1069">
        <v>-7189490.0999999996</v>
      </c>
      <c r="R14" s="1067"/>
      <c r="AT14" s="961"/>
      <c r="AV14" s="961"/>
    </row>
    <row r="15" spans="1:52">
      <c r="A15" s="1043"/>
      <c r="B15" s="976"/>
      <c r="C15" s="1051" t="s">
        <v>601</v>
      </c>
      <c r="D15" s="1439"/>
      <c r="E15" s="732">
        <f>SUM(E13:E14)</f>
        <v>-104974.8900000006</v>
      </c>
      <c r="F15" s="732">
        <f>SUM(F13:F14)</f>
        <v>243424.02000000048</v>
      </c>
      <c r="G15" s="732">
        <f>SUM(G13:G14)</f>
        <v>247268.00999999978</v>
      </c>
      <c r="H15" s="732">
        <f>SUM(H13:H14)-37500</f>
        <v>-420323.66999999993</v>
      </c>
      <c r="I15" s="732">
        <f>SUM(I13:I14)</f>
        <v>-182532.60999999987</v>
      </c>
      <c r="J15" s="732">
        <f>SUM(J13:J14)</f>
        <v>42721.840000000084</v>
      </c>
      <c r="K15" s="732">
        <f>SUM(K13:K14)</f>
        <v>204925.4099999998</v>
      </c>
      <c r="L15" s="732">
        <f>SUM(L13:L14)</f>
        <v>555710.47</v>
      </c>
      <c r="M15" s="732">
        <f>SUM(M13:M14)-37500</f>
        <v>-245916.81999999983</v>
      </c>
      <c r="N15" s="732">
        <f>SUM(N13:N14)</f>
        <v>-235838.46999999974</v>
      </c>
      <c r="O15" s="732">
        <v>-1285433.2000000007</v>
      </c>
      <c r="P15" s="732">
        <f>SUM(P13:P14)</f>
        <v>-342428.44999999925</v>
      </c>
      <c r="Q15" s="1070">
        <f>SUM(Q13:Q14)</f>
        <v>-1185449.2499999991</v>
      </c>
      <c r="R15" s="1071">
        <f>SUM(E15:Q15)-O15</f>
        <v>-1423414.4099999983</v>
      </c>
      <c r="AR15" s="1064"/>
      <c r="AS15" s="731"/>
      <c r="AT15" s="1065"/>
      <c r="AV15" s="1065"/>
      <c r="AZ15" s="1065"/>
    </row>
    <row r="16" spans="1:52">
      <c r="A16" s="1043"/>
      <c r="B16" s="976"/>
      <c r="C16" s="1051" t="s">
        <v>602</v>
      </c>
      <c r="D16" s="1439"/>
      <c r="E16" s="732">
        <v>5415.02</v>
      </c>
      <c r="F16" s="732">
        <f t="shared" ref="F16:N16" si="3">ROUND(ROUND(E18*F$6,2)/365*F$7,2)</f>
        <v>4673.32</v>
      </c>
      <c r="G16" s="732">
        <f t="shared" si="3"/>
        <v>6040.75</v>
      </c>
      <c r="H16" s="732">
        <f t="shared" si="3"/>
        <v>6587.32</v>
      </c>
      <c r="I16" s="732">
        <f t="shared" si="3"/>
        <v>5137.79</v>
      </c>
      <c r="J16" s="732">
        <f t="shared" si="3"/>
        <v>4279.4799999999996</v>
      </c>
      <c r="K16" s="732">
        <f t="shared" si="3"/>
        <v>3330.17</v>
      </c>
      <c r="L16" s="732">
        <f t="shared" si="3"/>
        <v>3936.85</v>
      </c>
      <c r="M16" s="732">
        <f t="shared" si="3"/>
        <v>5387.6</v>
      </c>
      <c r="N16" s="732">
        <f t="shared" si="3"/>
        <v>4611.1000000000004</v>
      </c>
      <c r="O16" s="732">
        <v>-46518.05</v>
      </c>
      <c r="P16" s="732">
        <f>ROUND(ROUND(O18*P$6,2)/365*P$7,2)</f>
        <v>286.74</v>
      </c>
      <c r="Q16" s="1070">
        <f>ROUND(ROUND(P18*Q$6,2)/365*Q$7,2)</f>
        <v>-648.1</v>
      </c>
      <c r="R16" s="1072">
        <f>SUM(E16:Q16)</f>
        <v>2519.9899999999911</v>
      </c>
      <c r="AD16" s="962" t="s">
        <v>3276</v>
      </c>
      <c r="AE16" s="1073">
        <f>Q11</f>
        <v>4103145.22</v>
      </c>
      <c r="AH16" s="1073">
        <f>AE16</f>
        <v>4103145.22</v>
      </c>
    </row>
    <row r="17" spans="1:52">
      <c r="A17" s="1043"/>
      <c r="B17" s="976"/>
      <c r="C17" s="1051" t="s">
        <v>603</v>
      </c>
      <c r="D17" s="1439"/>
      <c r="E17" s="1068">
        <f t="shared" ref="E17:R17" si="4">SUM(E15:E16)</f>
        <v>-99559.870000000592</v>
      </c>
      <c r="F17" s="1068">
        <f t="shared" si="4"/>
        <v>248097.34000000049</v>
      </c>
      <c r="G17" s="1068">
        <f t="shared" si="4"/>
        <v>253308.75999999978</v>
      </c>
      <c r="H17" s="1068">
        <f t="shared" si="4"/>
        <v>-413736.34999999992</v>
      </c>
      <c r="I17" s="1068">
        <f t="shared" si="4"/>
        <v>-177394.81999999986</v>
      </c>
      <c r="J17" s="1068">
        <f t="shared" si="4"/>
        <v>47001.32000000008</v>
      </c>
      <c r="K17" s="1068">
        <f t="shared" si="4"/>
        <v>208255.57999999981</v>
      </c>
      <c r="L17" s="1068">
        <f t="shared" si="4"/>
        <v>559647.31999999995</v>
      </c>
      <c r="M17" s="1068">
        <f t="shared" si="4"/>
        <v>-240529.21999999983</v>
      </c>
      <c r="N17" s="1068">
        <f t="shared" si="4"/>
        <v>-231227.36999999973</v>
      </c>
      <c r="O17" s="1068">
        <f t="shared" si="4"/>
        <v>-1331951.2500000007</v>
      </c>
      <c r="P17" s="1068">
        <f t="shared" si="4"/>
        <v>-342141.70999999926</v>
      </c>
      <c r="Q17" s="1069">
        <f t="shared" si="4"/>
        <v>-1186097.3499999992</v>
      </c>
      <c r="R17" s="1074">
        <f t="shared" si="4"/>
        <v>-1420894.4199999983</v>
      </c>
      <c r="AD17" s="962" t="s">
        <v>3277</v>
      </c>
      <c r="AE17" s="309">
        <f>E12</f>
        <v>-3180351.56</v>
      </c>
      <c r="AF17" s="1073">
        <f>AE16+AE17</f>
        <v>922793.66000000015</v>
      </c>
      <c r="AG17" s="1073">
        <v>339819.35000000009</v>
      </c>
      <c r="AI17" s="1073">
        <f>AE17</f>
        <v>-3180351.56</v>
      </c>
    </row>
    <row r="18" spans="1:52">
      <c r="A18" s="1043"/>
      <c r="B18" s="976"/>
      <c r="C18" s="1051" t="s">
        <v>604</v>
      </c>
      <c r="D18" s="1439"/>
      <c r="E18" s="732">
        <v>1185873.3300000005</v>
      </c>
      <c r="F18" s="732">
        <f t="shared" ref="F18:Q18" si="5">E18+F17</f>
        <v>1433970.6700000011</v>
      </c>
      <c r="G18" s="732">
        <f t="shared" si="5"/>
        <v>1687279.4300000009</v>
      </c>
      <c r="H18" s="732">
        <f t="shared" si="5"/>
        <v>1273543.080000001</v>
      </c>
      <c r="I18" s="732">
        <f t="shared" si="5"/>
        <v>1096148.2600000012</v>
      </c>
      <c r="J18" s="732">
        <f t="shared" si="5"/>
        <v>1143149.5800000012</v>
      </c>
      <c r="K18" s="732">
        <f t="shared" si="5"/>
        <v>1351405.1600000011</v>
      </c>
      <c r="L18" s="732">
        <f t="shared" si="5"/>
        <v>1911052.4800000009</v>
      </c>
      <c r="M18" s="732">
        <f t="shared" si="5"/>
        <v>1670523.2600000012</v>
      </c>
      <c r="N18" s="732">
        <f t="shared" si="5"/>
        <v>1439295.8900000015</v>
      </c>
      <c r="O18" s="732">
        <f t="shared" si="5"/>
        <v>107344.64000000083</v>
      </c>
      <c r="P18" s="732">
        <f t="shared" si="5"/>
        <v>-234797.06999999844</v>
      </c>
      <c r="Q18" s="1075">
        <f t="shared" si="5"/>
        <v>-1420894.4199999976</v>
      </c>
      <c r="R18" s="1067"/>
      <c r="V18" s="1073">
        <f>ROUND(U22/Z22,0)</f>
        <v>185558</v>
      </c>
      <c r="AG18" s="1073">
        <f>AF17-AG17</f>
        <v>582974.31000000006</v>
      </c>
    </row>
    <row r="19" spans="1:52">
      <c r="A19" s="1043"/>
      <c r="B19" s="976"/>
      <c r="C19" s="1051"/>
      <c r="D19" s="1439"/>
      <c r="E19" s="732"/>
      <c r="F19" s="732"/>
      <c r="G19" s="732"/>
      <c r="H19" s="732"/>
      <c r="I19" s="732"/>
      <c r="J19" s="732"/>
      <c r="K19" s="732"/>
      <c r="L19" s="732"/>
      <c r="M19" s="732"/>
      <c r="N19" s="732"/>
      <c r="O19" s="732"/>
      <c r="P19" s="732"/>
      <c r="Q19" s="1070"/>
      <c r="R19" s="1067"/>
      <c r="T19" s="1064"/>
      <c r="U19" s="731"/>
      <c r="V19" s="1073">
        <f>ROUND(U23/Z23,0)</f>
        <v>648587</v>
      </c>
      <c r="AR19" s="1064"/>
      <c r="AS19" s="731"/>
      <c r="AT19" s="1065"/>
      <c r="AV19" s="1065"/>
      <c r="AZ19" s="1065"/>
    </row>
    <row r="20" spans="1:52">
      <c r="A20" s="1043"/>
      <c r="B20" s="962" t="s">
        <v>605</v>
      </c>
      <c r="C20" s="1132" t="s">
        <v>606</v>
      </c>
      <c r="D20" s="1440"/>
      <c r="E20" s="1059"/>
      <c r="F20" s="1059"/>
      <c r="G20" s="732"/>
      <c r="H20" s="1059"/>
      <c r="I20" s="1059"/>
      <c r="J20" s="1059"/>
      <c r="K20" s="1059"/>
      <c r="L20" s="1059"/>
      <c r="M20" s="1059"/>
      <c r="N20" s="1059"/>
      <c r="O20" s="1059"/>
      <c r="P20" s="1059"/>
      <c r="Q20" s="1060"/>
      <c r="R20" s="1067"/>
      <c r="V20" s="1073">
        <f>ROUND(U24/Z24,0)</f>
        <v>522183</v>
      </c>
      <c r="W20" s="1073">
        <f>SUM(V18:V20)</f>
        <v>1356328</v>
      </c>
    </row>
    <row r="21" spans="1:52">
      <c r="A21" s="1043"/>
      <c r="B21" s="976" t="s">
        <v>591</v>
      </c>
      <c r="C21" s="1062" t="s">
        <v>592</v>
      </c>
      <c r="D21" s="1441"/>
      <c r="E21" s="1059">
        <v>479</v>
      </c>
      <c r="F21" s="1059">
        <v>479</v>
      </c>
      <c r="G21" s="1059">
        <v>475</v>
      </c>
      <c r="H21" s="1059">
        <v>478</v>
      </c>
      <c r="I21" s="1059">
        <v>478</v>
      </c>
      <c r="J21" s="1059">
        <v>478</v>
      </c>
      <c r="K21" s="1059">
        <v>478</v>
      </c>
      <c r="L21" s="1059">
        <v>481</v>
      </c>
      <c r="M21" s="1059">
        <v>481</v>
      </c>
      <c r="N21" s="1059">
        <v>485</v>
      </c>
      <c r="O21" s="1059"/>
      <c r="P21" s="1059">
        <v>486</v>
      </c>
      <c r="Q21" s="1059">
        <v>488</v>
      </c>
      <c r="R21" s="1071"/>
      <c r="U21" s="1213">
        <v>505</v>
      </c>
      <c r="V21" s="961">
        <v>1356324</v>
      </c>
      <c r="W21" s="962" t="s">
        <v>401</v>
      </c>
      <c r="X21" s="961"/>
      <c r="Z21" s="1213" t="s">
        <v>590</v>
      </c>
    </row>
    <row r="22" spans="1:52">
      <c r="A22" s="1043"/>
      <c r="B22" s="976" t="s">
        <v>593</v>
      </c>
      <c r="C22" s="1066" t="s">
        <v>607</v>
      </c>
      <c r="D22" s="1442"/>
      <c r="E22" s="732">
        <v>34994.14</v>
      </c>
      <c r="F22" s="732">
        <v>34222.339999999997</v>
      </c>
      <c r="G22" s="732">
        <v>34696.639999999999</v>
      </c>
      <c r="H22" s="732">
        <v>34970.400000000001</v>
      </c>
      <c r="I22" s="732">
        <v>26947.21</v>
      </c>
      <c r="J22" s="732">
        <v>21284.09</v>
      </c>
      <c r="K22" s="732">
        <v>19269.669999999998</v>
      </c>
      <c r="L22" s="732">
        <v>16986.580000000002</v>
      </c>
      <c r="M22" s="732">
        <v>17895.93</v>
      </c>
      <c r="N22" s="732">
        <v>20968.09</v>
      </c>
      <c r="O22" s="732"/>
      <c r="P22" s="732">
        <v>31738.9</v>
      </c>
      <c r="Q22" s="1070">
        <v>37438.199999999997</v>
      </c>
      <c r="R22" s="1071"/>
      <c r="T22" s="1064" t="s">
        <v>590</v>
      </c>
      <c r="U22" s="731">
        <v>37438.199999999997</v>
      </c>
      <c r="V22" s="1065">
        <f>U22/V18</f>
        <v>0.20176009657357805</v>
      </c>
      <c r="X22" s="1065">
        <f>U22/V18</f>
        <v>0.20176009657357805</v>
      </c>
      <c r="Z22" s="962">
        <v>0.20175999999999999</v>
      </c>
      <c r="AB22" s="1065">
        <f>Z22-X22</f>
        <v>-9.6573578051151188E-8</v>
      </c>
    </row>
    <row r="23" spans="1:52">
      <c r="A23" s="1043"/>
      <c r="B23" s="976" t="s">
        <v>593</v>
      </c>
      <c r="C23" s="1066" t="s">
        <v>608</v>
      </c>
      <c r="D23" s="1442"/>
      <c r="E23" s="732">
        <v>103947.75</v>
      </c>
      <c r="F23" s="732">
        <v>94155.63</v>
      </c>
      <c r="G23" s="732">
        <v>98050.4</v>
      </c>
      <c r="H23" s="732">
        <v>89289.61</v>
      </c>
      <c r="I23" s="732">
        <v>57560.25</v>
      </c>
      <c r="J23" s="732">
        <v>48916.62</v>
      </c>
      <c r="K23" s="732">
        <v>44595.66</v>
      </c>
      <c r="L23" s="732">
        <v>40134.03</v>
      </c>
      <c r="M23" s="732">
        <v>46193.33</v>
      </c>
      <c r="N23" s="732">
        <v>53973.08</v>
      </c>
      <c r="O23" s="732"/>
      <c r="P23" s="732">
        <v>71888.11</v>
      </c>
      <c r="Q23" s="1070">
        <v>106893.55</v>
      </c>
      <c r="R23" s="1071"/>
      <c r="T23" s="1064" t="s">
        <v>590</v>
      </c>
      <c r="U23" s="731">
        <v>106893.55</v>
      </c>
      <c r="V23" s="1065">
        <f>U23/V19</f>
        <v>0.16480988672298397</v>
      </c>
      <c r="X23" s="1065">
        <f>U23/V19</f>
        <v>0.16480988672298397</v>
      </c>
      <c r="Z23" s="962">
        <v>0.16481000000000001</v>
      </c>
      <c r="AB23" s="1065">
        <f>Z23-X23</f>
        <v>1.1327701604502138E-7</v>
      </c>
    </row>
    <row r="24" spans="1:52">
      <c r="A24" s="1043"/>
      <c r="B24" s="976" t="s">
        <v>593</v>
      </c>
      <c r="C24" s="1066" t="s">
        <v>609</v>
      </c>
      <c r="D24" s="1442"/>
      <c r="E24" s="1068">
        <v>84740.85</v>
      </c>
      <c r="F24" s="1068">
        <v>66863.649999999994</v>
      </c>
      <c r="G24" s="1068">
        <v>75927.740000000005</v>
      </c>
      <c r="H24" s="1068">
        <v>65312.71</v>
      </c>
      <c r="I24" s="1068">
        <v>36686.1</v>
      </c>
      <c r="J24" s="1068">
        <v>37408.239999999998</v>
      </c>
      <c r="K24" s="1068">
        <v>31267.85</v>
      </c>
      <c r="L24" s="1068">
        <v>27010.82</v>
      </c>
      <c r="M24" s="1068">
        <v>40096.81</v>
      </c>
      <c r="N24" s="1068">
        <v>90654.12</v>
      </c>
      <c r="O24" s="1068"/>
      <c r="P24" s="1068">
        <v>44073.47</v>
      </c>
      <c r="Q24" s="1069">
        <v>83147.19</v>
      </c>
      <c r="R24" s="1071"/>
      <c r="T24" s="1064" t="s">
        <v>590</v>
      </c>
      <c r="U24" s="731">
        <v>83147.19</v>
      </c>
      <c r="V24" s="1065">
        <f>U24/V20</f>
        <v>0.15922998259230961</v>
      </c>
      <c r="X24" s="1065">
        <f>U24/V20</f>
        <v>0.15922998259230961</v>
      </c>
      <c r="Z24" s="962">
        <v>0.15923000000000001</v>
      </c>
      <c r="AB24" s="1065">
        <f>Z24-X24</f>
        <v>1.7407690400261799E-8</v>
      </c>
    </row>
    <row r="25" spans="1:52">
      <c r="A25" s="1043"/>
      <c r="B25" s="976"/>
      <c r="C25" s="1051" t="s">
        <v>599</v>
      </c>
      <c r="D25" s="1439"/>
      <c r="E25" s="732">
        <f t="shared" ref="E25:N25" si="6">SUM(E22:E24)</f>
        <v>223682.74000000002</v>
      </c>
      <c r="F25" s="732">
        <f t="shared" si="6"/>
        <v>195241.62</v>
      </c>
      <c r="G25" s="732">
        <f t="shared" si="6"/>
        <v>208674.77999999997</v>
      </c>
      <c r="H25" s="732">
        <f t="shared" si="6"/>
        <v>189572.72</v>
      </c>
      <c r="I25" s="732">
        <f t="shared" si="6"/>
        <v>121193.56</v>
      </c>
      <c r="J25" s="732">
        <f t="shared" si="6"/>
        <v>107608.95000000001</v>
      </c>
      <c r="K25" s="732">
        <f t="shared" si="6"/>
        <v>95133.18</v>
      </c>
      <c r="L25" s="732">
        <f t="shared" si="6"/>
        <v>84131.43</v>
      </c>
      <c r="M25" s="732">
        <f t="shared" si="6"/>
        <v>104186.07</v>
      </c>
      <c r="N25" s="732">
        <f t="shared" si="6"/>
        <v>165595.28999999998</v>
      </c>
      <c r="O25" s="732"/>
      <c r="P25" s="732">
        <f>SUM(P22:P24)</f>
        <v>147700.48000000001</v>
      </c>
      <c r="Q25" s="1075">
        <f>SUM(Q22:Q24)</f>
        <v>227478.94</v>
      </c>
      <c r="R25" s="1067"/>
      <c r="T25" s="1064" t="s">
        <v>129</v>
      </c>
      <c r="U25" s="732">
        <v>568607.53</v>
      </c>
      <c r="V25" s="1065">
        <f>U25/V21</f>
        <v>0.41922691775711413</v>
      </c>
      <c r="X25" s="1065">
        <f>U25/V21</f>
        <v>0.41922691775711413</v>
      </c>
      <c r="Z25" s="1076">
        <v>0.41911999999999999</v>
      </c>
      <c r="AB25" s="1065">
        <f>Z25-X25</f>
        <v>-1.0691775711413332E-4</v>
      </c>
    </row>
    <row r="26" spans="1:52">
      <c r="A26" s="1043"/>
      <c r="B26" s="976"/>
      <c r="C26" s="1051" t="s">
        <v>600</v>
      </c>
      <c r="D26" s="1439"/>
      <c r="E26" s="1068">
        <v>-238652.17</v>
      </c>
      <c r="F26" s="1068">
        <v>-202674.48</v>
      </c>
      <c r="G26" s="1068">
        <v>-237633</v>
      </c>
      <c r="H26" s="1068">
        <v>-187782.3</v>
      </c>
      <c r="I26" s="1068">
        <v>-136282.57999999999</v>
      </c>
      <c r="J26" s="1068">
        <v>-101235.62</v>
      </c>
      <c r="K26" s="1068">
        <v>-89572.42</v>
      </c>
      <c r="L26" s="1068">
        <v>-95613.18</v>
      </c>
      <c r="M26" s="1068">
        <v>-109547.75</v>
      </c>
      <c r="N26" s="1068">
        <v>-176869.8</v>
      </c>
      <c r="O26" s="1068"/>
      <c r="P26" s="1068">
        <v>-168885</v>
      </c>
      <c r="Q26" s="1069">
        <v>-251822.64</v>
      </c>
      <c r="R26" s="1067"/>
    </row>
    <row r="27" spans="1:52">
      <c r="A27" s="1043"/>
      <c r="B27" s="976"/>
      <c r="C27" s="1051" t="s">
        <v>601</v>
      </c>
      <c r="D27" s="1439"/>
      <c r="E27" s="732">
        <f t="shared" ref="E27:N27" si="7">SUM(E25:E26)</f>
        <v>-14969.429999999993</v>
      </c>
      <c r="F27" s="732">
        <f t="shared" si="7"/>
        <v>-7432.8600000000151</v>
      </c>
      <c r="G27" s="732">
        <f t="shared" si="7"/>
        <v>-28958.22000000003</v>
      </c>
      <c r="H27" s="732">
        <f t="shared" si="7"/>
        <v>1790.4200000000128</v>
      </c>
      <c r="I27" s="732">
        <f t="shared" si="7"/>
        <v>-15089.01999999999</v>
      </c>
      <c r="J27" s="732">
        <f t="shared" si="7"/>
        <v>6373.3300000000163</v>
      </c>
      <c r="K27" s="732">
        <f t="shared" si="7"/>
        <v>5560.7599999999948</v>
      </c>
      <c r="L27" s="732">
        <f t="shared" si="7"/>
        <v>-11481.75</v>
      </c>
      <c r="M27" s="732">
        <f t="shared" si="7"/>
        <v>-5361.679999999993</v>
      </c>
      <c r="N27" s="732">
        <f t="shared" si="7"/>
        <v>-11274.510000000009</v>
      </c>
      <c r="O27" s="732">
        <v>-204177.64000000004</v>
      </c>
      <c r="P27" s="732">
        <f>SUM(P25:P26)</f>
        <v>-21184.51999999999</v>
      </c>
      <c r="Q27" s="1070">
        <f>SUM(Q25:Q26)</f>
        <v>-24343.700000000012</v>
      </c>
      <c r="R27" s="1071">
        <f>SUM(E27:Q27)-O27</f>
        <v>-126371.17999999996</v>
      </c>
    </row>
    <row r="28" spans="1:52">
      <c r="A28" s="1043"/>
      <c r="B28" s="976"/>
      <c r="C28" s="1051" t="s">
        <v>602</v>
      </c>
      <c r="D28" s="1439"/>
      <c r="E28" s="732">
        <v>860.12</v>
      </c>
      <c r="F28" s="732">
        <f t="shared" ref="F28:N28" si="8">ROUND(ROUND(E30*F$6,2)/365*F$7,2)</f>
        <v>749.03</v>
      </c>
      <c r="G28" s="732">
        <f t="shared" si="8"/>
        <v>772.53</v>
      </c>
      <c r="H28" s="732">
        <f t="shared" si="8"/>
        <v>605.91</v>
      </c>
      <c r="I28" s="732">
        <f t="shared" si="8"/>
        <v>635.78</v>
      </c>
      <c r="J28" s="732">
        <f t="shared" si="8"/>
        <v>558.84</v>
      </c>
      <c r="K28" s="732">
        <f t="shared" si="8"/>
        <v>437.19</v>
      </c>
      <c r="L28" s="732">
        <f t="shared" si="8"/>
        <v>454.66</v>
      </c>
      <c r="M28" s="732">
        <f t="shared" si="8"/>
        <v>408.91</v>
      </c>
      <c r="N28" s="732">
        <f t="shared" si="8"/>
        <v>386.69</v>
      </c>
      <c r="O28" s="732">
        <v>-7388.93</v>
      </c>
      <c r="P28" s="732">
        <f>ROUND(ROUND(O30*P$6,2)/365*P$7,2)</f>
        <v>-220.01</v>
      </c>
      <c r="Q28" s="1070">
        <f>ROUND(ROUND(P30*Q$6,2)/365*Q$7,2)</f>
        <v>-286.42</v>
      </c>
      <c r="R28" s="1072">
        <f>SUM(E28:Q28)</f>
        <v>-2025.7000000000014</v>
      </c>
    </row>
    <row r="29" spans="1:52">
      <c r="A29" s="1043"/>
      <c r="B29" s="976"/>
      <c r="C29" s="1051" t="s">
        <v>603</v>
      </c>
      <c r="D29" s="1439"/>
      <c r="E29" s="1068">
        <f t="shared" ref="E29:R29" si="9">SUM(E27:E28)</f>
        <v>-14109.309999999992</v>
      </c>
      <c r="F29" s="1068">
        <f t="shared" si="9"/>
        <v>-6683.8300000000154</v>
      </c>
      <c r="G29" s="1068">
        <f t="shared" si="9"/>
        <v>-28185.690000000031</v>
      </c>
      <c r="H29" s="1068">
        <f t="shared" si="9"/>
        <v>2396.3300000000127</v>
      </c>
      <c r="I29" s="1068">
        <f t="shared" si="9"/>
        <v>-14453.239999999989</v>
      </c>
      <c r="J29" s="1068">
        <f t="shared" si="9"/>
        <v>6932.1700000000164</v>
      </c>
      <c r="K29" s="1068">
        <f t="shared" si="9"/>
        <v>5997.9499999999944</v>
      </c>
      <c r="L29" s="1068">
        <f t="shared" si="9"/>
        <v>-11027.09</v>
      </c>
      <c r="M29" s="1068">
        <f t="shared" si="9"/>
        <v>-4952.7699999999932</v>
      </c>
      <c r="N29" s="1068">
        <f t="shared" si="9"/>
        <v>-10887.820000000009</v>
      </c>
      <c r="O29" s="1068">
        <f t="shared" si="9"/>
        <v>-211566.57000000004</v>
      </c>
      <c r="P29" s="1068">
        <f t="shared" si="9"/>
        <v>-21404.529999999988</v>
      </c>
      <c r="Q29" s="1069">
        <f t="shared" si="9"/>
        <v>-24630.12000000001</v>
      </c>
      <c r="R29" s="1074">
        <f t="shared" si="9"/>
        <v>-128396.87999999996</v>
      </c>
    </row>
    <row r="30" spans="1:52">
      <c r="A30" s="1043"/>
      <c r="B30" s="976"/>
      <c r="C30" s="1051" t="s">
        <v>604</v>
      </c>
      <c r="D30" s="1439"/>
      <c r="E30" s="732">
        <v>190068.33000000005</v>
      </c>
      <c r="F30" s="732">
        <f t="shared" ref="F30:Q30" si="10">E30+F29</f>
        <v>183384.50000000003</v>
      </c>
      <c r="G30" s="732">
        <f t="shared" si="10"/>
        <v>155198.81</v>
      </c>
      <c r="H30" s="732">
        <f t="shared" si="10"/>
        <v>157595.14000000001</v>
      </c>
      <c r="I30" s="732">
        <f t="shared" si="10"/>
        <v>143141.90000000002</v>
      </c>
      <c r="J30" s="732">
        <f t="shared" si="10"/>
        <v>150074.07000000004</v>
      </c>
      <c r="K30" s="732">
        <f t="shared" si="10"/>
        <v>156072.02000000002</v>
      </c>
      <c r="L30" s="732">
        <f t="shared" si="10"/>
        <v>145044.93000000002</v>
      </c>
      <c r="M30" s="732">
        <f t="shared" si="10"/>
        <v>140092.16000000003</v>
      </c>
      <c r="N30" s="732">
        <f t="shared" si="10"/>
        <v>129204.34000000003</v>
      </c>
      <c r="O30" s="732">
        <f t="shared" si="10"/>
        <v>-82362.23000000001</v>
      </c>
      <c r="P30" s="732">
        <f t="shared" si="10"/>
        <v>-103766.76</v>
      </c>
      <c r="Q30" s="1075">
        <f t="shared" si="10"/>
        <v>-128396.88</v>
      </c>
      <c r="R30" s="1067"/>
      <c r="V30" s="1073">
        <f>ROUND(U34/Z34,0)</f>
        <v>212157</v>
      </c>
    </row>
    <row r="31" spans="1:52">
      <c r="A31" s="1043"/>
      <c r="B31" s="976"/>
      <c r="C31" s="1051"/>
      <c r="D31" s="1439"/>
      <c r="E31" s="732"/>
      <c r="F31" s="732"/>
      <c r="G31" s="732"/>
      <c r="H31" s="732"/>
      <c r="I31" s="732"/>
      <c r="J31" s="732"/>
      <c r="K31" s="732"/>
      <c r="L31" s="732"/>
      <c r="M31" s="732"/>
      <c r="N31" s="732"/>
      <c r="O31" s="732"/>
      <c r="P31" s="732"/>
      <c r="Q31" s="1070"/>
      <c r="R31" s="1067"/>
      <c r="T31" s="1064"/>
      <c r="U31" s="731"/>
      <c r="V31" s="1073">
        <f>ROUND(U35/Z35,0)</f>
        <v>186052</v>
      </c>
    </row>
    <row r="32" spans="1:52">
      <c r="A32" s="1043"/>
      <c r="B32" s="962" t="s">
        <v>605</v>
      </c>
      <c r="C32" s="1132" t="s">
        <v>610</v>
      </c>
      <c r="D32" s="1440"/>
      <c r="E32" s="1059"/>
      <c r="F32" s="1059"/>
      <c r="G32" s="732"/>
      <c r="H32" s="1059"/>
      <c r="I32" s="1059"/>
      <c r="J32" s="1059"/>
      <c r="K32" s="1059"/>
      <c r="L32" s="1059"/>
      <c r="M32" s="1059"/>
      <c r="N32" s="1059"/>
      <c r="O32" s="1059"/>
      <c r="P32" s="1059"/>
      <c r="Q32" s="1060"/>
      <c r="R32" s="1067"/>
      <c r="V32" s="1073">
        <f>ROUND(U36/Z36,0)</f>
        <v>29686</v>
      </c>
      <c r="W32" s="1073">
        <f>SUM(V30:V32)</f>
        <v>427895</v>
      </c>
    </row>
    <row r="33" spans="1:28">
      <c r="A33" s="1043"/>
      <c r="B33" s="976" t="s">
        <v>591</v>
      </c>
      <c r="C33" s="1062" t="s">
        <v>592</v>
      </c>
      <c r="D33" s="1441"/>
      <c r="E33" s="1059">
        <v>16</v>
      </c>
      <c r="F33" s="1059">
        <v>16</v>
      </c>
      <c r="G33" s="1059">
        <v>17</v>
      </c>
      <c r="H33" s="1059">
        <v>17</v>
      </c>
      <c r="I33" s="1059">
        <v>17</v>
      </c>
      <c r="J33" s="1059">
        <v>17</v>
      </c>
      <c r="K33" s="1059">
        <v>17</v>
      </c>
      <c r="L33" s="1059">
        <v>17</v>
      </c>
      <c r="M33" s="1059">
        <v>18</v>
      </c>
      <c r="N33" s="1059">
        <v>18</v>
      </c>
      <c r="O33" s="1059"/>
      <c r="P33" s="1059">
        <v>18</v>
      </c>
      <c r="Q33" s="1059">
        <v>18</v>
      </c>
      <c r="R33" s="1071"/>
      <c r="U33" s="1213">
        <v>511</v>
      </c>
      <c r="V33" s="961">
        <v>427895</v>
      </c>
      <c r="W33" s="962" t="s">
        <v>401</v>
      </c>
      <c r="X33" s="961"/>
      <c r="Z33" s="1213" t="s">
        <v>590</v>
      </c>
    </row>
    <row r="34" spans="1:28">
      <c r="A34" s="1043"/>
      <c r="B34" s="976" t="s">
        <v>593</v>
      </c>
      <c r="C34" s="1066" t="s">
        <v>611</v>
      </c>
      <c r="D34" s="1442"/>
      <c r="E34" s="732">
        <v>31459.360000000001</v>
      </c>
      <c r="F34" s="732">
        <v>28234.52</v>
      </c>
      <c r="G34" s="732">
        <v>27061.43</v>
      </c>
      <c r="H34" s="732">
        <v>32461.7</v>
      </c>
      <c r="I34" s="732">
        <v>22456.53</v>
      </c>
      <c r="J34" s="732">
        <v>22642.959999999999</v>
      </c>
      <c r="K34" s="732">
        <v>24791.93</v>
      </c>
      <c r="L34" s="732">
        <v>22867.41</v>
      </c>
      <c r="M34" s="732">
        <v>23044.32</v>
      </c>
      <c r="N34" s="732">
        <v>26547.29</v>
      </c>
      <c r="O34" s="732"/>
      <c r="P34" s="732">
        <v>26778.21</v>
      </c>
      <c r="Q34" s="1070">
        <v>34184.86</v>
      </c>
      <c r="R34" s="1071"/>
      <c r="T34" s="1064" t="s">
        <v>590</v>
      </c>
      <c r="U34" s="731">
        <v>34184.86</v>
      </c>
      <c r="V34" s="1065">
        <f>U34/V30</f>
        <v>0.16113001220794035</v>
      </c>
      <c r="X34" s="1065">
        <f>U34/V30</f>
        <v>0.16113001220794035</v>
      </c>
      <c r="Z34" s="1076">
        <v>0.16113</v>
      </c>
      <c r="AB34" s="1065">
        <f>Z34-X34</f>
        <v>-1.2207940353059499E-8</v>
      </c>
    </row>
    <row r="35" spans="1:28">
      <c r="B35" s="1077" t="s">
        <v>593</v>
      </c>
      <c r="C35" s="1066" t="s">
        <v>612</v>
      </c>
      <c r="D35" s="1442"/>
      <c r="E35" s="732">
        <v>19901.91</v>
      </c>
      <c r="F35" s="732">
        <v>18053.3</v>
      </c>
      <c r="G35" s="732">
        <v>14085.93</v>
      </c>
      <c r="H35" s="732">
        <v>28906.79</v>
      </c>
      <c r="I35" s="732">
        <v>10473.64</v>
      </c>
      <c r="J35" s="732">
        <v>32313.98</v>
      </c>
      <c r="K35" s="732">
        <v>22118.69</v>
      </c>
      <c r="L35" s="732">
        <v>22093.119999999999</v>
      </c>
      <c r="M35" s="732">
        <v>22931.17</v>
      </c>
      <c r="N35" s="732">
        <v>25211.63</v>
      </c>
      <c r="O35" s="732"/>
      <c r="P35" s="732">
        <v>18386.87</v>
      </c>
      <c r="Q35" s="1070">
        <v>23202.53</v>
      </c>
      <c r="R35" s="1071"/>
      <c r="T35" s="1064" t="s">
        <v>590</v>
      </c>
      <c r="U35" s="731">
        <v>23202.53</v>
      </c>
      <c r="V35" s="1065">
        <f>U35/V31</f>
        <v>0.12470991980736568</v>
      </c>
      <c r="X35" s="1065">
        <f>U35/V31</f>
        <v>0.12470991980736568</v>
      </c>
      <c r="Z35" s="962">
        <v>0.12471</v>
      </c>
      <c r="AB35" s="1065">
        <f>Z35-X35</f>
        <v>8.0192634324682821E-8</v>
      </c>
    </row>
    <row r="36" spans="1:28">
      <c r="A36" s="1043"/>
      <c r="B36" s="976" t="s">
        <v>593</v>
      </c>
      <c r="C36" s="1066" t="s">
        <v>613</v>
      </c>
      <c r="D36" s="1442"/>
      <c r="E36" s="1068">
        <v>848.84</v>
      </c>
      <c r="F36" s="1068">
        <v>866.37</v>
      </c>
      <c r="G36" s="1068">
        <v>471.69</v>
      </c>
      <c r="H36" s="1068">
        <v>3844.51</v>
      </c>
      <c r="I36" s="1068"/>
      <c r="J36" s="1068">
        <v>1177.55</v>
      </c>
      <c r="K36" s="1068">
        <v>140.43</v>
      </c>
      <c r="L36" s="1068">
        <v>43.44</v>
      </c>
      <c r="M36" s="1068">
        <v>515.23</v>
      </c>
      <c r="N36" s="1068">
        <v>309.16000000000003</v>
      </c>
      <c r="O36" s="1068"/>
      <c r="P36" s="1068">
        <v>877.19</v>
      </c>
      <c r="Q36" s="1069">
        <v>1028.32</v>
      </c>
      <c r="R36" s="1071"/>
      <c r="T36" s="1064" t="s">
        <v>590</v>
      </c>
      <c r="U36" s="731">
        <v>1028.32</v>
      </c>
      <c r="V36" s="1065">
        <f>U36/V32</f>
        <v>3.4639897594825844E-2</v>
      </c>
      <c r="X36" s="1065">
        <f>U36/V32</f>
        <v>3.4639897594825844E-2</v>
      </c>
      <c r="Z36" s="962">
        <v>3.4639999999999997E-2</v>
      </c>
      <c r="AB36" s="1065">
        <f>Z36-X36</f>
        <v>1.0240517415299744E-7</v>
      </c>
    </row>
    <row r="37" spans="1:28">
      <c r="A37" s="1043"/>
      <c r="B37" s="976"/>
      <c r="C37" s="1051" t="s">
        <v>599</v>
      </c>
      <c r="D37" s="1439"/>
      <c r="E37" s="732">
        <f t="shared" ref="E37:N37" si="11">SUM(E34:E36)</f>
        <v>52210.11</v>
      </c>
      <c r="F37" s="732">
        <f t="shared" si="11"/>
        <v>47154.19</v>
      </c>
      <c r="G37" s="732">
        <f t="shared" si="11"/>
        <v>41619.050000000003</v>
      </c>
      <c r="H37" s="732">
        <f t="shared" si="11"/>
        <v>65213.000000000007</v>
      </c>
      <c r="I37" s="732">
        <f t="shared" si="11"/>
        <v>32930.17</v>
      </c>
      <c r="J37" s="732">
        <f t="shared" si="11"/>
        <v>56134.490000000005</v>
      </c>
      <c r="K37" s="732">
        <f t="shared" si="11"/>
        <v>47051.049999999996</v>
      </c>
      <c r="L37" s="732">
        <f t="shared" si="11"/>
        <v>45003.97</v>
      </c>
      <c r="M37" s="732">
        <f t="shared" si="11"/>
        <v>46490.720000000001</v>
      </c>
      <c r="N37" s="732">
        <f t="shared" si="11"/>
        <v>52068.08</v>
      </c>
      <c r="O37" s="732"/>
      <c r="P37" s="732">
        <f>SUM(P34:P36)</f>
        <v>46042.270000000004</v>
      </c>
      <c r="Q37" s="1075">
        <f>SUM(Q34:Q36)</f>
        <v>58415.71</v>
      </c>
      <c r="R37" s="1067"/>
      <c r="T37" s="1064" t="s">
        <v>129</v>
      </c>
      <c r="U37" s="731">
        <v>179402.98</v>
      </c>
      <c r="V37" s="1065">
        <f>U37/V33</f>
        <v>0.41926869909674103</v>
      </c>
      <c r="X37" s="1065">
        <f>U37/V33</f>
        <v>0.41926869909674103</v>
      </c>
      <c r="Z37" s="1076">
        <f>+Z25</f>
        <v>0.41911999999999999</v>
      </c>
      <c r="AB37" s="1065">
        <f>Z37-X37</f>
        <v>-1.4869909674103399E-4</v>
      </c>
    </row>
    <row r="38" spans="1:28">
      <c r="A38" s="1043"/>
      <c r="B38" s="976"/>
      <c r="C38" s="1051" t="s">
        <v>600</v>
      </c>
      <c r="D38" s="1439"/>
      <c r="E38" s="1068">
        <v>-33802.559999999998</v>
      </c>
      <c r="F38" s="1068">
        <v>-27249.599999999999</v>
      </c>
      <c r="G38" s="1068">
        <v>-46727.73</v>
      </c>
      <c r="H38" s="1068">
        <v>-39337.660000000003</v>
      </c>
      <c r="I38" s="1068">
        <v>-30023.7</v>
      </c>
      <c r="J38" s="1068">
        <v>-21423.74</v>
      </c>
      <c r="K38" s="1068">
        <v>-18561.45</v>
      </c>
      <c r="L38" s="1068">
        <v>-18755.93</v>
      </c>
      <c r="M38" s="1068">
        <v>-18718.2</v>
      </c>
      <c r="N38" s="1068">
        <v>-31610.16</v>
      </c>
      <c r="O38" s="1068"/>
      <c r="P38" s="1068">
        <v>-29124.9</v>
      </c>
      <c r="Q38" s="1069">
        <v>-32359.86</v>
      </c>
      <c r="R38" s="1067"/>
    </row>
    <row r="39" spans="1:28">
      <c r="A39" s="1043"/>
      <c r="B39" s="976"/>
      <c r="C39" s="1051" t="s">
        <v>601</v>
      </c>
      <c r="D39" s="1439"/>
      <c r="E39" s="732">
        <f t="shared" ref="E39:N39" si="12">SUM(E37:E38)</f>
        <v>18407.550000000003</v>
      </c>
      <c r="F39" s="732">
        <f t="shared" si="12"/>
        <v>19904.590000000004</v>
      </c>
      <c r="G39" s="732">
        <f t="shared" si="12"/>
        <v>-5108.68</v>
      </c>
      <c r="H39" s="732">
        <f t="shared" si="12"/>
        <v>25875.340000000004</v>
      </c>
      <c r="I39" s="732">
        <f t="shared" si="12"/>
        <v>2906.4699999999975</v>
      </c>
      <c r="J39" s="732">
        <f t="shared" si="12"/>
        <v>34710.75</v>
      </c>
      <c r="K39" s="732">
        <f t="shared" si="12"/>
        <v>28489.599999999995</v>
      </c>
      <c r="L39" s="732">
        <f t="shared" si="12"/>
        <v>26248.04</v>
      </c>
      <c r="M39" s="732">
        <f t="shared" si="12"/>
        <v>27772.52</v>
      </c>
      <c r="N39" s="732">
        <f t="shared" si="12"/>
        <v>20457.920000000002</v>
      </c>
      <c r="O39" s="732">
        <v>-297923.25</v>
      </c>
      <c r="P39" s="732">
        <f>SUM(P37:P38)</f>
        <v>16917.370000000003</v>
      </c>
      <c r="Q39" s="1070">
        <f>SUM(Q37:Q38)</f>
        <v>26055.85</v>
      </c>
      <c r="R39" s="1071">
        <f>SUM(E39:Q39)-O39</f>
        <v>242637.32</v>
      </c>
    </row>
    <row r="40" spans="1:28">
      <c r="A40" s="1043"/>
      <c r="B40" s="976"/>
      <c r="C40" s="1051" t="s">
        <v>602</v>
      </c>
      <c r="D40" s="1439"/>
      <c r="E40" s="732">
        <v>1255.03</v>
      </c>
      <c r="F40" s="732">
        <f t="shared" ref="F40:N40" si="13">ROUND(ROUND(E42*F$6,2)/365*F$7,2)</f>
        <v>1251.55</v>
      </c>
      <c r="G40" s="732">
        <f t="shared" si="13"/>
        <v>1426.99</v>
      </c>
      <c r="H40" s="732">
        <f t="shared" si="13"/>
        <v>1308.1099999999999</v>
      </c>
      <c r="I40" s="732">
        <f t="shared" si="13"/>
        <v>1461.38</v>
      </c>
      <c r="J40" s="732">
        <f t="shared" si="13"/>
        <v>1431.29</v>
      </c>
      <c r="K40" s="732">
        <f t="shared" si="13"/>
        <v>1173.28</v>
      </c>
      <c r="L40" s="732">
        <f t="shared" si="13"/>
        <v>1259.69</v>
      </c>
      <c r="M40" s="732">
        <f t="shared" si="13"/>
        <v>1296.6099999999999</v>
      </c>
      <c r="N40" s="732">
        <f t="shared" si="13"/>
        <v>1349.76</v>
      </c>
      <c r="O40" s="732">
        <v>-10781.449999999999</v>
      </c>
      <c r="P40" s="732">
        <f>ROUND(ROUND(O42*P$6,2)/365*P$7,2)</f>
        <v>539.85</v>
      </c>
      <c r="Q40" s="1070">
        <f>ROUND(ROUND(P42*Q$6,2)/365*Q$7,2)</f>
        <v>606.03</v>
      </c>
      <c r="R40" s="1072">
        <f>SUM(E40:Q40)</f>
        <v>3578.1200000000017</v>
      </c>
    </row>
    <row r="41" spans="1:28">
      <c r="A41" s="1043"/>
      <c r="B41" s="976"/>
      <c r="C41" s="1051" t="s">
        <v>603</v>
      </c>
      <c r="D41" s="1443"/>
      <c r="E41" s="1078">
        <f t="shared" ref="E41:R41" si="14">SUM(E39:E40)</f>
        <v>19662.580000000002</v>
      </c>
      <c r="F41" s="1068">
        <f t="shared" si="14"/>
        <v>21156.140000000003</v>
      </c>
      <c r="G41" s="1068">
        <f t="shared" si="14"/>
        <v>-3681.6900000000005</v>
      </c>
      <c r="H41" s="1068">
        <f t="shared" si="14"/>
        <v>27183.450000000004</v>
      </c>
      <c r="I41" s="1068">
        <f t="shared" si="14"/>
        <v>4367.8499999999976</v>
      </c>
      <c r="J41" s="1068">
        <f t="shared" si="14"/>
        <v>36142.04</v>
      </c>
      <c r="K41" s="1068">
        <f t="shared" si="14"/>
        <v>29662.879999999994</v>
      </c>
      <c r="L41" s="1068">
        <f t="shared" si="14"/>
        <v>27507.73</v>
      </c>
      <c r="M41" s="1068">
        <f t="shared" si="14"/>
        <v>29069.13</v>
      </c>
      <c r="N41" s="1068">
        <f t="shared" si="14"/>
        <v>21807.68</v>
      </c>
      <c r="O41" s="1068">
        <f t="shared" si="14"/>
        <v>-308704.7</v>
      </c>
      <c r="P41" s="1068">
        <f t="shared" si="14"/>
        <v>17457.22</v>
      </c>
      <c r="Q41" s="1069">
        <f t="shared" si="14"/>
        <v>26661.879999999997</v>
      </c>
      <c r="R41" s="1074">
        <f t="shared" si="14"/>
        <v>246215.44</v>
      </c>
    </row>
    <row r="42" spans="1:28">
      <c r="A42" s="1043"/>
      <c r="B42" s="976"/>
      <c r="C42" s="1051" t="s">
        <v>604</v>
      </c>
      <c r="D42" s="1439"/>
      <c r="E42" s="732">
        <v>317585.83</v>
      </c>
      <c r="F42" s="732">
        <f t="shared" ref="F42:Q42" si="15">E42+F41</f>
        <v>338741.97000000003</v>
      </c>
      <c r="G42" s="732">
        <f t="shared" si="15"/>
        <v>335060.28000000003</v>
      </c>
      <c r="H42" s="732">
        <f t="shared" si="15"/>
        <v>362243.73000000004</v>
      </c>
      <c r="I42" s="732">
        <f t="shared" si="15"/>
        <v>366611.58</v>
      </c>
      <c r="J42" s="732">
        <f t="shared" si="15"/>
        <v>402753.62</v>
      </c>
      <c r="K42" s="732">
        <f t="shared" si="15"/>
        <v>432416.5</v>
      </c>
      <c r="L42" s="732">
        <f t="shared" si="15"/>
        <v>459924.23</v>
      </c>
      <c r="M42" s="732">
        <f t="shared" si="15"/>
        <v>488993.36</v>
      </c>
      <c r="N42" s="732">
        <f t="shared" si="15"/>
        <v>510801.04</v>
      </c>
      <c r="O42" s="732">
        <f t="shared" si="15"/>
        <v>202096.33999999997</v>
      </c>
      <c r="P42" s="732">
        <f t="shared" si="15"/>
        <v>219553.55999999997</v>
      </c>
      <c r="Q42" s="1070">
        <f t="shared" si="15"/>
        <v>246215.43999999997</v>
      </c>
      <c r="R42" s="1067"/>
    </row>
    <row r="43" spans="1:28">
      <c r="A43" s="1043"/>
      <c r="B43" s="962" t="s">
        <v>614</v>
      </c>
      <c r="C43" s="1132" t="s">
        <v>615</v>
      </c>
      <c r="D43" s="1440"/>
      <c r="E43" s="1059"/>
      <c r="F43" s="1059"/>
      <c r="G43" s="732"/>
      <c r="H43" s="1059"/>
      <c r="I43" s="1059"/>
      <c r="J43" s="1059"/>
      <c r="K43" s="1059"/>
      <c r="L43" s="1059"/>
      <c r="M43" s="1059"/>
      <c r="N43" s="1059"/>
      <c r="O43" s="1059"/>
      <c r="P43" s="1059"/>
      <c r="Q43" s="1060"/>
      <c r="R43" s="1067"/>
    </row>
    <row r="44" spans="1:28">
      <c r="A44" s="1043"/>
      <c r="B44" s="976" t="s">
        <v>591</v>
      </c>
      <c r="C44" s="1062" t="s">
        <v>592</v>
      </c>
      <c r="D44" s="1441"/>
      <c r="E44" s="1059">
        <v>1</v>
      </c>
      <c r="F44" s="1059">
        <v>1</v>
      </c>
      <c r="G44" s="1059">
        <v>1</v>
      </c>
      <c r="H44" s="1059">
        <v>1</v>
      </c>
      <c r="I44" s="1059">
        <v>1</v>
      </c>
      <c r="J44" s="1059">
        <v>1</v>
      </c>
      <c r="K44" s="1059">
        <v>1</v>
      </c>
      <c r="L44" s="1059">
        <v>1</v>
      </c>
      <c r="M44" s="1059">
        <v>1</v>
      </c>
      <c r="N44" s="1059">
        <v>1</v>
      </c>
      <c r="O44" s="1059"/>
      <c r="P44" s="1059">
        <v>1</v>
      </c>
      <c r="Q44" s="1059">
        <v>1</v>
      </c>
      <c r="R44" s="1061"/>
      <c r="T44" s="1064">
        <v>504</v>
      </c>
      <c r="U44" s="1213" t="s">
        <v>616</v>
      </c>
      <c r="V44" s="961">
        <v>5658</v>
      </c>
      <c r="W44" s="962" t="s">
        <v>401</v>
      </c>
      <c r="X44" s="961">
        <f>V44</f>
        <v>5658</v>
      </c>
      <c r="Z44" s="1213" t="s">
        <v>590</v>
      </c>
    </row>
    <row r="45" spans="1:28">
      <c r="A45" s="1043"/>
      <c r="B45" s="976" t="s">
        <v>593</v>
      </c>
      <c r="C45" s="1066" t="s">
        <v>617</v>
      </c>
      <c r="D45" s="1442"/>
      <c r="E45" s="732">
        <v>1053.42</v>
      </c>
      <c r="F45" s="732">
        <v>1130.95</v>
      </c>
      <c r="G45" s="732">
        <v>1076.0999999999999</v>
      </c>
      <c r="H45" s="732">
        <v>1283.6099999999999</v>
      </c>
      <c r="I45" s="732">
        <v>1018.14</v>
      </c>
      <c r="J45" s="732">
        <v>580.92999999999995</v>
      </c>
      <c r="K45" s="732">
        <v>549.52</v>
      </c>
      <c r="L45" s="732">
        <v>246.88</v>
      </c>
      <c r="M45" s="732">
        <v>213.63</v>
      </c>
      <c r="N45" s="732">
        <v>168.34</v>
      </c>
      <c r="O45" s="732"/>
      <c r="P45" s="732">
        <v>861.32</v>
      </c>
      <c r="Q45" s="1070">
        <v>1481.26</v>
      </c>
      <c r="R45" s="1071"/>
      <c r="T45" s="1064" t="s">
        <v>590</v>
      </c>
      <c r="U45" s="731">
        <v>1481.26</v>
      </c>
      <c r="V45" s="1065">
        <f>U45/V44</f>
        <v>0.26179922234004949</v>
      </c>
      <c r="X45" s="1065">
        <f>U45/X44</f>
        <v>0.26179922234004949</v>
      </c>
      <c r="Z45" s="962">
        <v>0.26179999999999998</v>
      </c>
      <c r="AB45" s="1065">
        <f>Z45-X45</f>
        <v>7.7765995049050574E-7</v>
      </c>
    </row>
    <row r="46" spans="1:28">
      <c r="A46" s="1043"/>
      <c r="B46" s="976" t="s">
        <v>595</v>
      </c>
      <c r="C46" s="1066" t="s">
        <v>618</v>
      </c>
      <c r="D46" s="1442"/>
      <c r="E46" s="732">
        <v>1130.95</v>
      </c>
      <c r="F46" s="732">
        <v>1076.0999999999999</v>
      </c>
      <c r="G46" s="732">
        <v>1283.6099999999999</v>
      </c>
      <c r="H46" s="732">
        <v>1018.14</v>
      </c>
      <c r="I46" s="732">
        <v>580.92999999999995</v>
      </c>
      <c r="J46" s="732">
        <v>549.52</v>
      </c>
      <c r="K46" s="732">
        <v>246.88</v>
      </c>
      <c r="L46" s="732">
        <v>213.63</v>
      </c>
      <c r="M46" s="732">
        <v>168.34</v>
      </c>
      <c r="N46" s="732">
        <v>861.32</v>
      </c>
      <c r="O46" s="732"/>
      <c r="P46" s="732">
        <v>1481.26</v>
      </c>
      <c r="Q46" s="732">
        <v>1972.66</v>
      </c>
      <c r="R46" s="1071"/>
      <c r="T46" s="1064" t="s">
        <v>129</v>
      </c>
      <c r="U46" s="731">
        <v>2444.48</v>
      </c>
      <c r="V46" s="1065">
        <f>U46/V44</f>
        <v>0.43203958996111702</v>
      </c>
      <c r="X46" s="1065">
        <f>U46/X44</f>
        <v>0.43203958996111702</v>
      </c>
      <c r="Z46" s="962">
        <v>0.43203999999999998</v>
      </c>
      <c r="AB46" s="1065">
        <f>Z46-X46</f>
        <v>4.100388829586521E-7</v>
      </c>
    </row>
    <row r="47" spans="1:28">
      <c r="A47" s="1043"/>
      <c r="B47" s="976" t="s">
        <v>595</v>
      </c>
      <c r="C47" s="1066" t="s">
        <v>619</v>
      </c>
      <c r="D47" s="1442"/>
      <c r="E47" s="1068">
        <v>1053.42</v>
      </c>
      <c r="F47" s="1068">
        <f t="shared" ref="F47:N47" si="16">-E46</f>
        <v>-1130.95</v>
      </c>
      <c r="G47" s="1068">
        <f t="shared" si="16"/>
        <v>-1076.0999999999999</v>
      </c>
      <c r="H47" s="1068">
        <f t="shared" si="16"/>
        <v>-1283.6099999999999</v>
      </c>
      <c r="I47" s="1068">
        <f t="shared" si="16"/>
        <v>-1018.14</v>
      </c>
      <c r="J47" s="1068">
        <f t="shared" si="16"/>
        <v>-580.92999999999995</v>
      </c>
      <c r="K47" s="1068">
        <f t="shared" si="16"/>
        <v>-549.52</v>
      </c>
      <c r="L47" s="1068">
        <f t="shared" si="16"/>
        <v>-246.88</v>
      </c>
      <c r="M47" s="1068">
        <f t="shared" si="16"/>
        <v>-213.63</v>
      </c>
      <c r="N47" s="1068">
        <f t="shared" si="16"/>
        <v>-168.34</v>
      </c>
      <c r="O47" s="1068"/>
      <c r="P47" s="1068">
        <f>-N46</f>
        <v>-861.32</v>
      </c>
      <c r="Q47" s="1068">
        <f>-P46</f>
        <v>-1481.26</v>
      </c>
      <c r="R47" s="1071"/>
      <c r="T47" s="1064"/>
      <c r="U47" s="731"/>
      <c r="V47" s="1065"/>
      <c r="X47" s="1065"/>
      <c r="AB47" s="1065"/>
    </row>
    <row r="48" spans="1:28">
      <c r="A48" s="1043"/>
      <c r="C48" s="1051" t="s">
        <v>599</v>
      </c>
      <c r="D48" s="1439"/>
      <c r="E48" s="732">
        <f t="shared" ref="E48:N48" si="17">SUM(E45:E47)</f>
        <v>3237.79</v>
      </c>
      <c r="F48" s="732">
        <f t="shared" si="17"/>
        <v>1076.1000000000001</v>
      </c>
      <c r="G48" s="732">
        <f t="shared" si="17"/>
        <v>1283.6100000000001</v>
      </c>
      <c r="H48" s="732">
        <f t="shared" si="17"/>
        <v>1018.1400000000001</v>
      </c>
      <c r="I48" s="732">
        <f t="shared" si="17"/>
        <v>580.92999999999995</v>
      </c>
      <c r="J48" s="732">
        <f t="shared" si="17"/>
        <v>549.51999999999987</v>
      </c>
      <c r="K48" s="732">
        <f t="shared" si="17"/>
        <v>246.88</v>
      </c>
      <c r="L48" s="732">
        <f t="shared" si="17"/>
        <v>213.63</v>
      </c>
      <c r="M48" s="732">
        <f t="shared" si="17"/>
        <v>168.34000000000003</v>
      </c>
      <c r="N48" s="732">
        <f t="shared" si="17"/>
        <v>861.32</v>
      </c>
      <c r="O48" s="732"/>
      <c r="P48" s="732">
        <f>SUM(P45:P47)</f>
        <v>1481.2599999999998</v>
      </c>
      <c r="Q48" s="1070">
        <f>SUM(Q45:Q47)</f>
        <v>1972.66</v>
      </c>
      <c r="R48" s="1067"/>
    </row>
    <row r="49" spans="1:35">
      <c r="A49" s="1043"/>
      <c r="B49" s="976"/>
      <c r="C49" s="1051" t="s">
        <v>600</v>
      </c>
      <c r="D49" s="1439"/>
      <c r="E49" s="1068">
        <v>-127.65</v>
      </c>
      <c r="F49" s="1068">
        <v>-93.93</v>
      </c>
      <c r="G49" s="1068">
        <v>-89.98</v>
      </c>
      <c r="H49" s="1068">
        <v>-67.790000000000006</v>
      </c>
      <c r="I49" s="1068">
        <v>-38.590000000000003</v>
      </c>
      <c r="J49" s="1068">
        <v>-34</v>
      </c>
      <c r="K49" s="1068">
        <v>-28.24</v>
      </c>
      <c r="L49" s="1068">
        <v>-15.79</v>
      </c>
      <c r="M49" s="1068">
        <v>-38.630000000000003</v>
      </c>
      <c r="N49" s="1068">
        <v>-67.989999999999995</v>
      </c>
      <c r="O49" s="1068"/>
      <c r="P49" s="1068">
        <v>-111.08</v>
      </c>
      <c r="Q49" s="1069">
        <v>-147.59</v>
      </c>
      <c r="R49" s="1067"/>
      <c r="U49" s="731"/>
    </row>
    <row r="50" spans="1:35">
      <c r="A50" s="1043"/>
      <c r="B50" s="976"/>
      <c r="C50" s="1051" t="s">
        <v>601</v>
      </c>
      <c r="D50" s="1439"/>
      <c r="E50" s="732">
        <f t="shared" ref="E50:N50" si="18">SUM(E48:E49)</f>
        <v>3110.14</v>
      </c>
      <c r="F50" s="732">
        <f t="shared" si="18"/>
        <v>982.17000000000007</v>
      </c>
      <c r="G50" s="732">
        <f t="shared" si="18"/>
        <v>1193.6300000000001</v>
      </c>
      <c r="H50" s="732">
        <f t="shared" si="18"/>
        <v>950.35000000000014</v>
      </c>
      <c r="I50" s="732">
        <f t="shared" si="18"/>
        <v>542.33999999999992</v>
      </c>
      <c r="J50" s="732">
        <f t="shared" si="18"/>
        <v>515.51999999999987</v>
      </c>
      <c r="K50" s="732">
        <f t="shared" si="18"/>
        <v>218.64</v>
      </c>
      <c r="L50" s="732">
        <f t="shared" si="18"/>
        <v>197.84</v>
      </c>
      <c r="M50" s="732">
        <f t="shared" si="18"/>
        <v>129.71000000000004</v>
      </c>
      <c r="N50" s="732">
        <f t="shared" si="18"/>
        <v>793.33</v>
      </c>
      <c r="O50" s="732">
        <v>-6187.7</v>
      </c>
      <c r="P50" s="732">
        <f>SUM(P48:P49)</f>
        <v>1370.1799999999998</v>
      </c>
      <c r="Q50" s="1070">
        <f>SUM(Q48:Q49)</f>
        <v>1825.0700000000002</v>
      </c>
      <c r="R50" s="1071">
        <f>SUM(E50:Q50)-O50</f>
        <v>11828.920000000002</v>
      </c>
      <c r="U50" s="731">
        <v>948.8900000000001</v>
      </c>
    </row>
    <row r="51" spans="1:35">
      <c r="A51" s="1043"/>
      <c r="B51" s="976"/>
      <c r="C51" s="1051" t="s">
        <v>602</v>
      </c>
      <c r="D51" s="1439"/>
      <c r="E51" s="732">
        <v>26.07</v>
      </c>
      <c r="F51" s="732">
        <f t="shared" ref="F51:N51" si="19">ROUND(ROUND(E53*F$6,2)/365*F$7,2)</f>
        <v>36.74</v>
      </c>
      <c r="G51" s="732">
        <f t="shared" si="19"/>
        <v>43.57</v>
      </c>
      <c r="H51" s="732">
        <f t="shared" si="19"/>
        <v>45.21</v>
      </c>
      <c r="I51" s="732">
        <f t="shared" si="19"/>
        <v>50.73</v>
      </c>
      <c r="J51" s="732">
        <f t="shared" si="19"/>
        <v>51.41</v>
      </c>
      <c r="K51" s="732">
        <f t="shared" si="19"/>
        <v>40.01</v>
      </c>
      <c r="L51" s="732">
        <f t="shared" si="19"/>
        <v>40.770000000000003</v>
      </c>
      <c r="M51" s="732">
        <f t="shared" si="19"/>
        <v>40.130000000000003</v>
      </c>
      <c r="N51" s="732">
        <f t="shared" si="19"/>
        <v>39.76</v>
      </c>
      <c r="O51" s="732">
        <v>-223.94000000000003</v>
      </c>
      <c r="P51" s="732">
        <f>ROUND(ROUND(O53*P$6,2)/365*P$7,2)</f>
        <v>23.57</v>
      </c>
      <c r="Q51" s="1070">
        <f>ROUND(ROUND(P53*Q$6,2)/365*Q$7,2)</f>
        <v>28.2</v>
      </c>
      <c r="R51" s="1072">
        <f>SUM(E51:Q51)</f>
        <v>242.22999999999993</v>
      </c>
      <c r="U51" s="731">
        <v>3.09</v>
      </c>
    </row>
    <row r="52" spans="1:35">
      <c r="A52" s="1043"/>
      <c r="B52" s="976"/>
      <c r="C52" s="1051" t="s">
        <v>603</v>
      </c>
      <c r="D52" s="1439"/>
      <c r="E52" s="1068">
        <f t="shared" ref="E52:R52" si="20">SUM(E50:E51)</f>
        <v>3136.21</v>
      </c>
      <c r="F52" s="1068">
        <f t="shared" si="20"/>
        <v>1018.9100000000001</v>
      </c>
      <c r="G52" s="1068">
        <f t="shared" si="20"/>
        <v>1237.2</v>
      </c>
      <c r="H52" s="1068">
        <f t="shared" si="20"/>
        <v>995.56000000000017</v>
      </c>
      <c r="I52" s="1068">
        <f t="shared" si="20"/>
        <v>593.06999999999994</v>
      </c>
      <c r="J52" s="1068">
        <f t="shared" si="20"/>
        <v>566.92999999999984</v>
      </c>
      <c r="K52" s="1068">
        <f t="shared" si="20"/>
        <v>258.64999999999998</v>
      </c>
      <c r="L52" s="1068">
        <f t="shared" si="20"/>
        <v>238.61</v>
      </c>
      <c r="M52" s="1068">
        <f t="shared" si="20"/>
        <v>169.84000000000003</v>
      </c>
      <c r="N52" s="1068">
        <f t="shared" si="20"/>
        <v>833.09</v>
      </c>
      <c r="O52" s="1068">
        <f t="shared" si="20"/>
        <v>-6411.6399999999994</v>
      </c>
      <c r="P52" s="1068">
        <f t="shared" si="20"/>
        <v>1393.7499999999998</v>
      </c>
      <c r="Q52" s="1069">
        <f t="shared" si="20"/>
        <v>1853.2700000000002</v>
      </c>
      <c r="R52" s="1074">
        <f t="shared" si="20"/>
        <v>12071.150000000001</v>
      </c>
      <c r="U52" s="731">
        <v>951.98000000000013</v>
      </c>
    </row>
    <row r="53" spans="1:35">
      <c r="A53" s="1043"/>
      <c r="B53" s="976"/>
      <c r="C53" s="1051" t="s">
        <v>604</v>
      </c>
      <c r="D53" s="1439"/>
      <c r="E53" s="732">
        <v>9323.91</v>
      </c>
      <c r="F53" s="732">
        <f t="shared" ref="F53:Q53" si="21">E53+F52</f>
        <v>10342.82</v>
      </c>
      <c r="G53" s="732">
        <f t="shared" si="21"/>
        <v>11580.02</v>
      </c>
      <c r="H53" s="732">
        <f t="shared" si="21"/>
        <v>12575.58</v>
      </c>
      <c r="I53" s="732">
        <f t="shared" si="21"/>
        <v>13168.65</v>
      </c>
      <c r="J53" s="732">
        <f t="shared" si="21"/>
        <v>13735.58</v>
      </c>
      <c r="K53" s="732">
        <f t="shared" si="21"/>
        <v>13994.23</v>
      </c>
      <c r="L53" s="732">
        <f t="shared" si="21"/>
        <v>14232.84</v>
      </c>
      <c r="M53" s="732">
        <f t="shared" si="21"/>
        <v>14402.68</v>
      </c>
      <c r="N53" s="732">
        <f t="shared" si="21"/>
        <v>15235.77</v>
      </c>
      <c r="O53" s="732">
        <f t="shared" si="21"/>
        <v>8824.130000000001</v>
      </c>
      <c r="P53" s="732">
        <f t="shared" si="21"/>
        <v>10217.880000000001</v>
      </c>
      <c r="Q53" s="1075">
        <f t="shared" si="21"/>
        <v>12071.150000000001</v>
      </c>
      <c r="R53" s="1067"/>
      <c r="U53" s="731">
        <v>1808.02</v>
      </c>
      <c r="V53" s="1073">
        <f>1808.02-1805.56</f>
        <v>2.4600000000000364</v>
      </c>
    </row>
    <row r="54" spans="1:35">
      <c r="A54" s="1043"/>
      <c r="B54" s="976"/>
      <c r="C54" s="1051"/>
      <c r="D54" s="1439"/>
      <c r="E54" s="732"/>
      <c r="F54" s="732"/>
      <c r="G54" s="732"/>
      <c r="H54" s="732"/>
      <c r="I54" s="732"/>
      <c r="J54" s="732"/>
      <c r="K54" s="732"/>
      <c r="L54" s="732"/>
      <c r="M54" s="732"/>
      <c r="N54" s="732"/>
      <c r="O54" s="1059"/>
      <c r="P54" s="732"/>
      <c r="Q54" s="1070"/>
      <c r="R54" s="1067"/>
      <c r="T54" s="1064"/>
      <c r="U54" s="731"/>
      <c r="V54" s="1073"/>
    </row>
    <row r="55" spans="1:35">
      <c r="A55" s="1043"/>
      <c r="B55" s="962" t="s">
        <v>614</v>
      </c>
      <c r="C55" s="1132" t="s">
        <v>620</v>
      </c>
      <c r="D55" s="1440"/>
      <c r="E55" s="1059"/>
      <c r="F55" s="1059"/>
      <c r="G55" s="732"/>
      <c r="H55" s="1059"/>
      <c r="I55" s="1059"/>
      <c r="J55" s="1059"/>
      <c r="K55" s="1059"/>
      <c r="L55" s="1059"/>
      <c r="M55" s="1059"/>
      <c r="N55" s="1059"/>
      <c r="O55" s="1059"/>
      <c r="P55" s="1059"/>
      <c r="Q55" s="1060"/>
      <c r="R55" s="1067"/>
      <c r="U55" s="731"/>
    </row>
    <row r="56" spans="1:35">
      <c r="A56" s="1043"/>
      <c r="B56" s="976" t="s">
        <v>591</v>
      </c>
      <c r="C56" s="1062" t="s">
        <v>592</v>
      </c>
      <c r="D56" s="1441"/>
      <c r="E56" s="1059">
        <v>26861</v>
      </c>
      <c r="F56" s="1059">
        <v>26878</v>
      </c>
      <c r="G56" s="1059">
        <v>26875</v>
      </c>
      <c r="H56" s="1059">
        <v>26754</v>
      </c>
      <c r="I56" s="1059">
        <v>26697</v>
      </c>
      <c r="J56" s="1059">
        <v>26643</v>
      </c>
      <c r="K56" s="1059">
        <v>26617</v>
      </c>
      <c r="L56" s="1059">
        <v>26605</v>
      </c>
      <c r="M56" s="1059">
        <v>26609</v>
      </c>
      <c r="N56" s="1059">
        <v>26785</v>
      </c>
      <c r="O56" s="1059"/>
      <c r="P56" s="1059">
        <v>26882</v>
      </c>
      <c r="Q56" s="1059">
        <v>26978</v>
      </c>
      <c r="R56" s="1061"/>
      <c r="T56" s="1064">
        <v>4810</v>
      </c>
      <c r="U56" s="1213">
        <v>504</v>
      </c>
      <c r="V56" s="961">
        <v>12037595</v>
      </c>
      <c r="W56" s="962" t="s">
        <v>401</v>
      </c>
      <c r="X56" s="961"/>
      <c r="Z56" s="1213" t="s">
        <v>590</v>
      </c>
    </row>
    <row r="57" spans="1:35">
      <c r="A57" s="1043"/>
      <c r="B57" s="976" t="s">
        <v>593</v>
      </c>
      <c r="C57" s="1066" t="s">
        <v>621</v>
      </c>
      <c r="D57" s="1442"/>
      <c r="E57" s="732">
        <v>3359717.02</v>
      </c>
      <c r="F57" s="732">
        <v>2777567.54</v>
      </c>
      <c r="G57" s="732">
        <v>2854848.28</v>
      </c>
      <c r="H57" s="732">
        <v>2242040.88</v>
      </c>
      <c r="I57" s="732">
        <v>1085875.76</v>
      </c>
      <c r="J57" s="732">
        <v>832124.22</v>
      </c>
      <c r="K57" s="732">
        <v>746159.64</v>
      </c>
      <c r="L57" s="732">
        <v>570297.25</v>
      </c>
      <c r="M57" s="732">
        <v>645275.03</v>
      </c>
      <c r="N57" s="732">
        <v>837256.83</v>
      </c>
      <c r="O57" s="732"/>
      <c r="P57" s="732">
        <v>1703921.93</v>
      </c>
      <c r="Q57" s="1070">
        <v>3151444.12</v>
      </c>
      <c r="R57" s="1071"/>
      <c r="T57" s="1064" t="s">
        <v>590</v>
      </c>
      <c r="U57" s="731">
        <v>3151444.12</v>
      </c>
      <c r="V57" s="1065">
        <f>U57/V56</f>
        <v>0.2618001452948035</v>
      </c>
      <c r="X57" s="1065">
        <f>U57/V56</f>
        <v>0.2618001452948035</v>
      </c>
      <c r="Z57" s="962">
        <v>0.26179999999999998</v>
      </c>
      <c r="AB57" s="1065">
        <f>Z57-X57</f>
        <v>-1.4529480352187818E-7</v>
      </c>
    </row>
    <row r="58" spans="1:35">
      <c r="A58" s="1043"/>
      <c r="B58" s="1079" t="s">
        <v>595</v>
      </c>
      <c r="C58" s="1080" t="s">
        <v>596</v>
      </c>
      <c r="D58" s="1444"/>
      <c r="E58" s="1078">
        <f>ROUND(ROUND(9522833*0.9046,0)*0.23142,2)</f>
        <v>1993534.03</v>
      </c>
      <c r="F58" s="1068">
        <f>ROUND(ROUND(9324558*0.907,0)*0.23142,2)</f>
        <v>1957205.49</v>
      </c>
      <c r="G58" s="1068">
        <f>ROUND(ROUND(7368968*0.8986,0)*0.2618,2)</f>
        <v>1733575.46</v>
      </c>
      <c r="H58" s="1068">
        <f>ROUND(ROUND(2944986*0.894,0)*0.2618,2)</f>
        <v>689271.49</v>
      </c>
      <c r="I58" s="1068">
        <f>ROUND(ROUND(1984707*0.8841,0)*0.2618,2)</f>
        <v>459374.96</v>
      </c>
      <c r="J58" s="1068">
        <f>ROUND(ROUND(1103980*0.8619,0)*0.2618,2)</f>
        <v>249107.94</v>
      </c>
      <c r="K58" s="1068">
        <f>ROUND(ROUND(801207*0.838,0)*0.2618,2)</f>
        <v>175775.4</v>
      </c>
      <c r="L58" s="1068">
        <f>ROUND(ROUND(1497403*0.8685,0)*0.2618,2)</f>
        <v>340469.59</v>
      </c>
      <c r="M58" s="1068">
        <f>ROUND(ROUND(2130040*0.8845,0)*0.2618,2)</f>
        <v>493236.44</v>
      </c>
      <c r="N58" s="1068">
        <f>ROUND(ROUND(5961158*0.8708,0)*0.2618,2)</f>
        <v>1358997.52</v>
      </c>
      <c r="O58" s="732"/>
      <c r="P58" s="1068">
        <f>ROUND(ROUND(8615743*0.8855,0)*0.2618,2)</f>
        <v>1997335.03</v>
      </c>
      <c r="Q58" s="1068">
        <f>ROUND(ROUND(9569772*0.8951,0)*0.2618,2)+14736.2</f>
        <v>2257289.6100000003</v>
      </c>
      <c r="R58" s="1071"/>
      <c r="T58" s="1064" t="s">
        <v>129</v>
      </c>
      <c r="U58" s="731">
        <v>5201974.55</v>
      </c>
      <c r="V58" s="1065">
        <f>U58/V56</f>
        <v>0.4321440080015983</v>
      </c>
      <c r="X58" s="1065">
        <f>U58/V56</f>
        <v>0.4321440080015983</v>
      </c>
      <c r="Z58" s="962">
        <f>+Z46</f>
        <v>0.43203999999999998</v>
      </c>
      <c r="AB58" s="1065">
        <f>Z58-X58</f>
        <v>-1.0400800159832135E-4</v>
      </c>
      <c r="AE58" s="1414">
        <f>Q58</f>
        <v>2257289.6100000003</v>
      </c>
      <c r="AH58" s="1073">
        <f>AE58</f>
        <v>2257289.6100000003</v>
      </c>
    </row>
    <row r="59" spans="1:35">
      <c r="A59" s="1043"/>
      <c r="B59" s="976" t="s">
        <v>595</v>
      </c>
      <c r="C59" s="1081" t="s">
        <v>597</v>
      </c>
      <c r="D59" s="1447">
        <v>-2407512.25</v>
      </c>
      <c r="E59" s="1068">
        <v>-2407512.25</v>
      </c>
      <c r="F59" s="1068">
        <f t="shared" ref="F59:N59" si="22">-E58</f>
        <v>-1993534.03</v>
      </c>
      <c r="G59" s="1068">
        <f t="shared" si="22"/>
        <v>-1957205.49</v>
      </c>
      <c r="H59" s="1068">
        <f t="shared" si="22"/>
        <v>-1733575.46</v>
      </c>
      <c r="I59" s="1068">
        <f t="shared" si="22"/>
        <v>-689271.49</v>
      </c>
      <c r="J59" s="1068">
        <f t="shared" si="22"/>
        <v>-459374.96</v>
      </c>
      <c r="K59" s="1068">
        <f t="shared" si="22"/>
        <v>-249107.94</v>
      </c>
      <c r="L59" s="1068">
        <f t="shared" si="22"/>
        <v>-175775.4</v>
      </c>
      <c r="M59" s="1068">
        <f t="shared" si="22"/>
        <v>-340469.59</v>
      </c>
      <c r="N59" s="1068">
        <f t="shared" si="22"/>
        <v>-493236.44</v>
      </c>
      <c r="O59" s="1068"/>
      <c r="P59" s="1068">
        <f>-N58</f>
        <v>-1358997.52</v>
      </c>
      <c r="Q59" s="1069">
        <f>-P58</f>
        <v>-1997335.03</v>
      </c>
      <c r="R59" s="1071"/>
      <c r="T59" s="1064"/>
      <c r="U59" s="731"/>
      <c r="V59" s="1065"/>
      <c r="X59" s="1065"/>
      <c r="AB59" s="1065"/>
      <c r="AE59" s="1414">
        <f>E59</f>
        <v>-2407512.25</v>
      </c>
      <c r="AF59" s="1073">
        <f>SUM(AE58:AE59)</f>
        <v>-150222.63999999966</v>
      </c>
      <c r="AI59" s="1073">
        <f>AE59</f>
        <v>-2407512.25</v>
      </c>
    </row>
    <row r="60" spans="1:35">
      <c r="A60" s="1043"/>
      <c r="B60" s="976"/>
      <c r="C60" s="1082" t="s">
        <v>599</v>
      </c>
      <c r="D60" s="1439"/>
      <c r="E60" s="732">
        <f t="shared" ref="E60:N60" si="23">SUM(E57:E59)</f>
        <v>2945738.8</v>
      </c>
      <c r="F60" s="732">
        <f t="shared" si="23"/>
        <v>2741239</v>
      </c>
      <c r="G60" s="732">
        <f t="shared" si="23"/>
        <v>2631218.25</v>
      </c>
      <c r="H60" s="732">
        <f t="shared" si="23"/>
        <v>1197736.9100000001</v>
      </c>
      <c r="I60" s="732">
        <f t="shared" si="23"/>
        <v>855979.23</v>
      </c>
      <c r="J60" s="732">
        <f t="shared" si="23"/>
        <v>621857.19999999995</v>
      </c>
      <c r="K60" s="732">
        <f t="shared" si="23"/>
        <v>672827.10000000009</v>
      </c>
      <c r="L60" s="732">
        <f t="shared" si="23"/>
        <v>734991.44000000006</v>
      </c>
      <c r="M60" s="732">
        <f t="shared" si="23"/>
        <v>798041.87999999989</v>
      </c>
      <c r="N60" s="732">
        <f t="shared" si="23"/>
        <v>1703017.9100000001</v>
      </c>
      <c r="O60" s="732"/>
      <c r="P60" s="732">
        <f>SUM(P57:P59)</f>
        <v>2342259.44</v>
      </c>
      <c r="Q60" s="1070">
        <f>SUM(Q57:Q59)</f>
        <v>3411398.7</v>
      </c>
      <c r="R60" s="1067"/>
    </row>
    <row r="61" spans="1:35">
      <c r="A61" s="1043"/>
      <c r="B61" s="976"/>
      <c r="C61" s="1082" t="s">
        <v>600</v>
      </c>
      <c r="D61" s="1439"/>
      <c r="E61" s="1068">
        <v>-3428806.65</v>
      </c>
      <c r="F61" s="1068">
        <v>-2524650.54</v>
      </c>
      <c r="G61" s="1068">
        <v>-2418212.5</v>
      </c>
      <c r="H61" s="1068">
        <v>-1813653.66</v>
      </c>
      <c r="I61" s="1068">
        <v>-1030237.23</v>
      </c>
      <c r="J61" s="1068">
        <v>-905862</v>
      </c>
      <c r="K61" s="1068">
        <v>-751664.08</v>
      </c>
      <c r="L61" s="1068">
        <v>-420092.95</v>
      </c>
      <c r="M61" s="1068">
        <v>-1027905.67</v>
      </c>
      <c r="N61" s="1068">
        <v>-1821112.15</v>
      </c>
      <c r="O61" s="1068"/>
      <c r="P61" s="1068">
        <v>-2986052.56</v>
      </c>
      <c r="Q61" s="1069">
        <v>-3981683.02</v>
      </c>
      <c r="R61" s="1067"/>
    </row>
    <row r="62" spans="1:35">
      <c r="A62" s="1043"/>
      <c r="B62" s="976"/>
      <c r="C62" s="1082" t="s">
        <v>601</v>
      </c>
      <c r="D62" s="1439"/>
      <c r="E62" s="732">
        <f t="shared" ref="E62:N62" si="24">SUM(E60:E61)</f>
        <v>-483067.85000000009</v>
      </c>
      <c r="F62" s="732">
        <f t="shared" si="24"/>
        <v>216588.45999999996</v>
      </c>
      <c r="G62" s="732">
        <f t="shared" si="24"/>
        <v>213005.75</v>
      </c>
      <c r="H62" s="732">
        <f t="shared" si="24"/>
        <v>-615916.74999999977</v>
      </c>
      <c r="I62" s="732">
        <f t="shared" si="24"/>
        <v>-174258</v>
      </c>
      <c r="J62" s="732">
        <f t="shared" si="24"/>
        <v>-284004.80000000005</v>
      </c>
      <c r="K62" s="732">
        <f t="shared" si="24"/>
        <v>-78836.979999999865</v>
      </c>
      <c r="L62" s="732">
        <f t="shared" si="24"/>
        <v>314898.49000000005</v>
      </c>
      <c r="M62" s="732">
        <f t="shared" si="24"/>
        <v>-229863.79000000015</v>
      </c>
      <c r="N62" s="732">
        <f t="shared" si="24"/>
        <v>-118094.23999999976</v>
      </c>
      <c r="O62" s="732">
        <v>-2124434.7099999986</v>
      </c>
      <c r="P62" s="732">
        <f>SUM(P60:P61)</f>
        <v>-643793.12000000011</v>
      </c>
      <c r="Q62" s="1070">
        <f>SUM(Q60:Q61)</f>
        <v>-570284.31999999983</v>
      </c>
      <c r="R62" s="1071">
        <f>SUM(E62:Q62)-O62</f>
        <v>-2453627.15</v>
      </c>
    </row>
    <row r="63" spans="1:35">
      <c r="A63" s="1043"/>
      <c r="B63" s="976"/>
      <c r="C63" s="1082" t="s">
        <v>602</v>
      </c>
      <c r="D63" s="1439"/>
      <c r="E63" s="732">
        <v>8949.4</v>
      </c>
      <c r="F63" s="732">
        <f t="shared" ref="F63:N63" si="25">ROUND(ROUND(E65*F$6,2)/365*F$7,2)</f>
        <v>6503.6</v>
      </c>
      <c r="G63" s="732">
        <f t="shared" si="25"/>
        <v>7891.92</v>
      </c>
      <c r="H63" s="732">
        <f t="shared" si="25"/>
        <v>8176.4</v>
      </c>
      <c r="I63" s="732">
        <f t="shared" si="25"/>
        <v>5997.17</v>
      </c>
      <c r="J63" s="732">
        <f t="shared" si="25"/>
        <v>5146.8100000000004</v>
      </c>
      <c r="K63" s="732">
        <f t="shared" si="25"/>
        <v>3028.07</v>
      </c>
      <c r="L63" s="732">
        <f t="shared" si="25"/>
        <v>2807.22</v>
      </c>
      <c r="M63" s="732">
        <f t="shared" si="25"/>
        <v>3612.34</v>
      </c>
      <c r="N63" s="732">
        <f t="shared" si="25"/>
        <v>2912.34</v>
      </c>
      <c r="O63" s="732">
        <v>-76880.489999999991</v>
      </c>
      <c r="P63" s="732">
        <f>ROUND(ROUND(O65*P$6,2)/365*P$7,2)</f>
        <v>-3369.51</v>
      </c>
      <c r="Q63" s="1070">
        <f>ROUND(ROUND(P65*Q$6,2)/365*Q$7,2)</f>
        <v>-5268.17</v>
      </c>
      <c r="R63" s="1072">
        <f>SUM(E63:Q63)</f>
        <v>-30492.9</v>
      </c>
    </row>
    <row r="64" spans="1:35">
      <c r="A64" s="1043"/>
      <c r="B64" s="976"/>
      <c r="C64" s="1082" t="s">
        <v>603</v>
      </c>
      <c r="D64" s="1439"/>
      <c r="E64" s="1068">
        <f t="shared" ref="E64:R64" si="26">SUM(E62:E63)</f>
        <v>-474118.45000000007</v>
      </c>
      <c r="F64" s="1068">
        <f t="shared" si="26"/>
        <v>223092.05999999997</v>
      </c>
      <c r="G64" s="1068">
        <f t="shared" si="26"/>
        <v>220897.67</v>
      </c>
      <c r="H64" s="1068">
        <f t="shared" si="26"/>
        <v>-607740.34999999974</v>
      </c>
      <c r="I64" s="1068">
        <f t="shared" si="26"/>
        <v>-168260.83</v>
      </c>
      <c r="J64" s="1068">
        <f t="shared" si="26"/>
        <v>-278857.99000000005</v>
      </c>
      <c r="K64" s="1068">
        <f t="shared" si="26"/>
        <v>-75808.909999999858</v>
      </c>
      <c r="L64" s="1068">
        <f t="shared" si="26"/>
        <v>317705.71000000002</v>
      </c>
      <c r="M64" s="1068">
        <f t="shared" si="26"/>
        <v>-226251.45000000016</v>
      </c>
      <c r="N64" s="1068">
        <f t="shared" si="26"/>
        <v>-115181.89999999976</v>
      </c>
      <c r="O64" s="1068">
        <f t="shared" si="26"/>
        <v>-2201315.1999999983</v>
      </c>
      <c r="P64" s="1068">
        <f t="shared" si="26"/>
        <v>-647162.63000000012</v>
      </c>
      <c r="Q64" s="1069">
        <f t="shared" si="26"/>
        <v>-575552.48999999987</v>
      </c>
      <c r="R64" s="1074">
        <f t="shared" si="26"/>
        <v>-2484120.0499999998</v>
      </c>
    </row>
    <row r="65" spans="1:22">
      <c r="A65" s="1043"/>
      <c r="B65" s="1083"/>
      <c r="C65" s="1084" t="s">
        <v>604</v>
      </c>
      <c r="D65" s="1445"/>
      <c r="E65" s="1068">
        <v>1650316.2599999979</v>
      </c>
      <c r="F65" s="1085">
        <f t="shared" ref="F65:Q65" si="27">E65+F64</f>
        <v>1873408.319999998</v>
      </c>
      <c r="G65" s="732">
        <f t="shared" si="27"/>
        <v>2094305.9899999979</v>
      </c>
      <c r="H65" s="1085">
        <f t="shared" si="27"/>
        <v>1486565.6399999983</v>
      </c>
      <c r="I65" s="1085">
        <f t="shared" si="27"/>
        <v>1318304.8099999982</v>
      </c>
      <c r="J65" s="1085">
        <f t="shared" si="27"/>
        <v>1039446.8199999982</v>
      </c>
      <c r="K65" s="1085">
        <f t="shared" si="27"/>
        <v>963637.90999999829</v>
      </c>
      <c r="L65" s="1085">
        <f t="shared" si="27"/>
        <v>1281343.6199999982</v>
      </c>
      <c r="M65" s="1085">
        <f t="shared" si="27"/>
        <v>1055092.1699999981</v>
      </c>
      <c r="N65" s="1085">
        <f t="shared" si="27"/>
        <v>939910.26999999827</v>
      </c>
      <c r="O65" s="1085">
        <f t="shared" si="27"/>
        <v>-1261404.9300000002</v>
      </c>
      <c r="P65" s="1085">
        <f t="shared" si="27"/>
        <v>-1908567.5600000003</v>
      </c>
      <c r="Q65" s="1086">
        <f t="shared" si="27"/>
        <v>-2484120.0500000003</v>
      </c>
      <c r="R65" s="1087"/>
      <c r="V65" s="1073"/>
    </row>
    <row r="66" spans="1:22" ht="7.5" customHeight="1">
      <c r="B66" s="976"/>
      <c r="C66" s="1064"/>
      <c r="D66" s="1064"/>
      <c r="E66" s="1090"/>
      <c r="F66" s="732"/>
      <c r="G66" s="1090"/>
      <c r="H66" s="732"/>
      <c r="I66" s="732"/>
      <c r="J66" s="732"/>
      <c r="K66" s="732"/>
      <c r="L66" s="732"/>
      <c r="M66" s="732"/>
      <c r="N66" s="732"/>
      <c r="O66" s="732"/>
      <c r="P66" s="732"/>
      <c r="Q66" s="732"/>
      <c r="V66" s="1073"/>
    </row>
    <row r="67" spans="1:22" ht="7.5" customHeight="1" thickBot="1">
      <c r="B67" s="1083"/>
      <c r="C67" s="1082"/>
      <c r="D67" s="1439"/>
      <c r="E67" s="1133"/>
      <c r="F67" s="1068"/>
      <c r="G67" s="732"/>
      <c r="H67" s="1068"/>
      <c r="I67" s="1068"/>
      <c r="J67" s="1068"/>
      <c r="K67" s="1068"/>
      <c r="L67" s="1068"/>
      <c r="M67" s="1068"/>
      <c r="N67" s="1068"/>
      <c r="O67" s="1068"/>
      <c r="P67" s="1068"/>
      <c r="Q67" s="1068"/>
      <c r="T67" s="1064"/>
      <c r="U67" s="731"/>
      <c r="V67" s="1073"/>
    </row>
    <row r="68" spans="1:22">
      <c r="A68" s="1043"/>
      <c r="B68" s="1088" t="s">
        <v>614</v>
      </c>
      <c r="C68" s="1134" t="s">
        <v>622</v>
      </c>
      <c r="D68" s="1094"/>
      <c r="E68" s="1089"/>
      <c r="F68" s="1059"/>
      <c r="G68" s="1090"/>
      <c r="H68" s="1059"/>
      <c r="I68" s="1059"/>
      <c r="J68" s="1059"/>
      <c r="K68" s="1059"/>
      <c r="L68" s="1059"/>
      <c r="M68" s="1059"/>
      <c r="N68" s="1059"/>
      <c r="O68" s="1059"/>
      <c r="P68" s="1059"/>
      <c r="Q68" s="1060"/>
      <c r="R68" s="1091"/>
      <c r="U68" s="731"/>
      <c r="V68" s="1073"/>
    </row>
    <row r="69" spans="1:22">
      <c r="A69" s="1043"/>
      <c r="B69" s="976" t="s">
        <v>591</v>
      </c>
      <c r="C69" s="1062" t="s">
        <v>592</v>
      </c>
      <c r="D69" s="1441"/>
      <c r="E69" s="1059">
        <v>7</v>
      </c>
      <c r="F69" s="1059">
        <v>7</v>
      </c>
      <c r="G69" s="1059">
        <v>7</v>
      </c>
      <c r="H69" s="1059">
        <v>7</v>
      </c>
      <c r="I69" s="1059">
        <v>7</v>
      </c>
      <c r="J69" s="1059">
        <v>7</v>
      </c>
      <c r="K69" s="1059">
        <v>7</v>
      </c>
      <c r="L69" s="1059">
        <v>7</v>
      </c>
      <c r="M69" s="1059">
        <v>7</v>
      </c>
      <c r="N69" s="1059">
        <v>2</v>
      </c>
      <c r="O69" s="1059"/>
      <c r="P69" s="1059">
        <v>2</v>
      </c>
      <c r="Q69" s="1059">
        <v>2</v>
      </c>
      <c r="R69" s="1061"/>
      <c r="T69" s="1064">
        <v>4810</v>
      </c>
      <c r="U69" s="1064" t="s">
        <v>623</v>
      </c>
      <c r="V69" s="1073"/>
    </row>
    <row r="70" spans="1:22">
      <c r="A70" s="1043"/>
      <c r="B70" s="1092" t="s">
        <v>593</v>
      </c>
      <c r="C70" s="1066" t="s">
        <v>611</v>
      </c>
      <c r="D70" s="1442"/>
      <c r="E70" s="732">
        <v>19935.75</v>
      </c>
      <c r="F70" s="732">
        <v>19499.55</v>
      </c>
      <c r="G70" s="732">
        <v>19032.68</v>
      </c>
      <c r="H70" s="732">
        <v>21164.26</v>
      </c>
      <c r="I70" s="732">
        <v>20485.259999999998</v>
      </c>
      <c r="J70" s="732">
        <v>19295.150000000001</v>
      </c>
      <c r="K70" s="732">
        <v>14918.06</v>
      </c>
      <c r="L70" s="732">
        <v>14182.49</v>
      </c>
      <c r="M70" s="732">
        <v>13834.62</v>
      </c>
      <c r="N70" s="732">
        <v>13931.46</v>
      </c>
      <c r="O70" s="732"/>
      <c r="P70" s="732">
        <v>4903.67</v>
      </c>
      <c r="Q70" s="1070">
        <v>5690.47</v>
      </c>
      <c r="R70" s="1071"/>
      <c r="T70" s="1064"/>
      <c r="U70" s="731"/>
      <c r="V70" s="1073"/>
    </row>
    <row r="71" spans="1:22">
      <c r="A71" s="1043"/>
      <c r="B71" s="976" t="s">
        <v>593</v>
      </c>
      <c r="C71" s="1066" t="s">
        <v>612</v>
      </c>
      <c r="D71" s="1442"/>
      <c r="E71" s="732">
        <v>41795.550000000003</v>
      </c>
      <c r="F71" s="732">
        <v>41337.629999999997</v>
      </c>
      <c r="G71" s="732">
        <v>40111.26</v>
      </c>
      <c r="H71" s="732">
        <v>44241.38</v>
      </c>
      <c r="I71" s="732">
        <v>37030.639999999999</v>
      </c>
      <c r="J71" s="732">
        <v>31635.93</v>
      </c>
      <c r="K71" s="732">
        <v>27763.06</v>
      </c>
      <c r="L71" s="732">
        <v>27731.27</v>
      </c>
      <c r="M71" s="732">
        <v>27329.200000000001</v>
      </c>
      <c r="N71" s="732">
        <v>27049.73</v>
      </c>
      <c r="O71" s="732"/>
      <c r="P71" s="732">
        <v>437.73</v>
      </c>
      <c r="Q71" s="1070">
        <v>4695.21</v>
      </c>
      <c r="R71" s="1071"/>
      <c r="T71" s="1064"/>
      <c r="U71" s="731"/>
      <c r="V71" s="1073"/>
    </row>
    <row r="72" spans="1:22">
      <c r="A72" s="1043"/>
      <c r="B72" s="976" t="s">
        <v>593</v>
      </c>
      <c r="C72" s="1066" t="s">
        <v>613</v>
      </c>
      <c r="D72" s="1442"/>
      <c r="E72" s="732">
        <v>31678.16</v>
      </c>
      <c r="F72" s="732">
        <v>34423.99</v>
      </c>
      <c r="G72" s="732">
        <v>31526.86</v>
      </c>
      <c r="H72" s="732">
        <v>42051.57</v>
      </c>
      <c r="I72" s="732">
        <v>32546.26</v>
      </c>
      <c r="J72" s="732">
        <v>19928.150000000001</v>
      </c>
      <c r="K72" s="732">
        <v>13678.68</v>
      </c>
      <c r="L72" s="732">
        <v>12426.16</v>
      </c>
      <c r="M72" s="732">
        <v>11223.95</v>
      </c>
      <c r="N72" s="732">
        <v>10743.46</v>
      </c>
      <c r="O72" s="732"/>
      <c r="P72" s="732"/>
      <c r="Q72" s="1070"/>
      <c r="R72" s="1071"/>
      <c r="T72" s="1064"/>
      <c r="U72" s="731"/>
      <c r="V72" s="1073"/>
    </row>
    <row r="73" spans="1:22">
      <c r="A73" s="1043"/>
      <c r="B73" s="976" t="s">
        <v>595</v>
      </c>
      <c r="C73" s="1081" t="s">
        <v>624</v>
      </c>
      <c r="D73" s="1442"/>
      <c r="E73" s="732">
        <v>19499.55</v>
      </c>
      <c r="F73" s="732">
        <v>19032.68</v>
      </c>
      <c r="G73" s="732">
        <v>21164.26</v>
      </c>
      <c r="H73" s="732">
        <v>20485.259999999998</v>
      </c>
      <c r="I73" s="732">
        <v>19295.150000000001</v>
      </c>
      <c r="J73" s="732">
        <v>14918.06</v>
      </c>
      <c r="K73" s="732">
        <v>14182.49</v>
      </c>
      <c r="L73" s="732">
        <v>13834.62</v>
      </c>
      <c r="M73" s="732">
        <v>13931.46</v>
      </c>
      <c r="N73" s="732">
        <v>4903.67</v>
      </c>
      <c r="O73" s="732"/>
      <c r="P73" s="732">
        <v>5690.47</v>
      </c>
      <c r="Q73" s="1070">
        <v>6270.7</v>
      </c>
      <c r="R73" s="1071"/>
      <c r="T73" s="1064"/>
      <c r="U73" s="731"/>
      <c r="V73" s="1073"/>
    </row>
    <row r="74" spans="1:22">
      <c r="A74" s="1043"/>
      <c r="B74" s="976" t="s">
        <v>595</v>
      </c>
      <c r="C74" s="1081" t="s">
        <v>625</v>
      </c>
      <c r="D74" s="1442"/>
      <c r="E74" s="732">
        <v>41337.629999999997</v>
      </c>
      <c r="F74" s="732">
        <v>40111.26</v>
      </c>
      <c r="G74" s="732">
        <v>44241.38</v>
      </c>
      <c r="H74" s="732">
        <v>37030.639999999999</v>
      </c>
      <c r="I74" s="732">
        <v>31635.93</v>
      </c>
      <c r="J74" s="732">
        <v>27763.06</v>
      </c>
      <c r="K74" s="732">
        <v>27731.27</v>
      </c>
      <c r="L74" s="732">
        <v>27329.200000000001</v>
      </c>
      <c r="M74" s="732">
        <v>27049.73</v>
      </c>
      <c r="N74" s="732">
        <v>437.73</v>
      </c>
      <c r="O74" s="732"/>
      <c r="P74" s="732">
        <v>4695.21</v>
      </c>
      <c r="Q74" s="1070">
        <v>7164.96</v>
      </c>
      <c r="R74" s="1071"/>
      <c r="T74" s="1064"/>
      <c r="U74" s="731"/>
      <c r="V74" s="1073"/>
    </row>
    <row r="75" spans="1:22">
      <c r="A75" s="1043"/>
      <c r="B75" s="1079" t="s">
        <v>595</v>
      </c>
      <c r="C75" s="1080" t="s">
        <v>626</v>
      </c>
      <c r="D75" s="1444"/>
      <c r="E75" s="1078">
        <v>34423.99</v>
      </c>
      <c r="F75" s="1068">
        <v>31526.86</v>
      </c>
      <c r="G75" s="732">
        <v>42051.57</v>
      </c>
      <c r="H75" s="732">
        <v>32546.26</v>
      </c>
      <c r="I75" s="732">
        <v>19928.150000000001</v>
      </c>
      <c r="J75" s="732">
        <v>13678.68</v>
      </c>
      <c r="K75" s="732">
        <v>12426.16</v>
      </c>
      <c r="L75" s="732">
        <v>11223.95</v>
      </c>
      <c r="M75" s="732">
        <v>10743.46</v>
      </c>
      <c r="N75" s="732"/>
      <c r="O75" s="732"/>
      <c r="P75" s="732"/>
      <c r="Q75" s="1070"/>
      <c r="R75" s="1071"/>
      <c r="T75" s="1064"/>
      <c r="U75" s="731"/>
      <c r="V75" s="1073"/>
    </row>
    <row r="76" spans="1:22">
      <c r="A76" s="1043"/>
      <c r="B76" s="976" t="s">
        <v>595</v>
      </c>
      <c r="C76" s="1093" t="s">
        <v>619</v>
      </c>
      <c r="D76" s="1442"/>
      <c r="E76" s="1068">
        <v>-93409.46</v>
      </c>
      <c r="F76" s="1068">
        <f t="shared" ref="F76:N76" si="28">-E73-E74-E75</f>
        <v>-95261.169999999984</v>
      </c>
      <c r="G76" s="1085">
        <f t="shared" si="28"/>
        <v>-90670.8</v>
      </c>
      <c r="H76" s="1068">
        <f t="shared" si="28"/>
        <v>-107457.20999999999</v>
      </c>
      <c r="I76" s="1068">
        <f t="shared" si="28"/>
        <v>-90062.159999999989</v>
      </c>
      <c r="J76" s="1068">
        <f t="shared" si="28"/>
        <v>-70859.23000000001</v>
      </c>
      <c r="K76" s="1068">
        <f t="shared" si="28"/>
        <v>-56359.8</v>
      </c>
      <c r="L76" s="1068">
        <f t="shared" si="28"/>
        <v>-54339.92</v>
      </c>
      <c r="M76" s="1068">
        <f t="shared" si="28"/>
        <v>-52387.770000000004</v>
      </c>
      <c r="N76" s="1068">
        <f t="shared" si="28"/>
        <v>-51724.65</v>
      </c>
      <c r="O76" s="732"/>
      <c r="P76" s="1068">
        <f>-N73-N74-N75</f>
        <v>-5341.4</v>
      </c>
      <c r="Q76" s="1068">
        <f>-P73-P74-P75</f>
        <v>-10385.68</v>
      </c>
      <c r="R76" s="1067"/>
      <c r="T76" s="1064"/>
      <c r="U76" s="731"/>
      <c r="V76" s="1073"/>
    </row>
    <row r="77" spans="1:22">
      <c r="A77" s="1043"/>
      <c r="B77" s="976"/>
      <c r="C77" s="1082" t="s">
        <v>599</v>
      </c>
      <c r="D77" s="1439"/>
      <c r="E77" s="732">
        <f t="shared" ref="E77:N77" si="29">SUM(E70:E76)</f>
        <v>95261.17</v>
      </c>
      <c r="F77" s="732">
        <f t="shared" si="29"/>
        <v>90670.799999999988</v>
      </c>
      <c r="G77" s="732">
        <f t="shared" si="29"/>
        <v>107457.21</v>
      </c>
      <c r="H77" s="732">
        <f t="shared" si="29"/>
        <v>90062.16</v>
      </c>
      <c r="I77" s="732">
        <f t="shared" si="29"/>
        <v>70859.23</v>
      </c>
      <c r="J77" s="732">
        <f t="shared" si="29"/>
        <v>56359.799999999988</v>
      </c>
      <c r="K77" s="732">
        <f t="shared" si="29"/>
        <v>54339.920000000013</v>
      </c>
      <c r="L77" s="732">
        <f t="shared" si="29"/>
        <v>52387.76999999999</v>
      </c>
      <c r="M77" s="732">
        <f t="shared" si="29"/>
        <v>51724.650000000009</v>
      </c>
      <c r="N77" s="732">
        <f t="shared" si="29"/>
        <v>5341.4000000000015</v>
      </c>
      <c r="O77" s="1090"/>
      <c r="P77" s="1090">
        <f>SUM(P70:P76)</f>
        <v>10385.679999999998</v>
      </c>
      <c r="Q77" s="1070">
        <f>SUM(Q70:Q76)</f>
        <v>13435.66</v>
      </c>
      <c r="S77" s="1050"/>
      <c r="T77" s="1064"/>
      <c r="U77" s="731"/>
      <c r="V77" s="1073"/>
    </row>
    <row r="78" spans="1:22">
      <c r="A78" s="1043"/>
      <c r="B78" s="976"/>
      <c r="C78" s="1082" t="s">
        <v>600</v>
      </c>
      <c r="D78" s="1439"/>
      <c r="E78" s="1068">
        <v>-14788.62</v>
      </c>
      <c r="F78" s="1068">
        <v>-11921.7</v>
      </c>
      <c r="G78" s="1068">
        <v>-19240.830000000002</v>
      </c>
      <c r="H78" s="1068">
        <v>-16197.86</v>
      </c>
      <c r="I78" s="1068">
        <v>-12362.7</v>
      </c>
      <c r="J78" s="1068">
        <v>-8821.5400000000009</v>
      </c>
      <c r="K78" s="1068">
        <v>-7642.95</v>
      </c>
      <c r="L78" s="1068">
        <v>-7723.03</v>
      </c>
      <c r="M78" s="1068">
        <v>-7279.3</v>
      </c>
      <c r="N78" s="1068">
        <v>-3512.24</v>
      </c>
      <c r="O78" s="1068"/>
      <c r="P78" s="1068">
        <v>-3236.1</v>
      </c>
      <c r="Q78" s="1069">
        <v>-3595.54</v>
      </c>
      <c r="R78" s="1067"/>
      <c r="T78" s="1064"/>
      <c r="U78" s="731"/>
      <c r="V78" s="1073"/>
    </row>
    <row r="79" spans="1:22">
      <c r="A79" s="1043"/>
      <c r="B79" s="976"/>
      <c r="C79" s="1082" t="s">
        <v>601</v>
      </c>
      <c r="D79" s="1439"/>
      <c r="E79" s="732">
        <f t="shared" ref="E79:N79" si="30">SUM(E77:E78)</f>
        <v>80472.55</v>
      </c>
      <c r="F79" s="732">
        <f t="shared" si="30"/>
        <v>78749.099999999991</v>
      </c>
      <c r="G79" s="732">
        <f t="shared" si="30"/>
        <v>88216.38</v>
      </c>
      <c r="H79" s="732">
        <f t="shared" si="30"/>
        <v>73864.3</v>
      </c>
      <c r="I79" s="732">
        <f t="shared" si="30"/>
        <v>58496.53</v>
      </c>
      <c r="J79" s="732">
        <f t="shared" si="30"/>
        <v>47538.259999999987</v>
      </c>
      <c r="K79" s="732">
        <f t="shared" si="30"/>
        <v>46696.970000000016</v>
      </c>
      <c r="L79" s="732">
        <f t="shared" si="30"/>
        <v>44664.739999999991</v>
      </c>
      <c r="M79" s="732">
        <f t="shared" si="30"/>
        <v>44445.350000000006</v>
      </c>
      <c r="N79" s="732">
        <f t="shared" si="30"/>
        <v>1829.1600000000017</v>
      </c>
      <c r="O79" s="732">
        <v>-231584.88</v>
      </c>
      <c r="P79" s="732">
        <f>SUM(P77:P78)</f>
        <v>7149.5799999999981</v>
      </c>
      <c r="Q79" s="1070">
        <f>SUM(Q77:Q78)</f>
        <v>9840.119999999999</v>
      </c>
      <c r="R79" s="1071">
        <f>SUM(E79:Q79)-O79</f>
        <v>581963.04</v>
      </c>
      <c r="T79" s="1064"/>
      <c r="U79" s="731"/>
      <c r="V79" s="1073"/>
    </row>
    <row r="80" spans="1:22">
      <c r="A80" s="1043"/>
      <c r="B80" s="976"/>
      <c r="C80" s="1082" t="s">
        <v>602</v>
      </c>
      <c r="D80" s="1439"/>
      <c r="E80" s="732">
        <v>975.58</v>
      </c>
      <c r="F80" s="732">
        <f t="shared" ref="F80:N80" si="31">ROUND(ROUND(E82*F$6,2)/365*F$7,2)</f>
        <v>1233.6099999999999</v>
      </c>
      <c r="G80" s="732">
        <f t="shared" si="31"/>
        <v>1655.62</v>
      </c>
      <c r="H80" s="732">
        <f t="shared" si="31"/>
        <v>1885.25</v>
      </c>
      <c r="I80" s="732">
        <f t="shared" si="31"/>
        <v>2253.6799999999998</v>
      </c>
      <c r="J80" s="732">
        <f t="shared" si="31"/>
        <v>2418.16</v>
      </c>
      <c r="K80" s="732">
        <f t="shared" si="31"/>
        <v>1949.9</v>
      </c>
      <c r="L80" s="732">
        <f t="shared" si="31"/>
        <v>2091.62</v>
      </c>
      <c r="M80" s="732">
        <f t="shared" si="31"/>
        <v>2155.96</v>
      </c>
      <c r="N80" s="732">
        <f t="shared" si="31"/>
        <v>2239.54</v>
      </c>
      <c r="O80" s="732">
        <v>-8380.76</v>
      </c>
      <c r="P80" s="732">
        <f>ROUND(ROUND(O82*P$6,2)/365*P$7,2)</f>
        <v>1537.16</v>
      </c>
      <c r="Q80" s="1070">
        <f>ROUND(ROUND(P82*Q$6,2)/365*Q$7,2)</f>
        <v>1612.38</v>
      </c>
      <c r="R80" s="1072">
        <f>SUM(E80:Q80)</f>
        <v>13627.699999999997</v>
      </c>
      <c r="T80" s="1064"/>
      <c r="U80" s="731"/>
      <c r="V80" s="1073"/>
    </row>
    <row r="81" spans="1:36">
      <c r="A81" s="1043"/>
      <c r="B81" s="976"/>
      <c r="C81" s="1082" t="s">
        <v>603</v>
      </c>
      <c r="D81" s="1439"/>
      <c r="E81" s="1068">
        <f t="shared" ref="E81:R81" si="32">SUM(E79:E80)</f>
        <v>81448.13</v>
      </c>
      <c r="F81" s="1068">
        <f t="shared" si="32"/>
        <v>79982.709999999992</v>
      </c>
      <c r="G81" s="1068">
        <f t="shared" si="32"/>
        <v>89872</v>
      </c>
      <c r="H81" s="1068">
        <f t="shared" si="32"/>
        <v>75749.55</v>
      </c>
      <c r="I81" s="1068">
        <f t="shared" si="32"/>
        <v>60750.21</v>
      </c>
      <c r="J81" s="1068">
        <f t="shared" si="32"/>
        <v>49956.419999999984</v>
      </c>
      <c r="K81" s="1068">
        <f t="shared" si="32"/>
        <v>48646.870000000017</v>
      </c>
      <c r="L81" s="1068">
        <f t="shared" si="32"/>
        <v>46756.359999999993</v>
      </c>
      <c r="M81" s="1068">
        <f t="shared" si="32"/>
        <v>46601.310000000005</v>
      </c>
      <c r="N81" s="1068">
        <f t="shared" si="32"/>
        <v>4068.7000000000016</v>
      </c>
      <c r="O81" s="1068">
        <f t="shared" si="32"/>
        <v>-239965.64</v>
      </c>
      <c r="P81" s="1068">
        <f t="shared" si="32"/>
        <v>8686.739999999998</v>
      </c>
      <c r="Q81" s="1069">
        <f t="shared" si="32"/>
        <v>11452.5</v>
      </c>
      <c r="R81" s="1074">
        <f t="shared" si="32"/>
        <v>595590.74</v>
      </c>
      <c r="T81" s="1064"/>
      <c r="U81" s="731"/>
      <c r="V81" s="1073"/>
    </row>
    <row r="82" spans="1:36">
      <c r="A82" s="1043"/>
      <c r="B82" s="976"/>
      <c r="C82" s="1082" t="s">
        <v>604</v>
      </c>
      <c r="D82" s="1439"/>
      <c r="E82" s="732">
        <v>313033.01</v>
      </c>
      <c r="F82" s="732">
        <f t="shared" ref="F82:Q82" si="33">E82+F81</f>
        <v>393015.72</v>
      </c>
      <c r="G82" s="732">
        <f t="shared" si="33"/>
        <v>482887.72</v>
      </c>
      <c r="H82" s="732">
        <f t="shared" si="33"/>
        <v>558637.27</v>
      </c>
      <c r="I82" s="732">
        <f t="shared" si="33"/>
        <v>619387.48</v>
      </c>
      <c r="J82" s="732">
        <f t="shared" si="33"/>
        <v>669343.89999999991</v>
      </c>
      <c r="K82" s="732">
        <f t="shared" si="33"/>
        <v>717990.7699999999</v>
      </c>
      <c r="L82" s="732">
        <f t="shared" si="33"/>
        <v>764747.12999999989</v>
      </c>
      <c r="M82" s="732">
        <f t="shared" si="33"/>
        <v>811348.44</v>
      </c>
      <c r="N82" s="732">
        <f t="shared" si="33"/>
        <v>815417.1399999999</v>
      </c>
      <c r="O82" s="732">
        <f t="shared" si="33"/>
        <v>575451.49999999988</v>
      </c>
      <c r="P82" s="732">
        <f t="shared" si="33"/>
        <v>584138.23999999987</v>
      </c>
      <c r="Q82" s="1075">
        <f t="shared" si="33"/>
        <v>595590.73999999987</v>
      </c>
      <c r="R82" s="1067"/>
      <c r="T82" s="1064"/>
      <c r="U82" s="731"/>
      <c r="V82" s="1073">
        <f>ROUND(U86/Z86,0)</f>
        <v>979891</v>
      </c>
    </row>
    <row r="83" spans="1:36">
      <c r="A83" s="1043"/>
      <c r="B83" s="976"/>
      <c r="C83" s="1082"/>
      <c r="D83" s="1439"/>
      <c r="E83" s="732"/>
      <c r="F83" s="732"/>
      <c r="G83" s="732"/>
      <c r="H83" s="732"/>
      <c r="I83" s="732"/>
      <c r="J83" s="732"/>
      <c r="K83" s="732"/>
      <c r="L83" s="732"/>
      <c r="M83" s="732"/>
      <c r="N83" s="732"/>
      <c r="O83" s="1059"/>
      <c r="P83" s="732"/>
      <c r="Q83" s="1070"/>
      <c r="R83" s="1067"/>
      <c r="T83" s="1064"/>
      <c r="U83" s="731"/>
      <c r="V83" s="1073">
        <f>ROUND(U87/Z87,0)</f>
        <v>384282</v>
      </c>
    </row>
    <row r="84" spans="1:36">
      <c r="A84" s="1043"/>
      <c r="B84" s="962" t="s">
        <v>614</v>
      </c>
      <c r="C84" s="1135" t="s">
        <v>627</v>
      </c>
      <c r="D84" s="1440"/>
      <c r="E84" s="1059"/>
      <c r="F84" s="1059"/>
      <c r="G84" s="732"/>
      <c r="H84" s="1059"/>
      <c r="I84" s="1059"/>
      <c r="J84" s="1059"/>
      <c r="K84" s="1059"/>
      <c r="L84" s="1059"/>
      <c r="M84" s="1059"/>
      <c r="N84" s="1059"/>
      <c r="O84" s="1059"/>
      <c r="P84" s="1059"/>
      <c r="Q84" s="1060"/>
      <c r="R84" s="1067"/>
      <c r="U84" s="731"/>
      <c r="V84" s="1073">
        <f>ROUND(U88/Z88,0)</f>
        <v>250551</v>
      </c>
      <c r="W84" s="1073">
        <f>SUM(V63:V84)</f>
        <v>1614724</v>
      </c>
    </row>
    <row r="85" spans="1:36">
      <c r="A85" s="1043"/>
      <c r="B85" s="976" t="s">
        <v>591</v>
      </c>
      <c r="C85" s="1043" t="s">
        <v>592</v>
      </c>
      <c r="D85" s="1441"/>
      <c r="E85" s="1059">
        <v>76</v>
      </c>
      <c r="F85" s="1059">
        <v>75</v>
      </c>
      <c r="G85" s="1059">
        <v>75</v>
      </c>
      <c r="H85" s="1059">
        <v>75</v>
      </c>
      <c r="I85" s="1059">
        <v>75</v>
      </c>
      <c r="J85" s="1059">
        <v>75</v>
      </c>
      <c r="K85" s="1059">
        <v>75</v>
      </c>
      <c r="L85" s="1059">
        <v>75</v>
      </c>
      <c r="M85" s="1059">
        <v>75</v>
      </c>
      <c r="N85" s="1059">
        <v>73</v>
      </c>
      <c r="O85" s="1059"/>
      <c r="P85" s="1059">
        <v>73</v>
      </c>
      <c r="Q85" s="1059">
        <v>73</v>
      </c>
      <c r="R85" s="1061"/>
      <c r="T85" s="1064">
        <v>4810</v>
      </c>
      <c r="U85" s="1213">
        <v>511</v>
      </c>
      <c r="V85" s="961">
        <v>1405863</v>
      </c>
      <c r="W85" s="962" t="s">
        <v>401</v>
      </c>
      <c r="X85" s="961"/>
      <c r="Z85" s="1213" t="s">
        <v>590</v>
      </c>
    </row>
    <row r="86" spans="1:36">
      <c r="A86" s="1043"/>
      <c r="B86" s="976" t="s">
        <v>593</v>
      </c>
      <c r="C86" s="1081" t="s">
        <v>611</v>
      </c>
      <c r="D86" s="1442"/>
      <c r="E86" s="732">
        <v>141553.95000000001</v>
      </c>
      <c r="F86" s="732">
        <v>124528.55</v>
      </c>
      <c r="G86" s="732">
        <v>133603.89000000001</v>
      </c>
      <c r="H86" s="732">
        <v>115184.13</v>
      </c>
      <c r="I86" s="732">
        <v>63743.48</v>
      </c>
      <c r="J86" s="732">
        <v>54814.76</v>
      </c>
      <c r="K86" s="732">
        <v>59524.27</v>
      </c>
      <c r="L86" s="732">
        <v>37275.69</v>
      </c>
      <c r="M86" s="732">
        <v>38459.160000000003</v>
      </c>
      <c r="N86" s="732">
        <v>52723.8</v>
      </c>
      <c r="O86" s="732"/>
      <c r="P86" s="732">
        <v>90356.07</v>
      </c>
      <c r="Q86" s="1070">
        <v>140418.32</v>
      </c>
      <c r="R86" s="1071"/>
      <c r="T86" s="1064" t="s">
        <v>590</v>
      </c>
      <c r="U86" s="731">
        <v>140418.32</v>
      </c>
      <c r="V86" s="1065">
        <f>U86/V82</f>
        <v>0.1432999384625433</v>
      </c>
      <c r="X86" s="1065">
        <f>U86/V82</f>
        <v>0.1432999384625433</v>
      </c>
      <c r="Z86" s="1076">
        <v>0.14330000000000001</v>
      </c>
      <c r="AB86" s="1065">
        <f>Z86-X86</f>
        <v>6.1537456713667282E-8</v>
      </c>
    </row>
    <row r="87" spans="1:36">
      <c r="A87" s="1043"/>
      <c r="B87" s="976" t="s">
        <v>593</v>
      </c>
      <c r="C87" s="1081" t="s">
        <v>612</v>
      </c>
      <c r="D87" s="1442"/>
      <c r="E87" s="732">
        <v>44374.91</v>
      </c>
      <c r="F87" s="732">
        <v>31429.95</v>
      </c>
      <c r="G87" s="732">
        <v>39312.01</v>
      </c>
      <c r="H87" s="732">
        <v>26958.38</v>
      </c>
      <c r="I87" s="732">
        <v>15120.59</v>
      </c>
      <c r="J87" s="732">
        <v>18254.55</v>
      </c>
      <c r="K87" s="732">
        <v>21851.68</v>
      </c>
      <c r="L87" s="732">
        <v>12044.62</v>
      </c>
      <c r="M87" s="732">
        <v>10147.27</v>
      </c>
      <c r="N87" s="732">
        <v>18119.86</v>
      </c>
      <c r="O87" s="732"/>
      <c r="P87" s="732">
        <v>28883.7</v>
      </c>
      <c r="Q87" s="1070">
        <v>42209.48</v>
      </c>
      <c r="R87" s="1071"/>
      <c r="T87" s="1064" t="s">
        <v>590</v>
      </c>
      <c r="U87" s="731">
        <v>42209.48</v>
      </c>
      <c r="V87" s="1065">
        <f>U87/V83</f>
        <v>0.10983985718821075</v>
      </c>
      <c r="X87" s="1065">
        <f>U87/V83</f>
        <v>0.10983985718821075</v>
      </c>
      <c r="Z87" s="962">
        <v>0.10983999999999999</v>
      </c>
      <c r="AB87" s="1065">
        <f>Z87-X87</f>
        <v>1.4281178924158144E-7</v>
      </c>
    </row>
    <row r="88" spans="1:36">
      <c r="A88" s="1043"/>
      <c r="B88" s="976" t="s">
        <v>593</v>
      </c>
      <c r="C88" s="1081" t="s">
        <v>613</v>
      </c>
      <c r="D88" s="1442"/>
      <c r="E88" s="732">
        <v>3645.15</v>
      </c>
      <c r="F88" s="732">
        <v>1965.27</v>
      </c>
      <c r="G88" s="732">
        <v>2992.4</v>
      </c>
      <c r="H88" s="732">
        <v>2839.34</v>
      </c>
      <c r="I88" s="732">
        <v>835.1</v>
      </c>
      <c r="J88" s="732">
        <v>678.42</v>
      </c>
      <c r="K88" s="732"/>
      <c r="L88" s="732"/>
      <c r="M88" s="732"/>
      <c r="N88" s="732"/>
      <c r="O88" s="732"/>
      <c r="P88" s="732">
        <v>1616.72</v>
      </c>
      <c r="Q88" s="1070">
        <v>6787.44</v>
      </c>
      <c r="R88" s="1071"/>
      <c r="T88" s="1064" t="s">
        <v>590</v>
      </c>
      <c r="U88" s="731">
        <v>6787.44</v>
      </c>
      <c r="V88" s="1065">
        <f>U88/V84</f>
        <v>2.7090053522037427E-2</v>
      </c>
      <c r="X88" s="1065">
        <f>U88/V84</f>
        <v>2.7090053522037427E-2</v>
      </c>
      <c r="Z88" s="962">
        <v>2.7089999999999999E-2</v>
      </c>
      <c r="AB88" s="1065">
        <f>Z88-X88</f>
        <v>-5.3522037427033986E-8</v>
      </c>
    </row>
    <row r="89" spans="1:36">
      <c r="A89" s="1043"/>
      <c r="B89" s="1079" t="s">
        <v>595</v>
      </c>
      <c r="C89" s="1080" t="s">
        <v>596</v>
      </c>
      <c r="D89" s="1444"/>
      <c r="E89" s="1078">
        <f>ROUND(ROUND(9522833*0.0954,0)*0.10984,2)</f>
        <v>99787.22</v>
      </c>
      <c r="F89" s="1068">
        <f>ROUND(ROUND(9324558*0.093,0)*0.10984,2)</f>
        <v>95251.49</v>
      </c>
      <c r="G89" s="1068">
        <f>ROUND(ROUND(7368968*0.1014,0)*0.12471,2)</f>
        <v>93184.93</v>
      </c>
      <c r="H89" s="1068">
        <f>ROUND(ROUND(2944986*0.106,0)*0.12471,2)</f>
        <v>38930.6</v>
      </c>
      <c r="I89" s="1068">
        <f>ROUND(ROUND(1984707*0.1159,0)*0.12471,2)</f>
        <v>28686.79</v>
      </c>
      <c r="J89" s="1068">
        <f>ROUND(ROUND(1103980*0.1381,0)*0.12471,2)</f>
        <v>19013.29</v>
      </c>
      <c r="K89" s="1068">
        <f>ROUND(ROUND(801207*0.162,0)*0.12471,2)</f>
        <v>16186.86</v>
      </c>
      <c r="L89" s="1068">
        <f>ROUND(ROUND(1497403*0.1315,0)*0.12471,2)</f>
        <v>24556.400000000001</v>
      </c>
      <c r="M89" s="1068">
        <f>ROUND(ROUND(2130040*0.1155,0)*0.12471,2)</f>
        <v>30681.15</v>
      </c>
      <c r="N89" s="1068">
        <f>ROUND(ROUND(5961158*0.1292,0)*0.12471,2)</f>
        <v>96049.4</v>
      </c>
      <c r="O89" s="732"/>
      <c r="P89" s="1068">
        <f>ROUND(ROUND(8615743*0.1145,0)*0.12471,2)</f>
        <v>123026.79</v>
      </c>
      <c r="Q89" s="1068">
        <f>ROUND(ROUND(9569772*0.1049,0)*0.12471,2)</f>
        <v>125192.5</v>
      </c>
      <c r="R89" s="1071"/>
      <c r="T89" s="1064" t="s">
        <v>129</v>
      </c>
      <c r="U89" s="731">
        <v>589294.09</v>
      </c>
      <c r="V89" s="1065">
        <f>U89/V85</f>
        <v>0.41916893040075737</v>
      </c>
      <c r="X89" s="1065">
        <f>U89/V85</f>
        <v>0.41916893040075737</v>
      </c>
      <c r="Z89" s="1076">
        <f>+Z37</f>
        <v>0.41911999999999999</v>
      </c>
      <c r="AB89" s="1065">
        <f>Z89-X89</f>
        <v>-4.8930400757374315E-5</v>
      </c>
      <c r="AE89" s="1073">
        <f>Q89</f>
        <v>125192.5</v>
      </c>
      <c r="AH89" s="1073">
        <f>AE89</f>
        <v>125192.5</v>
      </c>
    </row>
    <row r="90" spans="1:36">
      <c r="A90" s="1043"/>
      <c r="B90" s="976" t="s">
        <v>595</v>
      </c>
      <c r="C90" s="1093" t="s">
        <v>597</v>
      </c>
      <c r="D90" s="1447">
        <v>-121207.67</v>
      </c>
      <c r="E90" s="1068">
        <v>-121207.67</v>
      </c>
      <c r="F90" s="1068">
        <f t="shared" ref="F90:N90" si="34">-E89</f>
        <v>-99787.22</v>
      </c>
      <c r="G90" s="1068">
        <f t="shared" si="34"/>
        <v>-95251.49</v>
      </c>
      <c r="H90" s="1068">
        <f t="shared" si="34"/>
        <v>-93184.93</v>
      </c>
      <c r="I90" s="1068">
        <f t="shared" si="34"/>
        <v>-38930.6</v>
      </c>
      <c r="J90" s="1068">
        <f t="shared" si="34"/>
        <v>-28686.79</v>
      </c>
      <c r="K90" s="1068">
        <f t="shared" si="34"/>
        <v>-19013.29</v>
      </c>
      <c r="L90" s="1068">
        <f t="shared" si="34"/>
        <v>-16186.86</v>
      </c>
      <c r="M90" s="1068">
        <f t="shared" si="34"/>
        <v>-24556.400000000001</v>
      </c>
      <c r="N90" s="1068">
        <f t="shared" si="34"/>
        <v>-30681.15</v>
      </c>
      <c r="O90" s="1068"/>
      <c r="P90" s="1068">
        <f>-N89</f>
        <v>-96049.4</v>
      </c>
      <c r="Q90" s="1069">
        <f>-P89</f>
        <v>-123026.79</v>
      </c>
      <c r="R90" s="1071"/>
      <c r="T90" s="1064"/>
      <c r="U90" s="731"/>
      <c r="V90" s="1065"/>
      <c r="X90" s="1065"/>
      <c r="AB90" s="1065"/>
      <c r="AE90" s="1073">
        <f>E90</f>
        <v>-121207.67</v>
      </c>
      <c r="AF90" s="1073">
        <f>SUM(AE89:AE90)</f>
        <v>3984.8300000000017</v>
      </c>
      <c r="AI90" s="1073">
        <f>AE90</f>
        <v>-121207.67</v>
      </c>
    </row>
    <row r="91" spans="1:36">
      <c r="A91" s="1043"/>
      <c r="B91" s="976"/>
      <c r="C91" s="1082" t="s">
        <v>599</v>
      </c>
      <c r="D91" s="1439"/>
      <c r="E91" s="732">
        <f t="shared" ref="E91:N91" si="35">SUM(E86:E90)</f>
        <v>168153.56</v>
      </c>
      <c r="F91" s="732">
        <f t="shared" si="35"/>
        <v>153388.04</v>
      </c>
      <c r="G91" s="732">
        <f t="shared" si="35"/>
        <v>173841.74</v>
      </c>
      <c r="H91" s="732">
        <f t="shared" si="35"/>
        <v>90727.520000000019</v>
      </c>
      <c r="I91" s="732">
        <f t="shared" si="35"/>
        <v>69455.360000000015</v>
      </c>
      <c r="J91" s="732">
        <f t="shared" si="35"/>
        <v>64074.229999999989</v>
      </c>
      <c r="K91" s="732">
        <f t="shared" si="35"/>
        <v>78549.51999999999</v>
      </c>
      <c r="L91" s="732">
        <f t="shared" si="35"/>
        <v>57689.850000000006</v>
      </c>
      <c r="M91" s="732">
        <f t="shared" si="35"/>
        <v>54731.180000000015</v>
      </c>
      <c r="N91" s="732">
        <f t="shared" si="35"/>
        <v>136211.91</v>
      </c>
      <c r="O91" s="732"/>
      <c r="P91" s="732">
        <f>SUM(P86:P90)</f>
        <v>147833.88</v>
      </c>
      <c r="Q91" s="1075">
        <f>SUM(Q86:Q90)</f>
        <v>191580.95</v>
      </c>
      <c r="R91" s="1067"/>
    </row>
    <row r="92" spans="1:36">
      <c r="A92" s="1043"/>
      <c r="B92" s="976"/>
      <c r="C92" s="1082" t="s">
        <v>600</v>
      </c>
      <c r="D92" s="1439"/>
      <c r="E92" s="1068">
        <v>-160562.16</v>
      </c>
      <c r="F92" s="1068">
        <v>-127732.5</v>
      </c>
      <c r="G92" s="1068">
        <v>-206151.75</v>
      </c>
      <c r="H92" s="1068">
        <v>-173548.5</v>
      </c>
      <c r="I92" s="1068">
        <v>-132457.5</v>
      </c>
      <c r="J92" s="1068">
        <v>-94516.5</v>
      </c>
      <c r="K92" s="1068">
        <v>-81888.75</v>
      </c>
      <c r="L92" s="1068">
        <v>-82746.75</v>
      </c>
      <c r="M92" s="1068">
        <v>-77992.5</v>
      </c>
      <c r="N92" s="1068">
        <v>-128196.76</v>
      </c>
      <c r="O92" s="1068"/>
      <c r="P92" s="1068">
        <v>-118117.65</v>
      </c>
      <c r="Q92" s="1069">
        <v>-131237.21</v>
      </c>
      <c r="R92" s="1067"/>
    </row>
    <row r="93" spans="1:36">
      <c r="A93" s="1043"/>
      <c r="B93" s="976"/>
      <c r="C93" s="1082" t="s">
        <v>601</v>
      </c>
      <c r="D93" s="1439"/>
      <c r="E93" s="732">
        <f t="shared" ref="E93:N93" si="36">SUM(E91:E92)</f>
        <v>7591.3999999999942</v>
      </c>
      <c r="F93" s="732">
        <f t="shared" si="36"/>
        <v>25655.540000000008</v>
      </c>
      <c r="G93" s="732">
        <f t="shared" si="36"/>
        <v>-32310.010000000009</v>
      </c>
      <c r="H93" s="732">
        <f t="shared" si="36"/>
        <v>-82820.979999999981</v>
      </c>
      <c r="I93" s="732">
        <f t="shared" si="36"/>
        <v>-63002.139999999985</v>
      </c>
      <c r="J93" s="732">
        <f t="shared" si="36"/>
        <v>-30442.270000000011</v>
      </c>
      <c r="K93" s="732">
        <f t="shared" si="36"/>
        <v>-3339.2300000000105</v>
      </c>
      <c r="L93" s="732">
        <f t="shared" si="36"/>
        <v>-25056.899999999994</v>
      </c>
      <c r="M93" s="732">
        <f t="shared" si="36"/>
        <v>-23261.319999999985</v>
      </c>
      <c r="N93" s="732">
        <f t="shared" si="36"/>
        <v>8015.1500000000087</v>
      </c>
      <c r="O93" s="732">
        <v>-284826.75000000006</v>
      </c>
      <c r="P93" s="732">
        <f>SUM(P91:P92)</f>
        <v>29716.23000000001</v>
      </c>
      <c r="Q93" s="1070">
        <f>SUM(Q91:Q92)</f>
        <v>60343.74000000002</v>
      </c>
      <c r="R93" s="1071">
        <f>SUM(E93:Q93)-O93</f>
        <v>-128910.78999999998</v>
      </c>
      <c r="AE93" s="1094"/>
      <c r="AF93" s="1095"/>
    </row>
    <row r="94" spans="1:36" ht="30">
      <c r="A94" s="1043"/>
      <c r="B94" s="976"/>
      <c r="C94" s="1082" t="s">
        <v>602</v>
      </c>
      <c r="D94" s="1439"/>
      <c r="E94" s="732">
        <v>1199.8599999999999</v>
      </c>
      <c r="F94" s="732">
        <f t="shared" ref="F94:N94" si="37">ROUND(ROUND(E96*F$6,2)/365*F$7,2)</f>
        <v>1157.0999999999999</v>
      </c>
      <c r="G94" s="732">
        <f t="shared" si="37"/>
        <v>1349.85</v>
      </c>
      <c r="H94" s="732">
        <f t="shared" si="37"/>
        <v>1130.1199999999999</v>
      </c>
      <c r="I94" s="732">
        <f t="shared" si="37"/>
        <v>838.23</v>
      </c>
      <c r="J94" s="732">
        <f t="shared" si="37"/>
        <v>568.5</v>
      </c>
      <c r="K94" s="732">
        <f t="shared" si="37"/>
        <v>337.17</v>
      </c>
      <c r="L94" s="732">
        <f t="shared" si="37"/>
        <v>328.43</v>
      </c>
      <c r="M94" s="732">
        <f t="shared" si="37"/>
        <v>248.12</v>
      </c>
      <c r="N94" s="732">
        <f t="shared" si="37"/>
        <v>179.41</v>
      </c>
      <c r="O94" s="732">
        <v>-10307.5</v>
      </c>
      <c r="P94" s="732">
        <f>ROUND(ROUND(O96*P$6,2)/365*P$7,2)</f>
        <v>-592.86</v>
      </c>
      <c r="Q94" s="1070">
        <f>ROUND(ROUND(P96*Q$6,2)/365*Q$7,2)</f>
        <v>-532.23</v>
      </c>
      <c r="R94" s="1072">
        <f>SUM(E94:Q94)</f>
        <v>-4095.8</v>
      </c>
      <c r="AE94" s="1096">
        <f>IF(AE103="Yes", AE98, SUM(AE16:AE90))</f>
        <v>776555.85000000044</v>
      </c>
      <c r="AF94" s="1097" t="s">
        <v>628</v>
      </c>
      <c r="AH94" s="1100">
        <f>SUM(AH16:AH91)</f>
        <v>6485627.3300000001</v>
      </c>
      <c r="AI94" s="1100">
        <f>SUM(AI16:AI91)</f>
        <v>-5709071.4800000004</v>
      </c>
      <c r="AJ94" s="1100">
        <f>SUM(AH94:AI94)</f>
        <v>776555.84999999963</v>
      </c>
    </row>
    <row r="95" spans="1:36">
      <c r="A95" s="1043"/>
      <c r="B95" s="976"/>
      <c r="C95" s="1082" t="s">
        <v>603</v>
      </c>
      <c r="D95" s="1439"/>
      <c r="E95" s="1068">
        <f t="shared" ref="E95:R95" si="38">SUM(E93:E94)</f>
        <v>8791.2599999999948</v>
      </c>
      <c r="F95" s="1068">
        <f t="shared" si="38"/>
        <v>26812.640000000007</v>
      </c>
      <c r="G95" s="1068">
        <f t="shared" si="38"/>
        <v>-30960.160000000011</v>
      </c>
      <c r="H95" s="1068">
        <f t="shared" si="38"/>
        <v>-81690.859999999986</v>
      </c>
      <c r="I95" s="1068">
        <f t="shared" si="38"/>
        <v>-62163.909999999982</v>
      </c>
      <c r="J95" s="1068">
        <f t="shared" si="38"/>
        <v>-29873.770000000011</v>
      </c>
      <c r="K95" s="1068">
        <f t="shared" si="38"/>
        <v>-3002.0600000000104</v>
      </c>
      <c r="L95" s="1068">
        <f t="shared" si="38"/>
        <v>-24728.469999999994</v>
      </c>
      <c r="M95" s="1068">
        <f t="shared" si="38"/>
        <v>-23013.199999999986</v>
      </c>
      <c r="N95" s="1068">
        <f t="shared" si="38"/>
        <v>8194.5600000000086</v>
      </c>
      <c r="O95" s="1068">
        <f t="shared" si="38"/>
        <v>-295134.25000000006</v>
      </c>
      <c r="P95" s="1068">
        <f t="shared" si="38"/>
        <v>29123.37000000001</v>
      </c>
      <c r="Q95" s="1069">
        <f t="shared" si="38"/>
        <v>59811.510000000017</v>
      </c>
      <c r="R95" s="1074">
        <f t="shared" si="38"/>
        <v>-133006.58999999997</v>
      </c>
      <c r="AE95" s="1098"/>
      <c r="AF95" s="1099"/>
    </row>
    <row r="96" spans="1:36">
      <c r="A96" s="1043"/>
      <c r="B96" s="976"/>
      <c r="C96" s="1082" t="s">
        <v>604</v>
      </c>
      <c r="D96" s="1439"/>
      <c r="E96" s="732">
        <v>293618.01000000013</v>
      </c>
      <c r="F96" s="732">
        <f t="shared" ref="F96:Q96" si="39">E96+F95</f>
        <v>320430.65000000014</v>
      </c>
      <c r="G96" s="732">
        <f t="shared" si="39"/>
        <v>289470.49000000011</v>
      </c>
      <c r="H96" s="732">
        <f t="shared" si="39"/>
        <v>207779.63000000012</v>
      </c>
      <c r="I96" s="732">
        <f t="shared" si="39"/>
        <v>145615.72000000015</v>
      </c>
      <c r="J96" s="732">
        <f t="shared" si="39"/>
        <v>115741.95000000013</v>
      </c>
      <c r="K96" s="732">
        <f t="shared" si="39"/>
        <v>112739.89000000012</v>
      </c>
      <c r="L96" s="732">
        <f t="shared" si="39"/>
        <v>88011.420000000129</v>
      </c>
      <c r="M96" s="732">
        <f t="shared" si="39"/>
        <v>64998.220000000147</v>
      </c>
      <c r="N96" s="732">
        <f t="shared" si="39"/>
        <v>73192.780000000159</v>
      </c>
      <c r="O96" s="732">
        <f t="shared" si="39"/>
        <v>-221941.46999999991</v>
      </c>
      <c r="P96" s="732">
        <f t="shared" si="39"/>
        <v>-192818.09999999992</v>
      </c>
      <c r="Q96" s="1075">
        <f t="shared" si="39"/>
        <v>-133006.58999999991</v>
      </c>
      <c r="R96" s="1067"/>
      <c r="AH96" s="962" t="s">
        <v>74</v>
      </c>
      <c r="AI96" s="962" t="s">
        <v>3270</v>
      </c>
      <c r="AJ96" s="962" t="s">
        <v>3271</v>
      </c>
    </row>
    <row r="97" spans="1:32">
      <c r="A97" s="1043"/>
      <c r="B97" s="976"/>
      <c r="C97" s="1043"/>
      <c r="D97" s="1441"/>
      <c r="E97" s="1059"/>
      <c r="F97" s="1059"/>
      <c r="G97" s="732"/>
      <c r="H97" s="1059"/>
      <c r="I97" s="1059"/>
      <c r="J97" s="1059"/>
      <c r="K97" s="1059"/>
      <c r="L97" s="1059"/>
      <c r="M97" s="1059"/>
      <c r="N97" s="1059"/>
      <c r="O97" s="1059"/>
      <c r="P97" s="1059"/>
      <c r="Q97" s="1060"/>
      <c r="R97" s="1067"/>
      <c r="U97" s="1100"/>
      <c r="V97" s="1100"/>
    </row>
    <row r="98" spans="1:32">
      <c r="A98" s="1043"/>
      <c r="B98" s="962" t="s">
        <v>629</v>
      </c>
      <c r="C98" s="1135" t="s">
        <v>630</v>
      </c>
      <c r="D98" s="1440"/>
      <c r="E98" s="1059"/>
      <c r="F98" s="1059"/>
      <c r="G98" s="732"/>
      <c r="H98" s="1059"/>
      <c r="I98" s="1059"/>
      <c r="J98" s="1059"/>
      <c r="K98" s="1059"/>
      <c r="L98" s="1059"/>
      <c r="M98" s="1059"/>
      <c r="N98" s="1059"/>
      <c r="O98" s="1059"/>
      <c r="P98" s="1059"/>
      <c r="Q98" s="1060"/>
      <c r="R98" s="1067"/>
      <c r="U98" s="1073">
        <f>ROUND(U102/Z102,0)</f>
        <v>0</v>
      </c>
      <c r="V98" s="1073"/>
      <c r="AE98" s="309">
        <f>AF90+AF59+AG17</f>
        <v>193581.54000000044</v>
      </c>
      <c r="AF98" s="5" t="s">
        <v>3278</v>
      </c>
    </row>
    <row r="99" spans="1:32">
      <c r="A99" s="1043"/>
      <c r="B99" s="976" t="s">
        <v>591</v>
      </c>
      <c r="C99" s="1043" t="s">
        <v>592</v>
      </c>
      <c r="D99" s="1441"/>
      <c r="E99" s="1059">
        <v>1</v>
      </c>
      <c r="F99" s="1059">
        <v>1</v>
      </c>
      <c r="G99" s="1059">
        <v>1</v>
      </c>
      <c r="H99" s="1059">
        <v>1</v>
      </c>
      <c r="I99" s="1059">
        <v>1</v>
      </c>
      <c r="J99" s="1059">
        <v>1</v>
      </c>
      <c r="K99" s="1059">
        <v>1</v>
      </c>
      <c r="L99" s="1059">
        <v>1</v>
      </c>
      <c r="M99" s="1059">
        <v>1</v>
      </c>
      <c r="N99" s="1059">
        <v>1</v>
      </c>
      <c r="O99" s="1059"/>
      <c r="P99" s="1059">
        <v>1</v>
      </c>
      <c r="Q99" s="1059">
        <v>1</v>
      </c>
      <c r="R99" s="1061"/>
      <c r="U99" s="1213"/>
      <c r="V99" s="1073">
        <f>ROUND(U103/Z103,0)</f>
        <v>0</v>
      </c>
      <c r="W99" s="1073">
        <f>SUM(V99:V99)</f>
        <v>0</v>
      </c>
      <c r="AE99" s="309">
        <f>SUM(AE16:AE90)</f>
        <v>776555.85000000044</v>
      </c>
      <c r="AF99" s="5" t="s">
        <v>3279</v>
      </c>
    </row>
    <row r="100" spans="1:32">
      <c r="A100" s="1043"/>
      <c r="B100" s="976" t="s">
        <v>593</v>
      </c>
      <c r="C100" s="1081" t="s">
        <v>607</v>
      </c>
      <c r="D100" s="1442"/>
      <c r="E100" s="732">
        <v>46.59</v>
      </c>
      <c r="F100" s="732">
        <v>15.17</v>
      </c>
      <c r="G100" s="732">
        <v>60.87</v>
      </c>
      <c r="H100" s="732">
        <v>36.72</v>
      </c>
      <c r="I100" s="732">
        <v>38.94</v>
      </c>
      <c r="J100" s="732"/>
      <c r="K100" s="732"/>
      <c r="L100" s="732"/>
      <c r="M100" s="732"/>
      <c r="N100" s="732"/>
      <c r="O100" s="732"/>
      <c r="P100" s="732"/>
      <c r="Q100" s="1070"/>
      <c r="R100" s="1071"/>
      <c r="T100" s="1064"/>
      <c r="U100" s="1213">
        <v>505</v>
      </c>
      <c r="V100" s="961">
        <v>0</v>
      </c>
      <c r="W100" s="962" t="s">
        <v>401</v>
      </c>
      <c r="X100" s="961"/>
      <c r="Z100" s="1213" t="s">
        <v>590</v>
      </c>
      <c r="AB100" s="1065"/>
      <c r="AE100" s="309">
        <f>AE99-AE98</f>
        <v>582974.31000000006</v>
      </c>
    </row>
    <row r="101" spans="1:32">
      <c r="A101" s="1043"/>
      <c r="B101" s="976" t="s">
        <v>593</v>
      </c>
      <c r="C101" s="1081" t="s">
        <v>608</v>
      </c>
      <c r="D101" s="1442"/>
      <c r="E101" s="732"/>
      <c r="F101" s="732">
        <v>0</v>
      </c>
      <c r="G101" s="732">
        <v>0</v>
      </c>
      <c r="H101" s="732"/>
      <c r="I101" s="732"/>
      <c r="J101" s="732"/>
      <c r="K101" s="732"/>
      <c r="L101" s="732"/>
      <c r="M101" s="732"/>
      <c r="N101" s="732"/>
      <c r="O101" s="732"/>
      <c r="P101" s="732"/>
      <c r="Q101" s="1070"/>
      <c r="R101" s="1071"/>
      <c r="T101" s="1064" t="s">
        <v>590</v>
      </c>
      <c r="U101" s="731">
        <v>0</v>
      </c>
      <c r="V101" s="1065" t="e">
        <f>U101/V100</f>
        <v>#DIV/0!</v>
      </c>
      <c r="X101" s="1065" t="e">
        <f>U101/V100</f>
        <v>#DIV/0!</v>
      </c>
      <c r="Z101" s="962">
        <v>0.16113</v>
      </c>
      <c r="AB101" s="1065" t="e">
        <f>Z101-X101</f>
        <v>#DIV/0!</v>
      </c>
    </row>
    <row r="102" spans="1:32">
      <c r="A102" s="1043"/>
      <c r="B102" s="976" t="s">
        <v>595</v>
      </c>
      <c r="C102" s="1081" t="s">
        <v>631</v>
      </c>
      <c r="D102" s="1442"/>
      <c r="E102" s="732">
        <v>15.17</v>
      </c>
      <c r="F102" s="732">
        <v>60.87</v>
      </c>
      <c r="G102" s="732">
        <v>36.72</v>
      </c>
      <c r="H102" s="732">
        <v>38.94</v>
      </c>
      <c r="I102" s="732">
        <v>0</v>
      </c>
      <c r="J102" s="732"/>
      <c r="K102" s="732"/>
      <c r="L102" s="732"/>
      <c r="M102" s="732"/>
      <c r="N102" s="732"/>
      <c r="O102" s="732"/>
      <c r="P102" s="732"/>
      <c r="Q102" s="1070"/>
      <c r="R102" s="1071"/>
      <c r="T102" s="1064" t="s">
        <v>590</v>
      </c>
      <c r="U102" s="731">
        <v>0</v>
      </c>
      <c r="V102" s="1065" t="e">
        <f>U102/U98</f>
        <v>#DIV/0!</v>
      </c>
      <c r="X102" s="1065" t="e">
        <f>U102/U98</f>
        <v>#DIV/0!</v>
      </c>
      <c r="Z102" s="962">
        <v>0.12471</v>
      </c>
      <c r="AB102" s="1065" t="e">
        <f>Z102-X102</f>
        <v>#DIV/0!</v>
      </c>
      <c r="AE102" s="962" t="s">
        <v>3280</v>
      </c>
    </row>
    <row r="103" spans="1:32">
      <c r="A103" s="1043"/>
      <c r="B103" s="1079" t="s">
        <v>595</v>
      </c>
      <c r="C103" s="1080" t="s">
        <v>632</v>
      </c>
      <c r="D103" s="1444"/>
      <c r="E103" s="1078"/>
      <c r="F103" s="1068">
        <v>0</v>
      </c>
      <c r="G103" s="732"/>
      <c r="H103" s="1068"/>
      <c r="I103" s="1068"/>
      <c r="J103" s="1068"/>
      <c r="K103" s="1068"/>
      <c r="L103" s="1068"/>
      <c r="M103" s="1068"/>
      <c r="N103" s="1068"/>
      <c r="O103" s="1068"/>
      <c r="P103" s="1068"/>
      <c r="Q103" s="1069"/>
      <c r="R103" s="1071"/>
      <c r="T103" s="1064" t="s">
        <v>590</v>
      </c>
      <c r="U103" s="731">
        <v>0</v>
      </c>
      <c r="V103" s="1065" t="e">
        <f>U103/V99</f>
        <v>#DIV/0!</v>
      </c>
      <c r="X103" s="1065" t="e">
        <f>U103/V99</f>
        <v>#DIV/0!</v>
      </c>
      <c r="Z103" s="962">
        <v>3.4639999999999997E-2</v>
      </c>
      <c r="AB103" s="1065" t="e">
        <f>Z103-X103</f>
        <v>#DIV/0!</v>
      </c>
      <c r="AE103" s="1449" t="s">
        <v>746</v>
      </c>
    </row>
    <row r="104" spans="1:32">
      <c r="A104" s="1043"/>
      <c r="B104" s="976" t="s">
        <v>595</v>
      </c>
      <c r="C104" s="1093" t="s">
        <v>633</v>
      </c>
      <c r="D104" s="1442"/>
      <c r="E104" s="732">
        <v>-46.59</v>
      </c>
      <c r="F104" s="732">
        <f t="shared" ref="F104:N105" si="40">-E102</f>
        <v>-15.17</v>
      </c>
      <c r="G104" s="1090">
        <f t="shared" si="40"/>
        <v>-60.87</v>
      </c>
      <c r="H104" s="732">
        <f t="shared" si="40"/>
        <v>-36.72</v>
      </c>
      <c r="I104" s="732">
        <f t="shared" si="40"/>
        <v>-38.94</v>
      </c>
      <c r="J104" s="732">
        <f t="shared" si="40"/>
        <v>0</v>
      </c>
      <c r="K104" s="732">
        <f t="shared" si="40"/>
        <v>0</v>
      </c>
      <c r="L104" s="732">
        <f t="shared" si="40"/>
        <v>0</v>
      </c>
      <c r="M104" s="732">
        <f t="shared" si="40"/>
        <v>0</v>
      </c>
      <c r="N104" s="732">
        <f t="shared" si="40"/>
        <v>0</v>
      </c>
      <c r="O104" s="732"/>
      <c r="P104" s="732">
        <f>-N102</f>
        <v>0</v>
      </c>
      <c r="Q104" s="1070">
        <f>-P102</f>
        <v>0</v>
      </c>
      <c r="R104" s="1071"/>
      <c r="T104" s="1064" t="s">
        <v>129</v>
      </c>
      <c r="U104" s="731">
        <v>0</v>
      </c>
      <c r="V104" s="1065" t="e">
        <f>U104/V100</f>
        <v>#DIV/0!</v>
      </c>
      <c r="X104" s="1065" t="e">
        <f>U104/V100</f>
        <v>#DIV/0!</v>
      </c>
      <c r="Z104" s="1076">
        <f>+Z25</f>
        <v>0.41911999999999999</v>
      </c>
      <c r="AB104" s="1065" t="e">
        <f>Z104-X104</f>
        <v>#DIV/0!</v>
      </c>
    </row>
    <row r="105" spans="1:32">
      <c r="A105" s="1043"/>
      <c r="B105" s="976" t="s">
        <v>595</v>
      </c>
      <c r="C105" s="1081" t="s">
        <v>634</v>
      </c>
      <c r="D105" s="1442"/>
      <c r="E105" s="1068">
        <v>0</v>
      </c>
      <c r="F105" s="1068">
        <f t="shared" si="40"/>
        <v>0</v>
      </c>
      <c r="G105" s="1068">
        <f t="shared" si="40"/>
        <v>0</v>
      </c>
      <c r="H105" s="1068">
        <f t="shared" si="40"/>
        <v>0</v>
      </c>
      <c r="I105" s="1068">
        <f t="shared" si="40"/>
        <v>0</v>
      </c>
      <c r="J105" s="1068">
        <f t="shared" si="40"/>
        <v>0</v>
      </c>
      <c r="K105" s="1068">
        <f t="shared" si="40"/>
        <v>0</v>
      </c>
      <c r="L105" s="1068">
        <f t="shared" si="40"/>
        <v>0</v>
      </c>
      <c r="M105" s="1068">
        <f t="shared" si="40"/>
        <v>0</v>
      </c>
      <c r="N105" s="1068">
        <f t="shared" si="40"/>
        <v>0</v>
      </c>
      <c r="O105" s="1068"/>
      <c r="P105" s="1068">
        <f>-N103</f>
        <v>0</v>
      </c>
      <c r="Q105" s="1069">
        <f>-P103</f>
        <v>0</v>
      </c>
      <c r="R105" s="1071"/>
    </row>
    <row r="106" spans="1:32">
      <c r="A106" s="1043"/>
      <c r="B106" s="976"/>
      <c r="C106" s="1082" t="s">
        <v>599</v>
      </c>
      <c r="D106" s="1439"/>
      <c r="E106" s="732">
        <f t="shared" ref="E106:N106" si="41">SUM(E100:E105)</f>
        <v>15.170000000000002</v>
      </c>
      <c r="F106" s="732">
        <f t="shared" si="41"/>
        <v>60.86999999999999</v>
      </c>
      <c r="G106" s="732">
        <f t="shared" si="41"/>
        <v>36.720000000000006</v>
      </c>
      <c r="H106" s="732">
        <f t="shared" si="41"/>
        <v>38.94</v>
      </c>
      <c r="I106" s="732">
        <f t="shared" si="41"/>
        <v>0</v>
      </c>
      <c r="J106" s="732">
        <f t="shared" si="41"/>
        <v>0</v>
      </c>
      <c r="K106" s="732">
        <f t="shared" si="41"/>
        <v>0</v>
      </c>
      <c r="L106" s="732">
        <f t="shared" si="41"/>
        <v>0</v>
      </c>
      <c r="M106" s="732">
        <f t="shared" si="41"/>
        <v>0</v>
      </c>
      <c r="N106" s="732">
        <f t="shared" si="41"/>
        <v>0</v>
      </c>
      <c r="O106" s="732"/>
      <c r="P106" s="732">
        <f>SUM(P100:P105)</f>
        <v>0</v>
      </c>
      <c r="Q106" s="1070">
        <f>SUM(Q100:Q105)</f>
        <v>0</v>
      </c>
      <c r="R106" s="1067"/>
    </row>
    <row r="107" spans="1:32">
      <c r="A107" s="1043"/>
      <c r="B107" s="976"/>
      <c r="C107" s="1082" t="s">
        <v>600</v>
      </c>
      <c r="D107" s="1439"/>
      <c r="E107" s="1068">
        <v>-498.23</v>
      </c>
      <c r="F107" s="1068">
        <v>-423.12</v>
      </c>
      <c r="G107" s="1068">
        <v>-500.28</v>
      </c>
      <c r="H107" s="1068">
        <v>-392.85</v>
      </c>
      <c r="I107" s="1068">
        <v>-285.11</v>
      </c>
      <c r="J107" s="1068">
        <v>-211.79</v>
      </c>
      <c r="K107" s="1068">
        <v>-187.39</v>
      </c>
      <c r="L107" s="1068">
        <v>-198.78</v>
      </c>
      <c r="M107" s="1068">
        <v>-227.75</v>
      </c>
      <c r="N107" s="1068">
        <v>-364.68</v>
      </c>
      <c r="O107" s="1068"/>
      <c r="P107" s="1068">
        <v>-347.5</v>
      </c>
      <c r="Q107" s="1069">
        <v>-516.03</v>
      </c>
      <c r="R107" s="1067"/>
    </row>
    <row r="108" spans="1:32">
      <c r="A108" s="1043"/>
      <c r="B108" s="976"/>
      <c r="C108" s="1082" t="s">
        <v>601</v>
      </c>
      <c r="D108" s="1439"/>
      <c r="E108" s="732">
        <f t="shared" ref="E108:N108" si="42">SUM(E106:E107)</f>
        <v>-483.06</v>
      </c>
      <c r="F108" s="732">
        <f t="shared" si="42"/>
        <v>-362.25</v>
      </c>
      <c r="G108" s="732">
        <f t="shared" si="42"/>
        <v>-463.55999999999995</v>
      </c>
      <c r="H108" s="732">
        <f t="shared" si="42"/>
        <v>-353.91</v>
      </c>
      <c r="I108" s="732">
        <f t="shared" si="42"/>
        <v>-285.11</v>
      </c>
      <c r="J108" s="732">
        <f t="shared" si="42"/>
        <v>-211.79</v>
      </c>
      <c r="K108" s="732">
        <f t="shared" si="42"/>
        <v>-187.39</v>
      </c>
      <c r="L108" s="732">
        <f t="shared" si="42"/>
        <v>-198.78</v>
      </c>
      <c r="M108" s="732">
        <f t="shared" si="42"/>
        <v>-227.75</v>
      </c>
      <c r="N108" s="732">
        <f t="shared" si="42"/>
        <v>-364.68</v>
      </c>
      <c r="O108" s="732">
        <v>3451.1799999999994</v>
      </c>
      <c r="P108" s="732">
        <f>SUM(P106:P107)</f>
        <v>-347.5</v>
      </c>
      <c r="Q108" s="1070">
        <f>SUM(Q106:Q107)</f>
        <v>-516.03</v>
      </c>
      <c r="R108" s="1071">
        <f>SUM(E108:Q108)-O108</f>
        <v>-4001.8099999999995</v>
      </c>
    </row>
    <row r="109" spans="1:32">
      <c r="A109" s="1043"/>
      <c r="B109" s="976"/>
      <c r="C109" s="1082" t="s">
        <v>602</v>
      </c>
      <c r="D109" s="1439"/>
      <c r="E109" s="732">
        <v>-14.54</v>
      </c>
      <c r="F109" s="732">
        <f t="shared" ref="F109:N109" si="43">ROUND(ROUND(E111*F$6,2)/365*F$7,2)</f>
        <v>-15.56</v>
      </c>
      <c r="G109" s="732">
        <f t="shared" si="43"/>
        <v>-18.23</v>
      </c>
      <c r="H109" s="732">
        <f t="shared" si="43"/>
        <v>-18.77</v>
      </c>
      <c r="I109" s="732">
        <f t="shared" si="43"/>
        <v>-20.9</v>
      </c>
      <c r="J109" s="732">
        <f t="shared" si="43"/>
        <v>-21.42</v>
      </c>
      <c r="K109" s="732">
        <f t="shared" si="43"/>
        <v>-16.66</v>
      </c>
      <c r="L109" s="732">
        <f t="shared" si="43"/>
        <v>-17.260000000000002</v>
      </c>
      <c r="M109" s="732">
        <f t="shared" si="43"/>
        <v>-17.309999999999999</v>
      </c>
      <c r="N109" s="732">
        <f t="shared" si="43"/>
        <v>-17.63</v>
      </c>
      <c r="O109" s="732">
        <v>124.9</v>
      </c>
      <c r="P109" s="732">
        <f>ROUND(ROUND(O111*P$6,2)/365*P$7,2)</f>
        <v>-8.5299999999999994</v>
      </c>
      <c r="Q109" s="1070">
        <f>ROUND(ROUND(P111*Q$6,2)/365*Q$7,2)</f>
        <v>-9.7899999999999991</v>
      </c>
      <c r="R109" s="1072">
        <f>SUM(E109:Q109)</f>
        <v>-71.699999999999989</v>
      </c>
    </row>
    <row r="110" spans="1:32">
      <c r="A110" s="1043"/>
      <c r="B110" s="976"/>
      <c r="C110" s="1082" t="s">
        <v>603</v>
      </c>
      <c r="D110" s="1439"/>
      <c r="E110" s="1068">
        <f t="shared" ref="E110:R110" si="44">SUM(E108:E109)</f>
        <v>-497.6</v>
      </c>
      <c r="F110" s="1068">
        <f t="shared" si="44"/>
        <v>-377.81</v>
      </c>
      <c r="G110" s="1068">
        <f t="shared" si="44"/>
        <v>-481.78999999999996</v>
      </c>
      <c r="H110" s="1068">
        <f t="shared" si="44"/>
        <v>-372.68</v>
      </c>
      <c r="I110" s="1068">
        <f t="shared" si="44"/>
        <v>-306.01</v>
      </c>
      <c r="J110" s="1068">
        <f t="shared" si="44"/>
        <v>-233.20999999999998</v>
      </c>
      <c r="K110" s="1068">
        <f t="shared" si="44"/>
        <v>-204.04999999999998</v>
      </c>
      <c r="L110" s="1068">
        <f t="shared" si="44"/>
        <v>-216.04</v>
      </c>
      <c r="M110" s="1068">
        <f t="shared" si="44"/>
        <v>-245.06</v>
      </c>
      <c r="N110" s="1068">
        <f t="shared" si="44"/>
        <v>-382.31</v>
      </c>
      <c r="O110" s="1068">
        <f t="shared" si="44"/>
        <v>3576.0799999999995</v>
      </c>
      <c r="P110" s="1068">
        <f t="shared" si="44"/>
        <v>-356.03</v>
      </c>
      <c r="Q110" s="1069">
        <f t="shared" si="44"/>
        <v>-525.81999999999994</v>
      </c>
      <c r="R110" s="1074">
        <f t="shared" si="44"/>
        <v>-4073.5099999999993</v>
      </c>
    </row>
    <row r="111" spans="1:32">
      <c r="A111" s="1043"/>
      <c r="B111" s="976"/>
      <c r="C111" s="1082" t="s">
        <v>604</v>
      </c>
      <c r="D111" s="1439"/>
      <c r="E111" s="732">
        <v>-3948.7799999999966</v>
      </c>
      <c r="F111" s="732">
        <f t="shared" ref="F111:Q111" si="45">E111+F110</f>
        <v>-4326.5899999999965</v>
      </c>
      <c r="G111" s="732">
        <f t="shared" si="45"/>
        <v>-4808.3799999999965</v>
      </c>
      <c r="H111" s="732">
        <f t="shared" si="45"/>
        <v>-5181.0599999999968</v>
      </c>
      <c r="I111" s="732">
        <f t="shared" si="45"/>
        <v>-5487.069999999997</v>
      </c>
      <c r="J111" s="732">
        <f t="shared" si="45"/>
        <v>-5720.279999999997</v>
      </c>
      <c r="K111" s="732">
        <f t="shared" si="45"/>
        <v>-5924.3299999999972</v>
      </c>
      <c r="L111" s="732">
        <f t="shared" si="45"/>
        <v>-6140.3699999999972</v>
      </c>
      <c r="M111" s="732">
        <f t="shared" si="45"/>
        <v>-6385.4299999999976</v>
      </c>
      <c r="N111" s="732">
        <f t="shared" si="45"/>
        <v>-6767.739999999998</v>
      </c>
      <c r="O111" s="732">
        <f t="shared" si="45"/>
        <v>-3191.6599999999985</v>
      </c>
      <c r="P111" s="732">
        <f t="shared" si="45"/>
        <v>-3547.6899999999987</v>
      </c>
      <c r="Q111" s="1075">
        <f t="shared" si="45"/>
        <v>-4073.5099999999984</v>
      </c>
      <c r="R111" s="1067"/>
    </row>
    <row r="112" spans="1:32">
      <c r="A112" s="1043"/>
      <c r="B112" s="976"/>
      <c r="C112" s="1136"/>
      <c r="D112" s="1446"/>
      <c r="E112" s="1085"/>
      <c r="F112" s="1085"/>
      <c r="G112" s="1085"/>
      <c r="H112" s="1085"/>
      <c r="I112" s="1085"/>
      <c r="J112" s="1085"/>
      <c r="K112" s="1085"/>
      <c r="L112" s="1085"/>
      <c r="M112" s="1085"/>
      <c r="N112" s="1085"/>
      <c r="O112" s="1085"/>
      <c r="P112" s="1085"/>
      <c r="Q112" s="1086"/>
      <c r="R112" s="1101"/>
      <c r="T112" s="1064"/>
      <c r="U112" s="731"/>
      <c r="V112" s="1073">
        <f>ROUND(U116/Z116,0)</f>
        <v>101432</v>
      </c>
    </row>
    <row r="113" spans="1:28">
      <c r="A113" s="1043"/>
      <c r="B113" s="976"/>
      <c r="C113" s="1137"/>
      <c r="D113" s="1446"/>
      <c r="E113" s="1085"/>
      <c r="F113" s="1085"/>
      <c r="G113" s="1085"/>
      <c r="H113" s="1085"/>
      <c r="I113" s="1085"/>
      <c r="J113" s="1085"/>
      <c r="K113" s="1085"/>
      <c r="L113" s="1085"/>
      <c r="M113" s="1085"/>
      <c r="N113" s="1085"/>
      <c r="O113" s="1085"/>
      <c r="P113" s="1085"/>
      <c r="Q113" s="1086"/>
      <c r="R113" s="1101"/>
      <c r="T113" s="1064"/>
      <c r="U113" s="731"/>
      <c r="V113" s="1073"/>
    </row>
    <row r="114" spans="1:28">
      <c r="A114" s="1043"/>
      <c r="B114" s="962" t="s">
        <v>635</v>
      </c>
      <c r="C114" s="1043" t="s">
        <v>636</v>
      </c>
      <c r="D114" s="1441"/>
      <c r="E114" s="1059"/>
      <c r="F114" s="1059"/>
      <c r="G114" s="732"/>
      <c r="H114" s="1059"/>
      <c r="I114" s="1059"/>
      <c r="J114" s="1059"/>
      <c r="K114" s="1059"/>
      <c r="L114" s="1059"/>
      <c r="M114" s="1059"/>
      <c r="N114" s="1059"/>
      <c r="O114" s="1059"/>
      <c r="P114" s="1059"/>
      <c r="Q114" s="1060"/>
      <c r="R114" s="1067"/>
      <c r="U114" s="1213"/>
      <c r="V114" s="1073">
        <f>ROUND(U117/Z117,0)</f>
        <v>118886</v>
      </c>
      <c r="W114" s="1073">
        <f>SUM(V112:V114)</f>
        <v>220318</v>
      </c>
    </row>
    <row r="115" spans="1:28">
      <c r="A115" s="1043"/>
      <c r="B115" s="976" t="s">
        <v>591</v>
      </c>
      <c r="C115" s="1043" t="s">
        <v>592</v>
      </c>
      <c r="D115" s="1441"/>
      <c r="E115" s="1059">
        <v>8</v>
      </c>
      <c r="F115" s="1059">
        <v>8</v>
      </c>
      <c r="G115" s="1059">
        <v>8</v>
      </c>
      <c r="H115" s="1059">
        <v>8</v>
      </c>
      <c r="I115" s="1059">
        <v>8</v>
      </c>
      <c r="J115" s="1059">
        <v>7</v>
      </c>
      <c r="K115" s="1059">
        <v>7</v>
      </c>
      <c r="L115" s="1059">
        <v>7</v>
      </c>
      <c r="M115" s="1059">
        <v>7</v>
      </c>
      <c r="N115" s="1059">
        <v>7</v>
      </c>
      <c r="O115" s="1059"/>
      <c r="P115" s="1059">
        <v>7</v>
      </c>
      <c r="Q115" s="1059">
        <v>7</v>
      </c>
      <c r="R115" s="1061"/>
      <c r="T115" s="962">
        <v>4811</v>
      </c>
      <c r="U115" s="1213">
        <v>570</v>
      </c>
      <c r="V115" s="961">
        <v>220318</v>
      </c>
      <c r="W115" s="962" t="s">
        <v>401</v>
      </c>
      <c r="X115" s="961">
        <f>V115</f>
        <v>220318</v>
      </c>
      <c r="Z115" s="1213" t="s">
        <v>590</v>
      </c>
    </row>
    <row r="116" spans="1:28">
      <c r="A116" s="1043"/>
      <c r="B116" s="976" t="s">
        <v>593</v>
      </c>
      <c r="C116" s="1081" t="s">
        <v>637</v>
      </c>
      <c r="D116" s="1442"/>
      <c r="E116" s="732">
        <v>9570.31</v>
      </c>
      <c r="F116" s="732">
        <v>9150.39</v>
      </c>
      <c r="G116" s="732">
        <v>8394.2000000000007</v>
      </c>
      <c r="H116" s="732">
        <v>9583.86</v>
      </c>
      <c r="I116" s="732">
        <v>8673.0300000000007</v>
      </c>
      <c r="J116" s="732">
        <v>7743.01</v>
      </c>
      <c r="K116" s="732">
        <v>6903.17</v>
      </c>
      <c r="L116" s="732">
        <v>7448.82</v>
      </c>
      <c r="M116" s="732">
        <v>7314.08</v>
      </c>
      <c r="N116" s="732">
        <v>6614.88</v>
      </c>
      <c r="O116" s="732"/>
      <c r="P116" s="732">
        <v>10139.36</v>
      </c>
      <c r="Q116" s="1070">
        <v>9092.36</v>
      </c>
      <c r="R116" s="1071"/>
      <c r="T116" s="1064" t="s">
        <v>590</v>
      </c>
      <c r="U116" s="731">
        <v>9092.36</v>
      </c>
      <c r="V116" s="1065">
        <f>U116/V112</f>
        <v>8.9639955832478913E-2</v>
      </c>
      <c r="X116" s="1065">
        <f>U116/V112</f>
        <v>8.9639955832478913E-2</v>
      </c>
      <c r="Z116" s="962">
        <v>8.9639999999999997E-2</v>
      </c>
      <c r="AB116" s="1065">
        <f>Z116-X116</f>
        <v>4.4167521084936823E-8</v>
      </c>
    </row>
    <row r="117" spans="1:28">
      <c r="A117" s="1043"/>
      <c r="B117" s="976" t="s">
        <v>593</v>
      </c>
      <c r="C117" s="1081" t="s">
        <v>638</v>
      </c>
      <c r="D117" s="1442"/>
      <c r="E117" s="732">
        <v>2985.23</v>
      </c>
      <c r="F117" s="732">
        <v>3153.98</v>
      </c>
      <c r="G117" s="732">
        <v>2757.58</v>
      </c>
      <c r="H117" s="732">
        <v>3446.6</v>
      </c>
      <c r="I117" s="732">
        <v>2613.25</v>
      </c>
      <c r="J117" s="732">
        <v>1498.92</v>
      </c>
      <c r="K117" s="732">
        <v>912.14</v>
      </c>
      <c r="L117" s="732">
        <v>655.97</v>
      </c>
      <c r="M117" s="732">
        <v>532.58000000000004</v>
      </c>
      <c r="N117" s="732">
        <v>584.95000000000005</v>
      </c>
      <c r="O117" s="732"/>
      <c r="P117" s="732">
        <v>1851.56</v>
      </c>
      <c r="Q117" s="1070">
        <v>3349.01</v>
      </c>
      <c r="R117" s="1071"/>
      <c r="T117" s="1064" t="s">
        <v>590</v>
      </c>
      <c r="U117" s="731">
        <v>3349.01</v>
      </c>
      <c r="V117" s="1065">
        <f>U117/V114</f>
        <v>2.8169927493565266E-2</v>
      </c>
      <c r="X117" s="1065">
        <f>U117/V114</f>
        <v>2.8169927493565266E-2</v>
      </c>
      <c r="Z117" s="962">
        <v>2.8170000000000001E-2</v>
      </c>
      <c r="AB117" s="1065">
        <f>Z117-X117</f>
        <v>7.2506434734692649E-8</v>
      </c>
    </row>
    <row r="118" spans="1:28">
      <c r="A118" s="1043"/>
      <c r="B118" s="976" t="s">
        <v>595</v>
      </c>
      <c r="C118" s="1081" t="s">
        <v>639</v>
      </c>
      <c r="D118" s="1442"/>
      <c r="E118" s="732">
        <v>9150.39</v>
      </c>
      <c r="F118" s="732">
        <v>8394.2000000000007</v>
      </c>
      <c r="G118" s="732">
        <v>9583.86</v>
      </c>
      <c r="H118" s="732">
        <v>8673.0300000000007</v>
      </c>
      <c r="I118" s="732">
        <v>7732.7</v>
      </c>
      <c r="J118" s="732">
        <v>6903.17</v>
      </c>
      <c r="K118" s="732">
        <v>7448.82</v>
      </c>
      <c r="L118" s="732">
        <v>7314.08</v>
      </c>
      <c r="M118" s="732">
        <v>6614.88</v>
      </c>
      <c r="N118" s="732">
        <v>10139.36</v>
      </c>
      <c r="O118" s="732"/>
      <c r="P118" s="732">
        <v>9092.36</v>
      </c>
      <c r="Q118" s="1070">
        <v>9501.48</v>
      </c>
      <c r="R118" s="1071"/>
      <c r="T118" s="1064" t="s">
        <v>129</v>
      </c>
      <c r="U118" s="731">
        <v>89501.98</v>
      </c>
      <c r="V118" s="1065">
        <f>U118/V115</f>
        <v>0.40623998039197884</v>
      </c>
      <c r="X118" s="1065">
        <f>U118/X115</f>
        <v>0.40623998039197884</v>
      </c>
      <c r="Z118" s="1076">
        <v>0.40623999999999999</v>
      </c>
      <c r="AB118" s="1102">
        <f>Z118-X118</f>
        <v>1.9608021151196198E-8</v>
      </c>
    </row>
    <row r="119" spans="1:28">
      <c r="A119" s="1043"/>
      <c r="B119" s="1079" t="s">
        <v>595</v>
      </c>
      <c r="C119" s="1080" t="s">
        <v>640</v>
      </c>
      <c r="D119" s="1444"/>
      <c r="E119" s="1078">
        <v>3153.98</v>
      </c>
      <c r="F119" s="1068">
        <v>2757.58</v>
      </c>
      <c r="G119" s="732">
        <v>3446.6</v>
      </c>
      <c r="H119" s="1068">
        <v>2613.25</v>
      </c>
      <c r="I119" s="1068">
        <v>1498.92</v>
      </c>
      <c r="J119" s="1068">
        <v>912.14</v>
      </c>
      <c r="K119" s="1068">
        <v>655.97</v>
      </c>
      <c r="L119" s="1068">
        <v>532.58000000000004</v>
      </c>
      <c r="M119" s="1068">
        <v>584.95000000000005</v>
      </c>
      <c r="N119" s="1068">
        <v>1851.56</v>
      </c>
      <c r="O119" s="1068"/>
      <c r="P119" s="1068">
        <v>3349.01</v>
      </c>
      <c r="Q119" s="1069">
        <v>3900.78</v>
      </c>
      <c r="R119" s="1071"/>
      <c r="U119" s="1103"/>
      <c r="AB119" s="1065"/>
    </row>
    <row r="120" spans="1:28">
      <c r="A120" s="1043"/>
      <c r="B120" s="976" t="s">
        <v>595</v>
      </c>
      <c r="C120" s="1081" t="s">
        <v>641</v>
      </c>
      <c r="D120" s="1442"/>
      <c r="E120" s="732">
        <v>-9570.31</v>
      </c>
      <c r="F120" s="732">
        <f t="shared" ref="F120:N121" si="46">-E118</f>
        <v>-9150.39</v>
      </c>
      <c r="G120" s="1090">
        <f t="shared" si="46"/>
        <v>-8394.2000000000007</v>
      </c>
      <c r="H120" s="732">
        <f t="shared" si="46"/>
        <v>-9583.86</v>
      </c>
      <c r="I120" s="732">
        <f t="shared" si="46"/>
        <v>-8673.0300000000007</v>
      </c>
      <c r="J120" s="732">
        <f t="shared" si="46"/>
        <v>-7732.7</v>
      </c>
      <c r="K120" s="732">
        <f t="shared" si="46"/>
        <v>-6903.17</v>
      </c>
      <c r="L120" s="732">
        <f t="shared" si="46"/>
        <v>-7448.82</v>
      </c>
      <c r="M120" s="732">
        <f t="shared" si="46"/>
        <v>-7314.08</v>
      </c>
      <c r="N120" s="732">
        <f t="shared" si="46"/>
        <v>-6614.88</v>
      </c>
      <c r="O120" s="732"/>
      <c r="P120" s="732">
        <f>-N118</f>
        <v>-10139.36</v>
      </c>
      <c r="Q120" s="1075">
        <f>-P118</f>
        <v>-9092.36</v>
      </c>
      <c r="R120" s="1071"/>
    </row>
    <row r="121" spans="1:28">
      <c r="A121" s="1043"/>
      <c r="B121" s="976" t="s">
        <v>595</v>
      </c>
      <c r="C121" s="1081" t="s">
        <v>642</v>
      </c>
      <c r="D121" s="1442"/>
      <c r="E121" s="1068">
        <v>-2985.23</v>
      </c>
      <c r="F121" s="1068">
        <f t="shared" si="46"/>
        <v>-3153.98</v>
      </c>
      <c r="G121" s="1068">
        <f t="shared" si="46"/>
        <v>-2757.58</v>
      </c>
      <c r="H121" s="1068">
        <f t="shared" si="46"/>
        <v>-3446.6</v>
      </c>
      <c r="I121" s="1068">
        <f t="shared" si="46"/>
        <v>-2613.25</v>
      </c>
      <c r="J121" s="1068">
        <f t="shared" si="46"/>
        <v>-1498.92</v>
      </c>
      <c r="K121" s="1068">
        <f t="shared" si="46"/>
        <v>-912.14</v>
      </c>
      <c r="L121" s="1068">
        <f t="shared" si="46"/>
        <v>-655.97</v>
      </c>
      <c r="M121" s="1068">
        <f t="shared" si="46"/>
        <v>-532.58000000000004</v>
      </c>
      <c r="N121" s="1068">
        <f t="shared" si="46"/>
        <v>-584.95000000000005</v>
      </c>
      <c r="O121" s="1068"/>
      <c r="P121" s="1068">
        <f>-N119</f>
        <v>-1851.56</v>
      </c>
      <c r="Q121" s="1069">
        <f>-P119</f>
        <v>-3349.01</v>
      </c>
      <c r="R121" s="1071"/>
    </row>
    <row r="122" spans="1:28">
      <c r="A122" s="1043"/>
      <c r="B122" s="976"/>
      <c r="C122" s="1082" t="s">
        <v>599</v>
      </c>
      <c r="D122" s="1439"/>
      <c r="E122" s="732">
        <f t="shared" ref="E122:N122" si="47">SUM(E116:E121)</f>
        <v>12304.37</v>
      </c>
      <c r="F122" s="732">
        <f t="shared" si="47"/>
        <v>11151.780000000002</v>
      </c>
      <c r="G122" s="732">
        <f t="shared" si="47"/>
        <v>13030.459999999997</v>
      </c>
      <c r="H122" s="732">
        <f t="shared" si="47"/>
        <v>11286.28</v>
      </c>
      <c r="I122" s="732">
        <f t="shared" si="47"/>
        <v>9231.6200000000008</v>
      </c>
      <c r="J122" s="732">
        <f t="shared" si="47"/>
        <v>7825.6200000000008</v>
      </c>
      <c r="K122" s="732">
        <f t="shared" si="47"/>
        <v>8104.79</v>
      </c>
      <c r="L122" s="732">
        <f t="shared" si="47"/>
        <v>7846.6599999999989</v>
      </c>
      <c r="M122" s="732">
        <f t="shared" si="47"/>
        <v>7199.8300000000017</v>
      </c>
      <c r="N122" s="732">
        <f t="shared" si="47"/>
        <v>11990.920000000002</v>
      </c>
      <c r="O122" s="732"/>
      <c r="P122" s="732">
        <f>SUM(P116:P121)</f>
        <v>12441.37</v>
      </c>
      <c r="Q122" s="1070">
        <f>SUM(Q116:Q121)</f>
        <v>13402.259999999997</v>
      </c>
      <c r="R122" s="1067"/>
    </row>
    <row r="123" spans="1:28">
      <c r="A123" s="1043"/>
      <c r="B123" s="976"/>
      <c r="C123" s="1082" t="s">
        <v>600</v>
      </c>
      <c r="D123" s="1439"/>
      <c r="E123" s="1068">
        <v>-18824.16</v>
      </c>
      <c r="F123" s="1068">
        <v>-18920.32</v>
      </c>
      <c r="G123" s="1068">
        <v>-13637.12</v>
      </c>
      <c r="H123" s="1068">
        <v>-13531.36</v>
      </c>
      <c r="I123" s="1068">
        <v>-11273.36</v>
      </c>
      <c r="J123" s="1068">
        <v>-7121.59</v>
      </c>
      <c r="K123" s="1068">
        <v>-5711.86</v>
      </c>
      <c r="L123" s="1068">
        <v>-6110.58</v>
      </c>
      <c r="M123" s="1068">
        <v>-5177.13</v>
      </c>
      <c r="N123" s="1068">
        <v>-6577.06</v>
      </c>
      <c r="O123" s="1068"/>
      <c r="P123" s="1068">
        <v>-10961.79</v>
      </c>
      <c r="Q123" s="1069">
        <v>-12067.51</v>
      </c>
      <c r="R123" s="1067"/>
    </row>
    <row r="124" spans="1:28">
      <c r="A124" s="1043"/>
      <c r="B124" s="976"/>
      <c r="C124" s="1082" t="s">
        <v>643</v>
      </c>
      <c r="D124" s="1439"/>
      <c r="E124" s="732">
        <f t="shared" ref="E124:N124" si="48">SUM(E122:E123)</f>
        <v>-6519.7899999999991</v>
      </c>
      <c r="F124" s="732">
        <f t="shared" si="48"/>
        <v>-7768.5399999999972</v>
      </c>
      <c r="G124" s="732">
        <f t="shared" si="48"/>
        <v>-606.66000000000349</v>
      </c>
      <c r="H124" s="732">
        <f t="shared" si="48"/>
        <v>-2245.08</v>
      </c>
      <c r="I124" s="732">
        <f t="shared" si="48"/>
        <v>-2041.7399999999998</v>
      </c>
      <c r="J124" s="732">
        <f t="shared" si="48"/>
        <v>704.03000000000065</v>
      </c>
      <c r="K124" s="732">
        <f t="shared" si="48"/>
        <v>2392.9300000000003</v>
      </c>
      <c r="L124" s="732">
        <f t="shared" si="48"/>
        <v>1736.079999999999</v>
      </c>
      <c r="M124" s="732">
        <f t="shared" si="48"/>
        <v>2022.7000000000016</v>
      </c>
      <c r="N124" s="732">
        <f t="shared" si="48"/>
        <v>5413.8600000000015</v>
      </c>
      <c r="O124" s="732">
        <v>20894.48</v>
      </c>
      <c r="P124" s="732">
        <f>SUM(P122:P123)</f>
        <v>1479.58</v>
      </c>
      <c r="Q124" s="1070">
        <f>SUM(Q122:Q123)</f>
        <v>1334.7499999999964</v>
      </c>
      <c r="R124" s="1071">
        <f>SUM(E124:Q124)-O124</f>
        <v>-4097.880000000001</v>
      </c>
    </row>
    <row r="125" spans="1:28">
      <c r="A125" s="1043"/>
      <c r="B125" s="976"/>
      <c r="C125" s="1082" t="s">
        <v>602</v>
      </c>
      <c r="D125" s="1439"/>
      <c r="E125" s="732">
        <v>-88.02</v>
      </c>
      <c r="F125" s="732">
        <f t="shared" ref="F125:N125" si="49">ROUND(ROUND(E127*F$6,2)/365*F$7,2)</f>
        <v>-108.38</v>
      </c>
      <c r="G125" s="732">
        <f t="shared" si="49"/>
        <v>-149.04</v>
      </c>
      <c r="H125" s="732">
        <f t="shared" si="49"/>
        <v>-141.07</v>
      </c>
      <c r="I125" s="732">
        <f t="shared" si="49"/>
        <v>-155.4</v>
      </c>
      <c r="J125" s="732">
        <f t="shared" si="49"/>
        <v>-158.97</v>
      </c>
      <c r="K125" s="732">
        <f t="shared" si="49"/>
        <v>-117.03</v>
      </c>
      <c r="L125" s="732">
        <f t="shared" si="49"/>
        <v>-110.4</v>
      </c>
      <c r="M125" s="732">
        <f t="shared" si="49"/>
        <v>-102.26</v>
      </c>
      <c r="N125" s="732">
        <f t="shared" si="49"/>
        <v>-94.82</v>
      </c>
      <c r="O125" s="732">
        <v>756.15</v>
      </c>
      <c r="P125" s="732">
        <f>ROUND(ROUND(O127*P$6,2)/365*P$7,2)</f>
        <v>-19.72</v>
      </c>
      <c r="Q125" s="1070">
        <f>ROUND(ROUND(P127*Q$6,2)/365*Q$7,2)</f>
        <v>-16.350000000000001</v>
      </c>
      <c r="R125" s="1072">
        <f>SUM(E125:Q125)</f>
        <v>-505.30999999999995</v>
      </c>
    </row>
    <row r="126" spans="1:28">
      <c r="A126" s="1043"/>
      <c r="B126" s="976"/>
      <c r="C126" s="1082" t="s">
        <v>603</v>
      </c>
      <c r="D126" s="1439"/>
      <c r="E126" s="1068">
        <f t="shared" ref="E126:R126" si="50">SUM(E124:E125)</f>
        <v>-6607.8099999999995</v>
      </c>
      <c r="F126" s="1068">
        <f t="shared" si="50"/>
        <v>-7876.9199999999973</v>
      </c>
      <c r="G126" s="1068">
        <f t="shared" si="50"/>
        <v>-755.70000000000346</v>
      </c>
      <c r="H126" s="1068">
        <f t="shared" si="50"/>
        <v>-2386.15</v>
      </c>
      <c r="I126" s="1068">
        <f t="shared" si="50"/>
        <v>-2197.14</v>
      </c>
      <c r="J126" s="1068">
        <f t="shared" si="50"/>
        <v>545.06000000000063</v>
      </c>
      <c r="K126" s="1068">
        <f t="shared" si="50"/>
        <v>2275.9</v>
      </c>
      <c r="L126" s="1068">
        <f t="shared" si="50"/>
        <v>1625.6799999999989</v>
      </c>
      <c r="M126" s="1068">
        <f t="shared" si="50"/>
        <v>1920.4400000000016</v>
      </c>
      <c r="N126" s="1068">
        <f t="shared" si="50"/>
        <v>5319.0400000000018</v>
      </c>
      <c r="O126" s="1068">
        <f t="shared" si="50"/>
        <v>21650.63</v>
      </c>
      <c r="P126" s="1068">
        <f t="shared" si="50"/>
        <v>1459.86</v>
      </c>
      <c r="Q126" s="1069">
        <f t="shared" si="50"/>
        <v>1318.3999999999965</v>
      </c>
      <c r="R126" s="1074">
        <f t="shared" si="50"/>
        <v>-4603.1900000000005</v>
      </c>
    </row>
    <row r="127" spans="1:28" ht="15.75" thickBot="1">
      <c r="A127" s="1043"/>
      <c r="B127" s="976"/>
      <c r="C127" s="1104" t="s">
        <v>604</v>
      </c>
      <c r="D127" s="1445"/>
      <c r="E127" s="1085">
        <v>-27502.289999999994</v>
      </c>
      <c r="F127" s="1085">
        <f t="shared" ref="F127:Q127" si="51">E127+F126</f>
        <v>-35379.209999999992</v>
      </c>
      <c r="G127" s="1085">
        <f t="shared" si="51"/>
        <v>-36134.909999999996</v>
      </c>
      <c r="H127" s="1085">
        <f t="shared" si="51"/>
        <v>-38521.06</v>
      </c>
      <c r="I127" s="1085">
        <f t="shared" si="51"/>
        <v>-40718.199999999997</v>
      </c>
      <c r="J127" s="1085">
        <f t="shared" si="51"/>
        <v>-40173.14</v>
      </c>
      <c r="K127" s="1085">
        <f t="shared" si="51"/>
        <v>-37897.24</v>
      </c>
      <c r="L127" s="1085">
        <f t="shared" si="51"/>
        <v>-36271.56</v>
      </c>
      <c r="M127" s="1085">
        <f t="shared" si="51"/>
        <v>-34351.119999999995</v>
      </c>
      <c r="N127" s="1085">
        <f t="shared" si="51"/>
        <v>-29032.079999999994</v>
      </c>
      <c r="O127" s="1085">
        <f t="shared" si="51"/>
        <v>-7381.4499999999935</v>
      </c>
      <c r="P127" s="1085">
        <f t="shared" si="51"/>
        <v>-5921.5899999999938</v>
      </c>
      <c r="Q127" s="1086">
        <f t="shared" si="51"/>
        <v>-4603.1899999999969</v>
      </c>
      <c r="R127" s="1087"/>
    </row>
    <row r="128" spans="1:28" hidden="1">
      <c r="A128" s="1043"/>
      <c r="B128" s="976"/>
      <c r="E128" s="1059"/>
      <c r="F128" s="1059"/>
      <c r="G128" s="732"/>
      <c r="H128" s="1059"/>
      <c r="I128" s="1059"/>
      <c r="J128" s="1059"/>
      <c r="K128" s="1059"/>
      <c r="L128" s="1059"/>
      <c r="M128" s="1059"/>
      <c r="N128" s="1059"/>
      <c r="O128" s="1059"/>
      <c r="P128" s="1059"/>
      <c r="Q128" s="1060"/>
      <c r="R128" s="1105"/>
      <c r="T128" s="1064"/>
      <c r="U128" s="731"/>
      <c r="V128" s="1073"/>
    </row>
    <row r="129" spans="1:28" hidden="1">
      <c r="A129" s="1043"/>
      <c r="B129" s="962" t="s">
        <v>635</v>
      </c>
      <c r="C129" s="976">
        <v>577</v>
      </c>
      <c r="D129" s="976"/>
      <c r="E129" s="1059" t="s">
        <v>644</v>
      </c>
      <c r="G129" s="732"/>
      <c r="H129" s="1059"/>
      <c r="I129" s="1059"/>
      <c r="J129" s="1059"/>
      <c r="K129" s="1059"/>
      <c r="M129" s="1059"/>
      <c r="N129" s="1059"/>
      <c r="O129" s="1059"/>
      <c r="P129" s="1059"/>
      <c r="Q129" s="1060"/>
      <c r="R129" s="1105"/>
      <c r="V129" s="1073"/>
      <c r="W129" s="1073"/>
    </row>
    <row r="130" spans="1:28" hidden="1">
      <c r="A130" s="1043"/>
      <c r="B130" s="976" t="s">
        <v>591</v>
      </c>
      <c r="C130" s="962" t="s">
        <v>592</v>
      </c>
      <c r="E130" s="1059"/>
      <c r="F130" s="1059"/>
      <c r="G130" s="1059"/>
      <c r="H130" s="1059"/>
      <c r="I130" s="1059"/>
      <c r="J130" s="1059"/>
      <c r="K130" s="1059"/>
      <c r="L130" s="1059"/>
      <c r="M130" s="1059"/>
      <c r="N130" s="1059"/>
      <c r="O130" s="1059"/>
      <c r="P130" s="1059"/>
      <c r="Q130" s="1060"/>
      <c r="R130" s="1106"/>
      <c r="V130" s="961"/>
      <c r="X130" s="961"/>
    </row>
    <row r="131" spans="1:28" hidden="1">
      <c r="A131" s="1043"/>
      <c r="B131" s="976" t="s">
        <v>593</v>
      </c>
      <c r="C131" s="962" t="s">
        <v>645</v>
      </c>
      <c r="E131" s="732"/>
      <c r="F131" s="732"/>
      <c r="G131" s="732"/>
      <c r="H131" s="732"/>
      <c r="I131" s="732"/>
      <c r="J131" s="732"/>
      <c r="K131" s="732"/>
      <c r="L131" s="732"/>
      <c r="M131" s="732"/>
      <c r="N131" s="732"/>
      <c r="O131" s="732"/>
      <c r="P131" s="732"/>
      <c r="Q131" s="1070"/>
      <c r="R131" s="1107"/>
      <c r="T131" s="1064"/>
      <c r="U131" s="731"/>
      <c r="V131" s="1065"/>
      <c r="X131" s="1065"/>
      <c r="AB131" s="1065"/>
    </row>
    <row r="132" spans="1:28" hidden="1">
      <c r="A132" s="1043"/>
      <c r="B132" s="976" t="s">
        <v>593</v>
      </c>
      <c r="C132" s="962" t="s">
        <v>646</v>
      </c>
      <c r="E132" s="732"/>
      <c r="F132" s="732"/>
      <c r="G132" s="732"/>
      <c r="H132" s="732"/>
      <c r="I132" s="732"/>
      <c r="J132" s="732"/>
      <c r="K132" s="732"/>
      <c r="L132" s="732"/>
      <c r="M132" s="732"/>
      <c r="N132" s="732"/>
      <c r="O132" s="732"/>
      <c r="P132" s="732"/>
      <c r="Q132" s="1070"/>
      <c r="R132" s="1107"/>
      <c r="T132" s="1064"/>
      <c r="U132" s="731"/>
      <c r="V132" s="1065"/>
      <c r="X132" s="1065"/>
      <c r="AB132" s="1065"/>
    </row>
    <row r="133" spans="1:28" hidden="1">
      <c r="A133" s="1043"/>
      <c r="B133" s="976" t="s">
        <v>595</v>
      </c>
      <c r="C133" s="962" t="s">
        <v>647</v>
      </c>
      <c r="E133" s="732"/>
      <c r="F133" s="732"/>
      <c r="G133" s="732"/>
      <c r="H133" s="732"/>
      <c r="I133" s="732"/>
      <c r="J133" s="732"/>
      <c r="K133" s="732"/>
      <c r="L133" s="732"/>
      <c r="M133" s="732"/>
      <c r="N133" s="732"/>
      <c r="O133" s="732"/>
      <c r="P133" s="732"/>
      <c r="Q133" s="1070"/>
      <c r="R133" s="1107"/>
      <c r="T133" s="1064"/>
      <c r="U133" s="731"/>
      <c r="V133" s="1065"/>
      <c r="X133" s="1065"/>
      <c r="AB133" s="1065"/>
    </row>
    <row r="134" spans="1:28" hidden="1">
      <c r="A134" s="1043"/>
      <c r="B134" s="976" t="s">
        <v>595</v>
      </c>
      <c r="C134" s="962" t="s">
        <v>648</v>
      </c>
      <c r="E134" s="732"/>
      <c r="F134" s="732"/>
      <c r="G134" s="732"/>
      <c r="H134" s="732"/>
      <c r="I134" s="732"/>
      <c r="J134" s="732"/>
      <c r="K134" s="732"/>
      <c r="L134" s="732"/>
      <c r="M134" s="732"/>
      <c r="N134" s="732"/>
      <c r="O134" s="732"/>
      <c r="P134" s="732"/>
      <c r="Q134" s="1070"/>
      <c r="R134" s="1107"/>
      <c r="AB134" s="1065"/>
    </row>
    <row r="135" spans="1:28" hidden="1">
      <c r="A135" s="1043"/>
      <c r="B135" s="976" t="s">
        <v>595</v>
      </c>
      <c r="C135" s="962" t="s">
        <v>649</v>
      </c>
      <c r="E135" s="732">
        <v>0</v>
      </c>
      <c r="F135" s="732">
        <f t="shared" ref="F135:N136" si="52">-E133</f>
        <v>0</v>
      </c>
      <c r="G135" s="732">
        <f t="shared" si="52"/>
        <v>0</v>
      </c>
      <c r="H135" s="732">
        <f t="shared" si="52"/>
        <v>0</v>
      </c>
      <c r="I135" s="732">
        <f t="shared" si="52"/>
        <v>0</v>
      </c>
      <c r="J135" s="732">
        <f t="shared" si="52"/>
        <v>0</v>
      </c>
      <c r="K135" s="732">
        <f t="shared" si="52"/>
        <v>0</v>
      </c>
      <c r="L135" s="732">
        <f t="shared" si="52"/>
        <v>0</v>
      </c>
      <c r="M135" s="732">
        <f t="shared" si="52"/>
        <v>0</v>
      </c>
      <c r="N135" s="732">
        <f t="shared" si="52"/>
        <v>0</v>
      </c>
      <c r="O135" s="732"/>
      <c r="P135" s="732">
        <f>-N133</f>
        <v>0</v>
      </c>
      <c r="Q135" s="1070">
        <f>-P133</f>
        <v>0</v>
      </c>
      <c r="R135" s="1107"/>
    </row>
    <row r="136" spans="1:28" hidden="1">
      <c r="A136" s="1043"/>
      <c r="B136" s="976" t="s">
        <v>595</v>
      </c>
      <c r="C136" s="962" t="s">
        <v>650</v>
      </c>
      <c r="E136" s="1068">
        <v>0</v>
      </c>
      <c r="F136" s="1068">
        <f t="shared" si="52"/>
        <v>0</v>
      </c>
      <c r="G136" s="1068">
        <f t="shared" si="52"/>
        <v>0</v>
      </c>
      <c r="H136" s="1068">
        <f t="shared" si="52"/>
        <v>0</v>
      </c>
      <c r="I136" s="1068">
        <f t="shared" si="52"/>
        <v>0</v>
      </c>
      <c r="J136" s="1068">
        <f t="shared" si="52"/>
        <v>0</v>
      </c>
      <c r="K136" s="1068">
        <f t="shared" si="52"/>
        <v>0</v>
      </c>
      <c r="L136" s="1068">
        <f t="shared" si="52"/>
        <v>0</v>
      </c>
      <c r="M136" s="1068">
        <f t="shared" si="52"/>
        <v>0</v>
      </c>
      <c r="N136" s="1068">
        <f t="shared" si="52"/>
        <v>0</v>
      </c>
      <c r="O136" s="1068"/>
      <c r="P136" s="1068">
        <f>-N134</f>
        <v>0</v>
      </c>
      <c r="Q136" s="1069">
        <f>-P134</f>
        <v>0</v>
      </c>
      <c r="R136" s="1107"/>
    </row>
    <row r="137" spans="1:28" hidden="1">
      <c r="A137" s="1043"/>
      <c r="B137" s="1213"/>
      <c r="C137" s="1064" t="s">
        <v>599</v>
      </c>
      <c r="D137" s="1064"/>
      <c r="E137" s="732">
        <f t="shared" ref="E137:N137" si="53">SUM(E131:E136)</f>
        <v>0</v>
      </c>
      <c r="F137" s="732">
        <f t="shared" si="53"/>
        <v>0</v>
      </c>
      <c r="G137" s="732">
        <f t="shared" si="53"/>
        <v>0</v>
      </c>
      <c r="H137" s="732">
        <f t="shared" si="53"/>
        <v>0</v>
      </c>
      <c r="I137" s="732">
        <f t="shared" si="53"/>
        <v>0</v>
      </c>
      <c r="J137" s="732">
        <f t="shared" si="53"/>
        <v>0</v>
      </c>
      <c r="K137" s="732">
        <f t="shared" si="53"/>
        <v>0</v>
      </c>
      <c r="L137" s="732">
        <f t="shared" si="53"/>
        <v>0</v>
      </c>
      <c r="M137" s="732">
        <f t="shared" si="53"/>
        <v>0</v>
      </c>
      <c r="N137" s="732">
        <f t="shared" si="53"/>
        <v>0</v>
      </c>
      <c r="O137" s="732"/>
      <c r="P137" s="732">
        <f>SUM(P131:P136)</f>
        <v>0</v>
      </c>
      <c r="Q137" s="1070">
        <f>SUM(Q131:Q136)</f>
        <v>0</v>
      </c>
      <c r="R137" s="1105"/>
    </row>
    <row r="138" spans="1:28" hidden="1">
      <c r="A138" s="1043"/>
      <c r="B138" s="1213"/>
      <c r="C138" s="1064" t="s">
        <v>600</v>
      </c>
      <c r="D138" s="1064"/>
      <c r="E138" s="1068">
        <v>0</v>
      </c>
      <c r="F138" s="1068">
        <v>0</v>
      </c>
      <c r="G138" s="1068">
        <v>0</v>
      </c>
      <c r="H138" s="1068">
        <v>0</v>
      </c>
      <c r="I138" s="1068">
        <v>0</v>
      </c>
      <c r="J138" s="1068">
        <v>0</v>
      </c>
      <c r="K138" s="1068">
        <v>0</v>
      </c>
      <c r="L138" s="1068">
        <v>0</v>
      </c>
      <c r="M138" s="1068">
        <v>0</v>
      </c>
      <c r="N138" s="1068">
        <v>0</v>
      </c>
      <c r="O138" s="1068"/>
      <c r="P138" s="1068">
        <v>0</v>
      </c>
      <c r="Q138" s="1069">
        <v>0</v>
      </c>
      <c r="R138" s="1105"/>
    </row>
    <row r="139" spans="1:28" hidden="1">
      <c r="A139" s="1043"/>
      <c r="B139" s="1213"/>
      <c r="C139" s="1064" t="s">
        <v>643</v>
      </c>
      <c r="D139" s="1064"/>
      <c r="E139" s="732">
        <f t="shared" ref="E139:N139" si="54">SUM(E137:E138)</f>
        <v>0</v>
      </c>
      <c r="F139" s="732">
        <f t="shared" si="54"/>
        <v>0</v>
      </c>
      <c r="G139" s="732">
        <f t="shared" si="54"/>
        <v>0</v>
      </c>
      <c r="H139" s="732">
        <f t="shared" si="54"/>
        <v>0</v>
      </c>
      <c r="I139" s="732">
        <f t="shared" si="54"/>
        <v>0</v>
      </c>
      <c r="J139" s="732">
        <f t="shared" si="54"/>
        <v>0</v>
      </c>
      <c r="K139" s="732">
        <f t="shared" si="54"/>
        <v>0</v>
      </c>
      <c r="L139" s="732">
        <f t="shared" si="54"/>
        <v>0</v>
      </c>
      <c r="M139" s="732">
        <f t="shared" si="54"/>
        <v>0</v>
      </c>
      <c r="N139" s="732">
        <f t="shared" si="54"/>
        <v>0</v>
      </c>
      <c r="O139" s="732"/>
      <c r="P139" s="732">
        <f>SUM(P137:P138)</f>
        <v>0</v>
      </c>
      <c r="Q139" s="1070">
        <f>SUM(Q137:Q138)</f>
        <v>0</v>
      </c>
      <c r="R139" s="1107">
        <f>SUM(E139:Q139)-O139</f>
        <v>0</v>
      </c>
    </row>
    <row r="140" spans="1:28" hidden="1">
      <c r="A140" s="1043"/>
      <c r="B140" s="976"/>
      <c r="C140" s="1064" t="s">
        <v>602</v>
      </c>
      <c r="D140" s="1064"/>
      <c r="E140" s="732">
        <v>0</v>
      </c>
      <c r="F140" s="732">
        <f t="shared" ref="F140:N140" si="55">ROUND(ROUND(E142*F$6,2)/365*F$7,2)</f>
        <v>0</v>
      </c>
      <c r="G140" s="732">
        <f t="shared" si="55"/>
        <v>0</v>
      </c>
      <c r="H140" s="732">
        <f t="shared" si="55"/>
        <v>0</v>
      </c>
      <c r="I140" s="732">
        <f t="shared" si="55"/>
        <v>0</v>
      </c>
      <c r="J140" s="732">
        <f t="shared" si="55"/>
        <v>0</v>
      </c>
      <c r="K140" s="732">
        <f t="shared" si="55"/>
        <v>0</v>
      </c>
      <c r="L140" s="732">
        <f t="shared" si="55"/>
        <v>0</v>
      </c>
      <c r="M140" s="732">
        <f t="shared" si="55"/>
        <v>0</v>
      </c>
      <c r="N140" s="732">
        <f t="shared" si="55"/>
        <v>0</v>
      </c>
      <c r="O140" s="732"/>
      <c r="P140" s="732">
        <f>ROUND(ROUND(O142*P$6,2)/365*P$7,2)</f>
        <v>0</v>
      </c>
      <c r="Q140" s="1070">
        <f>ROUND(ROUND(P142*Q$6,2)/365*Q$7,2)</f>
        <v>0</v>
      </c>
      <c r="R140" s="1107">
        <f>SUM(E140:Q140)</f>
        <v>0</v>
      </c>
    </row>
    <row r="141" spans="1:28" hidden="1">
      <c r="A141" s="1043"/>
      <c r="B141" s="976"/>
      <c r="C141" s="1064" t="s">
        <v>603</v>
      </c>
      <c r="D141" s="1064"/>
      <c r="E141" s="1068">
        <f t="shared" ref="E141:N141" si="56">SUM(E139:E140)</f>
        <v>0</v>
      </c>
      <c r="F141" s="1068">
        <f t="shared" si="56"/>
        <v>0</v>
      </c>
      <c r="G141" s="1068">
        <f t="shared" si="56"/>
        <v>0</v>
      </c>
      <c r="H141" s="1068">
        <f t="shared" si="56"/>
        <v>0</v>
      </c>
      <c r="I141" s="1068">
        <f t="shared" si="56"/>
        <v>0</v>
      </c>
      <c r="J141" s="1068">
        <f t="shared" si="56"/>
        <v>0</v>
      </c>
      <c r="K141" s="1068">
        <f t="shared" si="56"/>
        <v>0</v>
      </c>
      <c r="L141" s="1068">
        <f t="shared" si="56"/>
        <v>0</v>
      </c>
      <c r="M141" s="1068">
        <f t="shared" si="56"/>
        <v>0</v>
      </c>
      <c r="N141" s="1068">
        <f t="shared" si="56"/>
        <v>0</v>
      </c>
      <c r="O141" s="1068"/>
      <c r="P141" s="1068">
        <f>SUM(P139:P140)</f>
        <v>0</v>
      </c>
      <c r="Q141" s="1069">
        <f>SUM(Q139:Q140)</f>
        <v>0</v>
      </c>
      <c r="R141" s="1108">
        <f>SUM(R139:R140)</f>
        <v>0</v>
      </c>
    </row>
    <row r="142" spans="1:28" hidden="1">
      <c r="A142" s="1043"/>
      <c r="B142" s="976"/>
      <c r="C142" s="1064" t="s">
        <v>604</v>
      </c>
      <c r="D142" s="1064"/>
      <c r="E142" s="732">
        <v>0</v>
      </c>
      <c r="F142" s="732">
        <f t="shared" ref="F142:N142" si="57">E142+F141</f>
        <v>0</v>
      </c>
      <c r="G142" s="732">
        <f t="shared" si="57"/>
        <v>0</v>
      </c>
      <c r="H142" s="732">
        <f t="shared" si="57"/>
        <v>0</v>
      </c>
      <c r="I142" s="732">
        <f t="shared" si="57"/>
        <v>0</v>
      </c>
      <c r="J142" s="732">
        <f t="shared" si="57"/>
        <v>0</v>
      </c>
      <c r="K142" s="732">
        <f t="shared" si="57"/>
        <v>0</v>
      </c>
      <c r="L142" s="732">
        <f t="shared" si="57"/>
        <v>0</v>
      </c>
      <c r="M142" s="732">
        <f t="shared" si="57"/>
        <v>0</v>
      </c>
      <c r="N142" s="732">
        <f t="shared" si="57"/>
        <v>0</v>
      </c>
      <c r="O142" s="732"/>
      <c r="P142" s="732">
        <f>O142+P141</f>
        <v>0</v>
      </c>
      <c r="Q142" s="1075">
        <f>P142+Q141</f>
        <v>0</v>
      </c>
      <c r="R142" s="1105"/>
    </row>
    <row r="143" spans="1:28" hidden="1">
      <c r="A143" s="1043"/>
      <c r="B143" s="1138"/>
      <c r="E143" s="1109"/>
      <c r="G143" s="1110"/>
      <c r="H143" s="1109"/>
      <c r="I143" s="1109"/>
      <c r="J143" s="1109"/>
      <c r="K143" s="1109"/>
      <c r="L143" s="1109"/>
      <c r="M143" s="1109"/>
      <c r="N143" s="1109"/>
      <c r="O143" s="1109"/>
      <c r="P143" s="1109"/>
      <c r="Q143" s="1111"/>
      <c r="R143" s="1105"/>
    </row>
    <row r="144" spans="1:28">
      <c r="B144" s="1088"/>
      <c r="C144" s="1112"/>
      <c r="D144" s="1441"/>
      <c r="F144" s="1112"/>
      <c r="G144" s="1073"/>
      <c r="R144" s="1112"/>
    </row>
    <row r="145" spans="2:20">
      <c r="C145" s="1064" t="s">
        <v>651</v>
      </c>
      <c r="D145" s="1064"/>
      <c r="E145" s="731">
        <f t="shared" ref="E145:Q146" si="58">+E15+E50+E62+E27+E108+E39+E93+E124+E139+E79</f>
        <v>-500433.38000000076</v>
      </c>
      <c r="F145" s="731">
        <f t="shared" si="58"/>
        <v>569740.23000000056</v>
      </c>
      <c r="G145" s="731">
        <f t="shared" si="58"/>
        <v>482236.63999999978</v>
      </c>
      <c r="H145" s="731">
        <f t="shared" si="58"/>
        <v>-1019179.9799999997</v>
      </c>
      <c r="I145" s="731">
        <f t="shared" si="58"/>
        <v>-375263.27999999991</v>
      </c>
      <c r="J145" s="731">
        <f t="shared" si="58"/>
        <v>-182095.13</v>
      </c>
      <c r="K145" s="731">
        <f t="shared" si="58"/>
        <v>205920.70999999996</v>
      </c>
      <c r="L145" s="731">
        <f t="shared" si="58"/>
        <v>906718.23</v>
      </c>
      <c r="M145" s="731">
        <f t="shared" si="58"/>
        <v>-430261.07999999996</v>
      </c>
      <c r="N145" s="731">
        <f t="shared" si="58"/>
        <v>-329062.47999999957</v>
      </c>
      <c r="O145" s="731">
        <f t="shared" si="58"/>
        <v>-4410222.47</v>
      </c>
      <c r="P145" s="731">
        <f t="shared" si="58"/>
        <v>-951120.64999999956</v>
      </c>
      <c r="Q145" s="731">
        <f t="shared" si="58"/>
        <v>-1681193.7699999986</v>
      </c>
      <c r="R145" s="731">
        <f>+R15+R62+R79+R27+R108+R39+R93+R124+R139+R50</f>
        <v>-3303993.9399999985</v>
      </c>
      <c r="T145" s="1073"/>
    </row>
    <row r="146" spans="2:20">
      <c r="C146" s="1064" t="s">
        <v>652</v>
      </c>
      <c r="D146" s="1064"/>
      <c r="E146" s="731">
        <f>+E16+E51+E63+E28+E109+E40+E94+E125+E140+E80</f>
        <v>18578.52</v>
      </c>
      <c r="F146" s="731">
        <f>+F16+F51+F63+F28+F109+F40+F94+F125+F140+F80-0.01</f>
        <v>15481.000000000002</v>
      </c>
      <c r="G146" s="731">
        <f t="shared" si="58"/>
        <v>19013.96</v>
      </c>
      <c r="H146" s="731">
        <f t="shared" si="58"/>
        <v>19578.48</v>
      </c>
      <c r="I146" s="731">
        <f t="shared" si="58"/>
        <v>16198.460000000001</v>
      </c>
      <c r="J146" s="731">
        <f t="shared" si="58"/>
        <v>14274.1</v>
      </c>
      <c r="K146" s="731">
        <f t="shared" si="58"/>
        <v>10162.099999999999</v>
      </c>
      <c r="L146" s="731">
        <f t="shared" si="58"/>
        <v>10791.580000000002</v>
      </c>
      <c r="M146" s="731">
        <f>+M16+M51+M63+M28+M109+M40+M94+M125+M140+M80-0.01</f>
        <v>13030.090000000002</v>
      </c>
      <c r="N146" s="731">
        <f>+N16+N51+N63+N28+N109+N40+N94+N125+N140+N80+0.01</f>
        <v>11606.160000000002</v>
      </c>
      <c r="O146" s="731">
        <f>+O16+O51+O63+O28+O109+O40+O94+O125+O140+O80</f>
        <v>-159600.07000000004</v>
      </c>
      <c r="P146" s="731">
        <f>+P16+P51+P63+P28+P109+P40+P94+P125+P140+P80+0.02</f>
        <v>-1823.2900000000002</v>
      </c>
      <c r="Q146" s="731">
        <f>+Q16+Q51+Q63+Q28+Q109+Q40+Q94+Q125+Q140+Q80</f>
        <v>-4514.45</v>
      </c>
      <c r="R146" s="1068">
        <f>+R16+R63+R80+R28+R109+R40+R94+R125+R140+R51</f>
        <v>-17223.370000000014</v>
      </c>
      <c r="T146" s="1073"/>
    </row>
    <row r="147" spans="2:20">
      <c r="C147" s="1064" t="s">
        <v>604</v>
      </c>
      <c r="D147" s="1064"/>
      <c r="E147" s="731">
        <v>3928367.5599999973</v>
      </c>
      <c r="F147" s="731">
        <f t="shared" ref="F147:Q147" si="59">SUM(F145:F146)+E147</f>
        <v>4513588.7899999982</v>
      </c>
      <c r="G147" s="731">
        <f t="shared" si="59"/>
        <v>5014839.3899999978</v>
      </c>
      <c r="H147" s="731">
        <f t="shared" si="59"/>
        <v>4015237.8899999978</v>
      </c>
      <c r="I147" s="731">
        <f t="shared" si="59"/>
        <v>3656173.069999998</v>
      </c>
      <c r="J147" s="731">
        <f t="shared" si="59"/>
        <v>3488352.0399999982</v>
      </c>
      <c r="K147" s="731">
        <f t="shared" si="59"/>
        <v>3704434.8499999982</v>
      </c>
      <c r="L147" s="731">
        <f t="shared" si="59"/>
        <v>4621944.6599999983</v>
      </c>
      <c r="M147" s="731">
        <f t="shared" si="59"/>
        <v>4204713.6699999981</v>
      </c>
      <c r="N147" s="731">
        <f t="shared" si="59"/>
        <v>3887257.3499999987</v>
      </c>
      <c r="O147" s="731">
        <f t="shared" si="59"/>
        <v>-682565.19000000134</v>
      </c>
      <c r="P147" s="731">
        <f t="shared" si="59"/>
        <v>-1635509.1300000008</v>
      </c>
      <c r="Q147" s="731">
        <f t="shared" si="59"/>
        <v>-3321217.3499999996</v>
      </c>
      <c r="R147" s="1073">
        <f>SUM(R145:R146)</f>
        <v>-3321217.3099999987</v>
      </c>
      <c r="T147" s="1073"/>
    </row>
    <row r="148" spans="2:20" ht="13.5" customHeight="1">
      <c r="C148" s="1064"/>
      <c r="D148" s="1064"/>
      <c r="F148" s="732"/>
      <c r="G148" s="731"/>
      <c r="H148" s="731"/>
      <c r="I148" s="731"/>
      <c r="J148" s="731"/>
      <c r="K148" s="731"/>
      <c r="L148" s="731"/>
      <c r="M148" s="731"/>
      <c r="N148" s="731"/>
      <c r="O148" s="731"/>
      <c r="P148" s="731"/>
      <c r="Q148" s="731"/>
    </row>
    <row r="149" spans="2:20" ht="13.5" customHeight="1">
      <c r="B149" s="1139"/>
      <c r="G149" s="1073"/>
      <c r="L149" s="1073"/>
      <c r="R149" s="1073"/>
    </row>
    <row r="150" spans="2:20">
      <c r="B150" s="1120"/>
      <c r="C150" s="1120" t="s">
        <v>653</v>
      </c>
      <c r="D150" s="1120"/>
      <c r="E150" s="1048" t="s">
        <v>499</v>
      </c>
      <c r="F150" s="1140" t="s">
        <v>500</v>
      </c>
      <c r="G150" s="1140" t="s">
        <v>501</v>
      </c>
      <c r="H150" s="1140" t="s">
        <v>502</v>
      </c>
      <c r="I150" s="1140" t="s">
        <v>503</v>
      </c>
      <c r="J150" s="1140" t="s">
        <v>504</v>
      </c>
      <c r="K150" s="1140" t="s">
        <v>505</v>
      </c>
      <c r="L150" s="1140" t="s">
        <v>654</v>
      </c>
      <c r="M150" s="1140" t="s">
        <v>507</v>
      </c>
      <c r="N150" s="1140" t="s">
        <v>508</v>
      </c>
      <c r="O150" s="1141" t="s">
        <v>582</v>
      </c>
      <c r="P150" s="1140" t="s">
        <v>509</v>
      </c>
      <c r="Q150" s="1140" t="s">
        <v>510</v>
      </c>
    </row>
    <row r="151" spans="2:20">
      <c r="B151" s="1113" t="s">
        <v>655</v>
      </c>
      <c r="C151" s="1114"/>
      <c r="D151" s="1114"/>
      <c r="E151" s="1115">
        <f t="shared" ref="E151:Q151" si="60">-E145</f>
        <v>500433.38000000076</v>
      </c>
      <c r="F151" s="1116">
        <f t="shared" si="60"/>
        <v>-569740.23000000056</v>
      </c>
      <c r="G151" s="1117">
        <f t="shared" si="60"/>
        <v>-482236.63999999978</v>
      </c>
      <c r="H151" s="1118">
        <f t="shared" si="60"/>
        <v>1019179.9799999997</v>
      </c>
      <c r="I151" s="1118">
        <f t="shared" si="60"/>
        <v>375263.27999999991</v>
      </c>
      <c r="J151" s="1118">
        <f t="shared" si="60"/>
        <v>182095.13</v>
      </c>
      <c r="K151" s="1118">
        <f t="shared" si="60"/>
        <v>-205920.70999999996</v>
      </c>
      <c r="L151" s="1118">
        <f t="shared" si="60"/>
        <v>-906718.23</v>
      </c>
      <c r="M151" s="1118">
        <f t="shared" si="60"/>
        <v>430261.07999999996</v>
      </c>
      <c r="N151" s="1118">
        <f t="shared" si="60"/>
        <v>329062.47999999957</v>
      </c>
      <c r="O151" s="1118">
        <f t="shared" si="60"/>
        <v>4410222.47</v>
      </c>
      <c r="P151" s="1118">
        <f t="shared" si="60"/>
        <v>951120.64999999956</v>
      </c>
      <c r="Q151" s="1118">
        <f t="shared" si="60"/>
        <v>1681193.7699999986</v>
      </c>
      <c r="S151" s="1073">
        <f t="shared" ref="S151:S156" si="61">SUM(E151:M151)</f>
        <v>342617.04000000015</v>
      </c>
    </row>
    <row r="152" spans="2:20">
      <c r="B152" s="1119" t="s">
        <v>656</v>
      </c>
      <c r="C152" s="1120"/>
      <c r="D152" s="1120"/>
      <c r="E152" s="1096">
        <f t="shared" ref="E152:N152" si="62">E15</f>
        <v>-104974.8900000006</v>
      </c>
      <c r="F152" s="1073">
        <f t="shared" si="62"/>
        <v>243424.02000000048</v>
      </c>
      <c r="G152" s="1117">
        <f t="shared" si="62"/>
        <v>247268.00999999978</v>
      </c>
      <c r="H152" s="1118">
        <f t="shared" si="62"/>
        <v>-420323.66999999993</v>
      </c>
      <c r="I152" s="1118">
        <f t="shared" si="62"/>
        <v>-182532.60999999987</v>
      </c>
      <c r="J152" s="1118">
        <f t="shared" si="62"/>
        <v>42721.840000000084</v>
      </c>
      <c r="K152" s="1118">
        <f t="shared" si="62"/>
        <v>204925.4099999998</v>
      </c>
      <c r="L152" s="1118">
        <f t="shared" si="62"/>
        <v>555710.47</v>
      </c>
      <c r="M152" s="1118">
        <f t="shared" si="62"/>
        <v>-245916.81999999983</v>
      </c>
      <c r="N152" s="1118">
        <f t="shared" si="62"/>
        <v>-235838.46999999974</v>
      </c>
      <c r="O152" s="1118">
        <f>+O15</f>
        <v>-1285433.2000000007</v>
      </c>
      <c r="P152" s="1118">
        <f>P15</f>
        <v>-342428.44999999925</v>
      </c>
      <c r="Q152" s="1118">
        <f>Q15</f>
        <v>-1185449.2499999991</v>
      </c>
      <c r="S152" s="1073">
        <f t="shared" si="61"/>
        <v>340301.75999999989</v>
      </c>
    </row>
    <row r="153" spans="2:20">
      <c r="B153" s="1121" t="s">
        <v>657</v>
      </c>
      <c r="C153" s="1120"/>
      <c r="D153" s="1120"/>
      <c r="E153" s="1096">
        <f t="shared" ref="E153:Q153" si="63">E27+E39</f>
        <v>3438.1200000000099</v>
      </c>
      <c r="F153" s="1073">
        <f t="shared" si="63"/>
        <v>12471.729999999989</v>
      </c>
      <c r="G153" s="1117">
        <f t="shared" si="63"/>
        <v>-34066.900000000031</v>
      </c>
      <c r="H153" s="1118">
        <f t="shared" si="63"/>
        <v>27665.760000000017</v>
      </c>
      <c r="I153" s="1118">
        <f t="shared" si="63"/>
        <v>-12182.549999999992</v>
      </c>
      <c r="J153" s="1118">
        <f t="shared" si="63"/>
        <v>41084.080000000016</v>
      </c>
      <c r="K153" s="1118">
        <f t="shared" si="63"/>
        <v>34050.359999999986</v>
      </c>
      <c r="L153" s="1118">
        <f t="shared" si="63"/>
        <v>14766.29</v>
      </c>
      <c r="M153" s="1118">
        <f t="shared" si="63"/>
        <v>22410.840000000007</v>
      </c>
      <c r="N153" s="1118">
        <f t="shared" si="63"/>
        <v>9183.4099999999926</v>
      </c>
      <c r="O153" s="1118">
        <f t="shared" si="63"/>
        <v>-502100.89</v>
      </c>
      <c r="P153" s="1118">
        <f t="shared" si="63"/>
        <v>-4267.1499999999869</v>
      </c>
      <c r="Q153" s="1118">
        <f t="shared" si="63"/>
        <v>1712.1499999999869</v>
      </c>
      <c r="S153" s="1073">
        <f t="shared" si="61"/>
        <v>109637.73</v>
      </c>
    </row>
    <row r="154" spans="2:20">
      <c r="B154" s="1121" t="s">
        <v>658</v>
      </c>
      <c r="C154" s="1120"/>
      <c r="D154" s="1120"/>
      <c r="E154" s="1096">
        <f t="shared" ref="E154:N154" si="64">E50+E62+E79+E93</f>
        <v>-391893.76000000013</v>
      </c>
      <c r="F154" s="1073">
        <f t="shared" si="64"/>
        <v>321975.27</v>
      </c>
      <c r="G154" s="1117">
        <f t="shared" si="64"/>
        <v>270105.75</v>
      </c>
      <c r="H154" s="1118">
        <f t="shared" si="64"/>
        <v>-623923.07999999973</v>
      </c>
      <c r="I154" s="1118">
        <f t="shared" si="64"/>
        <v>-178221.27</v>
      </c>
      <c r="J154" s="1118">
        <f t="shared" si="64"/>
        <v>-266393.29000000004</v>
      </c>
      <c r="K154" s="1118">
        <f t="shared" si="64"/>
        <v>-35260.59999999986</v>
      </c>
      <c r="L154" s="1118">
        <f t="shared" si="64"/>
        <v>334704.17000000004</v>
      </c>
      <c r="M154" s="1118">
        <f t="shared" si="64"/>
        <v>-208550.05000000013</v>
      </c>
      <c r="N154" s="1118">
        <f t="shared" si="64"/>
        <v>-107456.59999999974</v>
      </c>
      <c r="O154" s="1118">
        <f>O50+O62+O93</f>
        <v>-2415449.1599999988</v>
      </c>
      <c r="P154" s="1118">
        <f>P50+P62+P79+P93</f>
        <v>-605557.13000000012</v>
      </c>
      <c r="Q154" s="1118">
        <f>Q50+Q62+Q79+Q93</f>
        <v>-498275.3899999999</v>
      </c>
      <c r="S154" s="1073">
        <f t="shared" si="61"/>
        <v>-777456.85999999987</v>
      </c>
    </row>
    <row r="155" spans="2:20">
      <c r="B155" s="1121" t="s">
        <v>659</v>
      </c>
      <c r="C155" s="1120"/>
      <c r="D155" s="1120"/>
      <c r="E155" s="1096">
        <f t="shared" ref="E155:Q155" si="65">E108</f>
        <v>-483.06</v>
      </c>
      <c r="F155" s="1073">
        <f t="shared" si="65"/>
        <v>-362.25</v>
      </c>
      <c r="G155" s="1117">
        <f t="shared" si="65"/>
        <v>-463.55999999999995</v>
      </c>
      <c r="H155" s="1118">
        <f t="shared" si="65"/>
        <v>-353.91</v>
      </c>
      <c r="I155" s="1118">
        <f t="shared" si="65"/>
        <v>-285.11</v>
      </c>
      <c r="J155" s="1118">
        <f t="shared" si="65"/>
        <v>-211.79</v>
      </c>
      <c r="K155" s="1118">
        <f t="shared" si="65"/>
        <v>-187.39</v>
      </c>
      <c r="L155" s="1118">
        <f t="shared" si="65"/>
        <v>-198.78</v>
      </c>
      <c r="M155" s="1118">
        <f t="shared" si="65"/>
        <v>-227.75</v>
      </c>
      <c r="N155" s="1118">
        <f t="shared" si="65"/>
        <v>-364.68</v>
      </c>
      <c r="O155" s="1118">
        <f t="shared" si="65"/>
        <v>3451.1799999999994</v>
      </c>
      <c r="P155" s="1118">
        <f t="shared" si="65"/>
        <v>-347.5</v>
      </c>
      <c r="Q155" s="1118">
        <f t="shared" si="65"/>
        <v>-516.03</v>
      </c>
      <c r="S155" s="1073">
        <f t="shared" si="61"/>
        <v>-2773.6</v>
      </c>
    </row>
    <row r="156" spans="2:20">
      <c r="B156" s="1122" t="s">
        <v>660</v>
      </c>
      <c r="C156" s="1123"/>
      <c r="D156" s="1123"/>
      <c r="E156" s="1124">
        <f t="shared" ref="E156:Q156" si="66">E124+E139</f>
        <v>-6519.7899999999991</v>
      </c>
      <c r="F156" s="1125">
        <f t="shared" si="66"/>
        <v>-7768.5399999999972</v>
      </c>
      <c r="G156" s="1126">
        <f t="shared" si="66"/>
        <v>-606.66000000000349</v>
      </c>
      <c r="H156" s="1127">
        <f t="shared" si="66"/>
        <v>-2245.08</v>
      </c>
      <c r="I156" s="1127">
        <f t="shared" si="66"/>
        <v>-2041.7399999999998</v>
      </c>
      <c r="J156" s="1127">
        <f t="shared" si="66"/>
        <v>704.03000000000065</v>
      </c>
      <c r="K156" s="1127">
        <f t="shared" si="66"/>
        <v>2392.9300000000003</v>
      </c>
      <c r="L156" s="1127">
        <f t="shared" si="66"/>
        <v>1736.079999999999</v>
      </c>
      <c r="M156" s="1127">
        <f t="shared" si="66"/>
        <v>2022.7000000000016</v>
      </c>
      <c r="N156" s="1127">
        <f t="shared" si="66"/>
        <v>5413.8600000000015</v>
      </c>
      <c r="O156" s="1127">
        <f t="shared" si="66"/>
        <v>20894.48</v>
      </c>
      <c r="P156" s="1127">
        <f t="shared" si="66"/>
        <v>1479.58</v>
      </c>
      <c r="Q156" s="1127">
        <f t="shared" si="66"/>
        <v>1334.7499999999964</v>
      </c>
      <c r="S156" s="1073">
        <f t="shared" si="61"/>
        <v>-12326.07</v>
      </c>
    </row>
    <row r="157" spans="2:20" ht="9" customHeight="1">
      <c r="B157" s="1139"/>
      <c r="G157" s="1073"/>
    </row>
    <row r="159" spans="2:20">
      <c r="E159" s="732"/>
      <c r="F159" s="732"/>
      <c r="G159" s="732"/>
      <c r="H159" s="732"/>
    </row>
    <row r="160" spans="2:20">
      <c r="E160" s="732"/>
      <c r="F160" s="732"/>
      <c r="G160" s="732"/>
      <c r="H160" s="732"/>
    </row>
    <row r="161" spans="2:20">
      <c r="B161" s="962" t="s">
        <v>655</v>
      </c>
      <c r="E161" s="732"/>
      <c r="F161" s="732"/>
      <c r="G161" s="732"/>
      <c r="H161" s="732"/>
      <c r="I161" s="731"/>
      <c r="J161" s="731"/>
      <c r="K161" s="731"/>
      <c r="L161" s="731"/>
      <c r="M161" s="731"/>
      <c r="N161" s="731"/>
      <c r="T161" s="962">
        <v>267617.04000000015</v>
      </c>
    </row>
    <row r="162" spans="2:20">
      <c r="B162" s="962" t="s">
        <v>656</v>
      </c>
      <c r="E162" s="732"/>
      <c r="F162" s="732"/>
      <c r="G162" s="732"/>
      <c r="H162" s="732"/>
      <c r="I162" s="731"/>
      <c r="J162" s="731"/>
      <c r="K162" s="731"/>
      <c r="L162" s="731"/>
      <c r="M162" s="731"/>
      <c r="N162" s="731"/>
      <c r="T162" s="962">
        <v>415301.75999999989</v>
      </c>
    </row>
    <row r="163" spans="2:20">
      <c r="B163" s="962" t="s">
        <v>657</v>
      </c>
      <c r="E163" s="731"/>
      <c r="F163" s="731"/>
      <c r="G163" s="731"/>
      <c r="H163" s="731"/>
      <c r="I163" s="731"/>
      <c r="J163" s="731"/>
      <c r="K163" s="731"/>
      <c r="L163" s="731"/>
      <c r="M163" s="731"/>
      <c r="N163" s="731"/>
      <c r="T163" s="962">
        <v>109637.73</v>
      </c>
    </row>
    <row r="164" spans="2:20">
      <c r="B164" s="962" t="s">
        <v>658</v>
      </c>
      <c r="E164" s="731"/>
      <c r="F164" s="731"/>
      <c r="G164" s="731"/>
      <c r="H164" s="731"/>
      <c r="I164" s="731"/>
      <c r="J164" s="731"/>
      <c r="K164" s="731"/>
      <c r="L164" s="731"/>
      <c r="M164" s="731"/>
      <c r="N164" s="731"/>
      <c r="T164" s="962">
        <v>-777456.85999999987</v>
      </c>
    </row>
    <row r="165" spans="2:20">
      <c r="B165" s="962" t="s">
        <v>659</v>
      </c>
      <c r="E165" s="731"/>
      <c r="F165" s="731"/>
      <c r="G165" s="731"/>
      <c r="H165" s="731"/>
      <c r="I165" s="731"/>
      <c r="J165" s="731"/>
      <c r="K165" s="731"/>
      <c r="L165" s="731"/>
      <c r="M165" s="731"/>
      <c r="N165" s="731"/>
      <c r="T165" s="962">
        <v>-2773.6</v>
      </c>
    </row>
    <row r="166" spans="2:20">
      <c r="B166" s="962" t="s">
        <v>660</v>
      </c>
      <c r="E166" s="731"/>
      <c r="F166" s="731"/>
      <c r="G166" s="731"/>
      <c r="H166" s="731"/>
      <c r="I166" s="731"/>
      <c r="J166" s="731"/>
      <c r="K166" s="731"/>
      <c r="L166" s="731"/>
      <c r="M166" s="731"/>
      <c r="N166" s="731"/>
      <c r="T166" s="962">
        <v>-12326.07</v>
      </c>
    </row>
  </sheetData>
  <mergeCells count="3">
    <mergeCell ref="B1:Q1"/>
    <mergeCell ref="C2:R2"/>
    <mergeCell ref="C3:R3"/>
  </mergeCells>
  <dataValidations count="1">
    <dataValidation type="list" allowBlank="1" showInputMessage="1" showErrorMessage="1" sqref="AE103" xr:uid="{152CC8B5-FA44-48A4-9D07-D6477DDBD0CD}">
      <formula1>"Yes, No"</formula1>
    </dataValidation>
  </dataValidations>
  <hyperlinks>
    <hyperlink ref="AC7" r:id="rId1" xr:uid="{58DB41BE-8483-4069-9754-D4B2A3B627A5}"/>
    <hyperlink ref="T6" r:id="rId2" xr:uid="{D3DFB344-A027-4E60-90F7-0B1CA852D7F1}"/>
  </hyperlinks>
  <pageMargins left="0.5" right="0.25" top="0.5" bottom="0" header="0.3" footer="0.3"/>
  <pageSetup scale="48" fitToHeight="2" orientation="landscape" r:id="rId3"/>
  <rowBreaks count="2" manualBreakCount="2">
    <brk id="66" max="17" man="1"/>
    <brk id="112" max="17" man="1"/>
  </rowBreaks>
  <colBreaks count="1" manualBreakCount="1">
    <brk id="16" min="1" max="156" man="1"/>
  </colBreaks>
  <drawing r:id="rId4"/>
  <legacyDrawing r:id="rId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821B1-7E34-4162-90D7-18909835E930}">
  <sheetPr codeName="Sheet59">
    <tabColor theme="7"/>
  </sheetPr>
  <dimension ref="A1:M18"/>
  <sheetViews>
    <sheetView showGridLines="0" zoomScale="80" zoomScaleNormal="80" workbookViewId="0">
      <selection activeCell="B2" sqref="B2:M18"/>
    </sheetView>
  </sheetViews>
  <sheetFormatPr defaultColWidth="8.85546875" defaultRowHeight="15"/>
  <cols>
    <col min="1" max="16384" width="8.85546875" style="113"/>
  </cols>
  <sheetData>
    <row r="1" spans="1:13">
      <c r="A1" s="15" t="str">
        <f ca="1">MID(CELL("filename",A1),FIND("]",CELL("filename",A1))+1,255)</f>
        <v>Rev Req ---&gt;</v>
      </c>
    </row>
    <row r="2" spans="1:13">
      <c r="B2" s="1486" t="s">
        <v>661</v>
      </c>
      <c r="C2" s="1486"/>
      <c r="D2" s="1486"/>
      <c r="E2" s="1486"/>
      <c r="F2" s="1486"/>
      <c r="G2" s="1486"/>
      <c r="H2" s="1486"/>
      <c r="I2" s="1486"/>
      <c r="J2" s="1486"/>
      <c r="K2" s="1486"/>
      <c r="L2" s="1486"/>
      <c r="M2" s="1486"/>
    </row>
    <row r="3" spans="1:13">
      <c r="B3" s="1486"/>
      <c r="C3" s="1486"/>
      <c r="D3" s="1486"/>
      <c r="E3" s="1486"/>
      <c r="F3" s="1486"/>
      <c r="G3" s="1486"/>
      <c r="H3" s="1486"/>
      <c r="I3" s="1486"/>
      <c r="J3" s="1486"/>
      <c r="K3" s="1486"/>
      <c r="L3" s="1486"/>
      <c r="M3" s="1486"/>
    </row>
    <row r="4" spans="1:13">
      <c r="B4" s="1486"/>
      <c r="C4" s="1486"/>
      <c r="D4" s="1486"/>
      <c r="E4" s="1486"/>
      <c r="F4" s="1486"/>
      <c r="G4" s="1486"/>
      <c r="H4" s="1486"/>
      <c r="I4" s="1486"/>
      <c r="J4" s="1486"/>
      <c r="K4" s="1486"/>
      <c r="L4" s="1486"/>
      <c r="M4" s="1486"/>
    </row>
    <row r="5" spans="1:13">
      <c r="B5" s="1486"/>
      <c r="C5" s="1486"/>
      <c r="D5" s="1486"/>
      <c r="E5" s="1486"/>
      <c r="F5" s="1486"/>
      <c r="G5" s="1486"/>
      <c r="H5" s="1486"/>
      <c r="I5" s="1486"/>
      <c r="J5" s="1486"/>
      <c r="K5" s="1486"/>
      <c r="L5" s="1486"/>
      <c r="M5" s="1486"/>
    </row>
    <row r="6" spans="1:13">
      <c r="B6" s="1486"/>
      <c r="C6" s="1486"/>
      <c r="D6" s="1486"/>
      <c r="E6" s="1486"/>
      <c r="F6" s="1486"/>
      <c r="G6" s="1486"/>
      <c r="H6" s="1486"/>
      <c r="I6" s="1486"/>
      <c r="J6" s="1486"/>
      <c r="K6" s="1486"/>
      <c r="L6" s="1486"/>
      <c r="M6" s="1486"/>
    </row>
    <row r="7" spans="1:13">
      <c r="B7" s="1486"/>
      <c r="C7" s="1486"/>
      <c r="D7" s="1486"/>
      <c r="E7" s="1486"/>
      <c r="F7" s="1486"/>
      <c r="G7" s="1486"/>
      <c r="H7" s="1486"/>
      <c r="I7" s="1486"/>
      <c r="J7" s="1486"/>
      <c r="K7" s="1486"/>
      <c r="L7" s="1486"/>
      <c r="M7" s="1486"/>
    </row>
    <row r="8" spans="1:13">
      <c r="B8" s="1486"/>
      <c r="C8" s="1486"/>
      <c r="D8" s="1486"/>
      <c r="E8" s="1486"/>
      <c r="F8" s="1486"/>
      <c r="G8" s="1486"/>
      <c r="H8" s="1486"/>
      <c r="I8" s="1486"/>
      <c r="J8" s="1486"/>
      <c r="K8" s="1486"/>
      <c r="L8" s="1486"/>
      <c r="M8" s="1486"/>
    </row>
    <row r="9" spans="1:13">
      <c r="B9" s="1486"/>
      <c r="C9" s="1486"/>
      <c r="D9" s="1486"/>
      <c r="E9" s="1486"/>
      <c r="F9" s="1486"/>
      <c r="G9" s="1486"/>
      <c r="H9" s="1486"/>
      <c r="I9" s="1486"/>
      <c r="J9" s="1486"/>
      <c r="K9" s="1486"/>
      <c r="L9" s="1486"/>
      <c r="M9" s="1486"/>
    </row>
    <row r="10" spans="1:13">
      <c r="B10" s="1486"/>
      <c r="C10" s="1486"/>
      <c r="D10" s="1486"/>
      <c r="E10" s="1486"/>
      <c r="F10" s="1486"/>
      <c r="G10" s="1486"/>
      <c r="H10" s="1486"/>
      <c r="I10" s="1486"/>
      <c r="J10" s="1486"/>
      <c r="K10" s="1486"/>
      <c r="L10" s="1486"/>
      <c r="M10" s="1486"/>
    </row>
    <row r="11" spans="1:13">
      <c r="B11" s="1486"/>
      <c r="C11" s="1486"/>
      <c r="D11" s="1486"/>
      <c r="E11" s="1486"/>
      <c r="F11" s="1486"/>
      <c r="G11" s="1486"/>
      <c r="H11" s="1486"/>
      <c r="I11" s="1486"/>
      <c r="J11" s="1486"/>
      <c r="K11" s="1486"/>
      <c r="L11" s="1486"/>
      <c r="M11" s="1486"/>
    </row>
    <row r="12" spans="1:13">
      <c r="B12" s="1486"/>
      <c r="C12" s="1486"/>
      <c r="D12" s="1486"/>
      <c r="E12" s="1486"/>
      <c r="F12" s="1486"/>
      <c r="G12" s="1486"/>
      <c r="H12" s="1486"/>
      <c r="I12" s="1486"/>
      <c r="J12" s="1486"/>
      <c r="K12" s="1486"/>
      <c r="L12" s="1486"/>
      <c r="M12" s="1486"/>
    </row>
    <row r="13" spans="1:13">
      <c r="B13" s="1486"/>
      <c r="C13" s="1486"/>
      <c r="D13" s="1486"/>
      <c r="E13" s="1486"/>
      <c r="F13" s="1486"/>
      <c r="G13" s="1486"/>
      <c r="H13" s="1486"/>
      <c r="I13" s="1486"/>
      <c r="J13" s="1486"/>
      <c r="K13" s="1486"/>
      <c r="L13" s="1486"/>
      <c r="M13" s="1486"/>
    </row>
    <row r="14" spans="1:13">
      <c r="B14" s="1486"/>
      <c r="C14" s="1486"/>
      <c r="D14" s="1486"/>
      <c r="E14" s="1486"/>
      <c r="F14" s="1486"/>
      <c r="G14" s="1486"/>
      <c r="H14" s="1486"/>
      <c r="I14" s="1486"/>
      <c r="J14" s="1486"/>
      <c r="K14" s="1486"/>
      <c r="L14" s="1486"/>
      <c r="M14" s="1486"/>
    </row>
    <row r="15" spans="1:13">
      <c r="B15" s="1486"/>
      <c r="C15" s="1486"/>
      <c r="D15" s="1486"/>
      <c r="E15" s="1486"/>
      <c r="F15" s="1486"/>
      <c r="G15" s="1486"/>
      <c r="H15" s="1486"/>
      <c r="I15" s="1486"/>
      <c r="J15" s="1486"/>
      <c r="K15" s="1486"/>
      <c r="L15" s="1486"/>
      <c r="M15" s="1486"/>
    </row>
    <row r="16" spans="1:13">
      <c r="B16" s="1486"/>
      <c r="C16" s="1486"/>
      <c r="D16" s="1486"/>
      <c r="E16" s="1486"/>
      <c r="F16" s="1486"/>
      <c r="G16" s="1486"/>
      <c r="H16" s="1486"/>
      <c r="I16" s="1486"/>
      <c r="J16" s="1486"/>
      <c r="K16" s="1486"/>
      <c r="L16" s="1486"/>
      <c r="M16" s="1486"/>
    </row>
    <row r="17" spans="2:13">
      <c r="B17" s="1486"/>
      <c r="C17" s="1486"/>
      <c r="D17" s="1486"/>
      <c r="E17" s="1486"/>
      <c r="F17" s="1486"/>
      <c r="G17" s="1486"/>
      <c r="H17" s="1486"/>
      <c r="I17" s="1486"/>
      <c r="J17" s="1486"/>
      <c r="K17" s="1486"/>
      <c r="L17" s="1486"/>
      <c r="M17" s="1486"/>
    </row>
    <row r="18" spans="2:13">
      <c r="B18" s="1486"/>
      <c r="C18" s="1486"/>
      <c r="D18" s="1486"/>
      <c r="E18" s="1486"/>
      <c r="F18" s="1486"/>
      <c r="G18" s="1486"/>
      <c r="H18" s="1486"/>
      <c r="I18" s="1486"/>
      <c r="J18" s="1486"/>
      <c r="K18" s="1486"/>
      <c r="L18" s="1486"/>
      <c r="M18" s="1486"/>
    </row>
  </sheetData>
  <mergeCells count="1">
    <mergeCell ref="B2:M1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7030A0"/>
    <pageSetUpPr fitToPage="1"/>
  </sheetPr>
  <dimension ref="A1:S76"/>
  <sheetViews>
    <sheetView view="pageBreakPreview" topLeftCell="A4" zoomScale="80" zoomScaleNormal="80" zoomScaleSheetLayoutView="80" workbookViewId="0">
      <selection activeCell="K45" sqref="K45"/>
    </sheetView>
  </sheetViews>
  <sheetFormatPr defaultColWidth="9.140625" defaultRowHeight="15"/>
  <cols>
    <col min="1" max="1" width="5.85546875" style="1142" customWidth="1"/>
    <col min="2" max="2" width="36.85546875" style="1142" customWidth="1"/>
    <col min="3" max="9" width="15" style="1142" customWidth="1"/>
    <col min="10" max="10" width="5" style="1142" customWidth="1"/>
    <col min="11" max="11" width="14.28515625" style="1142" bestFit="1" customWidth="1"/>
    <col min="12" max="12" width="4.7109375" style="1142" customWidth="1"/>
    <col min="13" max="13" width="14.85546875" style="1142" bestFit="1" customWidth="1"/>
    <col min="14" max="14" width="6.85546875" style="1142" bestFit="1" customWidth="1"/>
    <col min="15" max="15" width="12.28515625" style="1142" bestFit="1" customWidth="1"/>
    <col min="16" max="16" width="32.140625" style="1142" bestFit="1" customWidth="1"/>
    <col min="17" max="17" width="6.5703125" style="1142" bestFit="1" customWidth="1"/>
    <col min="18" max="18" width="33" style="1142" bestFit="1" customWidth="1"/>
    <col min="19" max="19" width="12.28515625" style="1142" bestFit="1" customWidth="1"/>
    <col min="20" max="16384" width="9.140625" style="1142"/>
  </cols>
  <sheetData>
    <row r="1" spans="1:19">
      <c r="A1" s="1504" t="str">
        <f>Company</f>
        <v>Cascade Natural Gas Corp.</v>
      </c>
      <c r="B1" s="1504"/>
      <c r="C1" s="1504"/>
      <c r="D1" s="1504"/>
      <c r="E1" s="1504"/>
      <c r="F1" s="1504"/>
      <c r="G1" s="1504"/>
      <c r="H1" s="1504"/>
      <c r="I1" s="1504"/>
    </row>
    <row r="2" spans="1:19">
      <c r="A2" s="1504" t="str">
        <f>Title1</f>
        <v>Washington Jurisdiction</v>
      </c>
      <c r="B2" s="1504"/>
      <c r="C2" s="1504"/>
      <c r="D2" s="1504"/>
      <c r="E2" s="1504"/>
      <c r="F2" s="1504"/>
      <c r="G2" s="1504"/>
      <c r="H2" s="1504"/>
      <c r="I2" s="1504"/>
    </row>
    <row r="3" spans="1:19">
      <c r="A3" s="1504" t="str">
        <f>Title2</f>
        <v>Twelve-Months ended December 31, 2020</v>
      </c>
      <c r="B3" s="1504"/>
      <c r="C3" s="1504"/>
      <c r="D3" s="1504"/>
      <c r="E3" s="1504"/>
      <c r="F3" s="1504"/>
      <c r="G3" s="1504"/>
      <c r="H3" s="1504"/>
      <c r="I3" s="1504"/>
    </row>
    <row r="4" spans="1:19">
      <c r="A4" s="1504" t="s">
        <v>662</v>
      </c>
      <c r="B4" s="1504"/>
      <c r="C4" s="1504"/>
      <c r="D4" s="1504"/>
      <c r="E4" s="1504"/>
      <c r="F4" s="1504"/>
      <c r="G4" s="1504"/>
      <c r="H4" s="1504"/>
      <c r="I4" s="1504"/>
      <c r="M4" s="1150"/>
      <c r="O4" s="1389"/>
    </row>
    <row r="5" spans="1:19">
      <c r="A5" s="1143"/>
      <c r="B5" s="1143"/>
      <c r="C5" s="1143"/>
      <c r="D5" s="1143"/>
      <c r="E5" s="1143"/>
      <c r="F5" s="1143"/>
      <c r="G5" s="1143"/>
      <c r="H5" s="1143"/>
      <c r="I5" s="1143"/>
      <c r="O5" s="1158"/>
    </row>
    <row r="6" spans="1:19" ht="45">
      <c r="A6" s="1144" t="s">
        <v>8</v>
      </c>
      <c r="B6" s="1144" t="s">
        <v>9</v>
      </c>
      <c r="C6" s="1144" t="s">
        <v>663</v>
      </c>
      <c r="D6" s="1144" t="s">
        <v>664</v>
      </c>
      <c r="E6" s="1144" t="s">
        <v>665</v>
      </c>
      <c r="F6" s="1144" t="s">
        <v>666</v>
      </c>
      <c r="G6" s="1144" t="s">
        <v>667</v>
      </c>
      <c r="H6" s="1144" t="s">
        <v>668</v>
      </c>
      <c r="I6" s="1144" t="s">
        <v>669</v>
      </c>
      <c r="K6" s="1144" t="s">
        <v>3249</v>
      </c>
      <c r="M6" s="1144" t="s">
        <v>3296</v>
      </c>
      <c r="N6" s="1146"/>
    </row>
    <row r="7" spans="1:19">
      <c r="A7" s="1147"/>
      <c r="B7" s="1148" t="s">
        <v>2</v>
      </c>
      <c r="C7" s="1148" t="s">
        <v>3</v>
      </c>
      <c r="D7" s="1149" t="s">
        <v>4</v>
      </c>
      <c r="E7" s="1148" t="s">
        <v>670</v>
      </c>
      <c r="F7" s="1149" t="s">
        <v>6</v>
      </c>
      <c r="G7" s="1148" t="s">
        <v>671</v>
      </c>
      <c r="H7" s="1148" t="s">
        <v>274</v>
      </c>
      <c r="I7" s="1148" t="s">
        <v>672</v>
      </c>
      <c r="K7" s="1148" t="s">
        <v>672</v>
      </c>
      <c r="M7" s="1148" t="s">
        <v>274</v>
      </c>
    </row>
    <row r="8" spans="1:19">
      <c r="A8" s="1151">
        <v>1</v>
      </c>
      <c r="B8" s="1152" t="s">
        <v>673</v>
      </c>
      <c r="C8" s="1153"/>
      <c r="D8" s="1154"/>
      <c r="E8" s="1153"/>
      <c r="F8" s="1154"/>
      <c r="G8" s="1153"/>
      <c r="H8" s="1153"/>
      <c r="I8" s="1153"/>
      <c r="K8" s="1145"/>
      <c r="O8" s="1150"/>
    </row>
    <row r="9" spans="1:19">
      <c r="A9" s="1151">
        <v>2</v>
      </c>
      <c r="B9" s="1153" t="s">
        <v>674</v>
      </c>
      <c r="C9" s="1155">
        <f>+'Operating Report'!F18</f>
        <v>239620241.37</v>
      </c>
      <c r="D9" s="1156">
        <f>'Exh MCG-5, Summary of Adj'!P8</f>
        <v>-146456948.85939422</v>
      </c>
      <c r="E9" s="1157">
        <f>SUM(C9:D9)</f>
        <v>93163292.510605782</v>
      </c>
      <c r="F9" s="1156">
        <f>'Exh MCG-5, Summary of Adj'!Z8</f>
        <v>1407372.245134247</v>
      </c>
      <c r="G9" s="1157">
        <f>SUM(E9:F9)</f>
        <v>94570664.755740032</v>
      </c>
      <c r="H9" s="1157">
        <f>+'Exh MCG-3, Rev Req Calc'!C14</f>
        <v>7188900</v>
      </c>
      <c r="I9" s="1157">
        <f>SUM(G9:H9)</f>
        <v>101759564.75574003</v>
      </c>
      <c r="K9" s="1157">
        <v>108295950.75574003</v>
      </c>
      <c r="L9" s="1145"/>
      <c r="O9" s="1150"/>
      <c r="Q9" s="1150"/>
    </row>
    <row r="10" spans="1:19">
      <c r="A10" s="1151">
        <v>3</v>
      </c>
      <c r="B10" s="1153" t="s">
        <v>675</v>
      </c>
      <c r="C10" s="1158">
        <f>+'Operating Report'!F22</f>
        <v>25108662.77</v>
      </c>
      <c r="D10" s="1156">
        <f>'Exh MCG-5, Summary of Adj'!P9</f>
        <v>0</v>
      </c>
      <c r="E10" s="1157">
        <f>SUM(C10:D10)</f>
        <v>25108662.77</v>
      </c>
      <c r="F10" s="1156">
        <f>'Exh MCG-5, Summary of Adj'!Z9</f>
        <v>0</v>
      </c>
      <c r="G10" s="1157">
        <f>SUM(E10:F10)</f>
        <v>25108662.77</v>
      </c>
      <c r="H10" s="1156"/>
      <c r="I10" s="1157">
        <f>SUM(G10:H10)</f>
        <v>25108662.77</v>
      </c>
      <c r="K10" s="1157">
        <v>25108662.77</v>
      </c>
      <c r="L10" s="1145"/>
      <c r="O10" s="1150"/>
      <c r="Q10" s="1150"/>
    </row>
    <row r="11" spans="1:19">
      <c r="A11" s="1151">
        <v>4</v>
      </c>
      <c r="B11" s="1153" t="s">
        <v>676</v>
      </c>
      <c r="C11" s="1159">
        <f>+'Operating Report'!F28-'Operating Report'!F22</f>
        <v>783349.4299999997</v>
      </c>
      <c r="D11" s="1160">
        <f>'Exh MCG-5, Summary of Adj'!P10</f>
        <v>3240682.879999999</v>
      </c>
      <c r="E11" s="1161">
        <f>SUM(C11:D11)</f>
        <v>4024032.3099999987</v>
      </c>
      <c r="F11" s="1160">
        <f>'Exh MCG-5, Summary of Adj'!Z10</f>
        <v>0</v>
      </c>
      <c r="G11" s="1161">
        <f>SUM(E11:F11)</f>
        <v>4024032.3099999987</v>
      </c>
      <c r="H11" s="1160"/>
      <c r="I11" s="1161">
        <f>SUM(G11:H11)</f>
        <v>4024032.3099999987</v>
      </c>
      <c r="K11" s="1161">
        <v>4024032.3099999991</v>
      </c>
      <c r="L11" s="1145"/>
      <c r="O11" s="1150"/>
      <c r="Q11" s="1150"/>
      <c r="R11" s="1150"/>
    </row>
    <row r="12" spans="1:19">
      <c r="A12" s="1151">
        <v>5</v>
      </c>
      <c r="B12" s="1162" t="s">
        <v>677</v>
      </c>
      <c r="C12" s="1158">
        <f t="shared" ref="C12:K12" si="0">SUM(C9:C11)</f>
        <v>265512253.57000002</v>
      </c>
      <c r="D12" s="1158">
        <f t="shared" si="0"/>
        <v>-143216265.97939423</v>
      </c>
      <c r="E12" s="1158">
        <f t="shared" si="0"/>
        <v>122295987.59060578</v>
      </c>
      <c r="F12" s="1158">
        <f t="shared" si="0"/>
        <v>1407372.245134247</v>
      </c>
      <c r="G12" s="1158">
        <f t="shared" si="0"/>
        <v>123703359.83574003</v>
      </c>
      <c r="H12" s="1461">
        <f t="shared" si="0"/>
        <v>7188900</v>
      </c>
      <c r="I12" s="1158">
        <f t="shared" si="0"/>
        <v>130892259.83574003</v>
      </c>
      <c r="K12" s="1158">
        <f t="shared" si="0"/>
        <v>137428645.83574003</v>
      </c>
      <c r="L12" s="1145"/>
      <c r="M12" s="1461">
        <v>7188900</v>
      </c>
      <c r="O12" s="1150"/>
      <c r="Q12" s="1150"/>
    </row>
    <row r="13" spans="1:19">
      <c r="A13" s="1151">
        <v>6</v>
      </c>
      <c r="B13" s="1153"/>
      <c r="C13" s="1163"/>
      <c r="D13" s="1163"/>
      <c r="E13" s="1163"/>
      <c r="F13" s="1163"/>
      <c r="G13" s="1163"/>
      <c r="H13" s="1163"/>
      <c r="I13" s="1163"/>
      <c r="K13" s="1163"/>
      <c r="L13" s="1145"/>
      <c r="M13" s="1460">
        <f>H12-M12</f>
        <v>0</v>
      </c>
      <c r="N13" s="1142" t="s">
        <v>3146</v>
      </c>
      <c r="O13" s="1150"/>
      <c r="Q13" s="1145"/>
    </row>
    <row r="14" spans="1:19">
      <c r="A14" s="1151">
        <v>7</v>
      </c>
      <c r="B14" s="1152" t="s">
        <v>678</v>
      </c>
      <c r="C14" s="1163"/>
      <c r="D14" s="1163"/>
      <c r="E14" s="1163"/>
      <c r="F14" s="1163"/>
      <c r="G14" s="1163"/>
      <c r="H14" s="1163"/>
      <c r="I14" s="1163"/>
      <c r="K14" s="1163"/>
      <c r="L14" s="1145"/>
      <c r="O14" s="1150"/>
    </row>
    <row r="15" spans="1:19">
      <c r="A15" s="1151">
        <v>8</v>
      </c>
      <c r="B15" s="1164" t="s">
        <v>679</v>
      </c>
      <c r="C15" s="1158">
        <f>+'Operating Report'!F38</f>
        <v>134273487.99000001</v>
      </c>
      <c r="D15" s="1156">
        <f>'Exh MCG-5, Summary of Adj'!P14</f>
        <v>-134273488.14999998</v>
      </c>
      <c r="E15" s="1157">
        <f t="shared" ref="E15:E26" si="1">SUM(C15:D15)</f>
        <v>-0.15999996662139893</v>
      </c>
      <c r="F15" s="1156">
        <f>+'Exh MCG-5, Summary of Adj'!Z14</f>
        <v>0</v>
      </c>
      <c r="G15" s="1157">
        <f t="shared" ref="G15:G26" si="2">SUM(E15:F15)</f>
        <v>-0.15999996662139893</v>
      </c>
      <c r="H15" s="1156"/>
      <c r="I15" s="1157">
        <f t="shared" ref="I15:I26" si="3">SUM(G15:H15)</f>
        <v>-0.15999996662139893</v>
      </c>
      <c r="K15" s="1157">
        <v>-9.9999904632568359E-3</v>
      </c>
      <c r="M15" s="1398"/>
      <c r="N15" s="1396"/>
      <c r="O15" s="1395"/>
      <c r="P15" s="1396"/>
      <c r="Q15" s="1396"/>
      <c r="R15" s="1396"/>
      <c r="S15" s="1396"/>
    </row>
    <row r="16" spans="1:19">
      <c r="A16" s="1151">
        <v>9</v>
      </c>
      <c r="B16" s="1164" t="s">
        <v>680</v>
      </c>
      <c r="C16" s="1158">
        <f>+'Operating Report'!F54</f>
        <v>22359046.649999999</v>
      </c>
      <c r="D16" s="1156">
        <f>'Exh MCG-5, Summary of Adj'!P15</f>
        <v>-5803123.0974850534</v>
      </c>
      <c r="E16" s="1157">
        <f t="shared" si="1"/>
        <v>16555923.552514944</v>
      </c>
      <c r="F16" s="1156">
        <f>+'Exh MCG-5, Summary of Adj'!Z15</f>
        <v>57026.72337283969</v>
      </c>
      <c r="G16" s="1157">
        <f>SUM(E16:F16)</f>
        <v>16612950.275887784</v>
      </c>
      <c r="H16" s="1156">
        <f>+H12*('Exh MCG-4, Conversion Factor'!$C$11+'Exh MCG-4, Conversion Factor'!$C$12)</f>
        <v>291294.228</v>
      </c>
      <c r="I16" s="1157">
        <f>SUM(G16:H16)</f>
        <v>16904244.503887784</v>
      </c>
      <c r="K16" s="1157">
        <v>17169098.864607785</v>
      </c>
      <c r="M16" s="1167"/>
      <c r="N16" s="1396"/>
      <c r="O16" s="1395"/>
      <c r="P16" s="1396"/>
      <c r="Q16" s="1396"/>
      <c r="R16" s="1396"/>
      <c r="S16" s="1396"/>
    </row>
    <row r="17" spans="1:19">
      <c r="A17" s="1151">
        <v>10</v>
      </c>
      <c r="B17" s="1165" t="s">
        <v>681</v>
      </c>
      <c r="C17" s="1158">
        <f>+'Operating Report'!F58</f>
        <v>321353.10000000003</v>
      </c>
      <c r="D17" s="1156">
        <f>'Exh MCG-5, Summary of Adj'!P16</f>
        <v>0</v>
      </c>
      <c r="E17" s="1157">
        <f t="shared" si="1"/>
        <v>321353.10000000003</v>
      </c>
      <c r="F17" s="1156">
        <f>+'Exh MCG-5, Summary of Adj'!Z16</f>
        <v>4497.9232520000005</v>
      </c>
      <c r="G17" s="1157">
        <f t="shared" si="2"/>
        <v>325851.02325200004</v>
      </c>
      <c r="H17" s="1156"/>
      <c r="I17" s="1157">
        <f t="shared" si="3"/>
        <v>325851.02325200004</v>
      </c>
      <c r="K17" s="1157">
        <v>325851.02325200004</v>
      </c>
      <c r="M17" s="1145"/>
      <c r="N17" s="1396"/>
      <c r="O17" s="1395"/>
      <c r="P17" s="1396"/>
      <c r="Q17" s="1396"/>
      <c r="R17" s="1396"/>
      <c r="S17" s="1396"/>
    </row>
    <row r="18" spans="1:19">
      <c r="A18" s="1151">
        <v>11</v>
      </c>
      <c r="B18" s="1165" t="s">
        <v>682</v>
      </c>
      <c r="C18" s="1158">
        <f>+'Operating Report'!F86</f>
        <v>20522670.57</v>
      </c>
      <c r="D18" s="1156">
        <f>'Exh MCG-5, Summary of Adj'!P17</f>
        <v>66959.090700000001</v>
      </c>
      <c r="E18" s="1157">
        <f t="shared" si="1"/>
        <v>20589629.660700001</v>
      </c>
      <c r="F18" s="1156">
        <f>+'Exh MCG-5, Summary of Adj'!Z17</f>
        <v>822633.76515099988</v>
      </c>
      <c r="G18" s="1157">
        <f t="shared" si="2"/>
        <v>21412263.425851002</v>
      </c>
      <c r="H18" s="1156"/>
      <c r="I18" s="1157">
        <f t="shared" si="3"/>
        <v>21412263.425851002</v>
      </c>
      <c r="K18" s="1157">
        <v>21412263.425851002</v>
      </c>
      <c r="M18" s="1396"/>
      <c r="N18" s="1396"/>
      <c r="O18" s="1395"/>
      <c r="P18" s="1396"/>
      <c r="Q18" s="1396"/>
      <c r="R18" s="1396"/>
      <c r="S18" s="1396"/>
    </row>
    <row r="19" spans="1:19">
      <c r="A19" s="1151">
        <v>12</v>
      </c>
      <c r="B19" s="1165" t="s">
        <v>683</v>
      </c>
      <c r="C19" s="1158">
        <f>+'Operating Report'!F94</f>
        <v>5675688.8200000003</v>
      </c>
      <c r="D19" s="1156">
        <f>'Exh MCG-5, Summary of Adj'!P18</f>
        <v>-527933.48029053479</v>
      </c>
      <c r="E19" s="1157">
        <f t="shared" si="1"/>
        <v>5147755.3397094654</v>
      </c>
      <c r="F19" s="1156">
        <f>+'Exh MCG-5, Summary of Adj'!Z18</f>
        <v>41100.503955640408</v>
      </c>
      <c r="G19" s="1157">
        <f t="shared" si="2"/>
        <v>5188855.8436651062</v>
      </c>
      <c r="H19" s="1156">
        <f>+H12*'Exh MCG-4, Conversion Factor'!$C$10</f>
        <v>26644.775514651967</v>
      </c>
      <c r="I19" s="1157">
        <f t="shared" si="3"/>
        <v>5215500.6191797582</v>
      </c>
      <c r="K19" s="1157">
        <v>5239726.9316402338</v>
      </c>
      <c r="L19" s="1145"/>
      <c r="M19" s="1145"/>
      <c r="N19" s="1396"/>
      <c r="O19" s="1395"/>
      <c r="P19" s="1396"/>
      <c r="Q19" s="1145"/>
      <c r="R19" s="1396"/>
      <c r="S19" s="1396"/>
    </row>
    <row r="20" spans="1:19">
      <c r="A20" s="1151">
        <v>13</v>
      </c>
      <c r="B20" s="1165" t="s">
        <v>684</v>
      </c>
      <c r="C20" s="1158">
        <f>+'Operating Report'!F101</f>
        <v>6424241.8100000005</v>
      </c>
      <c r="D20" s="1156">
        <f>'Exh MCG-5, Summary of Adj'!P19</f>
        <v>-6204365.5799999991</v>
      </c>
      <c r="E20" s="1157">
        <f t="shared" si="1"/>
        <v>219876.23000000138</v>
      </c>
      <c r="F20" s="1156">
        <f>+'Exh MCG-5, Summary of Adj'!Z19</f>
        <v>22907.018183</v>
      </c>
      <c r="G20" s="1157">
        <f t="shared" si="2"/>
        <v>242783.24818300139</v>
      </c>
      <c r="H20" s="1156"/>
      <c r="I20" s="1157">
        <f t="shared" si="3"/>
        <v>242783.24818300139</v>
      </c>
      <c r="K20" s="1157">
        <v>242783.24818300139</v>
      </c>
      <c r="L20" s="1166"/>
      <c r="M20" s="1167"/>
      <c r="N20" s="1396"/>
      <c r="O20" s="1395"/>
      <c r="P20" s="1396"/>
      <c r="Q20" s="1396"/>
      <c r="R20" s="1396"/>
      <c r="S20" s="1396"/>
    </row>
    <row r="21" spans="1:19">
      <c r="A21" s="1151">
        <v>14</v>
      </c>
      <c r="B21" s="1165" t="s">
        <v>685</v>
      </c>
      <c r="C21" s="1158">
        <f>+'Operating Report'!F108</f>
        <v>19846.009999999998</v>
      </c>
      <c r="D21" s="1156">
        <f>'Exh MCG-5, Summary of Adj'!P20</f>
        <v>-350</v>
      </c>
      <c r="E21" s="1157">
        <f t="shared" si="1"/>
        <v>19496.009999999998</v>
      </c>
      <c r="F21" s="1156">
        <f>+'Exh MCG-5, Summary of Adj'!Z20</f>
        <v>0</v>
      </c>
      <c r="G21" s="1157">
        <f t="shared" si="2"/>
        <v>19496.009999999998</v>
      </c>
      <c r="H21" s="1156"/>
      <c r="I21" s="1157">
        <f t="shared" si="3"/>
        <v>19496.009999999998</v>
      </c>
      <c r="K21" s="1157">
        <v>19496.009999999998</v>
      </c>
      <c r="M21" s="1167"/>
      <c r="N21" s="1396"/>
      <c r="O21" s="1395"/>
      <c r="P21" s="1396"/>
      <c r="Q21" s="1396"/>
      <c r="R21" s="1396"/>
      <c r="S21" s="1396"/>
    </row>
    <row r="22" spans="1:19">
      <c r="A22" s="1151">
        <v>15</v>
      </c>
      <c r="B22" s="1165" t="s">
        <v>686</v>
      </c>
      <c r="C22" s="1158">
        <f>+'Operating Report'!F124</f>
        <v>19311205.48</v>
      </c>
      <c r="D22" s="1156">
        <f>'Exh MCG-5, Summary of Adj'!P21</f>
        <v>-1909717.9896999998</v>
      </c>
      <c r="E22" s="1157">
        <f t="shared" si="1"/>
        <v>17401487.4903</v>
      </c>
      <c r="F22" s="1156">
        <f>+'Exh MCG-5, Summary of Adj'!Z21</f>
        <v>263679.92684700002</v>
      </c>
      <c r="G22" s="1157">
        <f t="shared" si="2"/>
        <v>17665167.417146999</v>
      </c>
      <c r="H22" s="1156"/>
      <c r="I22" s="1157">
        <f t="shared" si="3"/>
        <v>17665167.417146999</v>
      </c>
      <c r="K22" s="1157">
        <v>17696501.647147</v>
      </c>
      <c r="M22" s="1395"/>
      <c r="N22" s="1396"/>
      <c r="O22" s="1395"/>
      <c r="P22" s="1396"/>
      <c r="Q22" s="1396"/>
      <c r="R22" s="1396"/>
      <c r="S22" s="1396"/>
    </row>
    <row r="23" spans="1:19">
      <c r="A23" s="1151">
        <v>16</v>
      </c>
      <c r="B23" s="1165" t="s">
        <v>687</v>
      </c>
      <c r="C23" s="1155">
        <f>+'Operating Report'!F136</f>
        <v>26511110.390000001</v>
      </c>
      <c r="D23" s="1156">
        <f>'Exh MCG-5, Summary of Adj'!P22</f>
        <v>-45137.517868000003</v>
      </c>
      <c r="E23" s="1157">
        <f t="shared" si="1"/>
        <v>26465972.872132</v>
      </c>
      <c r="F23" s="1156">
        <f>+'Exh MCG-5, Summary of Adj'!Z22</f>
        <v>0</v>
      </c>
      <c r="G23" s="1157">
        <f t="shared" si="2"/>
        <v>26465972.872132</v>
      </c>
      <c r="H23" s="1156"/>
      <c r="I23" s="1157">
        <f t="shared" si="3"/>
        <v>26465972.872132</v>
      </c>
      <c r="K23" s="1157">
        <v>32070281.874055013</v>
      </c>
      <c r="M23" s="1396"/>
      <c r="N23" s="1396"/>
      <c r="O23" s="1395"/>
      <c r="P23" s="1396"/>
      <c r="Q23" s="1395"/>
      <c r="R23" s="1396"/>
      <c r="S23" s="1396"/>
    </row>
    <row r="24" spans="1:19">
      <c r="A24" s="1151">
        <v>17</v>
      </c>
      <c r="B24" s="1165" t="s">
        <v>688</v>
      </c>
      <c r="C24" s="1156"/>
      <c r="D24" s="1156">
        <f>'Exh MCG-5, Summary of Adj'!P23</f>
        <v>0</v>
      </c>
      <c r="E24" s="1157">
        <f t="shared" si="1"/>
        <v>0</v>
      </c>
      <c r="F24" s="1156">
        <f>+'Exh MCG-5, Summary of Adj'!Z23</f>
        <v>0</v>
      </c>
      <c r="G24" s="1157">
        <f t="shared" si="2"/>
        <v>0</v>
      </c>
      <c r="H24" s="1156"/>
      <c r="I24" s="1157">
        <f t="shared" si="3"/>
        <v>0</v>
      </c>
      <c r="K24" s="1157">
        <v>0</v>
      </c>
      <c r="M24" s="1395"/>
      <c r="N24" s="1396"/>
      <c r="O24" s="1395"/>
      <c r="P24" s="1396"/>
      <c r="Q24" s="1395"/>
      <c r="R24" s="1396"/>
      <c r="S24" s="1396"/>
    </row>
    <row r="25" spans="1:19">
      <c r="A25" s="1151">
        <v>18</v>
      </c>
      <c r="B25" s="1165" t="s">
        <v>689</v>
      </c>
      <c r="C25" s="1158">
        <f>+'Operating Report'!F141</f>
        <v>4379801.8600000003</v>
      </c>
      <c r="D25" s="1156">
        <f>'Exh MCG-5, Summary of Adj'!P24</f>
        <v>2857987.5330317002</v>
      </c>
      <c r="E25" s="1157">
        <f t="shared" si="1"/>
        <v>7237789.3930317005</v>
      </c>
      <c r="F25" s="1156">
        <f>+'Exh MCG-5, Summary of Adj'!Z24</f>
        <v>54428.835817120496</v>
      </c>
      <c r="G25" s="1157">
        <f t="shared" si="2"/>
        <v>7292218.2288488206</v>
      </c>
      <c r="H25" s="1156"/>
      <c r="I25" s="1157">
        <f t="shared" si="3"/>
        <v>7292218.2288488206</v>
      </c>
      <c r="K25" s="1157">
        <v>7292218.2288488206</v>
      </c>
      <c r="M25" s="1167"/>
      <c r="N25" s="1396"/>
      <c r="O25" s="1396"/>
      <c r="P25" s="1396"/>
      <c r="Q25" s="1395"/>
      <c r="R25" s="1396"/>
      <c r="S25" s="1396"/>
    </row>
    <row r="26" spans="1:19">
      <c r="A26" s="1151">
        <v>19</v>
      </c>
      <c r="B26" s="1165" t="s">
        <v>690</v>
      </c>
      <c r="C26" s="1159">
        <f>+'Operating Report'!F150</f>
        <v>1029886.2299999971</v>
      </c>
      <c r="D26" s="1160">
        <f>'Exh MCG-5, Summary of Adj'!P25</f>
        <v>550809.67456570454</v>
      </c>
      <c r="E26" s="1161">
        <f t="shared" si="1"/>
        <v>1580695.9045657017</v>
      </c>
      <c r="F26" s="1160">
        <f>+'Exh MCG-5, Summary of Adj'!Z25</f>
        <v>97217.664409736972</v>
      </c>
      <c r="G26" s="1161">
        <f t="shared" si="2"/>
        <v>1677913.5689754386</v>
      </c>
      <c r="H26" s="1160">
        <f>(+H12-H16-H19)*'Exh MCG-4, Conversion Factor'!$C$33</f>
        <v>1442901.809261923</v>
      </c>
      <c r="I26" s="1161">
        <f t="shared" si="3"/>
        <v>3120815.3782373616</v>
      </c>
      <c r="K26" s="1161">
        <v>3369039.2191519011</v>
      </c>
      <c r="L26" s="1169"/>
      <c r="M26" s="1395"/>
      <c r="N26" s="1396"/>
      <c r="O26" s="1396"/>
      <c r="P26" s="1396"/>
      <c r="Q26" s="1396"/>
      <c r="R26" s="1396"/>
      <c r="S26" s="1396"/>
    </row>
    <row r="27" spans="1:19">
      <c r="A27" s="1151">
        <v>20</v>
      </c>
      <c r="B27" s="1162" t="s">
        <v>691</v>
      </c>
      <c r="C27" s="1157">
        <f t="shared" ref="C27:I27" si="4">SUM(C15:C26)</f>
        <v>240828338.91</v>
      </c>
      <c r="D27" s="1157">
        <f t="shared" si="4"/>
        <v>-145288359.51704618</v>
      </c>
      <c r="E27" s="1157">
        <f t="shared" si="4"/>
        <v>95539979.392953858</v>
      </c>
      <c r="F27" s="1157">
        <f t="shared" si="4"/>
        <v>1363492.3609883373</v>
      </c>
      <c r="G27" s="1157">
        <f t="shared" si="4"/>
        <v>96903471.753942177</v>
      </c>
      <c r="H27" s="1157">
        <f t="shared" si="4"/>
        <v>1760840.8127765749</v>
      </c>
      <c r="I27" s="1157">
        <f t="shared" si="4"/>
        <v>98664312.566718757</v>
      </c>
      <c r="K27" s="1157">
        <f>SUM(K15:K26)</f>
        <v>104837260.46273676</v>
      </c>
      <c r="M27" s="1399"/>
      <c r="N27" s="1396"/>
      <c r="O27" s="1396"/>
      <c r="P27" s="1396"/>
      <c r="Q27" s="1396"/>
      <c r="R27" s="1396"/>
      <c r="S27" s="1396"/>
    </row>
    <row r="28" spans="1:19">
      <c r="A28" s="1151">
        <v>21</v>
      </c>
      <c r="B28" s="1162"/>
      <c r="C28" s="1170"/>
      <c r="D28" s="1170"/>
      <c r="E28" s="1170"/>
      <c r="F28" s="1170"/>
      <c r="G28" s="1170"/>
      <c r="H28" s="1170"/>
      <c r="I28" s="1170"/>
      <c r="K28" s="1170"/>
      <c r="M28" s="1396"/>
      <c r="N28" s="1396"/>
      <c r="O28" s="1396"/>
      <c r="P28" s="1396"/>
      <c r="Q28" s="1396"/>
      <c r="R28" s="1396"/>
      <c r="S28" s="1396"/>
    </row>
    <row r="29" spans="1:19" ht="15.75" thickBot="1">
      <c r="A29" s="1151">
        <v>22</v>
      </c>
      <c r="B29" s="1152" t="s">
        <v>3235</v>
      </c>
      <c r="C29" s="1171">
        <f t="shared" ref="C29:I29" si="5">+C12-C27</f>
        <v>24683914.660000026</v>
      </c>
      <c r="D29" s="1171">
        <f t="shared" si="5"/>
        <v>2072093.5376519561</v>
      </c>
      <c r="E29" s="1171">
        <f t="shared" si="5"/>
        <v>26756008.197651923</v>
      </c>
      <c r="F29" s="1171">
        <f t="shared" si="5"/>
        <v>43879.884145909688</v>
      </c>
      <c r="G29" s="1462">
        <f t="shared" si="5"/>
        <v>26799888.081797853</v>
      </c>
      <c r="H29" s="1171">
        <f t="shared" si="5"/>
        <v>5428059.1872234251</v>
      </c>
      <c r="I29" s="1171">
        <f t="shared" si="5"/>
        <v>32227947.269021273</v>
      </c>
      <c r="K29" s="1171">
        <f>+K12-K27</f>
        <v>32591385.373003274</v>
      </c>
      <c r="M29" s="1396"/>
      <c r="N29" s="1396"/>
      <c r="O29" s="1396"/>
      <c r="P29" s="1396"/>
      <c r="Q29" s="1395"/>
      <c r="R29" s="1396"/>
      <c r="S29" s="1396"/>
    </row>
    <row r="30" spans="1:19" ht="15.75" thickTop="1">
      <c r="A30" s="1151">
        <v>23</v>
      </c>
      <c r="B30" s="1152"/>
      <c r="C30" s="1170"/>
      <c r="D30" s="1170"/>
      <c r="E30" s="1170"/>
      <c r="F30" s="1170"/>
      <c r="G30" s="1170"/>
      <c r="H30" s="1170"/>
      <c r="I30" s="1170"/>
      <c r="K30" s="1170"/>
      <c r="M30" s="1396"/>
      <c r="N30" s="1396"/>
      <c r="O30" s="1396"/>
      <c r="P30" s="1396"/>
      <c r="Q30" s="1395"/>
      <c r="R30" s="1396"/>
      <c r="S30" s="1396"/>
    </row>
    <row r="31" spans="1:19">
      <c r="A31" s="1151">
        <v>24</v>
      </c>
      <c r="B31" s="1152" t="s">
        <v>693</v>
      </c>
      <c r="C31" s="1172"/>
      <c r="D31" s="1172"/>
      <c r="E31" s="1172"/>
      <c r="F31" s="1172"/>
      <c r="G31" s="1172"/>
      <c r="H31" s="1172"/>
      <c r="I31" s="1172"/>
      <c r="K31" s="1172"/>
      <c r="M31" s="1396"/>
      <c r="N31" s="1396"/>
      <c r="O31" s="1396"/>
      <c r="P31" s="1396"/>
      <c r="Q31" s="1395"/>
      <c r="R31" s="1396"/>
      <c r="S31" s="1396"/>
    </row>
    <row r="32" spans="1:19">
      <c r="A32" s="1151">
        <v>25</v>
      </c>
      <c r="B32" s="1153" t="s">
        <v>694</v>
      </c>
      <c r="C32" s="1155">
        <f>+'Rate Base'!C10</f>
        <v>891749970.75164235</v>
      </c>
      <c r="D32" s="1156">
        <f>'Exh MCG-5, Summary of Adj'!P31</f>
        <v>61676136.055105574</v>
      </c>
      <c r="E32" s="1157">
        <f>SUM(C32:D32)</f>
        <v>953426106.80674791</v>
      </c>
      <c r="F32" s="1156">
        <f>'Exh MCG-5, Summary of Adj'!Z31</f>
        <v>0</v>
      </c>
      <c r="G32" s="1157">
        <f>SUM(E32:F32)</f>
        <v>953426106.80674791</v>
      </c>
      <c r="H32" s="1157"/>
      <c r="I32" s="1157">
        <f>SUM(G32:H32)</f>
        <v>953426106.80674791</v>
      </c>
      <c r="K32" s="1157">
        <v>953235086.16062999</v>
      </c>
      <c r="M32" s="1398"/>
      <c r="N32" s="1396"/>
      <c r="O32" s="1398"/>
      <c r="P32" s="1396"/>
      <c r="Q32" s="1396"/>
      <c r="R32" s="1396"/>
      <c r="S32" s="1396"/>
    </row>
    <row r="33" spans="1:19">
      <c r="A33" s="1151">
        <v>26</v>
      </c>
      <c r="B33" s="1153" t="s">
        <v>695</v>
      </c>
      <c r="C33" s="1155">
        <f>+'Rate Base'!C11</f>
        <v>-403973528.56041664</v>
      </c>
      <c r="D33" s="1156">
        <f>'Exh MCG-5, Summary of Adj'!P32</f>
        <v>-11520799.636921315</v>
      </c>
      <c r="E33" s="1157">
        <f>SUM(C33:D33)</f>
        <v>-415494328.19733793</v>
      </c>
      <c r="F33" s="1156">
        <f>'Exh MCG-5, Summary of Adj'!Z32</f>
        <v>0</v>
      </c>
      <c r="G33" s="1157">
        <f>SUM(E33:F33)</f>
        <v>-415494328.19733793</v>
      </c>
      <c r="H33" s="1157"/>
      <c r="I33" s="1157">
        <f>SUM(G33:H33)</f>
        <v>-415494328.19733793</v>
      </c>
      <c r="K33" s="1157">
        <v>-415149838.5606519</v>
      </c>
      <c r="M33" s="1398"/>
      <c r="N33" s="1396"/>
      <c r="O33" s="1398"/>
      <c r="P33" s="1396"/>
      <c r="Q33" s="1396"/>
      <c r="R33" s="1396"/>
      <c r="S33" s="1396"/>
    </row>
    <row r="34" spans="1:19">
      <c r="A34" s="1151">
        <v>27</v>
      </c>
      <c r="B34" s="1153" t="s">
        <v>696</v>
      </c>
      <c r="C34" s="1158">
        <f>+'Rate Base'!C13</f>
        <v>-3317763.3104166677</v>
      </c>
      <c r="D34" s="1156">
        <f>'Exh MCG-5, Summary of Adj'!P33</f>
        <v>285229.76041666744</v>
      </c>
      <c r="E34" s="1157">
        <f>SUM(C34:D34)</f>
        <v>-3032533.5500000003</v>
      </c>
      <c r="F34" s="1156">
        <f>'Exh MCG-5, Summary of Adj'!Z33</f>
        <v>0</v>
      </c>
      <c r="G34" s="1157">
        <f>SUM(E34:F34)</f>
        <v>-3032533.5500000003</v>
      </c>
      <c r="H34" s="1157"/>
      <c r="I34" s="1157">
        <f>SUM(G34:H34)</f>
        <v>-3032533.5500000003</v>
      </c>
      <c r="K34" s="1157">
        <v>-3032533.5500000003</v>
      </c>
      <c r="M34" s="1398"/>
      <c r="N34" s="1396"/>
      <c r="O34" s="1398"/>
      <c r="P34" s="1396"/>
      <c r="Q34" s="1396"/>
      <c r="R34" s="1396"/>
      <c r="S34" s="1396"/>
    </row>
    <row r="35" spans="1:19">
      <c r="A35" s="1151">
        <v>28</v>
      </c>
      <c r="B35" s="1153" t="s">
        <v>697</v>
      </c>
      <c r="C35" s="1158">
        <f>+'Rate Base'!C14</f>
        <v>-77188638.140416712</v>
      </c>
      <c r="D35" s="1156">
        <f>'Exh MCG-5, Summary of Adj'!P34</f>
        <v>-336676.73314243392</v>
      </c>
      <c r="E35" s="1157">
        <f>SUM(C35:D35)</f>
        <v>-77525314.873559147</v>
      </c>
      <c r="F35" s="1156">
        <f>'Exh MCG-5, Summary of Adj'!Z34</f>
        <v>0</v>
      </c>
      <c r="G35" s="1157">
        <f>SUM(E35:F35)</f>
        <v>-77525314.873559147</v>
      </c>
      <c r="H35" s="1157"/>
      <c r="I35" s="1157">
        <f>SUM(G35:H35)</f>
        <v>-77525314.873559147</v>
      </c>
      <c r="K35" s="1157">
        <v>-77525314.873559147</v>
      </c>
      <c r="M35" s="1398"/>
      <c r="N35" s="1396"/>
      <c r="O35" s="1398"/>
      <c r="P35" s="1396"/>
      <c r="Q35" s="1396"/>
      <c r="R35" s="1396"/>
      <c r="S35" s="1396"/>
    </row>
    <row r="36" spans="1:19">
      <c r="A36" s="1151">
        <v>29</v>
      </c>
      <c r="B36" s="1153" t="s">
        <v>698</v>
      </c>
      <c r="C36" s="1158">
        <f>+' Working Capital (AMA)'!Y745</f>
        <v>13038375.998352319</v>
      </c>
      <c r="D36" s="1156">
        <f>'Exh MCG-5, Summary of Adj'!P35</f>
        <v>0</v>
      </c>
      <c r="E36" s="1157">
        <f>SUM(C36:D36)</f>
        <v>13038375.998352319</v>
      </c>
      <c r="F36" s="1156">
        <f>'Exh MCG-5, Summary of Adj'!Z35</f>
        <v>0</v>
      </c>
      <c r="G36" s="1157">
        <f>SUM(E36:F36)</f>
        <v>13038375.998352319</v>
      </c>
      <c r="H36" s="1157"/>
      <c r="I36" s="1157">
        <f>SUM(G36:H36)</f>
        <v>13038375.998352319</v>
      </c>
      <c r="K36" s="1157">
        <v>13038375.998352319</v>
      </c>
      <c r="M36" s="1398"/>
      <c r="N36" s="1396"/>
      <c r="O36" s="1398"/>
      <c r="P36" s="1396"/>
      <c r="Q36" s="1396"/>
      <c r="R36" s="1396"/>
      <c r="S36" s="1396"/>
    </row>
    <row r="37" spans="1:19" ht="15.75" customHeight="1" thickBot="1">
      <c r="A37" s="1151">
        <v>30</v>
      </c>
      <c r="B37" s="1162" t="s">
        <v>699</v>
      </c>
      <c r="C37" s="1171">
        <f t="shared" ref="C37:I37" si="6">SUM(C32:C36)</f>
        <v>420308416.73874462</v>
      </c>
      <c r="D37" s="1171">
        <f t="shared" si="6"/>
        <v>50103889.445458487</v>
      </c>
      <c r="E37" s="1171">
        <f t="shared" si="6"/>
        <v>470412306.18420315</v>
      </c>
      <c r="F37" s="1171">
        <f t="shared" si="6"/>
        <v>0</v>
      </c>
      <c r="G37" s="1171">
        <f t="shared" si="6"/>
        <v>470412306.18420315</v>
      </c>
      <c r="H37" s="1171"/>
      <c r="I37" s="1462">
        <f t="shared" si="6"/>
        <v>470412306.18420315</v>
      </c>
      <c r="K37" s="1171">
        <f>SUM(K32:K36)</f>
        <v>470565775.17477119</v>
      </c>
      <c r="M37" s="1398"/>
      <c r="N37" s="1396"/>
      <c r="O37" s="1398"/>
      <c r="P37" s="1396"/>
      <c r="Q37" s="1503"/>
      <c r="R37" s="1396"/>
      <c r="S37" s="1396"/>
    </row>
    <row r="38" spans="1:19" ht="15.75" thickTop="1">
      <c r="A38" s="1151">
        <v>31</v>
      </c>
      <c r="B38" s="1152"/>
      <c r="C38" s="1173"/>
      <c r="D38" s="1173"/>
      <c r="E38" s="1173"/>
      <c r="F38" s="1173"/>
      <c r="G38" s="1173"/>
      <c r="H38" s="1173"/>
      <c r="I38" s="1173"/>
      <c r="K38" s="1173"/>
      <c r="M38" s="1396"/>
      <c r="N38" s="1396"/>
      <c r="O38" s="1397"/>
      <c r="P38" s="1396"/>
      <c r="Q38" s="1503"/>
      <c r="R38" s="1396"/>
      <c r="S38" s="1396"/>
    </row>
    <row r="39" spans="1:19">
      <c r="A39" s="1151">
        <v>32</v>
      </c>
      <c r="B39" s="1162" t="s">
        <v>700</v>
      </c>
      <c r="C39" s="1174">
        <f>+C29/C37</f>
        <v>5.8728099835657251E-2</v>
      </c>
      <c r="D39" s="1153"/>
      <c r="E39" s="1174">
        <f>+E29/E37</f>
        <v>5.6877781142007061E-2</v>
      </c>
      <c r="F39" s="1153"/>
      <c r="G39" s="1174">
        <f>+G29/G37</f>
        <v>5.6971060768345641E-2</v>
      </c>
      <c r="H39" s="1175"/>
      <c r="I39" s="1174">
        <f>+I29/I37</f>
        <v>6.8510000366362678E-2</v>
      </c>
      <c r="K39" s="1174">
        <f>+K29/K37</f>
        <v>6.9259999541825198E-2</v>
      </c>
      <c r="M39" s="1400"/>
      <c r="N39" s="1396"/>
      <c r="O39" s="1395"/>
      <c r="P39" s="1396"/>
      <c r="Q39" s="1503"/>
      <c r="R39" s="1396"/>
      <c r="S39" s="1396"/>
    </row>
    <row r="40" spans="1:19">
      <c r="A40" s="1153"/>
      <c r="B40" s="1153"/>
      <c r="C40" s="1153"/>
      <c r="D40" s="1153"/>
      <c r="E40" s="1153"/>
      <c r="F40" s="1153"/>
      <c r="G40" s="1153"/>
      <c r="H40" s="1153"/>
      <c r="I40" s="1153"/>
      <c r="K40" s="1150"/>
      <c r="M40" s="1400"/>
      <c r="N40" s="1396"/>
      <c r="O40" s="1395"/>
      <c r="P40" s="1396"/>
      <c r="Q40" s="1503"/>
      <c r="R40" s="1396"/>
      <c r="S40" s="1396"/>
    </row>
    <row r="41" spans="1:19">
      <c r="K41" s="1150"/>
      <c r="M41" s="1396"/>
      <c r="N41" s="1396"/>
      <c r="O41" s="1395"/>
      <c r="P41" s="1396"/>
      <c r="Q41" s="1503"/>
      <c r="R41" s="1396"/>
      <c r="S41" s="1396"/>
    </row>
    <row r="42" spans="1:19">
      <c r="C42" s="1357"/>
      <c r="H42" s="1176"/>
      <c r="K42" s="1150"/>
      <c r="M42" s="1396"/>
      <c r="N42" s="1396"/>
      <c r="O42" s="1395"/>
      <c r="P42" s="1396"/>
      <c r="Q42" s="1503"/>
      <c r="R42" s="1396"/>
      <c r="S42" s="1396"/>
    </row>
    <row r="43" spans="1:19">
      <c r="K43" s="1145"/>
      <c r="M43" s="1395"/>
      <c r="N43" s="1396"/>
      <c r="O43" s="1395"/>
      <c r="P43" s="1396"/>
      <c r="Q43" s="1503"/>
      <c r="R43" s="1396"/>
      <c r="S43" s="1396"/>
    </row>
    <row r="44" spans="1:19">
      <c r="H44" s="1168"/>
      <c r="K44" s="1150"/>
      <c r="M44" s="1396"/>
      <c r="N44" s="1396"/>
      <c r="O44" s="1395"/>
      <c r="P44" s="1396"/>
      <c r="Q44" s="1503"/>
      <c r="R44" s="1396"/>
      <c r="S44" s="1396"/>
    </row>
    <row r="45" spans="1:19">
      <c r="M45" s="1396"/>
      <c r="N45" s="1396"/>
      <c r="O45" s="1395"/>
      <c r="P45" s="1396"/>
      <c r="Q45" s="1503"/>
      <c r="R45" s="1396"/>
      <c r="S45" s="1396"/>
    </row>
    <row r="46" spans="1:19">
      <c r="K46" s="1150"/>
      <c r="M46" s="1396"/>
      <c r="N46" s="1396"/>
      <c r="O46" s="1395"/>
      <c r="P46" s="1396"/>
      <c r="Q46" s="1503"/>
      <c r="R46" s="1396"/>
      <c r="S46" s="1396"/>
    </row>
    <row r="47" spans="1:19">
      <c r="M47" s="1396"/>
      <c r="N47" s="1396"/>
      <c r="O47" s="1395"/>
      <c r="P47" s="1396"/>
      <c r="Q47" s="1503"/>
      <c r="R47" s="1396"/>
      <c r="S47" s="1396"/>
    </row>
    <row r="48" spans="1:19">
      <c r="M48" s="1396"/>
      <c r="N48" s="1396"/>
      <c r="O48" s="1395"/>
      <c r="P48" s="1396"/>
      <c r="Q48" s="1503"/>
      <c r="R48" s="1396"/>
      <c r="S48" s="1396"/>
    </row>
    <row r="49" spans="13:19">
      <c r="M49" s="1396"/>
      <c r="N49" s="1396"/>
      <c r="O49" s="1395"/>
      <c r="P49" s="1396"/>
      <c r="Q49" s="1503"/>
      <c r="R49" s="1395"/>
      <c r="S49" s="1398"/>
    </row>
    <row r="50" spans="13:19">
      <c r="M50" s="1396"/>
      <c r="N50" s="1396"/>
      <c r="O50" s="1395"/>
      <c r="P50" s="1396"/>
      <c r="Q50" s="1503"/>
      <c r="R50" s="1396"/>
      <c r="S50" s="1396"/>
    </row>
    <row r="51" spans="13:19">
      <c r="M51" s="1396"/>
      <c r="N51" s="1396"/>
      <c r="O51" s="1395"/>
      <c r="P51" s="1396"/>
      <c r="Q51" s="1503"/>
      <c r="R51" s="1396"/>
      <c r="S51" s="1396"/>
    </row>
    <row r="52" spans="13:19">
      <c r="M52" s="1396"/>
      <c r="N52" s="1396"/>
      <c r="O52" s="1395"/>
      <c r="P52" s="1396"/>
      <c r="Q52" s="1503"/>
      <c r="R52" s="1396"/>
      <c r="S52" s="1396"/>
    </row>
    <row r="53" spans="13:19">
      <c r="M53" s="1396"/>
      <c r="N53" s="1396"/>
      <c r="O53" s="1395"/>
      <c r="P53" s="1396"/>
      <c r="Q53" s="1503"/>
      <c r="R53" s="1396"/>
      <c r="S53" s="1396"/>
    </row>
    <row r="54" spans="13:19">
      <c r="M54" s="1396"/>
      <c r="N54" s="1396"/>
      <c r="O54" s="1395"/>
      <c r="P54" s="1396"/>
      <c r="Q54" s="1503"/>
      <c r="R54" s="1396"/>
      <c r="S54" s="1396"/>
    </row>
    <row r="55" spans="13:19">
      <c r="M55" s="1396"/>
      <c r="N55" s="1396"/>
      <c r="O55" s="1395"/>
      <c r="P55" s="1396"/>
      <c r="Q55" s="1503"/>
      <c r="R55" s="1395"/>
      <c r="S55" s="1398"/>
    </row>
    <row r="56" spans="13:19">
      <c r="M56" s="1396"/>
      <c r="N56" s="1396"/>
      <c r="O56" s="1396"/>
      <c r="P56" s="1396"/>
      <c r="Q56" s="1394"/>
      <c r="R56" s="1396"/>
      <c r="S56" s="1396"/>
    </row>
    <row r="57" spans="13:19">
      <c r="M57" s="1396"/>
      <c r="N57" s="1396"/>
      <c r="O57" s="1396"/>
      <c r="P57" s="1396"/>
      <c r="Q57" s="1396"/>
      <c r="R57" s="1396"/>
      <c r="S57" s="1396"/>
    </row>
    <row r="58" spans="13:19">
      <c r="M58" s="1396"/>
      <c r="N58" s="1396"/>
      <c r="O58" s="1396"/>
      <c r="P58" s="1396"/>
      <c r="Q58" s="1396"/>
      <c r="R58" s="1396"/>
      <c r="S58" s="1396"/>
    </row>
    <row r="59" spans="13:19">
      <c r="M59" s="1396"/>
      <c r="N59" s="1396"/>
      <c r="O59" s="1396"/>
      <c r="P59" s="1396"/>
      <c r="Q59" s="1396"/>
      <c r="R59" s="1396"/>
      <c r="S59" s="1396"/>
    </row>
    <row r="60" spans="13:19">
      <c r="M60" s="1396"/>
      <c r="N60" s="1396"/>
      <c r="O60" s="1396"/>
      <c r="P60" s="1396"/>
      <c r="Q60" s="1396"/>
      <c r="R60" s="1396"/>
      <c r="S60" s="1396"/>
    </row>
    <row r="61" spans="13:19">
      <c r="M61" s="1396"/>
      <c r="N61" s="1396"/>
      <c r="O61" s="1396"/>
      <c r="P61" s="1396"/>
      <c r="Q61" s="1396"/>
      <c r="R61" s="1396"/>
      <c r="S61" s="1396"/>
    </row>
    <row r="62" spans="13:19">
      <c r="M62" s="1396"/>
      <c r="N62" s="1396"/>
      <c r="O62" s="1395"/>
      <c r="P62" s="1396"/>
      <c r="Q62" s="1396"/>
      <c r="R62" s="1396"/>
      <c r="S62" s="1396"/>
    </row>
    <row r="63" spans="13:19">
      <c r="M63" s="1396"/>
      <c r="N63" s="1396"/>
      <c r="O63" s="1395"/>
      <c r="P63" s="1396"/>
      <c r="Q63" s="1396"/>
      <c r="R63" s="1396"/>
      <c r="S63" s="1396"/>
    </row>
    <row r="64" spans="13:19">
      <c r="M64" s="1396"/>
      <c r="N64" s="1396"/>
      <c r="O64" s="1395"/>
      <c r="P64" s="1396"/>
      <c r="Q64" s="1396"/>
      <c r="R64" s="1396"/>
      <c r="S64" s="1396"/>
    </row>
    <row r="65" spans="13:19">
      <c r="M65" s="1396"/>
      <c r="N65" s="1396"/>
      <c r="O65" s="1395"/>
      <c r="P65" s="1396"/>
      <c r="Q65" s="1396"/>
      <c r="R65" s="1396"/>
      <c r="S65" s="1396"/>
    </row>
    <row r="66" spans="13:19">
      <c r="M66" s="1396"/>
      <c r="N66" s="1396"/>
      <c r="O66" s="1395"/>
      <c r="P66" s="1396"/>
      <c r="Q66" s="1396"/>
      <c r="R66" s="1396"/>
      <c r="S66" s="1396"/>
    </row>
    <row r="67" spans="13:19">
      <c r="M67" s="1396"/>
      <c r="N67" s="1396"/>
      <c r="O67" s="1395"/>
      <c r="P67" s="1396"/>
      <c r="Q67" s="1396"/>
      <c r="R67" s="1396"/>
      <c r="S67" s="1396"/>
    </row>
    <row r="68" spans="13:19">
      <c r="M68" s="1395"/>
      <c r="N68" s="1396"/>
      <c r="O68" s="1395"/>
      <c r="P68" s="1396"/>
      <c r="Q68" s="1396"/>
      <c r="R68" s="1396"/>
      <c r="S68" s="1396"/>
    </row>
    <row r="69" spans="13:19">
      <c r="M69" s="1396"/>
      <c r="N69" s="1396"/>
      <c r="O69" s="1395"/>
      <c r="P69" s="1396"/>
      <c r="Q69" s="1396"/>
      <c r="R69" s="1396"/>
      <c r="S69" s="1396"/>
    </row>
    <row r="70" spans="13:19">
      <c r="M70" s="1396"/>
      <c r="N70" s="1396"/>
      <c r="O70" s="1395"/>
      <c r="P70" s="1396"/>
      <c r="Q70" s="1396"/>
      <c r="R70" s="1396"/>
      <c r="S70" s="1396"/>
    </row>
    <row r="71" spans="13:19">
      <c r="M71" s="1396"/>
      <c r="N71" s="1396"/>
      <c r="O71" s="1395"/>
      <c r="P71" s="1396"/>
      <c r="Q71" s="1396"/>
      <c r="R71" s="1396"/>
      <c r="S71" s="1396"/>
    </row>
    <row r="72" spans="13:19">
      <c r="M72" s="1396"/>
      <c r="N72" s="1396"/>
      <c r="O72" s="1395"/>
      <c r="P72" s="1396"/>
      <c r="Q72" s="1396"/>
      <c r="R72" s="1396"/>
      <c r="S72" s="1396"/>
    </row>
    <row r="73" spans="13:19">
      <c r="M73" s="1396"/>
      <c r="N73" s="1396"/>
      <c r="O73" s="1395"/>
      <c r="P73" s="1396"/>
      <c r="Q73" s="1396"/>
      <c r="R73" s="1396"/>
      <c r="S73" s="1396"/>
    </row>
    <row r="74" spans="13:19">
      <c r="M74" s="1396"/>
      <c r="N74" s="1396"/>
      <c r="O74" s="1395"/>
      <c r="P74" s="1396"/>
      <c r="Q74" s="1396"/>
      <c r="R74" s="1396"/>
      <c r="S74" s="1396"/>
    </row>
    <row r="75" spans="13:19">
      <c r="M75" s="1396"/>
      <c r="N75" s="1396"/>
      <c r="O75" s="1395"/>
      <c r="P75" s="1396"/>
      <c r="Q75" s="1396"/>
      <c r="R75" s="1396"/>
      <c r="S75" s="1396"/>
    </row>
    <row r="76" spans="13:19">
      <c r="M76" s="1396"/>
      <c r="N76" s="1396"/>
      <c r="O76" s="1396"/>
      <c r="P76" s="1396"/>
      <c r="Q76" s="1396"/>
      <c r="R76" s="1396"/>
      <c r="S76" s="1396"/>
    </row>
  </sheetData>
  <mergeCells count="7">
    <mergeCell ref="Q50:Q51"/>
    <mergeCell ref="Q52:Q55"/>
    <mergeCell ref="A1:I1"/>
    <mergeCell ref="A4:I4"/>
    <mergeCell ref="A2:I2"/>
    <mergeCell ref="A3:I3"/>
    <mergeCell ref="Q37:Q49"/>
  </mergeCells>
  <printOptions horizontalCentered="1"/>
  <pageMargins left="1" right="1" top="1" bottom="1" header="0.3" footer="0.3"/>
  <pageSetup scale="76" orientation="landscape" r:id="rId1"/>
  <headerFooter scaleWithDoc="0" alignWithMargins="0">
    <oddHeader>&amp;RDocket No. UG-200568
Exhibit _____ (MCP-8)
Page 1 of 1</oddHeader>
  </headerFooter>
  <cellWatches>
    <cellWatch r="H12"/>
    <cellWatch r="M13"/>
    <cellWatch r="O13"/>
  </cellWatch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F627F-14B6-4181-98D2-8E975F23D9CB}">
  <sheetPr codeName="Sheet40">
    <tabColor theme="2"/>
    <pageSetUpPr fitToPage="1"/>
  </sheetPr>
  <dimension ref="A1:R175"/>
  <sheetViews>
    <sheetView zoomScale="80" zoomScaleNormal="80" workbookViewId="0">
      <selection activeCell="C2" sqref="C2"/>
    </sheetView>
  </sheetViews>
  <sheetFormatPr defaultColWidth="9.28515625" defaultRowHeight="15"/>
  <cols>
    <col min="1" max="1" width="42.42578125" style="1" bestFit="1" customWidth="1"/>
    <col min="2" max="2" width="23.85546875" style="1" bestFit="1" customWidth="1"/>
    <col min="3" max="3" width="20.28515625" style="1" bestFit="1" customWidth="1"/>
    <col min="4" max="4" width="18.42578125" style="1" bestFit="1" customWidth="1"/>
    <col min="5" max="5" width="22.140625" style="1" bestFit="1" customWidth="1"/>
    <col min="6" max="6" width="23.5703125" style="1" bestFit="1" customWidth="1"/>
    <col min="7" max="7" width="17" style="1" bestFit="1" customWidth="1"/>
    <col min="8" max="8" width="21.42578125" style="1" bestFit="1" customWidth="1"/>
    <col min="9" max="9" width="18" style="1" bestFit="1" customWidth="1"/>
    <col min="10" max="16" width="9.28515625" style="1"/>
    <col min="17" max="18" width="2" style="1" bestFit="1" customWidth="1"/>
    <col min="19" max="16384" width="9.28515625" style="1"/>
  </cols>
  <sheetData>
    <row r="1" spans="1:9">
      <c r="A1" s="15" t="str">
        <f ca="1">MID(CELL("filename",A1),FIND("]",CELL("filename",A1))+1,255)</f>
        <v>Title</v>
      </c>
      <c r="B1" s="15" t="s">
        <v>13</v>
      </c>
    </row>
    <row r="2" spans="1:9">
      <c r="A2" s="1" t="s">
        <v>14</v>
      </c>
      <c r="B2" s="1" t="s">
        <v>15</v>
      </c>
    </row>
    <row r="3" spans="1:9">
      <c r="A3" s="613" t="s">
        <v>7</v>
      </c>
      <c r="B3" s="1" t="s">
        <v>16</v>
      </c>
    </row>
    <row r="4" spans="1:9">
      <c r="A4" s="613" t="s">
        <v>17</v>
      </c>
      <c r="B4" s="1" t="s">
        <v>18</v>
      </c>
    </row>
    <row r="5" spans="1:9">
      <c r="A5" s="113" t="s">
        <v>19</v>
      </c>
      <c r="B5" s="1" t="s">
        <v>20</v>
      </c>
    </row>
    <row r="6" spans="1:9">
      <c r="A6" s="1" t="s">
        <v>10</v>
      </c>
      <c r="B6" s="1" t="s">
        <v>21</v>
      </c>
    </row>
    <row r="7" spans="1:9">
      <c r="A7" s="1" t="s">
        <v>22</v>
      </c>
      <c r="B7" s="1" t="s">
        <v>23</v>
      </c>
    </row>
    <row r="8" spans="1:9">
      <c r="A8" s="1" t="s">
        <v>24</v>
      </c>
      <c r="B8" s="1" t="s">
        <v>25</v>
      </c>
    </row>
    <row r="9" spans="1:9">
      <c r="A9" s="1" t="s">
        <v>26</v>
      </c>
      <c r="B9" s="1" t="s">
        <v>27</v>
      </c>
    </row>
    <row r="10" spans="1:9">
      <c r="A10" s="613" t="s">
        <v>28</v>
      </c>
      <c r="B10" s="1" t="s">
        <v>29</v>
      </c>
    </row>
    <row r="11" spans="1:9">
      <c r="A11" s="113"/>
    </row>
    <row r="12" spans="1:9">
      <c r="A12" s="625" t="s">
        <v>30</v>
      </c>
      <c r="B12" s="626">
        <v>503</v>
      </c>
      <c r="C12" s="626">
        <v>504</v>
      </c>
      <c r="D12" s="626">
        <v>505</v>
      </c>
      <c r="E12" s="626">
        <v>511</v>
      </c>
      <c r="F12" s="626">
        <v>663</v>
      </c>
      <c r="G12" s="626" t="s">
        <v>31</v>
      </c>
      <c r="H12" s="626">
        <v>570</v>
      </c>
      <c r="I12" s="712" t="s">
        <v>32</v>
      </c>
    </row>
    <row r="13" spans="1:9">
      <c r="A13" s="627"/>
      <c r="B13" s="1225" t="s">
        <v>33</v>
      </c>
      <c r="C13" s="1225" t="s">
        <v>34</v>
      </c>
      <c r="D13" s="1225" t="s">
        <v>35</v>
      </c>
      <c r="E13" s="1225" t="s">
        <v>36</v>
      </c>
      <c r="F13" s="1225" t="s">
        <v>37</v>
      </c>
      <c r="G13" s="1225" t="s">
        <v>38</v>
      </c>
      <c r="H13" s="1225" t="s">
        <v>39</v>
      </c>
      <c r="I13" s="16" t="s">
        <v>40</v>
      </c>
    </row>
    <row r="14" spans="1:9">
      <c r="A14" s="628"/>
      <c r="B14" s="1223" t="s">
        <v>41</v>
      </c>
      <c r="C14" s="1223" t="s">
        <v>41</v>
      </c>
      <c r="D14" s="1223" t="s">
        <v>41</v>
      </c>
      <c r="E14" s="1223" t="s">
        <v>41</v>
      </c>
      <c r="F14" s="1223" t="s">
        <v>42</v>
      </c>
      <c r="G14" s="1223" t="s">
        <v>42</v>
      </c>
      <c r="H14" s="1223" t="s">
        <v>41</v>
      </c>
      <c r="I14" s="1224" t="s">
        <v>42</v>
      </c>
    </row>
    <row r="175" spans="2:18">
      <c r="B175" s="1" t="s">
        <v>43</v>
      </c>
      <c r="Q175" s="1">
        <f>Q136+Q165</f>
        <v>0</v>
      </c>
      <c r="R175" s="1">
        <f>R136+R165</f>
        <v>0</v>
      </c>
    </row>
  </sheetData>
  <dataValidations count="1">
    <dataValidation type="list" allowBlank="1" showInputMessage="1" showErrorMessage="1" sqref="A3" xr:uid="{12B3CDC0-6B70-48F8-B1E5-69BCF3B52A40}">
      <formula1>"Washington Jurisdiction, Oregon Jurisdiction"</formula1>
    </dataValidation>
  </dataValidations>
  <pageMargins left="0.25" right="0.25" top="0.75" bottom="0.75" header="0.3" footer="0.3"/>
  <pageSetup scale="72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7"/>
  </sheetPr>
  <dimension ref="A1:C20"/>
  <sheetViews>
    <sheetView zoomScale="80" zoomScaleNormal="80" workbookViewId="0">
      <selection activeCell="C16" sqref="C16"/>
    </sheetView>
  </sheetViews>
  <sheetFormatPr defaultColWidth="14" defaultRowHeight="15"/>
  <cols>
    <col min="1" max="1" width="5.7109375" style="113" customWidth="1"/>
    <col min="2" max="2" width="42.85546875" style="113" bestFit="1" customWidth="1"/>
    <col min="3" max="3" width="17.85546875" style="113" bestFit="1" customWidth="1"/>
    <col min="4" max="16384" width="14" style="113"/>
  </cols>
  <sheetData>
    <row r="1" spans="1:3">
      <c r="A1" s="1505" t="str">
        <f>Company</f>
        <v>Cascade Natural Gas Corp.</v>
      </c>
      <c r="B1" s="1505"/>
      <c r="C1" s="1505"/>
    </row>
    <row r="2" spans="1:3">
      <c r="A2" s="1505" t="str">
        <f>Title1</f>
        <v>Washington Jurisdiction</v>
      </c>
      <c r="B2" s="1505"/>
      <c r="C2" s="1505"/>
    </row>
    <row r="3" spans="1:3">
      <c r="A3" s="1505" t="str">
        <f>Title2</f>
        <v>Twelve-Months ended December 31, 2020</v>
      </c>
      <c r="B3" s="1505"/>
      <c r="C3" s="1505"/>
    </row>
    <row r="4" spans="1:3">
      <c r="A4" s="1505" t="s">
        <v>701</v>
      </c>
      <c r="B4" s="1505"/>
      <c r="C4" s="1505"/>
    </row>
    <row r="5" spans="1:3">
      <c r="A5" s="278"/>
      <c r="B5" s="278"/>
      <c r="C5" s="278"/>
    </row>
    <row r="6" spans="1:3" ht="30">
      <c r="A6" s="334" t="s">
        <v>8</v>
      </c>
      <c r="B6" s="334" t="s">
        <v>9</v>
      </c>
      <c r="C6" s="334" t="s">
        <v>702</v>
      </c>
    </row>
    <row r="7" spans="1:3">
      <c r="A7" s="121"/>
      <c r="B7" s="121" t="s">
        <v>2</v>
      </c>
      <c r="C7" s="121" t="s">
        <v>3</v>
      </c>
    </row>
    <row r="8" spans="1:3">
      <c r="A8" s="1209">
        <v>1</v>
      </c>
      <c r="B8" s="113" t="s">
        <v>703</v>
      </c>
      <c r="C8" s="274">
        <f>+'Exh MCG-2 ROO Summary'!G37</f>
        <v>470412306.18420315</v>
      </c>
    </row>
    <row r="9" spans="1:3">
      <c r="A9" s="1209">
        <v>2</v>
      </c>
      <c r="B9" s="113" t="s">
        <v>700</v>
      </c>
      <c r="C9" s="502">
        <f>+'WACC Calculation'!E13</f>
        <v>6.8510000000000001E-2</v>
      </c>
    </row>
    <row r="10" spans="1:3">
      <c r="A10" s="1209">
        <v>3</v>
      </c>
      <c r="B10" s="113" t="s">
        <v>704</v>
      </c>
      <c r="C10" s="335">
        <f>+C8*C9</f>
        <v>32227947.096679758</v>
      </c>
    </row>
    <row r="11" spans="1:3">
      <c r="A11" s="1209">
        <v>4</v>
      </c>
      <c r="B11" s="113" t="s">
        <v>705</v>
      </c>
      <c r="C11" s="640">
        <f>+'Exh MCG-2 ROO Summary'!G29</f>
        <v>26799888.081797853</v>
      </c>
    </row>
    <row r="12" spans="1:3">
      <c r="A12" s="1209">
        <v>5</v>
      </c>
      <c r="B12" s="113" t="s">
        <v>706</v>
      </c>
      <c r="C12" s="335">
        <f>+C10-C11</f>
        <v>5428059.0148819052</v>
      </c>
    </row>
    <row r="13" spans="1:3">
      <c r="A13" s="1209">
        <v>6</v>
      </c>
      <c r="B13" s="113" t="s">
        <v>707</v>
      </c>
      <c r="C13" s="641">
        <f>+'Exh MCG-4, Conversion Factor'!C26</f>
        <v>0.75506116196127715</v>
      </c>
    </row>
    <row r="14" spans="1:3" ht="15.75" thickBot="1">
      <c r="A14" s="1209">
        <v>7</v>
      </c>
      <c r="B14" s="113" t="s">
        <v>708</v>
      </c>
      <c r="C14" s="336">
        <f>ROUND(+C12/C13, 0)</f>
        <v>7188900</v>
      </c>
    </row>
    <row r="15" spans="1:3" ht="15.75" thickTop="1">
      <c r="A15" s="1209">
        <v>8</v>
      </c>
      <c r="C15" s="335"/>
    </row>
    <row r="16" spans="1:3">
      <c r="A16" s="1209">
        <v>9</v>
      </c>
      <c r="B16" s="113" t="s">
        <v>709</v>
      </c>
      <c r="C16" s="335">
        <f>+'Exh MCG-2 ROO Summary'!G12</f>
        <v>123703359.83574003</v>
      </c>
    </row>
    <row r="17" spans="1:3">
      <c r="A17" s="1209">
        <v>10</v>
      </c>
    </row>
    <row r="18" spans="1:3">
      <c r="A18" s="1209">
        <v>11</v>
      </c>
      <c r="B18" s="113" t="s">
        <v>3237</v>
      </c>
      <c r="C18" s="127">
        <f>+C14/C16</f>
        <v>5.8114023819125109E-2</v>
      </c>
    </row>
    <row r="19" spans="1:3">
      <c r="A19" s="1209">
        <v>12</v>
      </c>
    </row>
    <row r="20" spans="1:3">
      <c r="A20" s="1209">
        <v>13</v>
      </c>
      <c r="B20" s="113" t="s">
        <v>710</v>
      </c>
      <c r="C20" s="127">
        <f>+C14/('Exh MCG-2 ROO Summary'!G12-'Exh MCG-5, Summary of Adj'!I11)</f>
        <v>2.6833194377494346E-2</v>
      </c>
    </row>
  </sheetData>
  <mergeCells count="4">
    <mergeCell ref="A1:C1"/>
    <mergeCell ref="A4:C4"/>
    <mergeCell ref="A3:C3"/>
    <mergeCell ref="A2:C2"/>
  </mergeCells>
  <printOptions horizontalCentered="1"/>
  <pageMargins left="0.7" right="0.7" top="0.75" bottom="0.75" header="0.3" footer="0.3"/>
  <pageSetup orientation="portrait" r:id="rId1"/>
  <headerFooter scaleWithDoc="0" alignWithMargins="0">
    <oddHeader>&amp;RDocket No. UG-200568
Exhibit _____ (MCP-9)
Page 1 of 1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/>
  </sheetPr>
  <dimension ref="A1:I37"/>
  <sheetViews>
    <sheetView zoomScale="80" zoomScaleNormal="80" workbookViewId="0">
      <selection activeCell="F30" sqref="F30"/>
    </sheetView>
  </sheetViews>
  <sheetFormatPr defaultColWidth="9.140625" defaultRowHeight="15"/>
  <cols>
    <col min="1" max="1" width="5" style="113" customWidth="1"/>
    <col min="2" max="2" width="37.140625" style="113" bestFit="1" customWidth="1"/>
    <col min="3" max="3" width="12.7109375" style="326" customWidth="1"/>
    <col min="4" max="5" width="9.140625" style="113"/>
    <col min="6" max="6" width="11.28515625" style="113" bestFit="1" customWidth="1"/>
    <col min="7" max="16384" width="9.140625" style="113"/>
  </cols>
  <sheetData>
    <row r="1" spans="1:9">
      <c r="A1" s="1507" t="str">
        <f>Company</f>
        <v>Cascade Natural Gas Corp.</v>
      </c>
      <c r="B1" s="1507"/>
      <c r="C1" s="1507"/>
    </row>
    <row r="2" spans="1:9">
      <c r="A2" s="1507" t="str">
        <f>Title1</f>
        <v>Washington Jurisdiction</v>
      </c>
      <c r="B2" s="1507"/>
      <c r="C2" s="1507"/>
    </row>
    <row r="3" spans="1:9">
      <c r="A3" s="1508" t="str">
        <f>Title2</f>
        <v>Twelve-Months ended December 31, 2020</v>
      </c>
      <c r="B3" s="1508"/>
      <c r="C3" s="1508"/>
    </row>
    <row r="4" spans="1:9">
      <c r="A4" s="1506" t="s">
        <v>3234</v>
      </c>
      <c r="B4" s="1506"/>
      <c r="C4" s="1506"/>
    </row>
    <row r="5" spans="1:9">
      <c r="A5" s="1506"/>
      <c r="B5" s="1506"/>
      <c r="C5" s="1506"/>
    </row>
    <row r="6" spans="1:9" ht="30">
      <c r="A6" s="606" t="s">
        <v>8</v>
      </c>
      <c r="B6" s="314" t="s">
        <v>9</v>
      </c>
      <c r="C6" s="315" t="s">
        <v>702</v>
      </c>
      <c r="F6" s="1031" t="s">
        <v>711</v>
      </c>
      <c r="G6" s="966"/>
    </row>
    <row r="7" spans="1:9">
      <c r="A7" s="316"/>
      <c r="B7" s="316" t="s">
        <v>2</v>
      </c>
      <c r="C7" s="317" t="s">
        <v>3</v>
      </c>
      <c r="F7" s="1031"/>
      <c r="G7" s="966"/>
    </row>
    <row r="8" spans="1:9">
      <c r="A8" s="318">
        <v>1</v>
      </c>
      <c r="B8" s="319" t="s">
        <v>712</v>
      </c>
      <c r="C8" s="320">
        <v>1</v>
      </c>
      <c r="F8" s="1032">
        <v>1</v>
      </c>
      <c r="G8" s="966"/>
    </row>
    <row r="9" spans="1:9">
      <c r="A9" s="321">
        <v>2</v>
      </c>
      <c r="B9" s="322" t="s">
        <v>713</v>
      </c>
      <c r="C9" s="320"/>
      <c r="F9" s="1032"/>
      <c r="G9" s="966"/>
    </row>
    <row r="10" spans="1:9">
      <c r="A10" s="321">
        <v>3</v>
      </c>
      <c r="B10" s="323" t="s">
        <v>714</v>
      </c>
      <c r="C10" s="324">
        <f>+'Operating Report'!F92/'Operating Report'!F29</f>
        <v>3.7063772642062019E-3</v>
      </c>
      <c r="F10" s="1033">
        <v>3.0999999999999999E-3</v>
      </c>
      <c r="G10" s="966"/>
    </row>
    <row r="11" spans="1:9">
      <c r="A11" s="325">
        <v>4</v>
      </c>
      <c r="B11" s="323" t="s">
        <v>715</v>
      </c>
      <c r="C11" s="610">
        <v>3.8519999999999999E-2</v>
      </c>
      <c r="F11" s="1034">
        <v>3.8519999999999999E-2</v>
      </c>
      <c r="G11" s="966"/>
    </row>
    <row r="12" spans="1:9">
      <c r="A12" s="321">
        <v>5</v>
      </c>
      <c r="B12" s="323" t="s">
        <v>716</v>
      </c>
      <c r="C12" s="610">
        <v>2E-3</v>
      </c>
      <c r="D12" s="326">
        <f>SUM(C10:C12)</f>
        <v>4.4226377264206203E-2</v>
      </c>
      <c r="F12" s="1034">
        <v>2E-3</v>
      </c>
      <c r="G12" s="966">
        <v>4.3619999999999999E-2</v>
      </c>
      <c r="I12" s="326"/>
    </row>
    <row r="13" spans="1:9">
      <c r="A13" s="321">
        <v>6</v>
      </c>
      <c r="B13" s="323" t="s">
        <v>717</v>
      </c>
      <c r="C13" s="327"/>
      <c r="F13" s="1035"/>
      <c r="G13" s="966"/>
    </row>
    <row r="14" spans="1:9">
      <c r="A14" s="318">
        <v>7</v>
      </c>
      <c r="B14" s="328" t="s">
        <v>718</v>
      </c>
      <c r="C14" s="320">
        <f>+C8-SUM(C10:C13)</f>
        <v>0.9557736227357938</v>
      </c>
      <c r="F14" s="1032">
        <v>0.95638000000000001</v>
      </c>
      <c r="G14" s="966"/>
    </row>
    <row r="15" spans="1:9">
      <c r="A15" s="321">
        <v>8</v>
      </c>
      <c r="B15" s="329"/>
      <c r="C15" s="320"/>
      <c r="F15" s="1032"/>
      <c r="G15" s="966"/>
    </row>
    <row r="16" spans="1:9">
      <c r="A16" s="321">
        <v>9</v>
      </c>
      <c r="B16" s="322" t="s">
        <v>719</v>
      </c>
      <c r="C16" s="320">
        <f>C14*C30</f>
        <v>0</v>
      </c>
      <c r="F16" s="1032">
        <v>0</v>
      </c>
      <c r="G16" s="966"/>
    </row>
    <row r="17" spans="1:7">
      <c r="A17" s="318">
        <v>10</v>
      </c>
      <c r="B17" s="330"/>
      <c r="C17" s="320"/>
      <c r="F17" s="1032"/>
      <c r="G17" s="966"/>
    </row>
    <row r="18" spans="1:7">
      <c r="A18" s="321">
        <v>11</v>
      </c>
      <c r="B18" s="330" t="s">
        <v>720</v>
      </c>
      <c r="C18" s="320">
        <f>+C14-C16</f>
        <v>0.9557736227357938</v>
      </c>
      <c r="F18" s="1032">
        <v>0.95638000000000001</v>
      </c>
      <c r="G18" s="966"/>
    </row>
    <row r="19" spans="1:7">
      <c r="A19" s="321">
        <v>12</v>
      </c>
      <c r="B19" s="330"/>
      <c r="C19" s="320"/>
      <c r="F19" s="1032"/>
      <c r="G19" s="966"/>
    </row>
    <row r="20" spans="1:7">
      <c r="A20" s="318">
        <v>13</v>
      </c>
      <c r="B20" s="330" t="str">
        <f>"Federal Income Tax @ "&amp;C31*100&amp;"%"</f>
        <v>Federal Income Tax @ 21%</v>
      </c>
      <c r="C20" s="320">
        <f>+C18*C31</f>
        <v>0.20071246077451668</v>
      </c>
      <c r="F20" s="1032">
        <v>0.20083999999999999</v>
      </c>
      <c r="G20" s="966"/>
    </row>
    <row r="21" spans="1:7">
      <c r="A21" s="321">
        <v>14</v>
      </c>
      <c r="B21" s="330"/>
      <c r="C21" s="320"/>
      <c r="F21" s="1032"/>
      <c r="G21" s="966"/>
    </row>
    <row r="22" spans="1:7">
      <c r="A22" s="321">
        <v>15</v>
      </c>
      <c r="B22" s="330" t="s">
        <v>721</v>
      </c>
      <c r="C22" s="320">
        <f>+C16+C20</f>
        <v>0.20071246077451668</v>
      </c>
      <c r="F22" s="1032">
        <v>0.20083999999999999</v>
      </c>
      <c r="G22" s="966"/>
    </row>
    <row r="23" spans="1:7">
      <c r="A23" s="318">
        <v>16</v>
      </c>
      <c r="B23" s="330"/>
      <c r="C23" s="320"/>
      <c r="F23" s="1032"/>
      <c r="G23" s="966"/>
    </row>
    <row r="24" spans="1:7">
      <c r="A24" s="321">
        <v>17</v>
      </c>
      <c r="B24" s="330" t="s">
        <v>722</v>
      </c>
      <c r="C24" s="320">
        <f>SUM(C10:C13)+C22</f>
        <v>0.24493883803872288</v>
      </c>
      <c r="F24" s="1032">
        <v>0.24446000000000001</v>
      </c>
      <c r="G24" s="966"/>
    </row>
    <row r="25" spans="1:7">
      <c r="A25" s="321">
        <v>18</v>
      </c>
      <c r="B25" s="330"/>
      <c r="C25" s="320"/>
      <c r="F25" s="1036"/>
      <c r="G25" s="966"/>
    </row>
    <row r="26" spans="1:7">
      <c r="A26" s="318">
        <v>19</v>
      </c>
      <c r="B26" s="330" t="s">
        <v>707</v>
      </c>
      <c r="C26" s="331">
        <f>+C8-C24</f>
        <v>0.75506116196127715</v>
      </c>
      <c r="D26" s="113">
        <v>0.75506116196127715</v>
      </c>
      <c r="F26" s="1037">
        <v>0.75553999999999999</v>
      </c>
      <c r="G26" s="966"/>
    </row>
    <row r="27" spans="1:7">
      <c r="A27" s="321">
        <v>20</v>
      </c>
      <c r="B27" s="319"/>
      <c r="C27" s="320"/>
    </row>
    <row r="28" spans="1:7">
      <c r="A28" s="321">
        <v>21</v>
      </c>
      <c r="B28" s="319"/>
      <c r="C28" s="320"/>
    </row>
    <row r="29" spans="1:7">
      <c r="A29" s="318">
        <v>22</v>
      </c>
      <c r="B29" s="332" t="s">
        <v>723</v>
      </c>
      <c r="C29" s="333"/>
    </row>
    <row r="30" spans="1:7">
      <c r="A30" s="321">
        <v>23</v>
      </c>
      <c r="B30" s="18" t="s">
        <v>724</v>
      </c>
      <c r="C30" s="609">
        <v>0</v>
      </c>
    </row>
    <row r="31" spans="1:7">
      <c r="A31" s="321">
        <v>24</v>
      </c>
      <c r="B31" s="18" t="s">
        <v>725</v>
      </c>
      <c r="C31" s="609">
        <v>0.21</v>
      </c>
    </row>
    <row r="32" spans="1:7">
      <c r="A32" s="318">
        <v>25</v>
      </c>
      <c r="B32" s="1"/>
      <c r="C32" s="1"/>
    </row>
    <row r="33" spans="1:3">
      <c r="A33" s="321">
        <v>26</v>
      </c>
      <c r="B33" s="18" t="s">
        <v>726</v>
      </c>
      <c r="C33" s="333">
        <f>ROUND(((1-C30)*C31)+C30,5)</f>
        <v>0.21</v>
      </c>
    </row>
    <row r="37" spans="1:3">
      <c r="C37" s="452"/>
    </row>
  </sheetData>
  <mergeCells count="5">
    <mergeCell ref="A5:C5"/>
    <mergeCell ref="A1:C1"/>
    <mergeCell ref="A4:C4"/>
    <mergeCell ref="A3:C3"/>
    <mergeCell ref="A2:C2"/>
  </mergeCells>
  <printOptions horizontalCentered="1"/>
  <pageMargins left="0.7" right="0.7" top="1.25" bottom="0.75" header="0.3" footer="0.3"/>
  <pageSetup orientation="portrait" r:id="rId1"/>
  <headerFooter scaleWithDoc="0" alignWithMargins="0">
    <oddHeader>&amp;RDocket No. UG-20___
Exhibit _____ (MCP-4)
Page 1 of 1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92D050"/>
    <pageSetUpPr fitToPage="1"/>
  </sheetPr>
  <dimension ref="A1:EX51"/>
  <sheetViews>
    <sheetView tabSelected="1" zoomScale="80" zoomScaleNormal="80" workbookViewId="0">
      <pane xSplit="2" ySplit="5" topLeftCell="C6" activePane="bottomRight" state="frozen"/>
      <selection activeCell="K7" sqref="K7"/>
      <selection pane="topRight" activeCell="K7" sqref="K7"/>
      <selection pane="bottomLeft" activeCell="K7" sqref="K7"/>
      <selection pane="bottomRight" activeCell="N1" sqref="N1"/>
    </sheetView>
  </sheetViews>
  <sheetFormatPr defaultColWidth="9.140625" defaultRowHeight="15" outlineLevelCol="1"/>
  <cols>
    <col min="1" max="1" width="4.85546875" style="113" bestFit="1" customWidth="1"/>
    <col min="2" max="2" width="36.28515625" style="113" bestFit="1" customWidth="1"/>
    <col min="3" max="3" width="13.5703125" style="113" customWidth="1"/>
    <col min="4" max="4" width="14.42578125" style="113" customWidth="1"/>
    <col min="5" max="5" width="15.7109375" style="113" bestFit="1" customWidth="1"/>
    <col min="6" max="6" width="13" style="113" bestFit="1" customWidth="1"/>
    <col min="7" max="7" width="13.28515625" style="113" customWidth="1"/>
    <col min="8" max="8" width="13.5703125" style="113" customWidth="1"/>
    <col min="9" max="9" width="14.7109375" style="113" customWidth="1"/>
    <col min="10" max="10" width="13.5703125" style="113" customWidth="1"/>
    <col min="11" max="11" width="13.85546875" style="113" bestFit="1" customWidth="1"/>
    <col min="12" max="15" width="13.5703125" style="113" customWidth="1" outlineLevel="1"/>
    <col min="16" max="16" width="16.7109375" style="113" bestFit="1" customWidth="1"/>
    <col min="17" max="17" width="2.140625" style="113" customWidth="1"/>
    <col min="18" max="18" width="13.5703125" style="113" customWidth="1"/>
    <col min="19" max="19" width="16" style="298" bestFit="1" customWidth="1"/>
    <col min="20" max="21" width="15.28515625" style="113" bestFit="1" customWidth="1"/>
    <col min="22" max="22" width="15.28515625" style="113" hidden="1" customWidth="1" outlineLevel="1"/>
    <col min="23" max="25" width="13.5703125" style="113" hidden="1" customWidth="1" outlineLevel="1"/>
    <col min="26" max="26" width="16.28515625" style="113" customWidth="1" collapsed="1"/>
    <col min="27" max="27" width="2.140625" style="113" customWidth="1"/>
    <col min="28" max="28" width="14.28515625" style="113" customWidth="1"/>
    <col min="29" max="29" width="2.140625" style="113" customWidth="1"/>
    <col min="30" max="30" width="15" style="113" customWidth="1"/>
    <col min="31" max="32" width="15" style="298" customWidth="1"/>
    <col min="33" max="33" width="13.5703125" style="113" customWidth="1"/>
    <col min="34" max="34" width="2.140625" style="113" customWidth="1"/>
    <col min="35" max="37" width="14.140625" style="113" customWidth="1"/>
    <col min="38" max="38" width="13.5703125" style="113" customWidth="1"/>
    <col min="39" max="39" width="2.140625" style="113" customWidth="1"/>
    <col min="40" max="42" width="15.28515625" style="113" customWidth="1"/>
    <col min="43" max="43" width="13.5703125" style="113" customWidth="1"/>
    <col min="44" max="44" width="2.140625" style="113" customWidth="1"/>
    <col min="45" max="45" width="14" style="113" bestFit="1" customWidth="1"/>
    <col min="46" max="49" width="9.140625" style="113"/>
    <col min="50" max="50" width="22.28515625" style="113" bestFit="1" customWidth="1"/>
    <col min="51" max="51" width="12" style="113" bestFit="1" customWidth="1"/>
    <col min="52" max="52" width="13.28515625" style="113" bestFit="1" customWidth="1"/>
    <col min="53" max="53" width="12.85546875" style="113" bestFit="1" customWidth="1"/>
    <col min="54" max="54" width="13.28515625" style="113" bestFit="1" customWidth="1"/>
    <col min="55" max="55" width="9.140625" style="113"/>
    <col min="56" max="56" width="12.85546875" style="113" bestFit="1" customWidth="1"/>
    <col min="57" max="57" width="9.140625" style="113"/>
    <col min="58" max="58" width="13.28515625" style="113" bestFit="1" customWidth="1"/>
    <col min="59" max="60" width="14.28515625" style="113" bestFit="1" customWidth="1"/>
    <col min="61" max="61" width="13.28515625" style="113" bestFit="1" customWidth="1"/>
    <col min="62" max="62" width="16.28515625" style="113" bestFit="1" customWidth="1"/>
    <col min="63" max="16384" width="9.140625" style="113"/>
  </cols>
  <sheetData>
    <row r="1" spans="1:45">
      <c r="A1" s="209" t="str">
        <f>Company</f>
        <v>Cascade Natural Gas Corp.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209"/>
      <c r="S1" s="209"/>
      <c r="T1" s="209"/>
      <c r="U1" s="209"/>
      <c r="V1" s="209"/>
      <c r="W1" s="209"/>
      <c r="X1" s="209"/>
      <c r="Y1" s="209"/>
      <c r="Z1" s="209"/>
      <c r="AA1" s="209"/>
      <c r="AC1" s="209"/>
      <c r="AD1" s="209"/>
      <c r="AE1" s="209"/>
      <c r="AF1" s="209"/>
      <c r="AG1" s="209"/>
      <c r="AH1" s="209"/>
      <c r="AI1" s="209"/>
      <c r="AJ1" s="209"/>
      <c r="AK1" s="209"/>
      <c r="AL1" s="209"/>
      <c r="AM1" s="209"/>
      <c r="AN1" s="209"/>
      <c r="AO1" s="209"/>
      <c r="AP1" s="209"/>
      <c r="AQ1" s="209"/>
      <c r="AR1" s="209"/>
    </row>
    <row r="2" spans="1:45">
      <c r="A2" s="209" t="str">
        <f>Title1</f>
        <v>Washington Jurisdiction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R2" s="209"/>
    </row>
    <row r="3" spans="1:45">
      <c r="A3" s="209" t="str">
        <f>Title2</f>
        <v>Twelve-Months ended December 31, 2020</v>
      </c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</row>
    <row r="4" spans="1:45">
      <c r="A4" s="209" t="s">
        <v>727</v>
      </c>
      <c r="B4" s="608"/>
      <c r="C4" s="608"/>
      <c r="D4" s="608"/>
      <c r="E4" s="608"/>
      <c r="F4" s="608"/>
      <c r="G4" s="608"/>
      <c r="H4" s="608"/>
      <c r="I4" s="608"/>
      <c r="J4" s="608"/>
      <c r="K4" s="608"/>
      <c r="L4" s="608"/>
      <c r="M4" s="608"/>
      <c r="N4" s="608"/>
      <c r="O4" s="608"/>
      <c r="P4" s="608"/>
      <c r="Q4" s="608"/>
      <c r="R4" s="608"/>
      <c r="S4" s="608"/>
      <c r="T4" s="209"/>
      <c r="U4" s="209"/>
      <c r="V4" s="209"/>
      <c r="W4" s="209"/>
      <c r="X4" s="209"/>
      <c r="Y4" s="209"/>
      <c r="Z4" s="608"/>
      <c r="AA4" s="608"/>
      <c r="AC4" s="608"/>
      <c r="AD4" s="608"/>
      <c r="AE4" s="608"/>
      <c r="AF4" s="608"/>
      <c r="AG4" s="608"/>
      <c r="AH4" s="608"/>
      <c r="AI4" s="209"/>
      <c r="AJ4" s="209"/>
      <c r="AK4" s="209"/>
      <c r="AL4" s="608"/>
      <c r="AM4" s="608"/>
      <c r="AN4" s="209"/>
      <c r="AO4" s="209"/>
      <c r="AP4" s="209"/>
      <c r="AQ4" s="608"/>
      <c r="AR4" s="608"/>
    </row>
    <row r="5" spans="1:45" ht="60">
      <c r="A5" s="276" t="s">
        <v>8</v>
      </c>
      <c r="B5" s="1217" t="s">
        <v>9</v>
      </c>
      <c r="C5" s="276" t="str">
        <f>'Operating Report'!H13</f>
        <v>Annualize CRM Adjustment</v>
      </c>
      <c r="D5" s="276" t="str">
        <f>'Operating Report'!I13</f>
        <v>Promotional Advertising Adjustment</v>
      </c>
      <c r="E5" s="276" t="str">
        <f>'Operating Report'!J13</f>
        <v>Restate End of Period Adjustment</v>
      </c>
      <c r="F5" s="276" t="str">
        <f>'Operating Report'!K13</f>
        <v>Restate Wages Adjustment</v>
      </c>
      <c r="G5" s="276" t="str">
        <f>'Operating Report'!L13</f>
        <v>Restate Incentives</v>
      </c>
      <c r="H5" s="276" t="str">
        <f>'Operating Report'!M13</f>
        <v>Remove 50% Director Fees</v>
      </c>
      <c r="I5" s="276" t="str">
        <f>'Operating Report'!N13</f>
        <v>Remove Supplemental Schedules</v>
      </c>
      <c r="J5" s="276" t="str">
        <f>'Operating Report'!O13</f>
        <v>Restate Late Payment Charges Adjustment</v>
      </c>
      <c r="K5" s="276" t="str">
        <f>'Operating Report'!P13</f>
        <v>Removal of FP-319072 &amp; FP-319209</v>
      </c>
      <c r="L5" s="276" t="str">
        <f>'Operating Report'!Q13</f>
        <v>Reclass Rate Base (AWEC DR 5)</v>
      </c>
      <c r="M5" s="1472" t="s">
        <v>3298</v>
      </c>
      <c r="N5" s="1472" t="s">
        <v>3299</v>
      </c>
      <c r="O5" s="276" t="str">
        <f>'Operating Report'!T13</f>
        <v>OPEN</v>
      </c>
      <c r="P5" s="277" t="s">
        <v>728</v>
      </c>
      <c r="Q5" s="278"/>
      <c r="R5" s="276" t="str">
        <f>'Operating Report'!U13</f>
        <v>Interest  Coordination Adjustment</v>
      </c>
      <c r="S5" s="276" t="str">
        <f>'Operating Report'!V13</f>
        <v>Annualize Revenue Adjustment</v>
      </c>
      <c r="T5" s="276" t="str">
        <f>'Operating Report'!W13</f>
        <v>Pro Forma Wage Adjustment</v>
      </c>
      <c r="U5" s="276" t="str">
        <f>'Operating Report'!X13</f>
        <v>MAOP Deferral Amortization</v>
      </c>
      <c r="V5" s="276" t="str">
        <f>'Operating Report'!Y13</f>
        <v>Pro Forma Plant Additions</v>
      </c>
      <c r="W5" s="276" t="str">
        <f>'Operating Report'!Z13</f>
        <v>Removal &amp; Retirements (Indirect Plant Benefit)</v>
      </c>
      <c r="X5" s="276" t="str">
        <f>'Operating Report'!AA13</f>
        <v>OPEN</v>
      </c>
      <c r="Y5" s="276" t="str">
        <f>'Operating Report'!AB13</f>
        <v>OPEN</v>
      </c>
      <c r="Z5" s="277" t="s">
        <v>729</v>
      </c>
      <c r="AA5" s="278"/>
      <c r="AB5" s="1209" t="s">
        <v>322</v>
      </c>
      <c r="AC5" s="278"/>
      <c r="AD5" s="276" t="str">
        <f>T5</f>
        <v>Pro Forma Wage Adjustment</v>
      </c>
      <c r="AE5" s="276" t="str">
        <f>V5</f>
        <v>Pro Forma Plant Additions</v>
      </c>
      <c r="AF5" s="276" t="str">
        <f>W5</f>
        <v>Removal &amp; Retirements (Indirect Plant Benefit)</v>
      </c>
      <c r="AG5" s="277" t="s">
        <v>730</v>
      </c>
      <c r="AH5" s="279"/>
      <c r="AI5" s="276" t="str">
        <f>AD5</f>
        <v>Pro Forma Wage Adjustment</v>
      </c>
      <c r="AJ5" s="276" t="str">
        <f>AE5</f>
        <v>Pro Forma Plant Additions</v>
      </c>
      <c r="AK5" s="276" t="str">
        <f>AF5</f>
        <v>Removal &amp; Retirements (Indirect Plant Benefit)</v>
      </c>
      <c r="AL5" s="277" t="s">
        <v>731</v>
      </c>
      <c r="AM5" s="279"/>
      <c r="AN5" s="276" t="str">
        <f>AI5</f>
        <v>Pro Forma Wage Adjustment</v>
      </c>
      <c r="AO5" s="276" t="str">
        <f>AJ5</f>
        <v>Pro Forma Plant Additions</v>
      </c>
      <c r="AP5" s="276" t="str">
        <f>AK5</f>
        <v>Removal &amp; Retirements (Indirect Plant Benefit)</v>
      </c>
      <c r="AQ5" s="277" t="s">
        <v>732</v>
      </c>
      <c r="AR5" s="278"/>
    </row>
    <row r="6" spans="1:45">
      <c r="A6" s="276"/>
      <c r="B6" s="1217"/>
      <c r="C6" s="280" t="str">
        <f>'Operating Report'!H14</f>
        <v>R-1</v>
      </c>
      <c r="D6" s="280" t="str">
        <f>'Operating Report'!I14</f>
        <v>R-2</v>
      </c>
      <c r="E6" s="280" t="str">
        <f>'Operating Report'!J14</f>
        <v>R-3</v>
      </c>
      <c r="F6" s="280" t="str">
        <f>'Operating Report'!K14</f>
        <v>R-4</v>
      </c>
      <c r="G6" s="280" t="str">
        <f>'Operating Report'!L14</f>
        <v>R-5</v>
      </c>
      <c r="H6" s="280" t="str">
        <f>'Operating Report'!M14</f>
        <v>R-6</v>
      </c>
      <c r="I6" s="280" t="str">
        <f>'Operating Report'!N14</f>
        <v>R-7</v>
      </c>
      <c r="J6" s="280" t="str">
        <f>'Operating Report'!O14</f>
        <v>R-8</v>
      </c>
      <c r="K6" s="280" t="str">
        <f>'Operating Report'!P14</f>
        <v>R-9</v>
      </c>
      <c r="L6" s="280" t="str">
        <f>'Operating Report'!Q14</f>
        <v>R-10</v>
      </c>
      <c r="M6" s="1473" t="str">
        <f>'Operating Report'!R14</f>
        <v>R-11</v>
      </c>
      <c r="N6" s="1473" t="str">
        <f>'Operating Report'!S14</f>
        <v>R-11</v>
      </c>
      <c r="O6" s="280" t="str">
        <f>'Operating Report'!T14</f>
        <v>R-11</v>
      </c>
      <c r="P6" s="281"/>
      <c r="Q6" s="278"/>
      <c r="R6" s="280" t="str">
        <f>'Operating Report'!U14</f>
        <v>P-1</v>
      </c>
      <c r="S6" s="280" t="str">
        <f>'Operating Report'!V14</f>
        <v>P-2</v>
      </c>
      <c r="T6" s="280" t="str">
        <f>'Operating Report'!W14</f>
        <v>P-3</v>
      </c>
      <c r="U6" s="280" t="str">
        <f>'Operating Report'!X14</f>
        <v>P-4</v>
      </c>
      <c r="V6" s="280" t="str">
        <f>'Operating Report'!Y14</f>
        <v>P-5</v>
      </c>
      <c r="W6" s="280" t="str">
        <f>'Operating Report'!Z14</f>
        <v>P-6</v>
      </c>
      <c r="X6" s="280" t="str">
        <f>'Operating Report'!AA14</f>
        <v>P-7</v>
      </c>
      <c r="Y6" s="280" t="str">
        <f>'Operating Report'!AB14</f>
        <v>P-8</v>
      </c>
      <c r="Z6" s="281"/>
      <c r="AA6" s="278"/>
      <c r="AB6" s="1209"/>
      <c r="AC6" s="278"/>
      <c r="AD6" s="282" t="s">
        <v>730</v>
      </c>
      <c r="AE6" s="282" t="s">
        <v>730</v>
      </c>
      <c r="AF6" s="282" t="s">
        <v>730</v>
      </c>
      <c r="AG6" s="283"/>
      <c r="AH6" s="278"/>
      <c r="AI6" s="282" t="s">
        <v>731</v>
      </c>
      <c r="AJ6" s="282" t="s">
        <v>731</v>
      </c>
      <c r="AK6" s="282" t="s">
        <v>731</v>
      </c>
      <c r="AL6" s="283"/>
      <c r="AM6" s="278"/>
      <c r="AN6" s="280" t="s">
        <v>731</v>
      </c>
      <c r="AO6" s="280" t="s">
        <v>731</v>
      </c>
      <c r="AP6" s="280" t="s">
        <v>731</v>
      </c>
      <c r="AQ6" s="281"/>
      <c r="AR6" s="278"/>
    </row>
    <row r="7" spans="1:45">
      <c r="A7" s="284">
        <v>1</v>
      </c>
      <c r="B7" s="264" t="s">
        <v>673</v>
      </c>
      <c r="C7" s="285"/>
      <c r="D7" s="285"/>
      <c r="E7" s="285"/>
      <c r="F7" s="285"/>
      <c r="G7" s="285"/>
      <c r="H7" s="285"/>
      <c r="I7" s="285"/>
      <c r="J7" s="285"/>
      <c r="K7" s="285"/>
      <c r="L7" s="285"/>
      <c r="M7" s="1474"/>
      <c r="N7" s="1474"/>
      <c r="O7" s="285"/>
      <c r="P7" s="285"/>
      <c r="Q7" s="285"/>
      <c r="R7" s="285"/>
      <c r="S7" s="285"/>
      <c r="T7" s="285"/>
      <c r="U7" s="285"/>
      <c r="V7" s="285"/>
      <c r="W7" s="285"/>
      <c r="X7" s="285"/>
      <c r="Y7" s="285"/>
      <c r="Z7" s="285"/>
      <c r="AA7" s="285"/>
      <c r="AC7" s="285"/>
      <c r="AD7" s="285"/>
      <c r="AE7" s="285"/>
      <c r="AF7" s="285"/>
      <c r="AG7" s="285"/>
      <c r="AH7" s="285"/>
      <c r="AI7" s="285"/>
      <c r="AJ7" s="285"/>
      <c r="AK7" s="285"/>
      <c r="AL7" s="285"/>
      <c r="AM7" s="285"/>
      <c r="AN7" s="285"/>
      <c r="AO7" s="285"/>
      <c r="AP7" s="285"/>
      <c r="AQ7" s="285"/>
      <c r="AR7" s="285"/>
      <c r="AS7" s="286"/>
    </row>
    <row r="8" spans="1:45">
      <c r="A8" s="284">
        <f>A7+1</f>
        <v>2</v>
      </c>
      <c r="B8" s="257" t="s">
        <v>674</v>
      </c>
      <c r="C8" s="287">
        <f>+'Operating Report'!H18</f>
        <v>-842800</v>
      </c>
      <c r="D8" s="287">
        <f>+'Operating Report'!I18</f>
        <v>0</v>
      </c>
      <c r="E8" s="287">
        <f>+'Operating Report'!J18</f>
        <v>1473456.6948657625</v>
      </c>
      <c r="F8" s="287">
        <f>+'Operating Report'!K18</f>
        <v>0</v>
      </c>
      <c r="G8" s="287">
        <f>+'Operating Report'!L18</f>
        <v>0</v>
      </c>
      <c r="H8" s="287">
        <f>+'Operating Report'!M18</f>
        <v>0</v>
      </c>
      <c r="I8" s="287">
        <f>+'Operating Report'!N18</f>
        <v>-147087605.55425999</v>
      </c>
      <c r="J8" s="287">
        <f>+'Operating Report'!O18</f>
        <v>0</v>
      </c>
      <c r="K8" s="287">
        <f>+'Operating Report'!P18</f>
        <v>0</v>
      </c>
      <c r="L8" s="287">
        <f>+'Operating Report'!Q18</f>
        <v>0</v>
      </c>
      <c r="M8" s="1475">
        <f>+'Operating Report'!R18</f>
        <v>0</v>
      </c>
      <c r="N8" s="1475">
        <f>+'Operating Report'!S18</f>
        <v>0</v>
      </c>
      <c r="O8" s="287">
        <f>+'Operating Report'!T18</f>
        <v>0</v>
      </c>
      <c r="P8" s="288">
        <f>SUM(C8:O8)</f>
        <v>-146456948.85939422</v>
      </c>
      <c r="Q8" s="287"/>
      <c r="R8" s="287">
        <f>+'Operating Report'!U18</f>
        <v>0</v>
      </c>
      <c r="S8" s="287">
        <f>+'Operating Report'!V18</f>
        <v>1407372.245134247</v>
      </c>
      <c r="T8" s="287">
        <f>+'Operating Report'!W18</f>
        <v>0</v>
      </c>
      <c r="U8" s="287">
        <f>+'Operating Report'!X18</f>
        <v>0</v>
      </c>
      <c r="V8" s="287">
        <f>+'Operating Report'!Y18</f>
        <v>0</v>
      </c>
      <c r="W8" s="287">
        <f>+'Operating Report'!Z18</f>
        <v>0</v>
      </c>
      <c r="X8" s="287">
        <f>+'Operating Report'!AA18</f>
        <v>0</v>
      </c>
      <c r="Y8" s="287">
        <f>+'Operating Report'!AB18</f>
        <v>0</v>
      </c>
      <c r="Z8" s="288">
        <f>SUM(R8:Y8)</f>
        <v>1407372.245134247</v>
      </c>
      <c r="AA8" s="287"/>
      <c r="AB8" s="289">
        <f>Z8-'Exh MCG-2 ROO Summary'!F9</f>
        <v>0</v>
      </c>
      <c r="AC8" s="287"/>
      <c r="AD8" s="287"/>
      <c r="AE8" s="287"/>
      <c r="AF8" s="287"/>
      <c r="AG8" s="288">
        <f>SUM(AD8:AF8)</f>
        <v>0</v>
      </c>
      <c r="AH8" s="287"/>
      <c r="AI8" s="287"/>
      <c r="AJ8" s="287"/>
      <c r="AK8" s="287"/>
      <c r="AL8" s="288">
        <f>SUM(AI8:AK8)</f>
        <v>0</v>
      </c>
      <c r="AM8" s="287"/>
      <c r="AN8" s="287"/>
      <c r="AO8" s="287"/>
      <c r="AP8" s="287"/>
      <c r="AQ8" s="288">
        <f>SUM(AN8:AP8)</f>
        <v>0</v>
      </c>
      <c r="AR8" s="287"/>
      <c r="AS8" s="286"/>
    </row>
    <row r="9" spans="1:45">
      <c r="A9" s="284">
        <f t="shared" ref="A9:A39" si="0">A8+1</f>
        <v>3</v>
      </c>
      <c r="B9" s="257" t="s">
        <v>675</v>
      </c>
      <c r="C9" s="290"/>
      <c r="D9" s="290"/>
      <c r="E9" s="290"/>
      <c r="F9" s="290"/>
      <c r="G9" s="290"/>
      <c r="H9" s="290"/>
      <c r="I9" s="290"/>
      <c r="J9" s="290"/>
      <c r="K9" s="290"/>
      <c r="L9" s="290"/>
      <c r="M9" s="1476"/>
      <c r="N9" s="1476"/>
      <c r="O9" s="290"/>
      <c r="P9" s="288">
        <f>SUM(C9:O9)</f>
        <v>0</v>
      </c>
      <c r="Q9" s="290"/>
      <c r="R9" s="290"/>
      <c r="S9" s="290"/>
      <c r="T9" s="290"/>
      <c r="U9" s="290"/>
      <c r="V9" s="290"/>
      <c r="W9" s="290"/>
      <c r="X9" s="290"/>
      <c r="Y9" s="290"/>
      <c r="Z9" s="288">
        <f>SUM(R9:Y9)</f>
        <v>0</v>
      </c>
      <c r="AA9" s="290"/>
      <c r="AB9" s="289">
        <f>Z9-'Exh MCG-2 ROO Summary'!F10</f>
        <v>0</v>
      </c>
      <c r="AC9" s="290"/>
      <c r="AD9" s="290"/>
      <c r="AE9" s="290"/>
      <c r="AF9" s="290"/>
      <c r="AG9" s="288">
        <f t="shared" ref="AG9:AG36" si="1">SUM(AD9:AF9)</f>
        <v>0</v>
      </c>
      <c r="AH9" s="290"/>
      <c r="AI9" s="290"/>
      <c r="AJ9" s="290"/>
      <c r="AK9" s="290"/>
      <c r="AL9" s="288">
        <f t="shared" ref="AL9:AL36" si="2">SUM(AI9:AK9)</f>
        <v>0</v>
      </c>
      <c r="AM9" s="290"/>
      <c r="AN9" s="290"/>
      <c r="AO9" s="290"/>
      <c r="AP9" s="290"/>
      <c r="AQ9" s="288">
        <f t="shared" ref="AQ9:AQ36" si="3">SUM(AN9:AP9)</f>
        <v>0</v>
      </c>
      <c r="AR9" s="290"/>
      <c r="AS9" s="286"/>
    </row>
    <row r="10" spans="1:45">
      <c r="A10" s="284">
        <f t="shared" si="0"/>
        <v>4</v>
      </c>
      <c r="B10" s="257" t="s">
        <v>676</v>
      </c>
      <c r="C10" s="292">
        <f>'Operating Report'!H28</f>
        <v>0</v>
      </c>
      <c r="D10" s="292">
        <f>'Operating Report'!I28</f>
        <v>0</v>
      </c>
      <c r="E10" s="292">
        <f>'Operating Report'!J28</f>
        <v>0</v>
      </c>
      <c r="F10" s="292">
        <f>'Operating Report'!K28</f>
        <v>0</v>
      </c>
      <c r="G10" s="292">
        <f>'Operating Report'!L28</f>
        <v>0</v>
      </c>
      <c r="H10" s="292">
        <f>'Operating Report'!M28</f>
        <v>0</v>
      </c>
      <c r="I10" s="292">
        <f>'Operating Report'!N28</f>
        <v>2880261.2499999995</v>
      </c>
      <c r="J10" s="292">
        <f>'Operating Report'!O28</f>
        <v>360421.63</v>
      </c>
      <c r="K10" s="292">
        <f>'Operating Report'!P28</f>
        <v>0</v>
      </c>
      <c r="L10" s="292">
        <f>'Operating Report'!Q28</f>
        <v>0</v>
      </c>
      <c r="M10" s="1477">
        <f>'Operating Report'!R28</f>
        <v>1190099</v>
      </c>
      <c r="N10" s="1477">
        <f>'Operating Report'!S28</f>
        <v>-1190099</v>
      </c>
      <c r="O10" s="292">
        <f>'Operating Report'!T28</f>
        <v>0</v>
      </c>
      <c r="P10" s="293">
        <f>SUM(C10:O10)</f>
        <v>3240682.879999999</v>
      </c>
      <c r="Q10" s="290"/>
      <c r="R10" s="292">
        <f>'Operating Report'!U28</f>
        <v>0</v>
      </c>
      <c r="S10" s="292">
        <f>'Operating Report'!V28</f>
        <v>0</v>
      </c>
      <c r="T10" s="292">
        <f>'Operating Report'!W28</f>
        <v>0</v>
      </c>
      <c r="U10" s="292">
        <f>'Operating Report'!X28</f>
        <v>0</v>
      </c>
      <c r="V10" s="292">
        <f>'Operating Report'!Y28</f>
        <v>0</v>
      </c>
      <c r="W10" s="292">
        <f>'Operating Report'!Z28</f>
        <v>0</v>
      </c>
      <c r="X10" s="292">
        <f>'Operating Report'!AA28</f>
        <v>0</v>
      </c>
      <c r="Y10" s="292">
        <f>'Operating Report'!AB28</f>
        <v>0</v>
      </c>
      <c r="Z10" s="293">
        <f>SUM(R10:Y10)</f>
        <v>0</v>
      </c>
      <c r="AA10" s="290"/>
      <c r="AB10" s="289">
        <f>Z10-'Exh MCG-2 ROO Summary'!F11</f>
        <v>0</v>
      </c>
      <c r="AC10" s="290"/>
      <c r="AD10" s="292"/>
      <c r="AE10" s="292"/>
      <c r="AF10" s="292"/>
      <c r="AG10" s="293">
        <f t="shared" si="1"/>
        <v>0</v>
      </c>
      <c r="AH10" s="290"/>
      <c r="AI10" s="292"/>
      <c r="AJ10" s="292"/>
      <c r="AK10" s="292"/>
      <c r="AL10" s="293">
        <f t="shared" si="2"/>
        <v>0</v>
      </c>
      <c r="AM10" s="290"/>
      <c r="AN10" s="292"/>
      <c r="AO10" s="292"/>
      <c r="AP10" s="292"/>
      <c r="AQ10" s="293">
        <f t="shared" si="3"/>
        <v>0</v>
      </c>
      <c r="AR10" s="290"/>
    </row>
    <row r="11" spans="1:45">
      <c r="A11" s="284">
        <f t="shared" si="0"/>
        <v>5</v>
      </c>
      <c r="B11" s="266" t="s">
        <v>677</v>
      </c>
      <c r="C11" s="287">
        <f>SUM(C8:C10)</f>
        <v>-842800</v>
      </c>
      <c r="D11" s="287">
        <f t="shared" ref="D11:L11" si="4">SUM(D8:D10)</f>
        <v>0</v>
      </c>
      <c r="E11" s="287">
        <f t="shared" si="4"/>
        <v>1473456.6948657625</v>
      </c>
      <c r="F11" s="287">
        <f t="shared" si="4"/>
        <v>0</v>
      </c>
      <c r="G11" s="287">
        <f t="shared" si="4"/>
        <v>0</v>
      </c>
      <c r="H11" s="287">
        <f t="shared" si="4"/>
        <v>0</v>
      </c>
      <c r="I11" s="287">
        <f t="shared" si="4"/>
        <v>-144207344.30425999</v>
      </c>
      <c r="J11" s="287">
        <f t="shared" si="4"/>
        <v>360421.63</v>
      </c>
      <c r="K11" s="287">
        <f t="shared" si="4"/>
        <v>0</v>
      </c>
      <c r="L11" s="287">
        <f t="shared" si="4"/>
        <v>0</v>
      </c>
      <c r="M11" s="1475">
        <f>SUM(M8:M10)</f>
        <v>1190099</v>
      </c>
      <c r="N11" s="1475">
        <f>SUM(N8:N10)</f>
        <v>-1190099</v>
      </c>
      <c r="O11" s="287">
        <f>SUM(O8:O10)</f>
        <v>0</v>
      </c>
      <c r="P11" s="294">
        <f>SUM(C11:O11)</f>
        <v>-143216265.97939423</v>
      </c>
      <c r="Q11" s="287"/>
      <c r="R11" s="287">
        <f>SUM(R8:R10)</f>
        <v>0</v>
      </c>
      <c r="S11" s="287">
        <f t="shared" ref="S11:Y11" si="5">SUM(S8:S10)</f>
        <v>1407372.245134247</v>
      </c>
      <c r="T11" s="287">
        <f t="shared" si="5"/>
        <v>0</v>
      </c>
      <c r="U11" s="287">
        <f>SUM(U8:U10)</f>
        <v>0</v>
      </c>
      <c r="V11" s="287">
        <f>SUM(V8:V10)</f>
        <v>0</v>
      </c>
      <c r="W11" s="287">
        <f t="shared" si="5"/>
        <v>0</v>
      </c>
      <c r="X11" s="287">
        <f t="shared" si="5"/>
        <v>0</v>
      </c>
      <c r="Y11" s="287">
        <f t="shared" si="5"/>
        <v>0</v>
      </c>
      <c r="Z11" s="294">
        <f>SUM(R11:Y11)</f>
        <v>1407372.245134247</v>
      </c>
      <c r="AA11" s="287"/>
      <c r="AB11" s="289">
        <f>Z11-'Exh MCG-2 ROO Summary'!F12</f>
        <v>0</v>
      </c>
      <c r="AC11" s="287"/>
      <c r="AD11" s="287">
        <f>SUM(AD8:AD10)</f>
        <v>0</v>
      </c>
      <c r="AE11" s="287">
        <f>SUM(AE8:AE10)</f>
        <v>0</v>
      </c>
      <c r="AF11" s="287">
        <f>SUM(AF8:AF10)</f>
        <v>0</v>
      </c>
      <c r="AG11" s="294">
        <f t="shared" si="1"/>
        <v>0</v>
      </c>
      <c r="AH11" s="287"/>
      <c r="AI11" s="287">
        <f>SUM(AI8:AI10)</f>
        <v>0</v>
      </c>
      <c r="AJ11" s="287">
        <f>SUM(AJ8:AJ10)</f>
        <v>0</v>
      </c>
      <c r="AK11" s="287">
        <f>SUM(AK8:AK10)</f>
        <v>0</v>
      </c>
      <c r="AL11" s="294">
        <f t="shared" si="2"/>
        <v>0</v>
      </c>
      <c r="AM11" s="287"/>
      <c r="AN11" s="287">
        <f>SUM(AN8:AN10)</f>
        <v>0</v>
      </c>
      <c r="AO11" s="287">
        <f>SUM(AO8:AO10)</f>
        <v>0</v>
      </c>
      <c r="AP11" s="287">
        <f>SUM(AP8:AP10)</f>
        <v>0</v>
      </c>
      <c r="AQ11" s="294">
        <f t="shared" si="3"/>
        <v>0</v>
      </c>
      <c r="AR11" s="287"/>
      <c r="AS11" s="289"/>
    </row>
    <row r="12" spans="1:45">
      <c r="A12" s="284">
        <f t="shared" si="0"/>
        <v>6</v>
      </c>
      <c r="B12" s="257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1478"/>
      <c r="N12" s="1478"/>
      <c r="O12" s="294"/>
      <c r="P12" s="294"/>
      <c r="Q12" s="287"/>
      <c r="R12" s="287"/>
      <c r="S12" s="287"/>
      <c r="T12" s="287"/>
      <c r="U12" s="287"/>
      <c r="V12" s="287"/>
      <c r="W12" s="287"/>
      <c r="X12" s="287"/>
      <c r="Y12" s="287"/>
      <c r="Z12" s="294"/>
      <c r="AA12" s="287"/>
      <c r="AC12" s="287"/>
      <c r="AD12" s="287"/>
      <c r="AE12" s="287"/>
      <c r="AF12" s="287"/>
      <c r="AG12" s="294"/>
      <c r="AH12" s="287"/>
      <c r="AI12" s="287"/>
      <c r="AJ12" s="287"/>
      <c r="AK12" s="287"/>
      <c r="AL12" s="294"/>
      <c r="AM12" s="287"/>
      <c r="AN12" s="287"/>
      <c r="AO12" s="287"/>
      <c r="AP12" s="287"/>
      <c r="AQ12" s="294"/>
      <c r="AR12" s="287"/>
      <c r="AS12" s="260"/>
    </row>
    <row r="13" spans="1:45">
      <c r="A13" s="284">
        <f t="shared" si="0"/>
        <v>7</v>
      </c>
      <c r="B13" s="264" t="s">
        <v>678</v>
      </c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1478"/>
      <c r="N13" s="1478"/>
      <c r="O13" s="294"/>
      <c r="P13" s="294"/>
      <c r="Q13" s="287"/>
      <c r="R13" s="287"/>
      <c r="S13" s="287"/>
      <c r="T13" s="287"/>
      <c r="U13" s="287"/>
      <c r="V13" s="287"/>
      <c r="W13" s="287"/>
      <c r="X13" s="287"/>
      <c r="Y13" s="287"/>
      <c r="Z13" s="294"/>
      <c r="AA13" s="287"/>
      <c r="AC13" s="287"/>
      <c r="AD13" s="287"/>
      <c r="AE13" s="287"/>
      <c r="AF13" s="287"/>
      <c r="AG13" s="294"/>
      <c r="AH13" s="287"/>
      <c r="AI13" s="287"/>
      <c r="AJ13" s="287"/>
      <c r="AK13" s="287"/>
      <c r="AL13" s="294"/>
      <c r="AM13" s="287"/>
      <c r="AN13" s="287"/>
      <c r="AO13" s="287"/>
      <c r="AP13" s="287"/>
      <c r="AQ13" s="294"/>
      <c r="AR13" s="287"/>
      <c r="AS13" s="289"/>
    </row>
    <row r="14" spans="1:45">
      <c r="A14" s="284">
        <f t="shared" si="0"/>
        <v>8</v>
      </c>
      <c r="B14" s="267" t="s">
        <v>679</v>
      </c>
      <c r="C14" s="287">
        <f>'Operating Report'!H38</f>
        <v>0</v>
      </c>
      <c r="D14" s="287">
        <f>'Operating Report'!I38</f>
        <v>0</v>
      </c>
      <c r="E14" s="287">
        <f>'Operating Report'!J38</f>
        <v>0</v>
      </c>
      <c r="F14" s="287">
        <f>'Operating Report'!K38</f>
        <v>0</v>
      </c>
      <c r="G14" s="287">
        <f>'Operating Report'!L38</f>
        <v>0</v>
      </c>
      <c r="H14" s="287">
        <f>'Operating Report'!M38</f>
        <v>0</v>
      </c>
      <c r="I14" s="287">
        <f>'Operating Report'!N38</f>
        <v>-134273488.14999998</v>
      </c>
      <c r="J14" s="287">
        <f>'Operating Report'!O38</f>
        <v>0</v>
      </c>
      <c r="K14" s="287">
        <f>'Operating Report'!P38</f>
        <v>0</v>
      </c>
      <c r="L14" s="287">
        <f>'Operating Report'!Q38</f>
        <v>0</v>
      </c>
      <c r="M14" s="1475">
        <f>'Operating Report'!R38</f>
        <v>0</v>
      </c>
      <c r="N14" s="1475">
        <f>'Operating Report'!S38</f>
        <v>0</v>
      </c>
      <c r="O14" s="287">
        <f>'Operating Report'!T38</f>
        <v>0</v>
      </c>
      <c r="P14" s="294">
        <f t="shared" ref="P14:P28" si="6">SUM(C14:O14)</f>
        <v>-134273488.14999998</v>
      </c>
      <c r="Q14" s="290"/>
      <c r="R14" s="287">
        <f>'Operating Report'!U38</f>
        <v>0</v>
      </c>
      <c r="S14" s="287">
        <f>'Operating Report'!V38</f>
        <v>0</v>
      </c>
      <c r="T14" s="287">
        <f>'Operating Report'!W38</f>
        <v>0</v>
      </c>
      <c r="U14" s="287">
        <f>'Operating Report'!X38</f>
        <v>0</v>
      </c>
      <c r="V14" s="287">
        <f>'Operating Report'!Y38</f>
        <v>0</v>
      </c>
      <c r="W14" s="287">
        <f>'Operating Report'!Z38</f>
        <v>0</v>
      </c>
      <c r="X14" s="287">
        <f>'Operating Report'!AA38</f>
        <v>0</v>
      </c>
      <c r="Y14" s="287">
        <f>'Operating Report'!AB38</f>
        <v>0</v>
      </c>
      <c r="Z14" s="294">
        <f t="shared" ref="Z14:Z28" si="7">SUM(R14:Y14)</f>
        <v>0</v>
      </c>
      <c r="AA14" s="290"/>
      <c r="AB14" s="289">
        <f>Z14-'Exh MCG-2 ROO Summary'!F15</f>
        <v>0</v>
      </c>
      <c r="AC14" s="290"/>
      <c r="AD14" s="287"/>
      <c r="AE14" s="287"/>
      <c r="AF14" s="287"/>
      <c r="AG14" s="294">
        <f t="shared" si="1"/>
        <v>0</v>
      </c>
      <c r="AH14" s="290"/>
      <c r="AI14" s="287"/>
      <c r="AJ14" s="287"/>
      <c r="AK14" s="287"/>
      <c r="AL14" s="294">
        <f t="shared" si="2"/>
        <v>0</v>
      </c>
      <c r="AM14" s="290"/>
      <c r="AN14" s="287"/>
      <c r="AO14" s="287"/>
      <c r="AP14" s="287"/>
      <c r="AQ14" s="294">
        <f t="shared" si="3"/>
        <v>0</v>
      </c>
      <c r="AR14" s="290"/>
    </row>
    <row r="15" spans="1:45">
      <c r="A15" s="284">
        <f t="shared" si="0"/>
        <v>9</v>
      </c>
      <c r="B15" s="267" t="s">
        <v>680</v>
      </c>
      <c r="C15" s="287">
        <f>+'Operating Report'!H54</f>
        <v>-34150.256000000001</v>
      </c>
      <c r="D15" s="287">
        <f>+'Operating Report'!I54</f>
        <v>0</v>
      </c>
      <c r="E15" s="287">
        <f>+'Operating Report'!J54</f>
        <v>59704.465275960698</v>
      </c>
      <c r="F15" s="287">
        <f>+'Operating Report'!K54</f>
        <v>0</v>
      </c>
      <c r="G15" s="287">
        <f>+'Operating Report'!L54</f>
        <v>0</v>
      </c>
      <c r="H15" s="287">
        <f>+'Operating Report'!M54</f>
        <v>0</v>
      </c>
      <c r="I15" s="287">
        <f>+'Operating Report'!N54</f>
        <v>-5843281.5912086144</v>
      </c>
      <c r="J15" s="287">
        <f>+'Operating Report'!O54</f>
        <v>14604.284447600001</v>
      </c>
      <c r="K15" s="287">
        <f>+'Operating Report'!P54</f>
        <v>0</v>
      </c>
      <c r="L15" s="287">
        <f>+'Operating Report'!Q54</f>
        <v>0</v>
      </c>
      <c r="M15" s="1475">
        <f>+'Operating Report'!R54</f>
        <v>48222.811480000004</v>
      </c>
      <c r="N15" s="1475">
        <f>+'Operating Report'!S54</f>
        <v>-48222.811480000004</v>
      </c>
      <c r="O15" s="287">
        <f>+'Operating Report'!T54</f>
        <v>0</v>
      </c>
      <c r="P15" s="294">
        <f t="shared" si="6"/>
        <v>-5803123.0974850534</v>
      </c>
      <c r="Q15" s="290"/>
      <c r="R15" s="287">
        <f>+'Operating Report'!U54</f>
        <v>0</v>
      </c>
      <c r="S15" s="287">
        <f>+'Operating Report'!V54</f>
        <v>57026.72337283969</v>
      </c>
      <c r="T15" s="287">
        <f>+'Operating Report'!W54</f>
        <v>0</v>
      </c>
      <c r="U15" s="287">
        <f>+'Operating Report'!X54</f>
        <v>0</v>
      </c>
      <c r="V15" s="287">
        <f>+'Operating Report'!Y54</f>
        <v>0</v>
      </c>
      <c r="W15" s="287">
        <f>+'Operating Report'!Z54</f>
        <v>0</v>
      </c>
      <c r="X15" s="287">
        <f>+'Operating Report'!AA54</f>
        <v>0</v>
      </c>
      <c r="Y15" s="287">
        <f>+'Operating Report'!AB54</f>
        <v>0</v>
      </c>
      <c r="Z15" s="294">
        <f t="shared" si="7"/>
        <v>57026.72337283969</v>
      </c>
      <c r="AA15" s="290"/>
      <c r="AB15" s="289">
        <f>Z15-'Exh MCG-2 ROO Summary'!F16</f>
        <v>0</v>
      </c>
      <c r="AC15" s="290"/>
      <c r="AD15" s="287">
        <f>AD11*(+'Exh MCG-4, Conversion Factor'!$C$11+'Exh MCG-4, Conversion Factor'!$C$12)</f>
        <v>0</v>
      </c>
      <c r="AE15" s="287">
        <f>AE11*(+'Exh MCG-4, Conversion Factor'!$C$11+'Exh MCG-4, Conversion Factor'!$C$12)</f>
        <v>0</v>
      </c>
      <c r="AF15" s="287">
        <f>AF11*(+'Exh MCG-4, Conversion Factor'!$C$11+'Exh MCG-4, Conversion Factor'!$C$12)</f>
        <v>0</v>
      </c>
      <c r="AG15" s="294">
        <f t="shared" si="1"/>
        <v>0</v>
      </c>
      <c r="AH15" s="290"/>
      <c r="AI15" s="287">
        <f>AI11*(+'Exh MCG-4, Conversion Factor'!$C$11+'Exh MCG-4, Conversion Factor'!$C$12)</f>
        <v>0</v>
      </c>
      <c r="AJ15" s="287">
        <f>AJ11*(+'Exh MCG-4, Conversion Factor'!$C$11+'Exh MCG-4, Conversion Factor'!$C$12)</f>
        <v>0</v>
      </c>
      <c r="AK15" s="287">
        <f>AK11*(+'Exh MCG-4, Conversion Factor'!$C$11+'Exh MCG-4, Conversion Factor'!$C$12)</f>
        <v>0</v>
      </c>
      <c r="AL15" s="294">
        <f t="shared" si="2"/>
        <v>0</v>
      </c>
      <c r="AM15" s="290"/>
      <c r="AN15" s="287">
        <f>AN11*(+'Exh MCG-4, Conversion Factor'!$C$11+'Exh MCG-4, Conversion Factor'!$C$12)</f>
        <v>0</v>
      </c>
      <c r="AO15" s="287">
        <f>AO11*(+'Exh MCG-4, Conversion Factor'!$C$11+'Exh MCG-4, Conversion Factor'!$C$12)</f>
        <v>0</v>
      </c>
      <c r="AP15" s="287">
        <f>AP11*(+'Exh MCG-4, Conversion Factor'!$C$11+'Exh MCG-4, Conversion Factor'!$C$12)</f>
        <v>0</v>
      </c>
      <c r="AQ15" s="294">
        <f t="shared" si="3"/>
        <v>0</v>
      </c>
      <c r="AR15" s="290"/>
    </row>
    <row r="16" spans="1:45">
      <c r="A16" s="284">
        <f t="shared" si="0"/>
        <v>10</v>
      </c>
      <c r="B16" s="268" t="s">
        <v>681</v>
      </c>
      <c r="C16" s="287">
        <f>+'Operating Report'!H58</f>
        <v>0</v>
      </c>
      <c r="D16" s="287">
        <f>+'Operating Report'!I58</f>
        <v>0</v>
      </c>
      <c r="E16" s="287">
        <f>+'Operating Report'!J58</f>
        <v>0</v>
      </c>
      <c r="F16" s="287">
        <f>+'Operating Report'!K58</f>
        <v>0</v>
      </c>
      <c r="G16" s="287">
        <f>+'Operating Report'!L58</f>
        <v>0</v>
      </c>
      <c r="H16" s="287">
        <f>+'Operating Report'!M58</f>
        <v>0</v>
      </c>
      <c r="I16" s="287">
        <f>+'Operating Report'!N58</f>
        <v>0</v>
      </c>
      <c r="J16" s="287">
        <f>+'Operating Report'!O58</f>
        <v>0</v>
      </c>
      <c r="K16" s="287">
        <f>+'Operating Report'!P58</f>
        <v>0</v>
      </c>
      <c r="L16" s="287">
        <f>+'Operating Report'!Q58</f>
        <v>0</v>
      </c>
      <c r="M16" s="1475">
        <f>+'Operating Report'!R58</f>
        <v>0</v>
      </c>
      <c r="N16" s="1475">
        <f>+'Operating Report'!S58</f>
        <v>0</v>
      </c>
      <c r="O16" s="287">
        <f>+'Operating Report'!T58</f>
        <v>0</v>
      </c>
      <c r="P16" s="294">
        <f t="shared" si="6"/>
        <v>0</v>
      </c>
      <c r="Q16" s="290"/>
      <c r="R16" s="287">
        <f>+'Operating Report'!U58</f>
        <v>0</v>
      </c>
      <c r="S16" s="287">
        <f>+'Operating Report'!V58</f>
        <v>0</v>
      </c>
      <c r="T16" s="287">
        <f>+'Operating Report'!W58</f>
        <v>4497.9232520000005</v>
      </c>
      <c r="U16" s="287">
        <f>+'Operating Report'!X58</f>
        <v>0</v>
      </c>
      <c r="V16" s="287">
        <f>+'Operating Report'!Y58</f>
        <v>0</v>
      </c>
      <c r="W16" s="287">
        <f>+'Operating Report'!Z58</f>
        <v>0</v>
      </c>
      <c r="X16" s="287">
        <f>+'Operating Report'!AA58</f>
        <v>0</v>
      </c>
      <c r="Y16" s="287">
        <f>+'Operating Report'!AB58</f>
        <v>0</v>
      </c>
      <c r="Z16" s="294">
        <f t="shared" si="7"/>
        <v>4497.9232520000005</v>
      </c>
      <c r="AA16" s="290"/>
      <c r="AB16" s="289">
        <f>Z16-'Exh MCG-2 ROO Summary'!F17</f>
        <v>0</v>
      </c>
      <c r="AC16" s="290"/>
      <c r="AD16" s="287"/>
      <c r="AE16" s="287"/>
      <c r="AF16" s="287"/>
      <c r="AG16" s="294">
        <f t="shared" si="1"/>
        <v>0</v>
      </c>
      <c r="AH16" s="290"/>
      <c r="AI16" s="287"/>
      <c r="AJ16" s="287"/>
      <c r="AK16" s="287"/>
      <c r="AL16" s="294">
        <f t="shared" si="2"/>
        <v>0</v>
      </c>
      <c r="AM16" s="290"/>
      <c r="AN16" s="287"/>
      <c r="AO16" s="287"/>
      <c r="AP16" s="287"/>
      <c r="AQ16" s="294">
        <f t="shared" si="3"/>
        <v>0</v>
      </c>
      <c r="AR16" s="290"/>
    </row>
    <row r="17" spans="1:62">
      <c r="A17" s="284">
        <f t="shared" si="0"/>
        <v>11</v>
      </c>
      <c r="B17" s="268" t="s">
        <v>682</v>
      </c>
      <c r="C17" s="287">
        <f>+'Operating Report'!H86</f>
        <v>0</v>
      </c>
      <c r="D17" s="287">
        <f>+'Operating Report'!I86</f>
        <v>0</v>
      </c>
      <c r="E17" s="287">
        <f>+'Operating Report'!J86</f>
        <v>0</v>
      </c>
      <c r="F17" s="287">
        <f>+'Operating Report'!K86</f>
        <v>66959.090700000001</v>
      </c>
      <c r="G17" s="287">
        <f>+'Operating Report'!L86</f>
        <v>0</v>
      </c>
      <c r="H17" s="287">
        <f>+'Operating Report'!M86</f>
        <v>0</v>
      </c>
      <c r="I17" s="287">
        <f>+'Operating Report'!N86</f>
        <v>0</v>
      </c>
      <c r="J17" s="287">
        <f>+'Operating Report'!O86</f>
        <v>0</v>
      </c>
      <c r="K17" s="287">
        <f>+'Operating Report'!P86</f>
        <v>0</v>
      </c>
      <c r="L17" s="287">
        <f>+'Operating Report'!Q86</f>
        <v>0</v>
      </c>
      <c r="M17" s="1475">
        <f>+'Operating Report'!R86</f>
        <v>0</v>
      </c>
      <c r="N17" s="1475">
        <f>+'Operating Report'!S86</f>
        <v>0</v>
      </c>
      <c r="O17" s="287">
        <f>+'Operating Report'!T86</f>
        <v>0</v>
      </c>
      <c r="P17" s="294">
        <f t="shared" si="6"/>
        <v>66959.090700000001</v>
      </c>
      <c r="Q17" s="290"/>
      <c r="R17" s="287">
        <f>+'Operating Report'!U86</f>
        <v>0</v>
      </c>
      <c r="S17" s="287">
        <f>+'Operating Report'!V86</f>
        <v>0</v>
      </c>
      <c r="T17" s="287">
        <f>+'Operating Report'!W86</f>
        <v>384518.93015099998</v>
      </c>
      <c r="U17" s="287">
        <f>+'Operating Report'!X86</f>
        <v>438114.83499999996</v>
      </c>
      <c r="V17" s="287">
        <f>+'Operating Report'!Y86</f>
        <v>0</v>
      </c>
      <c r="W17" s="287">
        <f>+'Operating Report'!Z86</f>
        <v>0</v>
      </c>
      <c r="X17" s="287">
        <f>+'Operating Report'!AA86</f>
        <v>0</v>
      </c>
      <c r="Y17" s="287">
        <f>+'Operating Report'!AB86</f>
        <v>0</v>
      </c>
      <c r="Z17" s="294">
        <f t="shared" si="7"/>
        <v>822633.76515099988</v>
      </c>
      <c r="AA17" s="290"/>
      <c r="AB17" s="289">
        <f>Z17-'Exh MCG-2 ROO Summary'!F18</f>
        <v>0</v>
      </c>
      <c r="AC17" s="290"/>
      <c r="AD17" s="287"/>
      <c r="AE17" s="287"/>
      <c r="AF17" s="287"/>
      <c r="AG17" s="294">
        <f t="shared" si="1"/>
        <v>0</v>
      </c>
      <c r="AH17" s="290"/>
      <c r="AI17" s="287"/>
      <c r="AJ17" s="287"/>
      <c r="AK17" s="287"/>
      <c r="AL17" s="294">
        <f t="shared" si="2"/>
        <v>0</v>
      </c>
      <c r="AM17" s="290"/>
      <c r="AN17" s="287"/>
      <c r="AO17" s="287"/>
      <c r="AP17" s="287"/>
      <c r="AQ17" s="294">
        <f t="shared" si="3"/>
        <v>0</v>
      </c>
      <c r="AR17" s="290"/>
      <c r="AS17" s="286"/>
    </row>
    <row r="18" spans="1:62">
      <c r="A18" s="284">
        <f t="shared" si="0"/>
        <v>12</v>
      </c>
      <c r="B18" s="268" t="s">
        <v>683</v>
      </c>
      <c r="C18" s="287">
        <f>+'Operating Report'!H94</f>
        <v>-3123.7347582729872</v>
      </c>
      <c r="D18" s="287">
        <f>+'Operating Report'!I94</f>
        <v>0</v>
      </c>
      <c r="E18" s="287">
        <f>+'Operating Report'!J94</f>
        <v>5461.1863936428772</v>
      </c>
      <c r="F18" s="287">
        <f>+'Operating Report'!K94</f>
        <v>2880.0317999999997</v>
      </c>
      <c r="G18" s="287">
        <f>+'Operating Report'!L94</f>
        <v>0</v>
      </c>
      <c r="H18" s="287">
        <f>+'Operating Report'!M94</f>
        <v>0</v>
      </c>
      <c r="I18" s="287">
        <f>+'Operating Report'!N94</f>
        <v>-534486.82226086489</v>
      </c>
      <c r="J18" s="287">
        <f>+'Operating Report'!O94</f>
        <v>1335.8585349601399</v>
      </c>
      <c r="K18" s="287">
        <f>+'Operating Report'!P94</f>
        <v>0</v>
      </c>
      <c r="L18" s="287">
        <f>+'Operating Report'!Q94</f>
        <v>0</v>
      </c>
      <c r="M18" s="1475">
        <f>+'Operating Report'!R94</f>
        <v>4410.9558757545365</v>
      </c>
      <c r="N18" s="1475">
        <f>+'Operating Report'!S94</f>
        <v>-4410.9558757545365</v>
      </c>
      <c r="O18" s="287">
        <f>+'Operating Report'!T94</f>
        <v>0</v>
      </c>
      <c r="P18" s="294">
        <f t="shared" si="6"/>
        <v>-527933.48029053479</v>
      </c>
      <c r="Q18" s="290"/>
      <c r="R18" s="287">
        <f>+'Operating Report'!U94</f>
        <v>0</v>
      </c>
      <c r="S18" s="287">
        <f>+'Operating Report'!V94</f>
        <v>5216.2524916404109</v>
      </c>
      <c r="T18" s="287">
        <f>+'Operating Report'!W94</f>
        <v>35884.251463999994</v>
      </c>
      <c r="U18" s="287">
        <f>+'Operating Report'!X94</f>
        <v>0</v>
      </c>
      <c r="V18" s="287">
        <f>+'Operating Report'!Y94</f>
        <v>0</v>
      </c>
      <c r="W18" s="287">
        <f>+'Operating Report'!Z94</f>
        <v>0</v>
      </c>
      <c r="X18" s="287">
        <f>+'Operating Report'!AA94</f>
        <v>0</v>
      </c>
      <c r="Y18" s="287">
        <f>+'Operating Report'!AB94</f>
        <v>0</v>
      </c>
      <c r="Z18" s="294">
        <f t="shared" si="7"/>
        <v>41100.503955640408</v>
      </c>
      <c r="AA18" s="290"/>
      <c r="AB18" s="289">
        <f>Z18-'Exh MCG-2 ROO Summary'!F19</f>
        <v>0</v>
      </c>
      <c r="AC18" s="290"/>
      <c r="AD18" s="287">
        <f>AD11*'Exh MCG-4, Conversion Factor'!$C$10</f>
        <v>0</v>
      </c>
      <c r="AE18" s="287">
        <f>AE11*'Exh MCG-4, Conversion Factor'!$C$10</f>
        <v>0</v>
      </c>
      <c r="AF18" s="287">
        <f>AF11*'Exh MCG-4, Conversion Factor'!$C$10</f>
        <v>0</v>
      </c>
      <c r="AG18" s="294">
        <f t="shared" si="1"/>
        <v>0</v>
      </c>
      <c r="AH18" s="290"/>
      <c r="AI18" s="287">
        <f>AI11*'Exh MCG-4, Conversion Factor'!$C$10</f>
        <v>0</v>
      </c>
      <c r="AJ18" s="287">
        <f>AJ11*'Exh MCG-4, Conversion Factor'!$C$10</f>
        <v>0</v>
      </c>
      <c r="AK18" s="287">
        <f>AK11*'Exh MCG-4, Conversion Factor'!$C$10</f>
        <v>0</v>
      </c>
      <c r="AL18" s="294">
        <f t="shared" si="2"/>
        <v>0</v>
      </c>
      <c r="AM18" s="290"/>
      <c r="AN18" s="287">
        <f>AN11*'Exh MCG-4, Conversion Factor'!$C$10</f>
        <v>0</v>
      </c>
      <c r="AO18" s="287">
        <f>AO11*'Exh MCG-4, Conversion Factor'!$C$10</f>
        <v>0</v>
      </c>
      <c r="AP18" s="287">
        <f>AP11*'Exh MCG-4, Conversion Factor'!$C$10</f>
        <v>0</v>
      </c>
      <c r="AQ18" s="294">
        <f t="shared" si="3"/>
        <v>0</v>
      </c>
      <c r="AR18" s="290"/>
      <c r="AS18" s="286"/>
    </row>
    <row r="19" spans="1:62">
      <c r="A19" s="284">
        <f t="shared" si="0"/>
        <v>13</v>
      </c>
      <c r="B19" s="268" t="s">
        <v>684</v>
      </c>
      <c r="C19" s="287">
        <f>+'Operating Report'!H101</f>
        <v>0</v>
      </c>
      <c r="D19" s="287">
        <f>+'Operating Report'!I101</f>
        <v>0</v>
      </c>
      <c r="E19" s="287">
        <f>+'Operating Report'!J101</f>
        <v>0</v>
      </c>
      <c r="F19" s="287">
        <f>+'Operating Report'!K101</f>
        <v>0</v>
      </c>
      <c r="G19" s="287">
        <f>+'Operating Report'!L101</f>
        <v>0</v>
      </c>
      <c r="H19" s="287">
        <f>+'Operating Report'!M101</f>
        <v>0</v>
      </c>
      <c r="I19" s="287">
        <f>+'Operating Report'!N101</f>
        <v>-6204365.5799999991</v>
      </c>
      <c r="J19" s="287">
        <f>+'Operating Report'!O101</f>
        <v>0</v>
      </c>
      <c r="K19" s="287">
        <f>+'Operating Report'!P101</f>
        <v>0</v>
      </c>
      <c r="L19" s="287">
        <f>+'Operating Report'!Q101</f>
        <v>0</v>
      </c>
      <c r="M19" s="1475">
        <f>+'Operating Report'!R101</f>
        <v>0</v>
      </c>
      <c r="N19" s="1475">
        <f>+'Operating Report'!S101</f>
        <v>0</v>
      </c>
      <c r="O19" s="287">
        <f>+'Operating Report'!T101</f>
        <v>0</v>
      </c>
      <c r="P19" s="294">
        <f t="shared" si="6"/>
        <v>-6204365.5799999991</v>
      </c>
      <c r="Q19" s="290"/>
      <c r="R19" s="287">
        <f>+'Operating Report'!U101</f>
        <v>0</v>
      </c>
      <c r="S19" s="287">
        <f>+'Operating Report'!V101</f>
        <v>0</v>
      </c>
      <c r="T19" s="287">
        <f>+'Operating Report'!W101</f>
        <v>22907.018183</v>
      </c>
      <c r="U19" s="287">
        <f>+'Operating Report'!X101</f>
        <v>0</v>
      </c>
      <c r="V19" s="287">
        <f>+'Operating Report'!Y101</f>
        <v>0</v>
      </c>
      <c r="W19" s="287">
        <f>+'Operating Report'!Z101</f>
        <v>0</v>
      </c>
      <c r="X19" s="287">
        <f>+'Operating Report'!AA101</f>
        <v>0</v>
      </c>
      <c r="Y19" s="287">
        <f>+'Operating Report'!AB101</f>
        <v>0</v>
      </c>
      <c r="Z19" s="294">
        <f t="shared" si="7"/>
        <v>22907.018183</v>
      </c>
      <c r="AA19" s="290"/>
      <c r="AB19" s="289">
        <f>Z19-'Exh MCG-2 ROO Summary'!F20</f>
        <v>0</v>
      </c>
      <c r="AC19" s="290"/>
      <c r="AD19" s="287"/>
      <c r="AE19" s="287"/>
      <c r="AF19" s="287"/>
      <c r="AG19" s="294">
        <f t="shared" si="1"/>
        <v>0</v>
      </c>
      <c r="AH19" s="290"/>
      <c r="AI19" s="287"/>
      <c r="AJ19" s="287"/>
      <c r="AK19" s="287"/>
      <c r="AL19" s="294">
        <f t="shared" si="2"/>
        <v>0</v>
      </c>
      <c r="AM19" s="290"/>
      <c r="AN19" s="287"/>
      <c r="AO19" s="287"/>
      <c r="AP19" s="287"/>
      <c r="AQ19" s="294">
        <f t="shared" si="3"/>
        <v>0</v>
      </c>
      <c r="AR19" s="290"/>
      <c r="AS19" s="286"/>
      <c r="AX19" s="286"/>
      <c r="AY19" s="286"/>
      <c r="AZ19" s="286"/>
      <c r="BA19" s="286"/>
      <c r="BB19" s="286"/>
      <c r="BD19" s="289"/>
      <c r="BF19" s="286"/>
      <c r="BG19" s="286"/>
      <c r="BH19" s="286"/>
      <c r="BI19" s="286"/>
      <c r="BJ19" s="286"/>
    </row>
    <row r="20" spans="1:62">
      <c r="A20" s="284">
        <f t="shared" si="0"/>
        <v>14</v>
      </c>
      <c r="B20" s="268" t="s">
        <v>685</v>
      </c>
      <c r="C20" s="287">
        <f>'Operating Report'!H108</f>
        <v>0</v>
      </c>
      <c r="D20" s="287">
        <f>'Operating Report'!I108</f>
        <v>-350</v>
      </c>
      <c r="E20" s="287">
        <f>'Operating Report'!J108</f>
        <v>0</v>
      </c>
      <c r="F20" s="287">
        <f>'Operating Report'!K108</f>
        <v>0</v>
      </c>
      <c r="G20" s="287">
        <f>'Operating Report'!L108</f>
        <v>0</v>
      </c>
      <c r="H20" s="287">
        <f>'Operating Report'!M108</f>
        <v>0</v>
      </c>
      <c r="I20" s="287">
        <f>'Operating Report'!N108</f>
        <v>0</v>
      </c>
      <c r="J20" s="287">
        <f>'Operating Report'!O108</f>
        <v>0</v>
      </c>
      <c r="K20" s="287">
        <f>'Operating Report'!P108</f>
        <v>0</v>
      </c>
      <c r="L20" s="287">
        <f>'Operating Report'!Q108</f>
        <v>0</v>
      </c>
      <c r="M20" s="1475">
        <f>'Operating Report'!R108</f>
        <v>0</v>
      </c>
      <c r="N20" s="1475">
        <f>'Operating Report'!S108</f>
        <v>0</v>
      </c>
      <c r="O20" s="287">
        <f>'Operating Report'!T108</f>
        <v>0</v>
      </c>
      <c r="P20" s="294">
        <f t="shared" si="6"/>
        <v>-350</v>
      </c>
      <c r="Q20" s="290"/>
      <c r="R20" s="287">
        <f>'Operating Report'!U108</f>
        <v>0</v>
      </c>
      <c r="S20" s="287">
        <f>'Operating Report'!V108</f>
        <v>0</v>
      </c>
      <c r="T20" s="287">
        <f>'Operating Report'!W108</f>
        <v>0</v>
      </c>
      <c r="U20" s="287">
        <f>'Operating Report'!X108</f>
        <v>0</v>
      </c>
      <c r="V20" s="287">
        <f>'Operating Report'!Y108</f>
        <v>0</v>
      </c>
      <c r="W20" s="287">
        <f>'Operating Report'!Z108</f>
        <v>0</v>
      </c>
      <c r="X20" s="287">
        <f>'Operating Report'!AA108</f>
        <v>0</v>
      </c>
      <c r="Y20" s="287">
        <f>'Operating Report'!AB108</f>
        <v>0</v>
      </c>
      <c r="Z20" s="294">
        <f t="shared" si="7"/>
        <v>0</v>
      </c>
      <c r="AA20" s="290"/>
      <c r="AB20" s="289">
        <f>Z20-'Exh MCG-2 ROO Summary'!F21</f>
        <v>0</v>
      </c>
      <c r="AC20" s="290"/>
      <c r="AD20" s="287"/>
      <c r="AE20" s="287"/>
      <c r="AF20" s="287"/>
      <c r="AG20" s="294">
        <f t="shared" si="1"/>
        <v>0</v>
      </c>
      <c r="AH20" s="290"/>
      <c r="AI20" s="287"/>
      <c r="AJ20" s="287"/>
      <c r="AK20" s="287"/>
      <c r="AL20" s="294">
        <f t="shared" si="2"/>
        <v>0</v>
      </c>
      <c r="AM20" s="290"/>
      <c r="AN20" s="287"/>
      <c r="AO20" s="287"/>
      <c r="AP20" s="287"/>
      <c r="AQ20" s="294">
        <f t="shared" si="3"/>
        <v>0</v>
      </c>
      <c r="AR20" s="290"/>
      <c r="AS20" s="286"/>
      <c r="BA20" s="289"/>
      <c r="BB20" s="289"/>
      <c r="BF20" s="295"/>
      <c r="BG20" s="295"/>
      <c r="BH20" s="295"/>
      <c r="BI20" s="295"/>
      <c r="BJ20" s="295"/>
    </row>
    <row r="21" spans="1:62">
      <c r="A21" s="284">
        <f t="shared" si="0"/>
        <v>15</v>
      </c>
      <c r="B21" s="268" t="s">
        <v>686</v>
      </c>
      <c r="C21" s="287">
        <f>+'Operating Report'!H124</f>
        <v>0</v>
      </c>
      <c r="D21" s="287">
        <f>+'Operating Report'!I124</f>
        <v>-136185.97999999986</v>
      </c>
      <c r="E21" s="287">
        <f>+'Operating Report'!J124</f>
        <v>0</v>
      </c>
      <c r="F21" s="287">
        <f>+'Operating Report'!K124</f>
        <v>69.675299999999993</v>
      </c>
      <c r="G21" s="287">
        <f>+'Operating Report'!L124</f>
        <v>-1589503.44</v>
      </c>
      <c r="H21" s="287">
        <f>+'Operating Report'!M124</f>
        <v>-184098.245</v>
      </c>
      <c r="I21" s="287">
        <f>+'Operating Report'!N124</f>
        <v>0</v>
      </c>
      <c r="J21" s="287">
        <f>+'Operating Report'!O124</f>
        <v>0</v>
      </c>
      <c r="K21" s="287">
        <f>+'Operating Report'!P124</f>
        <v>0</v>
      </c>
      <c r="L21" s="287">
        <f>+'Operating Report'!Q124</f>
        <v>0</v>
      </c>
      <c r="M21" s="1475">
        <f>+'Operating Report'!R124</f>
        <v>0</v>
      </c>
      <c r="N21" s="1475">
        <f>+'Operating Report'!S124</f>
        <v>0</v>
      </c>
      <c r="O21" s="287">
        <f>+'Operating Report'!T124</f>
        <v>0</v>
      </c>
      <c r="P21" s="294">
        <f>SUM(C21:O21)</f>
        <v>-1909717.9896999998</v>
      </c>
      <c r="Q21" s="290"/>
      <c r="R21" s="287">
        <f>+'Operating Report'!U124</f>
        <v>0</v>
      </c>
      <c r="S21" s="287">
        <f>+'Operating Report'!V124</f>
        <v>0</v>
      </c>
      <c r="T21" s="287">
        <f>+'Operating Report'!W124</f>
        <v>263679.92684700002</v>
      </c>
      <c r="U21" s="287">
        <f>+'Operating Report'!X124</f>
        <v>0</v>
      </c>
      <c r="V21" s="287">
        <f>+'Operating Report'!Y124</f>
        <v>0</v>
      </c>
      <c r="W21" s="287">
        <f>+'Operating Report'!Z124</f>
        <v>0</v>
      </c>
      <c r="X21" s="287">
        <f>+'Operating Report'!AA124</f>
        <v>0</v>
      </c>
      <c r="Y21" s="287">
        <f>+'Operating Report'!AB124</f>
        <v>0</v>
      </c>
      <c r="Z21" s="294">
        <f t="shared" si="7"/>
        <v>263679.92684700002</v>
      </c>
      <c r="AA21" s="290"/>
      <c r="AB21" s="289">
        <f>Z21-'Exh MCG-2 ROO Summary'!F22</f>
        <v>0</v>
      </c>
      <c r="AC21" s="290"/>
      <c r="AD21" s="287"/>
      <c r="AE21" s="287"/>
      <c r="AF21" s="287"/>
      <c r="AG21" s="294">
        <f t="shared" si="1"/>
        <v>0</v>
      </c>
      <c r="AH21" s="290"/>
      <c r="AI21" s="287"/>
      <c r="AJ21" s="287"/>
      <c r="AK21" s="287"/>
      <c r="AL21" s="294">
        <f t="shared" si="2"/>
        <v>0</v>
      </c>
      <c r="AM21" s="290"/>
      <c r="AN21" s="287"/>
      <c r="AO21" s="287"/>
      <c r="AP21" s="287"/>
      <c r="AQ21" s="294">
        <f t="shared" si="3"/>
        <v>0</v>
      </c>
      <c r="AR21" s="290"/>
      <c r="AS21" s="286"/>
      <c r="BA21" s="289"/>
      <c r="BB21" s="289"/>
      <c r="BF21" s="295"/>
      <c r="BG21" s="295"/>
      <c r="BH21" s="295"/>
      <c r="BI21" s="295"/>
      <c r="BJ21" s="295"/>
    </row>
    <row r="22" spans="1:62">
      <c r="A22" s="284">
        <f t="shared" si="0"/>
        <v>16</v>
      </c>
      <c r="B22" s="268" t="s">
        <v>687</v>
      </c>
      <c r="C22" s="287">
        <f>+'Operating Report'!H129</f>
        <v>0</v>
      </c>
      <c r="D22" s="287">
        <f>+'Operating Report'!I129</f>
        <v>0</v>
      </c>
      <c r="E22" s="287">
        <f>+'Operating Report'!J129</f>
        <v>0</v>
      </c>
      <c r="F22" s="287">
        <f>+'Operating Report'!K129</f>
        <v>0</v>
      </c>
      <c r="G22" s="287">
        <f>+'Operating Report'!L129</f>
        <v>0</v>
      </c>
      <c r="H22" s="287">
        <f>+'Operating Report'!M129</f>
        <v>0</v>
      </c>
      <c r="I22" s="287">
        <f>+'Operating Report'!N129</f>
        <v>0</v>
      </c>
      <c r="J22" s="287">
        <f>+'Operating Report'!O129</f>
        <v>0</v>
      </c>
      <c r="K22" s="287">
        <f>+'Operating Report'!P129</f>
        <v>-52136.398848000004</v>
      </c>
      <c r="L22" s="287">
        <f>+'Operating Report'!Q129</f>
        <v>6998.8809799999999</v>
      </c>
      <c r="M22" s="1475">
        <f>+'Operating Report'!R129</f>
        <v>0</v>
      </c>
      <c r="N22" s="1475">
        <f>+'Operating Report'!S129</f>
        <v>0</v>
      </c>
      <c r="O22" s="287">
        <f>+'Operating Report'!T129</f>
        <v>0</v>
      </c>
      <c r="P22" s="294">
        <f t="shared" si="6"/>
        <v>-45137.517868000003</v>
      </c>
      <c r="Q22" s="290"/>
      <c r="R22" s="287">
        <f>+'Operating Report'!U129</f>
        <v>0</v>
      </c>
      <c r="S22" s="287">
        <f>+'Operating Report'!V129</f>
        <v>0</v>
      </c>
      <c r="T22" s="287">
        <f>+'Operating Report'!W129</f>
        <v>0</v>
      </c>
      <c r="U22" s="287">
        <f>+'Operating Report'!X129</f>
        <v>0</v>
      </c>
      <c r="V22" s="287">
        <f>+'Operating Report'!Y129</f>
        <v>0</v>
      </c>
      <c r="W22" s="287">
        <f>+'Operating Report'!Z129</f>
        <v>0</v>
      </c>
      <c r="X22" s="287">
        <f>+'Operating Report'!AA129</f>
        <v>0</v>
      </c>
      <c r="Y22" s="287">
        <f>+'Operating Report'!AB129</f>
        <v>0</v>
      </c>
      <c r="Z22" s="294">
        <f t="shared" si="7"/>
        <v>0</v>
      </c>
      <c r="AA22" s="290"/>
      <c r="AB22" s="289">
        <f>Z22-'Exh MCG-2 ROO Summary'!F23</f>
        <v>0</v>
      </c>
      <c r="AC22" s="290"/>
      <c r="AD22" s="287"/>
      <c r="AE22" s="287"/>
      <c r="AF22" s="287"/>
      <c r="AG22" s="294">
        <f t="shared" si="1"/>
        <v>0</v>
      </c>
      <c r="AH22" s="290"/>
      <c r="AI22" s="287"/>
      <c r="AJ22" s="287"/>
      <c r="AK22" s="287"/>
      <c r="AL22" s="294">
        <f t="shared" si="2"/>
        <v>0</v>
      </c>
      <c r="AM22" s="290"/>
      <c r="AN22" s="287"/>
      <c r="AO22" s="287"/>
      <c r="AP22" s="287"/>
      <c r="AQ22" s="294">
        <f t="shared" si="3"/>
        <v>0</v>
      </c>
      <c r="AR22" s="290"/>
      <c r="AS22" s="286"/>
      <c r="BA22" s="289"/>
      <c r="BB22" s="289"/>
      <c r="BF22" s="295"/>
      <c r="BG22" s="295"/>
      <c r="BH22" s="296"/>
      <c r="BI22" s="295"/>
      <c r="BJ22" s="296"/>
    </row>
    <row r="23" spans="1:62">
      <c r="A23" s="284">
        <f t="shared" si="0"/>
        <v>17</v>
      </c>
      <c r="B23" s="268" t="s">
        <v>688</v>
      </c>
      <c r="C23" s="287"/>
      <c r="D23" s="287"/>
      <c r="E23" s="287"/>
      <c r="F23" s="287"/>
      <c r="G23" s="287"/>
      <c r="H23" s="287"/>
      <c r="I23" s="287"/>
      <c r="J23" s="287"/>
      <c r="K23" s="287"/>
      <c r="L23" s="287"/>
      <c r="M23" s="1475"/>
      <c r="N23" s="1475"/>
      <c r="O23" s="287"/>
      <c r="P23" s="294">
        <f t="shared" si="6"/>
        <v>0</v>
      </c>
      <c r="Q23" s="290"/>
      <c r="R23" s="287"/>
      <c r="S23" s="287"/>
      <c r="T23" s="287"/>
      <c r="U23" s="287"/>
      <c r="V23" s="287"/>
      <c r="W23" s="287"/>
      <c r="X23" s="287"/>
      <c r="Y23" s="287"/>
      <c r="Z23" s="294">
        <f t="shared" si="7"/>
        <v>0</v>
      </c>
      <c r="AA23" s="290"/>
      <c r="AB23" s="289">
        <f>Z23-'Exh MCG-2 ROO Summary'!F24</f>
        <v>0</v>
      </c>
      <c r="AC23" s="290"/>
      <c r="AD23" s="287"/>
      <c r="AE23" s="287"/>
      <c r="AF23" s="287"/>
      <c r="AG23" s="294">
        <f t="shared" si="1"/>
        <v>0</v>
      </c>
      <c r="AH23" s="290"/>
      <c r="AI23" s="287"/>
      <c r="AJ23" s="287"/>
      <c r="AK23" s="287"/>
      <c r="AL23" s="294">
        <f t="shared" si="2"/>
        <v>0</v>
      </c>
      <c r="AM23" s="290"/>
      <c r="AN23" s="287"/>
      <c r="AO23" s="287"/>
      <c r="AP23" s="287"/>
      <c r="AQ23" s="294">
        <f t="shared" si="3"/>
        <v>0</v>
      </c>
      <c r="AR23" s="290"/>
    </row>
    <row r="24" spans="1:62">
      <c r="A24" s="284">
        <f t="shared" si="0"/>
        <v>18</v>
      </c>
      <c r="B24" s="268" t="s">
        <v>689</v>
      </c>
      <c r="C24" s="287">
        <f>+'Operating Report'!H141</f>
        <v>0</v>
      </c>
      <c r="D24" s="287">
        <f>+'Operating Report'!I141</f>
        <v>0</v>
      </c>
      <c r="E24" s="287">
        <f>+'Operating Report'!J141</f>
        <v>0</v>
      </c>
      <c r="F24" s="287">
        <f>+'Operating Report'!K141</f>
        <v>5348.0230316999996</v>
      </c>
      <c r="G24" s="287">
        <f>+'Operating Report'!L141</f>
        <v>0</v>
      </c>
      <c r="H24" s="287">
        <f>+'Operating Report'!M141</f>
        <v>0</v>
      </c>
      <c r="I24" s="287">
        <f>+'Operating Report'!N141</f>
        <v>2852639.5100000002</v>
      </c>
      <c r="J24" s="287">
        <f>+'Operating Report'!O141</f>
        <v>0</v>
      </c>
      <c r="K24" s="287">
        <f>+'Operating Report'!P141</f>
        <v>0</v>
      </c>
      <c r="L24" s="287">
        <f>+'Operating Report'!Q141</f>
        <v>0</v>
      </c>
      <c r="M24" s="1475">
        <f>+'Operating Report'!R141</f>
        <v>0</v>
      </c>
      <c r="N24" s="1475">
        <f>+'Operating Report'!S141</f>
        <v>0</v>
      </c>
      <c r="O24" s="287">
        <f>+'Operating Report'!T141</f>
        <v>0</v>
      </c>
      <c r="P24" s="294">
        <f t="shared" si="6"/>
        <v>2857987.5330317002</v>
      </c>
      <c r="Q24" s="290"/>
      <c r="R24" s="287">
        <f>+'Operating Report'!U141</f>
        <v>0</v>
      </c>
      <c r="S24" s="287">
        <f>+'Operating Report'!V141</f>
        <v>0</v>
      </c>
      <c r="T24" s="287">
        <f>+'Operating Report'!W141</f>
        <v>54428.835817120496</v>
      </c>
      <c r="U24" s="287">
        <f>+'Operating Report'!X141</f>
        <v>0</v>
      </c>
      <c r="V24" s="287">
        <f>+'Operating Report'!Y141</f>
        <v>0</v>
      </c>
      <c r="W24" s="287">
        <f>+'Operating Report'!Z141</f>
        <v>0</v>
      </c>
      <c r="X24" s="287">
        <f>+'Operating Report'!AA141</f>
        <v>0</v>
      </c>
      <c r="Y24" s="287">
        <f>+'Operating Report'!AB141</f>
        <v>0</v>
      </c>
      <c r="Z24" s="294">
        <f t="shared" si="7"/>
        <v>54428.835817120496</v>
      </c>
      <c r="AA24" s="290"/>
      <c r="AB24" s="289">
        <f>Z24-'Exh MCG-2 ROO Summary'!F25</f>
        <v>0</v>
      </c>
      <c r="AC24" s="290"/>
      <c r="AD24" s="287"/>
      <c r="AE24" s="287"/>
      <c r="AF24" s="287"/>
      <c r="AG24" s="294">
        <f t="shared" si="1"/>
        <v>0</v>
      </c>
      <c r="AH24" s="290"/>
      <c r="AI24" s="287"/>
      <c r="AJ24" s="287"/>
      <c r="AK24" s="287"/>
      <c r="AL24" s="294">
        <f t="shared" si="2"/>
        <v>0</v>
      </c>
      <c r="AM24" s="290"/>
      <c r="AN24" s="287"/>
      <c r="AO24" s="287"/>
      <c r="AP24" s="287"/>
      <c r="AQ24" s="294">
        <f t="shared" si="3"/>
        <v>0</v>
      </c>
      <c r="AR24" s="290"/>
      <c r="BJ24" s="117"/>
    </row>
    <row r="25" spans="1:62">
      <c r="A25" s="284">
        <f t="shared" si="0"/>
        <v>19</v>
      </c>
      <c r="B25" s="268" t="s">
        <v>690</v>
      </c>
      <c r="C25" s="292">
        <f>+'Operating Report'!H144</f>
        <v>-169160.46194076265</v>
      </c>
      <c r="D25" s="292">
        <f>+'Operating Report'!I144</f>
        <v>28672.555799999969</v>
      </c>
      <c r="E25" s="292">
        <f>+'Operating Report'!J144</f>
        <v>295741.11907119339</v>
      </c>
      <c r="F25" s="292">
        <f>+'Operating Report'!K144</f>
        <v>-15803.932374656999</v>
      </c>
      <c r="G25" s="292">
        <f>+'Operating Report'!L144</f>
        <v>333795.72239999997</v>
      </c>
      <c r="H25" s="292">
        <f>+'Operating Report'!M144</f>
        <v>38660.631450000001</v>
      </c>
      <c r="I25" s="292">
        <f>+'Operating Report'!N144</f>
        <v>-42915.950866011553</v>
      </c>
      <c r="J25" s="292">
        <f>+'Operating Report'!O144</f>
        <v>72341.112273662366</v>
      </c>
      <c r="K25" s="292">
        <f>+'Operating Report'!P144</f>
        <v>10948.643758080001</v>
      </c>
      <c r="L25" s="292">
        <f>+'Operating Report'!Q144</f>
        <v>-1469.7650057999999</v>
      </c>
      <c r="M25" s="1477">
        <f>+'Operating Report'!R144</f>
        <v>238867.69885529156</v>
      </c>
      <c r="N25" s="1477">
        <f>+'Operating Report'!S144</f>
        <v>-238867.69885529156</v>
      </c>
      <c r="O25" s="292">
        <f>+'Operating Report'!T144</f>
        <v>0</v>
      </c>
      <c r="P25" s="297">
        <f t="shared" si="6"/>
        <v>550809.67456570454</v>
      </c>
      <c r="Q25" s="290"/>
      <c r="R25" s="292">
        <f>+'Operating Report'!U144</f>
        <v>67587.17921305116</v>
      </c>
      <c r="S25" s="292">
        <f>+'Operating Report'!V144</f>
        <v>282477.14654665109</v>
      </c>
      <c r="T25" s="292">
        <f>+'Operating Report'!W144</f>
        <v>-160842.54599996528</v>
      </c>
      <c r="U25" s="292">
        <f>+'Operating Report'!X144</f>
        <v>-92004.115349999993</v>
      </c>
      <c r="V25" s="292">
        <f>+'Operating Report'!Y144</f>
        <v>0</v>
      </c>
      <c r="W25" s="292">
        <f>+'Operating Report'!Z144</f>
        <v>0</v>
      </c>
      <c r="X25" s="292">
        <f>+'Operating Report'!AA144</f>
        <v>0</v>
      </c>
      <c r="Y25" s="292">
        <f>+'Operating Report'!AB144</f>
        <v>0</v>
      </c>
      <c r="Z25" s="297">
        <f t="shared" si="7"/>
        <v>97217.664409736972</v>
      </c>
      <c r="AA25" s="290"/>
      <c r="AB25" s="289">
        <f>Z25-'Exh MCG-2 ROO Summary'!F26</f>
        <v>0</v>
      </c>
      <c r="AC25" s="290"/>
      <c r="AD25" s="292">
        <f>(SUM(AD11, -AD14, -AD15)-SUM(AD16:AD24))*'Exh MCG-4, Conversion Factor'!$C$33</f>
        <v>0</v>
      </c>
      <c r="AE25" s="292">
        <f>(SUM(AE11, -AE14, -AE15)-SUM(AE16:AE24))*'Exh MCG-4, Conversion Factor'!$C$33</f>
        <v>0</v>
      </c>
      <c r="AF25" s="292">
        <f>(SUM(AF11, -AF14, -AF15)-SUM(AF16:AF24))*'Exh MCG-4, Conversion Factor'!$C$33</f>
        <v>0</v>
      </c>
      <c r="AG25" s="297">
        <f t="shared" si="1"/>
        <v>0</v>
      </c>
      <c r="AH25" s="290"/>
      <c r="AI25" s="292">
        <f>(SUM(AI11, -AI14, -AI15)-SUM(AI16:AI24))*'Exh MCG-4, Conversion Factor'!$C$33</f>
        <v>0</v>
      </c>
      <c r="AJ25" s="292">
        <f>(SUM(AJ11, -AJ14, -AJ15)-SUM(AJ16:AJ24))*'Exh MCG-4, Conversion Factor'!$C$33</f>
        <v>0</v>
      </c>
      <c r="AK25" s="292">
        <f>(SUM(AK11, -AK14, -AK15)-SUM(AK16:AK24))*'Exh MCG-4, Conversion Factor'!$C$33</f>
        <v>0</v>
      </c>
      <c r="AL25" s="297">
        <f t="shared" si="2"/>
        <v>0</v>
      </c>
      <c r="AM25" s="290"/>
      <c r="AN25" s="292">
        <f>(SUM(AN11, -AN14, -AN15)-SUM(AN16:AN24))*'Exh MCG-4, Conversion Factor'!$C$33</f>
        <v>0</v>
      </c>
      <c r="AO25" s="292">
        <f>(SUM(AO11, -AO14, -AO15)-SUM(AO16:AO24))*'Exh MCG-4, Conversion Factor'!$C$33</f>
        <v>0</v>
      </c>
      <c r="AP25" s="292">
        <f>(SUM(AP11, -AP14, -AP15)-SUM(AP16:AP24))*'Exh MCG-4, Conversion Factor'!$C$33</f>
        <v>0</v>
      </c>
      <c r="AQ25" s="297">
        <f t="shared" si="3"/>
        <v>0</v>
      </c>
      <c r="AR25" s="290"/>
      <c r="AS25" s="298"/>
    </row>
    <row r="26" spans="1:62">
      <c r="A26" s="284">
        <f t="shared" si="0"/>
        <v>20</v>
      </c>
      <c r="B26" s="266" t="s">
        <v>691</v>
      </c>
      <c r="C26" s="290">
        <f t="shared" ref="C26:L26" si="8">SUM(C14:C25)</f>
        <v>-206434.45269903564</v>
      </c>
      <c r="D26" s="290">
        <f t="shared" si="8"/>
        <v>-107863.42419999989</v>
      </c>
      <c r="E26" s="290">
        <f t="shared" si="8"/>
        <v>360906.77074079699</v>
      </c>
      <c r="F26" s="290">
        <f t="shared" si="8"/>
        <v>59452.888457042995</v>
      </c>
      <c r="G26" s="290">
        <f t="shared" si="8"/>
        <v>-1255707.7176000001</v>
      </c>
      <c r="H26" s="290">
        <f>SUM(H14:H25)</f>
        <v>-145437.61355000001</v>
      </c>
      <c r="I26" s="290">
        <f t="shared" si="8"/>
        <v>-144045898.58433548</v>
      </c>
      <c r="J26" s="290">
        <f t="shared" si="8"/>
        <v>88281.255256222503</v>
      </c>
      <c r="K26" s="290">
        <f t="shared" si="8"/>
        <v>-41187.75508992</v>
      </c>
      <c r="L26" s="290">
        <f t="shared" si="8"/>
        <v>5529.1159742</v>
      </c>
      <c r="M26" s="1476">
        <f>SUM(M14:M25)</f>
        <v>291501.46621104609</v>
      </c>
      <c r="N26" s="1476">
        <f>SUM(N14:N25)</f>
        <v>-291501.46621104609</v>
      </c>
      <c r="O26" s="290">
        <f>SUM(O14:O25)</f>
        <v>0</v>
      </c>
      <c r="P26" s="294">
        <f t="shared" si="6"/>
        <v>-145288359.51704615</v>
      </c>
      <c r="Q26" s="290"/>
      <c r="R26" s="290">
        <f t="shared" ref="R26:Y26" si="9">SUM(R14:R25)</f>
        <v>67587.17921305116</v>
      </c>
      <c r="S26" s="290">
        <f t="shared" si="9"/>
        <v>344720.12241113116</v>
      </c>
      <c r="T26" s="290">
        <f t="shared" si="9"/>
        <v>605074.33971415518</v>
      </c>
      <c r="U26" s="290">
        <f>SUM(U14:U25)</f>
        <v>346110.71964999998</v>
      </c>
      <c r="V26" s="290">
        <f>SUM(V14:V25)</f>
        <v>0</v>
      </c>
      <c r="W26" s="290">
        <f t="shared" si="9"/>
        <v>0</v>
      </c>
      <c r="X26" s="290">
        <f t="shared" si="9"/>
        <v>0</v>
      </c>
      <c r="Y26" s="290">
        <f t="shared" si="9"/>
        <v>0</v>
      </c>
      <c r="Z26" s="294">
        <f t="shared" si="7"/>
        <v>1363492.3609883375</v>
      </c>
      <c r="AA26" s="290"/>
      <c r="AB26" s="289">
        <f>Z26-'Exh MCG-2 ROO Summary'!F27</f>
        <v>0</v>
      </c>
      <c r="AC26" s="290"/>
      <c r="AD26" s="290">
        <f t="shared" ref="AD26:AP26" si="10">SUM(AD14:AD25)</f>
        <v>0</v>
      </c>
      <c r="AE26" s="290">
        <f>SUM(AE14:AE25)</f>
        <v>0</v>
      </c>
      <c r="AF26" s="290">
        <f t="shared" si="10"/>
        <v>0</v>
      </c>
      <c r="AG26" s="294">
        <f t="shared" si="1"/>
        <v>0</v>
      </c>
      <c r="AH26" s="290"/>
      <c r="AI26" s="290">
        <f t="shared" si="10"/>
        <v>0</v>
      </c>
      <c r="AJ26" s="290">
        <f>SUM(AJ14:AJ25)</f>
        <v>0</v>
      </c>
      <c r="AK26" s="290">
        <f t="shared" si="10"/>
        <v>0</v>
      </c>
      <c r="AL26" s="294">
        <f t="shared" si="2"/>
        <v>0</v>
      </c>
      <c r="AM26" s="290"/>
      <c r="AN26" s="290">
        <f t="shared" si="10"/>
        <v>0</v>
      </c>
      <c r="AO26" s="290">
        <f>SUM(AO14:AO25)</f>
        <v>0</v>
      </c>
      <c r="AP26" s="290">
        <f t="shared" si="10"/>
        <v>0</v>
      </c>
      <c r="AQ26" s="294">
        <f t="shared" si="3"/>
        <v>0</v>
      </c>
      <c r="AR26" s="290"/>
      <c r="AX26" s="286"/>
      <c r="AY26" s="286"/>
      <c r="AZ26" s="286"/>
      <c r="BA26" s="286"/>
      <c r="BB26" s="286"/>
      <c r="BD26" s="286"/>
      <c r="BJ26" s="299"/>
    </row>
    <row r="27" spans="1:62">
      <c r="A27" s="284">
        <f t="shared" si="0"/>
        <v>21</v>
      </c>
      <c r="B27" s="266"/>
      <c r="C27" s="290"/>
      <c r="D27" s="290"/>
      <c r="E27" s="290"/>
      <c r="F27" s="290"/>
      <c r="G27" s="290"/>
      <c r="H27" s="290"/>
      <c r="I27" s="290"/>
      <c r="J27" s="290"/>
      <c r="K27" s="290"/>
      <c r="L27" s="290"/>
      <c r="M27" s="1476"/>
      <c r="N27" s="1476"/>
      <c r="O27" s="290"/>
      <c r="P27" s="294">
        <f t="shared" si="6"/>
        <v>0</v>
      </c>
      <c r="Q27" s="290"/>
      <c r="R27" s="290"/>
      <c r="S27" s="290"/>
      <c r="T27" s="290"/>
      <c r="U27" s="290"/>
      <c r="V27" s="290"/>
      <c r="W27" s="290"/>
      <c r="X27" s="290"/>
      <c r="Y27" s="290"/>
      <c r="Z27" s="294"/>
      <c r="AA27" s="290"/>
      <c r="AB27" s="289"/>
      <c r="AC27" s="290"/>
      <c r="AD27" s="290"/>
      <c r="AE27" s="290"/>
      <c r="AF27" s="290"/>
      <c r="AG27" s="294">
        <f t="shared" si="1"/>
        <v>0</v>
      </c>
      <c r="AH27" s="290"/>
      <c r="AI27" s="290"/>
      <c r="AJ27" s="290"/>
      <c r="AK27" s="290"/>
      <c r="AL27" s="294">
        <f t="shared" si="2"/>
        <v>0</v>
      </c>
      <c r="AM27" s="290"/>
      <c r="AN27" s="290"/>
      <c r="AO27" s="290"/>
      <c r="AP27" s="290"/>
      <c r="AQ27" s="294">
        <f t="shared" si="3"/>
        <v>0</v>
      </c>
      <c r="AR27" s="290"/>
      <c r="AX27" s="286"/>
      <c r="AY27" s="286"/>
      <c r="AZ27" s="286"/>
      <c r="BA27" s="286"/>
      <c r="BB27" s="286"/>
      <c r="BD27" s="286"/>
      <c r="BJ27" s="299"/>
    </row>
    <row r="28" spans="1:62" ht="15.75" thickBot="1">
      <c r="A28" s="284">
        <f t="shared" si="0"/>
        <v>22</v>
      </c>
      <c r="B28" s="264" t="s">
        <v>3235</v>
      </c>
      <c r="C28" s="300">
        <f t="shared" ref="C28:L28" si="11">+C11-C26</f>
        <v>-636365.54730096436</v>
      </c>
      <c r="D28" s="300">
        <f t="shared" si="11"/>
        <v>107863.42419999989</v>
      </c>
      <c r="E28" s="300">
        <f t="shared" si="11"/>
        <v>1112549.9241249654</v>
      </c>
      <c r="F28" s="300">
        <f t="shared" si="11"/>
        <v>-59452.888457042995</v>
      </c>
      <c r="G28" s="300">
        <f t="shared" si="11"/>
        <v>1255707.7176000001</v>
      </c>
      <c r="H28" s="300">
        <f>+H11-H26</f>
        <v>145437.61355000001</v>
      </c>
      <c r="I28" s="300">
        <f t="shared" si="11"/>
        <v>-161445.71992450953</v>
      </c>
      <c r="J28" s="300">
        <f t="shared" si="11"/>
        <v>272140.3747437775</v>
      </c>
      <c r="K28" s="300">
        <f t="shared" si="11"/>
        <v>41187.75508992</v>
      </c>
      <c r="L28" s="300">
        <f t="shared" si="11"/>
        <v>-5529.1159742</v>
      </c>
      <c r="M28" s="1479">
        <f>+M11-M26</f>
        <v>898597.53378895391</v>
      </c>
      <c r="N28" s="1479">
        <f>+N11-N26</f>
        <v>-898597.53378895391</v>
      </c>
      <c r="O28" s="300">
        <f>+O11-O26</f>
        <v>0</v>
      </c>
      <c r="P28" s="301">
        <f t="shared" si="6"/>
        <v>2072093.5376519458</v>
      </c>
      <c r="Q28" s="287"/>
      <c r="R28" s="300">
        <f t="shared" ref="R28:Y28" si="12">+R11-R26</f>
        <v>-67587.17921305116</v>
      </c>
      <c r="S28" s="300">
        <f t="shared" si="12"/>
        <v>1062652.1227231158</v>
      </c>
      <c r="T28" s="300">
        <f t="shared" si="12"/>
        <v>-605074.33971415518</v>
      </c>
      <c r="U28" s="300">
        <f>+U11-U26</f>
        <v>-346110.71964999998</v>
      </c>
      <c r="V28" s="300">
        <f>+V11-V26</f>
        <v>0</v>
      </c>
      <c r="W28" s="300">
        <f t="shared" si="12"/>
        <v>0</v>
      </c>
      <c r="X28" s="300">
        <f t="shared" si="12"/>
        <v>0</v>
      </c>
      <c r="Y28" s="300">
        <f t="shared" si="12"/>
        <v>0</v>
      </c>
      <c r="Z28" s="301">
        <f t="shared" si="7"/>
        <v>43879.884145909455</v>
      </c>
      <c r="AA28" s="287"/>
      <c r="AB28" s="289">
        <f>Z28-'Exh MCG-2 ROO Summary'!F29</f>
        <v>-2.3283064365386963E-10</v>
      </c>
      <c r="AC28" s="287"/>
      <c r="AD28" s="300">
        <f t="shared" ref="AD28:AP28" si="13">+AD11-AD26</f>
        <v>0</v>
      </c>
      <c r="AE28" s="300">
        <f>+AE11-AE26</f>
        <v>0</v>
      </c>
      <c r="AF28" s="300">
        <f t="shared" si="13"/>
        <v>0</v>
      </c>
      <c r="AG28" s="301">
        <f t="shared" si="1"/>
        <v>0</v>
      </c>
      <c r="AH28" s="287"/>
      <c r="AI28" s="300">
        <f t="shared" si="13"/>
        <v>0</v>
      </c>
      <c r="AJ28" s="300">
        <f>+AJ11-AJ26</f>
        <v>0</v>
      </c>
      <c r="AK28" s="300">
        <f t="shared" si="13"/>
        <v>0</v>
      </c>
      <c r="AL28" s="301">
        <f t="shared" si="2"/>
        <v>0</v>
      </c>
      <c r="AM28" s="287"/>
      <c r="AN28" s="300">
        <f t="shared" si="13"/>
        <v>0</v>
      </c>
      <c r="AO28" s="300">
        <f>+AO11-AO26</f>
        <v>0</v>
      </c>
      <c r="AP28" s="300">
        <f t="shared" si="13"/>
        <v>0</v>
      </c>
      <c r="AQ28" s="301">
        <f t="shared" si="3"/>
        <v>0</v>
      </c>
      <c r="AR28" s="287"/>
      <c r="BA28" s="289"/>
      <c r="BB28" s="289"/>
    </row>
    <row r="29" spans="1:62" ht="15.75" thickTop="1">
      <c r="A29" s="284">
        <f t="shared" si="0"/>
        <v>23</v>
      </c>
      <c r="B29" s="264"/>
      <c r="C29" s="294"/>
      <c r="D29" s="294"/>
      <c r="E29" s="294"/>
      <c r="F29" s="294"/>
      <c r="G29" s="287"/>
      <c r="H29" s="287"/>
      <c r="I29" s="287"/>
      <c r="J29" s="287"/>
      <c r="K29" s="287"/>
      <c r="L29" s="287"/>
      <c r="M29" s="1475"/>
      <c r="N29" s="1475"/>
      <c r="O29" s="287"/>
      <c r="P29" s="294"/>
      <c r="Q29" s="290"/>
      <c r="R29" s="287"/>
      <c r="S29" s="287"/>
      <c r="T29" s="287"/>
      <c r="U29" s="287"/>
      <c r="V29" s="287"/>
      <c r="W29" s="287"/>
      <c r="X29" s="287"/>
      <c r="Y29" s="287"/>
      <c r="Z29" s="294"/>
      <c r="AA29" s="290"/>
      <c r="AC29" s="290"/>
      <c r="AD29" s="287"/>
      <c r="AE29" s="287"/>
      <c r="AF29" s="287"/>
      <c r="AG29" s="294"/>
      <c r="AH29" s="290"/>
      <c r="AI29" s="287"/>
      <c r="AJ29" s="287"/>
      <c r="AK29" s="287"/>
      <c r="AL29" s="294"/>
      <c r="AM29" s="290"/>
      <c r="AN29" s="287"/>
      <c r="AO29" s="287"/>
      <c r="AP29" s="287"/>
      <c r="AQ29" s="294"/>
      <c r="AR29" s="290"/>
      <c r="BA29" s="289"/>
      <c r="BB29" s="289"/>
      <c r="BJ29" s="299"/>
    </row>
    <row r="30" spans="1:62">
      <c r="A30" s="284">
        <f t="shared" si="0"/>
        <v>24</v>
      </c>
      <c r="B30" s="264" t="s">
        <v>693</v>
      </c>
      <c r="C30" s="290"/>
      <c r="D30" s="290"/>
      <c r="E30" s="290"/>
      <c r="F30" s="290"/>
      <c r="G30" s="290"/>
      <c r="H30" s="290"/>
      <c r="I30" s="290"/>
      <c r="J30" s="290"/>
      <c r="K30" s="290"/>
      <c r="L30" s="290"/>
      <c r="M30" s="1476"/>
      <c r="N30" s="1476"/>
      <c r="O30" s="290"/>
      <c r="P30" s="288"/>
      <c r="Q30" s="290"/>
      <c r="R30" s="290"/>
      <c r="S30" s="290"/>
      <c r="T30" s="290"/>
      <c r="U30" s="290"/>
      <c r="V30" s="290"/>
      <c r="W30" s="290"/>
      <c r="X30" s="290"/>
      <c r="Y30" s="290"/>
      <c r="Z30" s="288"/>
      <c r="AA30" s="290"/>
      <c r="AC30" s="290"/>
      <c r="AD30" s="290"/>
      <c r="AE30" s="290"/>
      <c r="AF30" s="290"/>
      <c r="AG30" s="288"/>
      <c r="AH30" s="290"/>
      <c r="AI30" s="290"/>
      <c r="AJ30" s="290"/>
      <c r="AK30" s="290"/>
      <c r="AL30" s="288"/>
      <c r="AM30" s="290"/>
      <c r="AN30" s="290"/>
      <c r="AO30" s="290"/>
      <c r="AP30" s="290"/>
      <c r="AQ30" s="288"/>
      <c r="AR30" s="290"/>
      <c r="BA30" s="289"/>
      <c r="BB30" s="289"/>
      <c r="BD30" s="289"/>
    </row>
    <row r="31" spans="1:62">
      <c r="A31" s="284">
        <f t="shared" si="0"/>
        <v>25</v>
      </c>
      <c r="B31" s="257" t="s">
        <v>694</v>
      </c>
      <c r="C31" s="290"/>
      <c r="D31" s="290"/>
      <c r="E31" s="290">
        <f>+'Rate Base'!D10-'Rate Base'!C10</f>
        <v>64721608.385735631</v>
      </c>
      <c r="G31" s="290"/>
      <c r="H31" s="290"/>
      <c r="I31" s="290">
        <f>'Suppl Sch Adj'!L33</f>
        <v>0</v>
      </c>
      <c r="J31" s="290"/>
      <c r="K31" s="290">
        <f>-'FP-319072 &amp; FP-319209'!D12</f>
        <v>-3430026.24</v>
      </c>
      <c r="L31" s="290">
        <f>IF('Operating Report'!$Q$10="On", 'Rate Base'!H10, 0)</f>
        <v>384553.90936994553</v>
      </c>
      <c r="M31" s="1476"/>
      <c r="N31" s="1476"/>
      <c r="O31" s="290"/>
      <c r="P31" s="294">
        <f t="shared" ref="P31:P36" si="14">SUM(C31:O31)</f>
        <v>61676136.055105574</v>
      </c>
      <c r="Q31" s="290"/>
      <c r="R31" s="290"/>
      <c r="S31" s="290"/>
      <c r="V31" s="290">
        <f>'Pro Forma Plant Additions'!D10</f>
        <v>0</v>
      </c>
      <c r="W31" s="290">
        <f>-W22/2</f>
        <v>0</v>
      </c>
      <c r="X31" s="290"/>
      <c r="Y31" s="290"/>
      <c r="Z31" s="294">
        <f t="shared" ref="Z31:Z36" si="15">SUM(R31:Y31)</f>
        <v>0</v>
      </c>
      <c r="AA31" s="290"/>
      <c r="AB31" s="289">
        <f>Z31-'Exh MCG-2 ROO Summary'!F32</f>
        <v>0</v>
      </c>
      <c r="AC31" s="290"/>
      <c r="AD31" s="290"/>
      <c r="AE31" s="290">
        <f>-AE22/2</f>
        <v>0</v>
      </c>
      <c r="AF31" s="290"/>
      <c r="AG31" s="294">
        <f t="shared" si="1"/>
        <v>0</v>
      </c>
      <c r="AH31" s="290"/>
      <c r="AI31" s="290"/>
      <c r="AJ31" s="290">
        <f>-AJ22/2</f>
        <v>0</v>
      </c>
      <c r="AK31" s="290"/>
      <c r="AL31" s="294">
        <f t="shared" si="2"/>
        <v>0</v>
      </c>
      <c r="AM31" s="290"/>
      <c r="AN31" s="290"/>
      <c r="AO31" s="290">
        <f>-AO22/2</f>
        <v>0</v>
      </c>
      <c r="AP31" s="290"/>
      <c r="AQ31" s="294">
        <f t="shared" si="3"/>
        <v>0</v>
      </c>
      <c r="AR31" s="290"/>
      <c r="BJ31" s="271"/>
    </row>
    <row r="32" spans="1:62">
      <c r="A32" s="284">
        <f t="shared" si="0"/>
        <v>26</v>
      </c>
      <c r="B32" s="257" t="s">
        <v>695</v>
      </c>
      <c r="C32" s="290"/>
      <c r="D32" s="290"/>
      <c r="E32" s="290">
        <f>+'Rate Base'!D11-'Rate Base'!C11</f>
        <v>-11134766.836421251</v>
      </c>
      <c r="G32" s="290"/>
      <c r="H32" s="290"/>
      <c r="I32" s="290">
        <f>'Suppl Sch Adj'!L34</f>
        <v>0</v>
      </c>
      <c r="J32" s="290"/>
      <c r="K32" s="290">
        <f>'FP-319072 &amp; FP-319209'!D17</f>
        <v>26068.199424000002</v>
      </c>
      <c r="L32" s="290">
        <f>IF('Operating Report'!$Q$10="On", 'Rate Base'!H11, 0)</f>
        <v>-412100.99992406368</v>
      </c>
      <c r="M32" s="1476"/>
      <c r="N32" s="1476"/>
      <c r="O32" s="290"/>
      <c r="P32" s="294">
        <f t="shared" si="14"/>
        <v>-11520799.636921315</v>
      </c>
      <c r="Q32" s="290"/>
      <c r="R32" s="290"/>
      <c r="S32" s="290"/>
      <c r="V32" s="290">
        <f>-'Pro Forma Plant Additions'!D15</f>
        <v>0</v>
      </c>
      <c r="W32" s="290"/>
      <c r="X32" s="290"/>
      <c r="Y32" s="290"/>
      <c r="Z32" s="294">
        <f t="shared" si="15"/>
        <v>0</v>
      </c>
      <c r="AA32" s="290"/>
      <c r="AB32" s="289">
        <f>Z32-'Exh MCG-2 ROO Summary'!F33</f>
        <v>0</v>
      </c>
      <c r="AC32" s="290"/>
      <c r="AD32" s="290"/>
      <c r="AE32" s="290"/>
      <c r="AF32" s="290"/>
      <c r="AG32" s="294">
        <f t="shared" si="1"/>
        <v>0</v>
      </c>
      <c r="AH32" s="290"/>
      <c r="AI32" s="290"/>
      <c r="AJ32" s="290"/>
      <c r="AK32" s="290"/>
      <c r="AL32" s="294">
        <f t="shared" si="2"/>
        <v>0</v>
      </c>
      <c r="AM32" s="290"/>
      <c r="AN32" s="290"/>
      <c r="AO32" s="290"/>
      <c r="AP32" s="290"/>
      <c r="AQ32" s="294">
        <f t="shared" si="3"/>
        <v>0</v>
      </c>
      <c r="AR32" s="290"/>
      <c r="BB32" s="5"/>
      <c r="BJ32" s="259"/>
    </row>
    <row r="33" spans="1:154">
      <c r="A33" s="284">
        <f t="shared" si="0"/>
        <v>27</v>
      </c>
      <c r="B33" s="257" t="s">
        <v>696</v>
      </c>
      <c r="C33" s="290"/>
      <c r="D33" s="290"/>
      <c r="E33" s="290">
        <f>+'Rate Base'!D13-'Rate Base'!C13</f>
        <v>285229.76041666744</v>
      </c>
      <c r="G33" s="290"/>
      <c r="H33" s="290"/>
      <c r="I33" s="290">
        <f>'Suppl Sch Adj'!L35</f>
        <v>0</v>
      </c>
      <c r="J33" s="290"/>
      <c r="K33" s="290">
        <v>0</v>
      </c>
      <c r="L33" s="290"/>
      <c r="M33" s="1476"/>
      <c r="N33" s="1476"/>
      <c r="O33" s="290"/>
      <c r="P33" s="294">
        <f t="shared" si="14"/>
        <v>285229.76041666744</v>
      </c>
      <c r="Q33" s="290"/>
      <c r="R33" s="290"/>
      <c r="S33" s="290"/>
      <c r="V33" s="290">
        <v>0</v>
      </c>
      <c r="W33" s="290"/>
      <c r="X33" s="290"/>
      <c r="Y33" s="290"/>
      <c r="Z33" s="294">
        <f t="shared" si="15"/>
        <v>0</v>
      </c>
      <c r="AA33" s="290"/>
      <c r="AB33" s="289">
        <f>Z33-'Exh MCG-2 ROO Summary'!F34</f>
        <v>0</v>
      </c>
      <c r="AC33" s="290"/>
      <c r="AD33" s="290"/>
      <c r="AE33" s="290"/>
      <c r="AF33" s="290"/>
      <c r="AG33" s="294">
        <f t="shared" si="1"/>
        <v>0</v>
      </c>
      <c r="AH33" s="290"/>
      <c r="AI33" s="290"/>
      <c r="AJ33" s="290"/>
      <c r="AK33" s="290"/>
      <c r="AL33" s="294">
        <f t="shared" si="2"/>
        <v>0</v>
      </c>
      <c r="AM33" s="290"/>
      <c r="AN33" s="290"/>
      <c r="AO33" s="290"/>
      <c r="AP33" s="290"/>
      <c r="AQ33" s="294">
        <f t="shared" si="3"/>
        <v>0</v>
      </c>
      <c r="AR33" s="290"/>
    </row>
    <row r="34" spans="1:154">
      <c r="A34" s="284">
        <f t="shared" si="0"/>
        <v>28</v>
      </c>
      <c r="B34" s="257" t="s">
        <v>697</v>
      </c>
      <c r="C34" s="290"/>
      <c r="D34" s="290"/>
      <c r="E34" s="290">
        <f>+'Rate Base'!D14-'Rate Base'!C14</f>
        <v>-344708.13958339393</v>
      </c>
      <c r="G34" s="290"/>
      <c r="H34" s="290"/>
      <c r="I34" s="290">
        <f>'Suppl Sch Adj'!L36</f>
        <v>0</v>
      </c>
      <c r="J34" s="290"/>
      <c r="K34" s="290">
        <f>'FP-319072 &amp; FP-319209'!D20</f>
        <v>8031.4064409599978</v>
      </c>
      <c r="L34" s="290"/>
      <c r="M34" s="1476"/>
      <c r="N34" s="1476"/>
      <c r="O34" s="290"/>
      <c r="P34" s="294">
        <f t="shared" si="14"/>
        <v>-336676.73314243392</v>
      </c>
      <c r="Q34" s="290"/>
      <c r="R34" s="290"/>
      <c r="S34" s="290"/>
      <c r="V34" s="290">
        <f>-'Pro Forma Plant Additions'!D18</f>
        <v>0</v>
      </c>
      <c r="W34" s="290"/>
      <c r="X34" s="290"/>
      <c r="Y34" s="290"/>
      <c r="Z34" s="294">
        <f t="shared" si="15"/>
        <v>0</v>
      </c>
      <c r="AA34" s="290"/>
      <c r="AB34" s="289">
        <f>Z34-'Exh MCG-2 ROO Summary'!F35</f>
        <v>0</v>
      </c>
      <c r="AC34" s="290"/>
      <c r="AD34" s="290"/>
      <c r="AE34" s="290"/>
      <c r="AF34" s="290"/>
      <c r="AG34" s="294">
        <f t="shared" si="1"/>
        <v>0</v>
      </c>
      <c r="AH34" s="290"/>
      <c r="AI34" s="290"/>
      <c r="AJ34" s="290"/>
      <c r="AK34" s="290"/>
      <c r="AL34" s="294">
        <f t="shared" si="2"/>
        <v>0</v>
      </c>
      <c r="AM34" s="290"/>
      <c r="AN34" s="290"/>
      <c r="AO34" s="290"/>
      <c r="AP34" s="290"/>
      <c r="AQ34" s="294">
        <f t="shared" si="3"/>
        <v>0</v>
      </c>
      <c r="AR34" s="290"/>
    </row>
    <row r="35" spans="1:154">
      <c r="A35" s="284">
        <f t="shared" si="0"/>
        <v>29</v>
      </c>
      <c r="B35" s="257" t="s">
        <v>698</v>
      </c>
      <c r="C35" s="290"/>
      <c r="D35" s="290"/>
      <c r="E35" s="290">
        <f>+'Rate Base'!D15-'Rate Base'!C15</f>
        <v>0</v>
      </c>
      <c r="G35" s="290"/>
      <c r="H35" s="290"/>
      <c r="I35" s="290">
        <f>'Suppl Sch Adj'!L37</f>
        <v>0</v>
      </c>
      <c r="J35" s="290"/>
      <c r="K35" s="290"/>
      <c r="L35" s="290"/>
      <c r="M35" s="1476"/>
      <c r="N35" s="1476"/>
      <c r="O35" s="290"/>
      <c r="P35" s="294">
        <f t="shared" si="14"/>
        <v>0</v>
      </c>
      <c r="Q35" s="290"/>
      <c r="R35" s="290"/>
      <c r="S35" s="290"/>
      <c r="V35" s="290">
        <v>0</v>
      </c>
      <c r="W35" s="290"/>
      <c r="X35" s="290"/>
      <c r="Y35" s="290"/>
      <c r="Z35" s="294">
        <f t="shared" si="15"/>
        <v>0</v>
      </c>
      <c r="AA35" s="290"/>
      <c r="AB35" s="289">
        <f>Z35-'Exh MCG-2 ROO Summary'!F36</f>
        <v>0</v>
      </c>
      <c r="AC35" s="290"/>
      <c r="AD35" s="290"/>
      <c r="AE35" s="290"/>
      <c r="AF35" s="290"/>
      <c r="AG35" s="294">
        <f t="shared" si="1"/>
        <v>0</v>
      </c>
      <c r="AH35" s="290"/>
      <c r="AI35" s="290"/>
      <c r="AJ35" s="290"/>
      <c r="AK35" s="290"/>
      <c r="AL35" s="294">
        <f t="shared" si="2"/>
        <v>0</v>
      </c>
      <c r="AM35" s="290"/>
      <c r="AN35" s="290"/>
      <c r="AO35" s="290"/>
      <c r="AP35" s="290"/>
      <c r="AQ35" s="294">
        <f t="shared" si="3"/>
        <v>0</v>
      </c>
      <c r="AR35" s="290"/>
      <c r="BA35" s="271"/>
      <c r="BB35" s="271"/>
    </row>
    <row r="36" spans="1:154" ht="15.75" thickBot="1">
      <c r="A36" s="284">
        <f t="shared" si="0"/>
        <v>30</v>
      </c>
      <c r="B36" s="266" t="s">
        <v>699</v>
      </c>
      <c r="C36" s="302">
        <f t="shared" ref="C36:L36" si="16">SUM(C31:C35)</f>
        <v>0</v>
      </c>
      <c r="D36" s="302">
        <f t="shared" si="16"/>
        <v>0</v>
      </c>
      <c r="E36" s="302">
        <f t="shared" si="16"/>
        <v>53527363.17014765</v>
      </c>
      <c r="F36" s="302">
        <f t="shared" si="16"/>
        <v>0</v>
      </c>
      <c r="G36" s="302">
        <f t="shared" si="16"/>
        <v>0</v>
      </c>
      <c r="H36" s="302">
        <f t="shared" si="16"/>
        <v>0</v>
      </c>
      <c r="I36" s="302">
        <f t="shared" si="16"/>
        <v>0</v>
      </c>
      <c r="J36" s="302">
        <f t="shared" si="16"/>
        <v>0</v>
      </c>
      <c r="K36" s="302">
        <f t="shared" si="16"/>
        <v>-3395926.6341350405</v>
      </c>
      <c r="L36" s="302">
        <f t="shared" si="16"/>
        <v>-27547.090554118156</v>
      </c>
      <c r="M36" s="1480">
        <f>SUM(M31:M35)</f>
        <v>0</v>
      </c>
      <c r="N36" s="1480">
        <f>SUM(N31:N35)</f>
        <v>0</v>
      </c>
      <c r="O36" s="302">
        <f>SUM(O31:O35)</f>
        <v>0</v>
      </c>
      <c r="P36" s="303">
        <f t="shared" si="14"/>
        <v>50103889.445458494</v>
      </c>
      <c r="Q36" s="290"/>
      <c r="R36" s="302">
        <f>SUM(R31:R35)</f>
        <v>0</v>
      </c>
      <c r="S36" s="302">
        <f t="shared" ref="S36:Y36" si="17">SUM(S31:S35)</f>
        <v>0</v>
      </c>
      <c r="T36" s="302">
        <f t="shared" si="17"/>
        <v>0</v>
      </c>
      <c r="U36" s="302">
        <f>SUM(U31:U35)</f>
        <v>0</v>
      </c>
      <c r="V36" s="302">
        <f>SUM(V31:V35)</f>
        <v>0</v>
      </c>
      <c r="W36" s="302">
        <f t="shared" si="17"/>
        <v>0</v>
      </c>
      <c r="X36" s="302">
        <f t="shared" si="17"/>
        <v>0</v>
      </c>
      <c r="Y36" s="302">
        <f t="shared" si="17"/>
        <v>0</v>
      </c>
      <c r="Z36" s="303">
        <f t="shared" si="15"/>
        <v>0</v>
      </c>
      <c r="AA36" s="290"/>
      <c r="AB36" s="289">
        <f>Z36-'Exh MCG-2 ROO Summary'!F37</f>
        <v>0</v>
      </c>
      <c r="AC36" s="290"/>
      <c r="AD36" s="302">
        <f>SUM(AD31:AD35)</f>
        <v>0</v>
      </c>
      <c r="AE36" s="302">
        <f>SUM(AE31:AE35)</f>
        <v>0</v>
      </c>
      <c r="AF36" s="302">
        <f>SUM(AF31:AF35)</f>
        <v>0</v>
      </c>
      <c r="AG36" s="303">
        <f t="shared" si="1"/>
        <v>0</v>
      </c>
      <c r="AH36" s="290"/>
      <c r="AI36" s="302">
        <f>SUM(AI31:AI35)</f>
        <v>0</v>
      </c>
      <c r="AJ36" s="302">
        <f>SUM(AJ31:AJ35)</f>
        <v>0</v>
      </c>
      <c r="AK36" s="302">
        <f>SUM(AK31:AK35)</f>
        <v>0</v>
      </c>
      <c r="AL36" s="303">
        <f t="shared" si="2"/>
        <v>0</v>
      </c>
      <c r="AM36" s="290"/>
      <c r="AN36" s="302">
        <f>SUM(AN31:AN35)</f>
        <v>0</v>
      </c>
      <c r="AO36" s="302">
        <f>SUM(AO31:AO35)</f>
        <v>0</v>
      </c>
      <c r="AP36" s="302">
        <f>SUM(AP31:AP35)</f>
        <v>0</v>
      </c>
      <c r="AQ36" s="303">
        <f t="shared" si="3"/>
        <v>0</v>
      </c>
      <c r="AR36" s="290"/>
      <c r="BA36" s="271"/>
      <c r="BB36" s="271"/>
    </row>
    <row r="37" spans="1:154" ht="15.75" thickTop="1">
      <c r="A37" s="284">
        <f t="shared" si="0"/>
        <v>31</v>
      </c>
      <c r="B37" s="304"/>
      <c r="C37" s="305"/>
      <c r="D37" s="305"/>
      <c r="E37" s="305"/>
      <c r="F37" s="305"/>
      <c r="G37" s="306"/>
      <c r="H37" s="306"/>
      <c r="I37" s="306"/>
      <c r="J37" s="306"/>
      <c r="K37" s="306"/>
      <c r="L37" s="306"/>
      <c r="M37" s="1481"/>
      <c r="N37" s="1481"/>
      <c r="O37" s="306"/>
      <c r="P37" s="307"/>
      <c r="Q37" s="308"/>
      <c r="R37" s="306"/>
      <c r="S37" s="306"/>
      <c r="T37" s="306"/>
      <c r="U37" s="306"/>
      <c r="V37" s="306"/>
      <c r="W37" s="306"/>
      <c r="X37" s="306"/>
      <c r="Y37" s="306"/>
      <c r="Z37" s="307"/>
      <c r="AA37" s="308"/>
      <c r="AB37" s="289"/>
      <c r="AC37" s="308"/>
      <c r="AD37" s="306"/>
      <c r="AE37" s="306"/>
      <c r="AF37" s="306"/>
      <c r="AG37" s="307"/>
      <c r="AH37" s="308"/>
      <c r="AI37" s="307"/>
      <c r="AJ37" s="306"/>
      <c r="AK37" s="306"/>
      <c r="AL37" s="307"/>
      <c r="AM37" s="308"/>
      <c r="AN37" s="306"/>
      <c r="AO37" s="306"/>
      <c r="AP37" s="306"/>
      <c r="AQ37" s="307"/>
      <c r="AR37" s="308"/>
      <c r="AS37" s="304"/>
      <c r="AT37" s="304"/>
      <c r="AU37" s="304"/>
      <c r="AV37" s="304"/>
      <c r="AW37" s="304"/>
      <c r="AX37" s="304"/>
      <c r="AY37" s="304"/>
      <c r="AZ37" s="271"/>
      <c r="BA37" s="309"/>
      <c r="BB37" s="271"/>
      <c r="BC37" s="278"/>
      <c r="BD37" s="304"/>
      <c r="BE37" s="304"/>
      <c r="BF37" s="304"/>
      <c r="BG37" s="304"/>
      <c r="BH37" s="304"/>
      <c r="BI37" s="304"/>
      <c r="BJ37" s="304"/>
      <c r="BK37" s="304"/>
      <c r="BL37" s="304"/>
      <c r="BM37" s="304"/>
      <c r="BN37" s="304"/>
      <c r="BO37" s="304"/>
      <c r="BP37" s="304"/>
      <c r="BQ37" s="304"/>
      <c r="BR37" s="304"/>
      <c r="BS37" s="304"/>
      <c r="BT37" s="304"/>
      <c r="BU37" s="304"/>
      <c r="BV37" s="304"/>
      <c r="BW37" s="304"/>
      <c r="BX37" s="304"/>
      <c r="BY37" s="304"/>
      <c r="BZ37" s="304"/>
      <c r="CA37" s="304"/>
      <c r="CB37" s="304"/>
      <c r="CC37" s="304"/>
      <c r="CD37" s="304"/>
      <c r="CE37" s="304"/>
      <c r="CF37" s="304"/>
      <c r="CG37" s="304"/>
      <c r="CH37" s="304"/>
      <c r="CI37" s="304"/>
      <c r="CJ37" s="304"/>
      <c r="CK37" s="304"/>
      <c r="CL37" s="304"/>
      <c r="CM37" s="304"/>
      <c r="CN37" s="304"/>
      <c r="CO37" s="304"/>
      <c r="CP37" s="304"/>
      <c r="CQ37" s="304"/>
      <c r="CR37" s="304"/>
      <c r="CS37" s="304"/>
      <c r="CT37" s="304"/>
      <c r="CU37" s="304"/>
      <c r="CV37" s="304"/>
      <c r="CW37" s="304"/>
      <c r="CX37" s="304"/>
      <c r="CY37" s="304"/>
      <c r="CZ37" s="304"/>
      <c r="DA37" s="304"/>
      <c r="DB37" s="304"/>
      <c r="DC37" s="304"/>
      <c r="DD37" s="304"/>
      <c r="DE37" s="304"/>
      <c r="DF37" s="304"/>
      <c r="DG37" s="304"/>
      <c r="DH37" s="304"/>
      <c r="DI37" s="304"/>
      <c r="DJ37" s="304"/>
      <c r="DK37" s="304"/>
      <c r="DL37" s="304"/>
      <c r="DM37" s="304"/>
      <c r="DN37" s="304"/>
      <c r="DO37" s="304"/>
      <c r="DP37" s="304"/>
      <c r="DQ37" s="304"/>
      <c r="DR37" s="304"/>
      <c r="DS37" s="304"/>
      <c r="DT37" s="304"/>
      <c r="DU37" s="304"/>
      <c r="DV37" s="304"/>
      <c r="DW37" s="304"/>
      <c r="DX37" s="304"/>
      <c r="DY37" s="304"/>
      <c r="DZ37" s="304"/>
      <c r="EA37" s="304"/>
      <c r="EB37" s="304"/>
      <c r="EC37" s="304"/>
      <c r="ED37" s="304"/>
      <c r="EE37" s="304"/>
      <c r="EF37" s="304"/>
      <c r="EG37" s="304"/>
      <c r="EH37" s="304"/>
      <c r="EI37" s="304"/>
      <c r="EJ37" s="304"/>
      <c r="EK37" s="304"/>
      <c r="EL37" s="304"/>
      <c r="EM37" s="304"/>
      <c r="EN37" s="304"/>
      <c r="EO37" s="304"/>
      <c r="EP37" s="304"/>
      <c r="EQ37" s="304"/>
      <c r="ER37" s="304"/>
      <c r="ES37" s="304"/>
      <c r="ET37" s="304"/>
      <c r="EU37" s="304"/>
      <c r="EV37" s="304"/>
      <c r="EW37" s="304"/>
      <c r="EX37" s="304"/>
    </row>
    <row r="38" spans="1:154">
      <c r="A38" s="284">
        <f t="shared" si="0"/>
        <v>32</v>
      </c>
      <c r="B38" s="310" t="s">
        <v>733</v>
      </c>
      <c r="C38" s="311">
        <f>((+C36*'WACC Calculation'!$E$13)-'Exh MCG-5, Summary of Adj'!C28)/'Exh MCG-4, Conversion Factor'!$C$26</f>
        <v>842800</v>
      </c>
      <c r="D38" s="311">
        <f>((+D36*'WACC Calculation'!$E$13)-'Exh MCG-5, Summary of Adj'!D28)/'Exh MCG-4, Conversion Factor'!$C$26</f>
        <v>-142853.89003431698</v>
      </c>
      <c r="E38" s="311">
        <f>((+E36*'WACC Calculation'!$E$13)-'Exh MCG-5, Summary of Adj'!E28)/'Exh MCG-4, Conversion Factor'!$C$26</f>
        <v>3383314.9622293273</v>
      </c>
      <c r="F38" s="311">
        <f>((+F36*'WACC Calculation'!$E$13)-'Exh MCG-5, Summary of Adj'!F28)/'Exh MCG-4, Conversion Factor'!$C$26</f>
        <v>78739.16902653774</v>
      </c>
      <c r="G38" s="311">
        <f>((+G36*'WACC Calculation'!$E$13)-'Exh MCG-5, Summary of Adj'!G28)/'Exh MCG-4, Conversion Factor'!$C$26</f>
        <v>-1663054.3072011408</v>
      </c>
      <c r="H38" s="311">
        <f>((+H36*'WACC Calculation'!$E$13)-'Exh MCG-5, Summary of Adj'!H28)/'Exh MCG-4, Conversion Factor'!$C$26</f>
        <v>-192616.9969757479</v>
      </c>
      <c r="I38" s="311">
        <f>((+I36*'WACC Calculation'!$E$13)-'Exh MCG-5, Summary of Adj'!I28)/'Exh MCG-4, Conversion Factor'!$C$26</f>
        <v>213818.06939341579</v>
      </c>
      <c r="J38" s="311">
        <f>((+J36*'WACC Calculation'!$E$13)-'Exh MCG-5, Summary of Adj'!J28)/'Exh MCG-4, Conversion Factor'!$C$26</f>
        <v>-360421.63</v>
      </c>
      <c r="K38" s="311">
        <f>((+K36*'WACC Calculation'!$E$13)-'Exh MCG-5, Summary of Adj'!K28)/'Exh MCG-4, Conversion Factor'!$C$26</f>
        <v>-362676.16795863677</v>
      </c>
      <c r="L38" s="311">
        <f>((+L36*'WACC Calculation'!$E$13)-'Exh MCG-5, Summary of Adj'!L28)/'Exh MCG-4, Conversion Factor'!$C$26</f>
        <v>4823.271257758237</v>
      </c>
      <c r="M38" s="1482">
        <f>((+M36*'WACC Calculation'!$E$13)-'Exh MCG-5, Summary of Adj'!M28)/'Exh MCG-4, Conversion Factor'!$C$26</f>
        <v>-1190099</v>
      </c>
      <c r="N38" s="1482">
        <f>((+N36*'WACC Calculation'!$E$13)-'Exh MCG-5, Summary of Adj'!N28)/'Exh MCG-4, Conversion Factor'!$C$26</f>
        <v>1190099</v>
      </c>
      <c r="O38" s="311">
        <f>((+O36*'WACC Calculation'!$E$13)-'Exh MCG-5, Summary of Adj'!O28)/'Exh MCG-4, Conversion Factor'!$C$26</f>
        <v>0</v>
      </c>
      <c r="P38" s="311">
        <f>((+P36*'WACC Calculation'!$E$13)-'Exh MCG-5, Summary of Adj'!P28)/'Exh MCG-4, Conversion Factor'!$C$26</f>
        <v>1801872.479737197</v>
      </c>
      <c r="Q38" s="311"/>
      <c r="R38" s="311">
        <f>((+R36*'WACC Calculation'!$E$13)-'Exh MCG-5, Summary of Adj'!R28)/'Exh MCG-4, Conversion Factor'!$C$26</f>
        <v>89512.191353469883</v>
      </c>
      <c r="S38" s="311">
        <f>((+S36*'WACC Calculation'!$E$13)-'Exh MCG-5, Summary of Adj'!S28)/'Exh MCG-4, Conversion Factor'!$C$26</f>
        <v>-1407372.245134247</v>
      </c>
      <c r="T38" s="311">
        <f>((+T36*'WACC Calculation'!$E$13)-'Exh MCG-5, Summary of Adj'!T28)/'Exh MCG-4, Conversion Factor'!$C$26</f>
        <v>801358.04911812698</v>
      </c>
      <c r="U38" s="311">
        <f>((+U36*'WACC Calculation'!$E$13)-'Exh MCG-5, Summary of Adj'!U28)/'Exh MCG-4, Conversion Factor'!$C$26</f>
        <v>458387.66061145929</v>
      </c>
      <c r="V38" s="311">
        <f>((+V36*'WACC Calculation'!$E$13)-'Exh MCG-5, Summary of Adj'!V28)/'Exh MCG-4, Conversion Factor'!$C$26</f>
        <v>0</v>
      </c>
      <c r="W38" s="311">
        <f>((+W36*'WACC Calculation'!$E$13)-'Exh MCG-5, Summary of Adj'!W28)/'Exh MCG-4, Conversion Factor'!$C$26</f>
        <v>0</v>
      </c>
      <c r="X38" s="311">
        <f>((+X36*'WACC Calculation'!$E$13)-'Exh MCG-5, Summary of Adj'!X28)/'Exh MCG-4, Conversion Factor'!$C$26</f>
        <v>0</v>
      </c>
      <c r="Y38" s="311">
        <f>((+Y36*'WACC Calculation'!$E$13)-'Exh MCG-5, Summary of Adj'!Y28)/'Exh MCG-4, Conversion Factor'!$C$26</f>
        <v>0</v>
      </c>
      <c r="Z38" s="311">
        <f>((+Z36*'WACC Calculation'!$E$13)-'Exh MCG-5, Summary of Adj'!Z28)/'Exh MCG-4, Conversion Factor'!$C$26</f>
        <v>-58114.344051190659</v>
      </c>
      <c r="AA38" s="311"/>
      <c r="AB38" s="311"/>
      <c r="AC38" s="311"/>
      <c r="AD38" s="311">
        <f>((+AD36*'WACC Calculation'!$E$13)-'Exh MCG-5, Summary of Adj'!AD28)/'Exh MCG-4, Conversion Factor'!$C$26</f>
        <v>0</v>
      </c>
      <c r="AE38" s="311">
        <f>((+AE36*'WACC Calculation'!$E$13)-'Exh MCG-5, Summary of Adj'!AE28)/'Exh MCG-4, Conversion Factor'!$C$26</f>
        <v>0</v>
      </c>
      <c r="AF38" s="311">
        <f>((+AF36*'WACC Calculation'!$E$13)-'Exh MCG-5, Summary of Adj'!AF28)/'Exh MCG-4, Conversion Factor'!$C$26</f>
        <v>0</v>
      </c>
      <c r="AG38" s="311">
        <f>((+AG36*'WACC Calculation'!$E$13)-'Exh MCG-5, Summary of Adj'!AG28)/'Exh MCG-4, Conversion Factor'!$C$26</f>
        <v>0</v>
      </c>
      <c r="AH38" s="311"/>
      <c r="AI38" s="311">
        <f>((+AI36*'WACC Calculation'!$E$13)-'Exh MCG-5, Summary of Adj'!AI28)/'Exh MCG-4, Conversion Factor'!$C$26</f>
        <v>0</v>
      </c>
      <c r="AJ38" s="311">
        <f>((+AJ36*'WACC Calculation'!$E$13)-'Exh MCG-5, Summary of Adj'!AJ28)/'Exh MCG-4, Conversion Factor'!$C$26</f>
        <v>0</v>
      </c>
      <c r="AK38" s="311">
        <f>((+AK36*'WACC Calculation'!$E$13)-'Exh MCG-5, Summary of Adj'!AK28)/'Exh MCG-4, Conversion Factor'!$C$26</f>
        <v>0</v>
      </c>
      <c r="AL38" s="311">
        <f>((+AL36*'WACC Calculation'!$E$13)-'Exh MCG-5, Summary of Adj'!AL28)/'Exh MCG-4, Conversion Factor'!$C$26</f>
        <v>0</v>
      </c>
      <c r="AM38" s="311"/>
      <c r="AN38" s="311">
        <f>((+AN36*'WACC Calculation'!$E$13)-'Exh MCG-5, Summary of Adj'!AN28)/'Exh MCG-4, Conversion Factor'!$C$26</f>
        <v>0</v>
      </c>
      <c r="AO38" s="311">
        <f>((+AO36*'WACC Calculation'!$E$13)-'Exh MCG-5, Summary of Adj'!AO28)/'Exh MCG-4, Conversion Factor'!$C$26</f>
        <v>0</v>
      </c>
      <c r="AP38" s="311">
        <f>((+AP36*'WACC Calculation'!$E$13)-'Exh MCG-5, Summary of Adj'!AP28)/'Exh MCG-4, Conversion Factor'!$C$26</f>
        <v>0</v>
      </c>
      <c r="AQ38" s="311">
        <f>((+AQ36*'WACC Calculation'!$E$13)-'Exh MCG-5, Summary of Adj'!AQ28)/'Exh MCG-4, Conversion Factor'!$C$26</f>
        <v>0</v>
      </c>
      <c r="AR38" s="311"/>
      <c r="AS38" s="311"/>
      <c r="AT38" s="311"/>
      <c r="AU38" s="311"/>
      <c r="AV38" s="311"/>
      <c r="AW38" s="311"/>
      <c r="AX38" s="311"/>
      <c r="AY38" s="311"/>
      <c r="AZ38" s="311"/>
      <c r="BA38" s="311"/>
      <c r="BB38" s="311"/>
      <c r="BC38" s="311"/>
      <c r="BD38" s="311"/>
      <c r="BE38" s="311"/>
      <c r="BF38" s="311"/>
      <c r="BG38" s="311"/>
      <c r="BH38" s="311"/>
      <c r="BI38" s="311"/>
      <c r="BJ38" s="311"/>
      <c r="BK38" s="311"/>
      <c r="BL38" s="311"/>
      <c r="BM38" s="311"/>
      <c r="BN38" s="311"/>
      <c r="BO38" s="311"/>
      <c r="BP38" s="311"/>
      <c r="BQ38" s="311"/>
      <c r="BR38" s="311"/>
      <c r="BS38" s="311"/>
      <c r="BT38" s="311"/>
      <c r="BU38" s="311"/>
      <c r="BV38" s="311"/>
      <c r="BW38" s="311"/>
      <c r="BX38" s="311"/>
      <c r="BY38" s="311"/>
      <c r="BZ38" s="311"/>
      <c r="CA38" s="311"/>
      <c r="CB38" s="311"/>
      <c r="CC38" s="311"/>
      <c r="CD38" s="311"/>
      <c r="CE38" s="311"/>
      <c r="CF38" s="311"/>
      <c r="CG38" s="311"/>
      <c r="CH38" s="311"/>
      <c r="CI38" s="311"/>
      <c r="CJ38" s="311"/>
      <c r="CK38" s="311"/>
      <c r="CL38" s="311"/>
      <c r="CM38" s="311"/>
      <c r="CN38" s="311"/>
      <c r="CO38" s="311"/>
      <c r="CP38" s="311"/>
      <c r="CQ38" s="311"/>
      <c r="CR38" s="311"/>
      <c r="CS38" s="311"/>
      <c r="CT38" s="311"/>
      <c r="CU38" s="311"/>
      <c r="CV38" s="311"/>
      <c r="CW38" s="311"/>
      <c r="CX38" s="311"/>
      <c r="CY38" s="311"/>
      <c r="CZ38" s="311"/>
      <c r="DA38" s="311"/>
      <c r="DB38" s="311"/>
      <c r="DC38" s="311"/>
      <c r="DD38" s="311"/>
      <c r="DE38" s="311"/>
      <c r="DF38" s="311"/>
      <c r="DG38" s="311"/>
      <c r="DH38" s="311"/>
      <c r="DI38" s="311"/>
      <c r="DJ38" s="311"/>
      <c r="DK38" s="311"/>
      <c r="DL38" s="311"/>
      <c r="DM38" s="311"/>
      <c r="DN38" s="311"/>
      <c r="DO38" s="311"/>
      <c r="DP38" s="311"/>
      <c r="DQ38" s="311"/>
      <c r="DR38" s="311"/>
      <c r="DS38" s="311"/>
      <c r="DT38" s="311"/>
      <c r="DU38" s="311"/>
      <c r="DV38" s="311"/>
      <c r="DW38" s="311"/>
      <c r="DX38" s="311"/>
      <c r="DY38" s="311"/>
      <c r="DZ38" s="311"/>
      <c r="EA38" s="311"/>
      <c r="EB38" s="311"/>
      <c r="EC38" s="311"/>
      <c r="ED38" s="311"/>
      <c r="EE38" s="311"/>
      <c r="EF38" s="311"/>
      <c r="EG38" s="311"/>
      <c r="EH38" s="311"/>
      <c r="EI38" s="311"/>
      <c r="EJ38" s="311"/>
      <c r="EK38" s="311"/>
      <c r="EL38" s="311"/>
      <c r="EM38" s="311"/>
      <c r="EN38" s="311"/>
      <c r="EO38" s="311"/>
      <c r="EP38" s="311"/>
      <c r="EQ38" s="311"/>
      <c r="ER38" s="311"/>
      <c r="ES38" s="311"/>
      <c r="ET38" s="311"/>
      <c r="EU38" s="311"/>
      <c r="EV38" s="311"/>
      <c r="EW38" s="311"/>
      <c r="EX38" s="311"/>
    </row>
    <row r="39" spans="1:154">
      <c r="A39" s="284">
        <f t="shared" si="0"/>
        <v>33</v>
      </c>
      <c r="B39" s="1401"/>
      <c r="C39" s="312"/>
      <c r="D39" s="312"/>
      <c r="E39" s="312"/>
      <c r="F39" s="312"/>
      <c r="G39" s="312"/>
      <c r="H39" s="312"/>
      <c r="I39" s="312"/>
      <c r="J39" s="312"/>
      <c r="K39" s="312"/>
      <c r="L39" s="312"/>
      <c r="M39" s="1483"/>
      <c r="N39" s="1483"/>
      <c r="O39" s="312"/>
      <c r="P39" s="278"/>
      <c r="Q39" s="312"/>
      <c r="R39" s="312"/>
      <c r="S39" s="312"/>
      <c r="T39" s="312"/>
      <c r="U39" s="312"/>
      <c r="V39" s="312"/>
      <c r="W39" s="312"/>
      <c r="X39" s="312"/>
      <c r="Y39" s="312"/>
      <c r="Z39" s="278"/>
      <c r="AA39" s="312"/>
      <c r="AB39" s="278"/>
      <c r="AC39" s="312"/>
      <c r="AD39" s="312"/>
      <c r="AE39" s="312"/>
      <c r="AF39" s="312"/>
      <c r="AG39" s="278"/>
      <c r="AH39" s="312"/>
      <c r="AI39" s="312"/>
      <c r="AJ39" s="312"/>
      <c r="AK39" s="312"/>
      <c r="AL39" s="278"/>
      <c r="AM39" s="312"/>
      <c r="AN39" s="312"/>
      <c r="AO39" s="312"/>
      <c r="AP39" s="312"/>
      <c r="AQ39" s="278"/>
      <c r="AR39" s="312"/>
      <c r="AS39" s="278"/>
      <c r="AT39" s="278"/>
      <c r="AU39" s="278"/>
      <c r="AV39" s="278"/>
      <c r="AW39" s="278"/>
      <c r="AX39" s="278"/>
      <c r="AY39" s="278"/>
      <c r="AZ39" s="278"/>
      <c r="BA39" s="278"/>
      <c r="BB39" s="278"/>
      <c r="BC39" s="278"/>
      <c r="BD39" s="278"/>
      <c r="BE39" s="278"/>
      <c r="BF39" s="278"/>
      <c r="BG39" s="278"/>
      <c r="BH39" s="278"/>
      <c r="BI39" s="278"/>
      <c r="BJ39" s="278"/>
      <c r="BK39" s="278"/>
      <c r="BL39" s="278"/>
      <c r="BM39" s="278"/>
      <c r="BN39" s="278"/>
      <c r="BO39" s="278"/>
      <c r="BP39" s="278"/>
      <c r="BQ39" s="278"/>
      <c r="BR39" s="278"/>
      <c r="BS39" s="278"/>
      <c r="BT39" s="278"/>
      <c r="BU39" s="278"/>
      <c r="BV39" s="278"/>
      <c r="BW39" s="278"/>
      <c r="BX39" s="278"/>
      <c r="BY39" s="278"/>
      <c r="BZ39" s="278"/>
      <c r="CA39" s="278"/>
      <c r="CB39" s="278"/>
      <c r="CC39" s="278"/>
      <c r="CD39" s="278"/>
      <c r="CE39" s="278"/>
      <c r="CF39" s="278"/>
      <c r="CG39" s="278"/>
      <c r="CH39" s="278"/>
      <c r="CI39" s="278"/>
      <c r="CJ39" s="278"/>
      <c r="CK39" s="278"/>
      <c r="CL39" s="278"/>
      <c r="CM39" s="278"/>
      <c r="CN39" s="278"/>
      <c r="CO39" s="278"/>
      <c r="CP39" s="278"/>
      <c r="CQ39" s="278"/>
      <c r="CR39" s="278"/>
      <c r="CS39" s="278"/>
      <c r="CT39" s="278"/>
      <c r="CU39" s="278"/>
      <c r="CV39" s="278"/>
      <c r="CW39" s="278"/>
      <c r="CX39" s="278"/>
      <c r="CY39" s="278"/>
      <c r="CZ39" s="278"/>
      <c r="DA39" s="278"/>
      <c r="DB39" s="278"/>
      <c r="DC39" s="278"/>
      <c r="DD39" s="278"/>
      <c r="DE39" s="278"/>
      <c r="DF39" s="278"/>
      <c r="DG39" s="278"/>
      <c r="DH39" s="278"/>
      <c r="DI39" s="278"/>
      <c r="DJ39" s="278"/>
      <c r="DK39" s="278"/>
      <c r="DL39" s="278"/>
      <c r="DM39" s="278"/>
      <c r="DN39" s="278"/>
      <c r="DO39" s="278"/>
      <c r="DP39" s="278"/>
      <c r="DQ39" s="278"/>
      <c r="DR39" s="278"/>
      <c r="DS39" s="278"/>
      <c r="DT39" s="278"/>
      <c r="DU39" s="278"/>
      <c r="DV39" s="278"/>
      <c r="DW39" s="278"/>
      <c r="DX39" s="278"/>
      <c r="DY39" s="278"/>
      <c r="DZ39" s="278"/>
      <c r="EA39" s="278"/>
      <c r="EB39" s="278"/>
      <c r="EC39" s="278"/>
      <c r="ED39" s="278"/>
      <c r="EE39" s="278"/>
      <c r="EF39" s="278"/>
      <c r="EG39" s="278"/>
      <c r="EH39" s="278"/>
      <c r="EI39" s="278"/>
      <c r="EJ39" s="278"/>
      <c r="EK39" s="278"/>
      <c r="EL39" s="278"/>
      <c r="EM39" s="278"/>
      <c r="EN39" s="278"/>
      <c r="EO39" s="278"/>
      <c r="EP39" s="278"/>
      <c r="EQ39" s="278"/>
      <c r="ER39" s="278"/>
      <c r="ES39" s="278"/>
      <c r="ET39" s="278"/>
      <c r="EU39" s="278"/>
      <c r="EV39" s="278"/>
      <c r="EW39" s="278"/>
      <c r="EX39" s="278"/>
    </row>
    <row r="40" spans="1:154">
      <c r="A40" s="284"/>
      <c r="B40" s="278"/>
      <c r="C40" s="313"/>
      <c r="D40" s="313"/>
      <c r="E40" s="313"/>
      <c r="F40" s="313"/>
      <c r="G40" s="313"/>
      <c r="H40" s="313"/>
      <c r="I40" s="313"/>
      <c r="J40" s="313"/>
      <c r="K40" s="313"/>
      <c r="M40" s="313"/>
      <c r="N40" s="313"/>
      <c r="O40" s="313"/>
      <c r="P40" s="278"/>
      <c r="Q40" s="312"/>
      <c r="R40" s="313"/>
      <c r="S40" s="313"/>
      <c r="T40" s="313"/>
      <c r="U40" s="313"/>
      <c r="V40" s="313"/>
      <c r="W40" s="313"/>
      <c r="X40" s="313"/>
      <c r="Y40" s="313"/>
      <c r="Z40" s="278"/>
      <c r="AA40" s="312"/>
      <c r="AB40" s="278"/>
      <c r="AC40" s="312"/>
      <c r="AD40" s="313"/>
      <c r="AE40" s="313"/>
      <c r="AF40" s="313"/>
      <c r="AG40" s="278"/>
      <c r="AH40" s="312"/>
      <c r="AI40" s="313"/>
      <c r="AJ40" s="313"/>
      <c r="AK40" s="313"/>
      <c r="AL40" s="278"/>
      <c r="AM40" s="312"/>
      <c r="AN40" s="313"/>
      <c r="AO40" s="313"/>
      <c r="AP40" s="313"/>
      <c r="AQ40" s="278"/>
      <c r="AR40" s="312"/>
      <c r="AS40" s="278"/>
      <c r="AT40" s="278"/>
      <c r="AU40" s="278"/>
      <c r="AV40" s="278"/>
      <c r="AW40" s="278"/>
      <c r="AX40" s="278"/>
      <c r="AY40" s="278"/>
      <c r="AZ40" s="278"/>
      <c r="BA40" s="278"/>
      <c r="BB40" s="278"/>
      <c r="BC40" s="278"/>
      <c r="BD40" s="278"/>
      <c r="BE40" s="278"/>
      <c r="BF40" s="278"/>
      <c r="BG40" s="278"/>
      <c r="BH40" s="278"/>
      <c r="BI40" s="278"/>
      <c r="BJ40" s="278"/>
      <c r="BK40" s="278"/>
      <c r="BL40" s="278"/>
      <c r="BM40" s="278"/>
      <c r="BN40" s="278"/>
      <c r="BO40" s="278"/>
      <c r="BP40" s="278"/>
      <c r="BQ40" s="278"/>
      <c r="BR40" s="278"/>
      <c r="BS40" s="278"/>
      <c r="BT40" s="278"/>
      <c r="BU40" s="278"/>
      <c r="BV40" s="278"/>
      <c r="BW40" s="278"/>
      <c r="BX40" s="278"/>
      <c r="BY40" s="278"/>
      <c r="BZ40" s="278"/>
      <c r="CA40" s="278"/>
      <c r="CB40" s="278"/>
      <c r="CC40" s="278"/>
      <c r="CD40" s="278"/>
      <c r="CE40" s="278"/>
      <c r="CF40" s="278"/>
      <c r="CG40" s="278"/>
      <c r="CH40" s="278"/>
      <c r="CI40" s="278"/>
      <c r="CJ40" s="278"/>
      <c r="CK40" s="278"/>
      <c r="CL40" s="278"/>
      <c r="CM40" s="278"/>
      <c r="CN40" s="278"/>
      <c r="CO40" s="278"/>
      <c r="CP40" s="278"/>
      <c r="CQ40" s="278"/>
      <c r="CR40" s="278"/>
      <c r="CS40" s="278"/>
      <c r="CT40" s="278"/>
      <c r="CU40" s="278"/>
      <c r="CV40" s="278"/>
      <c r="CW40" s="278"/>
      <c r="CX40" s="278"/>
      <c r="CY40" s="278"/>
      <c r="CZ40" s="278"/>
      <c r="DA40" s="278"/>
      <c r="DB40" s="278"/>
      <c r="DC40" s="278"/>
      <c r="DD40" s="278"/>
      <c r="DE40" s="278"/>
      <c r="DF40" s="278"/>
      <c r="DG40" s="278"/>
      <c r="DH40" s="278"/>
      <c r="DI40" s="278"/>
      <c r="DJ40" s="278"/>
      <c r="DK40" s="278"/>
      <c r="DL40" s="278"/>
      <c r="DM40" s="278"/>
      <c r="DN40" s="278"/>
      <c r="DO40" s="278"/>
      <c r="DP40" s="278"/>
      <c r="DQ40" s="278"/>
      <c r="DR40" s="278"/>
      <c r="DS40" s="278"/>
      <c r="DT40" s="278"/>
      <c r="DU40" s="278"/>
      <c r="DV40" s="278"/>
      <c r="DW40" s="278"/>
      <c r="DX40" s="278"/>
      <c r="DY40" s="278"/>
      <c r="DZ40" s="278"/>
      <c r="EA40" s="278"/>
      <c r="EB40" s="278"/>
      <c r="EC40" s="278"/>
      <c r="ED40" s="278"/>
      <c r="EE40" s="278"/>
      <c r="EF40" s="278"/>
      <c r="EG40" s="278"/>
      <c r="EH40" s="278"/>
      <c r="EI40" s="278"/>
      <c r="EJ40" s="278"/>
      <c r="EK40" s="278"/>
      <c r="EL40" s="278"/>
      <c r="EM40" s="278"/>
      <c r="EN40" s="278"/>
      <c r="EO40" s="278"/>
      <c r="EP40" s="278"/>
      <c r="EQ40" s="278"/>
      <c r="ER40" s="278"/>
      <c r="ES40" s="278"/>
      <c r="ET40" s="278"/>
      <c r="EU40" s="278"/>
      <c r="EV40" s="278"/>
      <c r="EW40" s="278"/>
      <c r="EX40" s="278"/>
    </row>
    <row r="41" spans="1:154">
      <c r="A41" s="284"/>
    </row>
    <row r="42" spans="1:154">
      <c r="A42" s="284"/>
      <c r="E42" s="116"/>
    </row>
    <row r="43" spans="1:154">
      <c r="A43" s="284"/>
      <c r="B43" s="113" t="s">
        <v>3295</v>
      </c>
      <c r="C43" s="290">
        <v>842800</v>
      </c>
      <c r="D43" s="290">
        <v>-142854</v>
      </c>
      <c r="E43" s="290">
        <v>3383315</v>
      </c>
      <c r="F43" s="290">
        <v>78739</v>
      </c>
      <c r="G43" s="290">
        <v>-1663054</v>
      </c>
      <c r="H43" s="290">
        <v>-192617</v>
      </c>
      <c r="I43" s="290">
        <v>213818</v>
      </c>
      <c r="J43" s="290">
        <v>-360422</v>
      </c>
      <c r="K43" s="290">
        <v>-362676</v>
      </c>
      <c r="L43" s="290">
        <v>4823</v>
      </c>
      <c r="M43" s="290"/>
      <c r="N43" s="290"/>
      <c r="O43" s="290"/>
      <c r="P43" s="1177"/>
      <c r="Q43" s="290"/>
      <c r="R43" s="290">
        <v>89512</v>
      </c>
      <c r="S43" s="290">
        <v>-1407372</v>
      </c>
      <c r="T43" s="290">
        <v>801358</v>
      </c>
      <c r="U43" s="290">
        <v>458388</v>
      </c>
      <c r="V43" s="290"/>
      <c r="W43" s="290"/>
      <c r="X43" s="290"/>
      <c r="Y43" s="290"/>
      <c r="Z43" s="290"/>
    </row>
    <row r="44" spans="1:154">
      <c r="B44" s="113" t="s">
        <v>3146</v>
      </c>
      <c r="C44" s="1177">
        <f>C43-C38</f>
        <v>0</v>
      </c>
      <c r="D44" s="1177">
        <f t="shared" ref="D44:U44" si="18">D43-D38</f>
        <v>-0.10996568301925436</v>
      </c>
      <c r="E44" s="1177">
        <f t="shared" si="18"/>
        <v>3.7770672701299191E-2</v>
      </c>
      <c r="F44" s="1177">
        <f t="shared" si="18"/>
        <v>-0.16902653774013743</v>
      </c>
      <c r="G44" s="1177">
        <f t="shared" si="18"/>
        <v>0.30720114079304039</v>
      </c>
      <c r="H44" s="1177">
        <f>H43-H38</f>
        <v>-3.024252102477476E-3</v>
      </c>
      <c r="I44" s="1177">
        <f t="shared" si="18"/>
        <v>-6.9393415789818391E-2</v>
      </c>
      <c r="J44" s="1177">
        <f t="shared" si="18"/>
        <v>-0.36999999999534339</v>
      </c>
      <c r="K44" s="1177">
        <f t="shared" si="18"/>
        <v>0.16795863676816225</v>
      </c>
      <c r="L44" s="1177">
        <f t="shared" si="18"/>
        <v>-0.2712577582369704</v>
      </c>
      <c r="M44" s="1177"/>
      <c r="N44" s="1177"/>
      <c r="O44" s="1177"/>
      <c r="P44" s="1177"/>
      <c r="Q44" s="1177">
        <f t="shared" si="18"/>
        <v>0</v>
      </c>
      <c r="R44" s="1177">
        <f t="shared" si="18"/>
        <v>-0.19135346988332458</v>
      </c>
      <c r="S44" s="1177">
        <f t="shared" si="18"/>
        <v>0.24513424700126052</v>
      </c>
      <c r="T44" s="1177">
        <f t="shared" si="18"/>
        <v>-4.9118126975372434E-2</v>
      </c>
      <c r="U44" s="1177">
        <f t="shared" si="18"/>
        <v>0.33938854071311653</v>
      </c>
      <c r="V44" s="1177"/>
      <c r="W44" s="1177"/>
      <c r="X44" s="1177"/>
      <c r="Y44" s="1177"/>
      <c r="Z44" s="1177"/>
    </row>
    <row r="45" spans="1:154">
      <c r="C45" s="1177"/>
      <c r="E45" s="274"/>
      <c r="L45" s="274"/>
    </row>
    <row r="46" spans="1:154">
      <c r="B46" s="113" t="s">
        <v>3293</v>
      </c>
      <c r="C46" s="1177"/>
      <c r="D46" s="1177"/>
      <c r="E46" s="1177">
        <v>1112550</v>
      </c>
      <c r="F46" s="1177"/>
      <c r="G46" s="1177"/>
      <c r="H46" s="1177">
        <v>145438</v>
      </c>
      <c r="I46" s="1177"/>
      <c r="J46" s="1177"/>
      <c r="K46" s="1177">
        <v>41188</v>
      </c>
      <c r="L46" s="1177">
        <v>-5529</v>
      </c>
      <c r="M46" s="1177"/>
      <c r="N46" s="1177"/>
      <c r="O46" s="1177"/>
      <c r="P46" s="1177"/>
      <c r="Q46" s="1177"/>
      <c r="R46" s="1177"/>
      <c r="S46" s="1177"/>
      <c r="T46" s="1177"/>
      <c r="U46" s="1177"/>
      <c r="V46" s="1177"/>
      <c r="W46" s="1177"/>
      <c r="X46" s="1177"/>
      <c r="Y46" s="1177"/>
      <c r="Z46" s="1177"/>
      <c r="AA46" s="1177"/>
      <c r="AB46" s="1177"/>
      <c r="AC46" s="1177"/>
      <c r="AD46" s="1177"/>
      <c r="AE46" s="1177"/>
      <c r="AF46" s="1177"/>
      <c r="AG46" s="1177"/>
      <c r="AH46" s="1177"/>
      <c r="AI46" s="1177"/>
      <c r="AJ46" s="1177"/>
      <c r="AK46" s="1177"/>
      <c r="AL46" s="1177"/>
      <c r="AM46" s="1177"/>
      <c r="AN46" s="1177"/>
      <c r="AO46" s="1177"/>
      <c r="AP46" s="1177"/>
      <c r="AQ46" s="1177"/>
    </row>
    <row r="47" spans="1:154">
      <c r="B47" s="1207" t="s">
        <v>3146</v>
      </c>
      <c r="C47" s="1177"/>
      <c r="D47" s="1177"/>
      <c r="E47" s="1177">
        <f>E46-E28</f>
        <v>7.5875034555792809E-2</v>
      </c>
      <c r="F47" s="1177"/>
      <c r="G47" s="1177"/>
      <c r="H47" s="1177">
        <f>H46-H28</f>
        <v>0.38644999999087304</v>
      </c>
      <c r="I47" s="1177"/>
      <c r="J47" s="1177"/>
      <c r="K47" s="1177">
        <f>K46-K28</f>
        <v>0.24491008000040893</v>
      </c>
      <c r="L47" s="1177">
        <f>L46-L28</f>
        <v>0.11597419999998237</v>
      </c>
      <c r="M47" s="1177"/>
      <c r="N47" s="1177"/>
      <c r="O47" s="1177"/>
      <c r="P47" s="1177"/>
      <c r="Q47" s="1177"/>
      <c r="R47" s="1177"/>
      <c r="S47" s="1177"/>
      <c r="T47" s="1177"/>
      <c r="U47" s="1177"/>
      <c r="V47" s="1177"/>
      <c r="W47" s="1177"/>
      <c r="X47" s="1177"/>
      <c r="Y47" s="1177"/>
      <c r="Z47" s="1177"/>
      <c r="AA47" s="1177"/>
      <c r="AB47" s="1177"/>
      <c r="AC47" s="1177"/>
      <c r="AD47" s="1177"/>
      <c r="AE47" s="1177"/>
      <c r="AF47" s="1177"/>
      <c r="AG47" s="1177"/>
      <c r="AH47" s="1177"/>
      <c r="AI47" s="1177"/>
      <c r="AJ47" s="1177"/>
      <c r="AK47" s="1177"/>
      <c r="AL47" s="1177"/>
      <c r="AM47" s="1177"/>
      <c r="AN47" s="1177"/>
      <c r="AO47" s="1177"/>
      <c r="AP47" s="1177"/>
      <c r="AQ47" s="1177"/>
    </row>
    <row r="48" spans="1:154">
      <c r="C48" s="1177"/>
      <c r="D48" s="1177"/>
      <c r="E48" s="1177"/>
      <c r="F48" s="1177"/>
      <c r="G48" s="1177"/>
      <c r="H48" s="1177"/>
      <c r="I48" s="1177"/>
      <c r="J48" s="1177"/>
      <c r="K48" s="1177"/>
      <c r="L48" s="1177"/>
      <c r="M48" s="1177"/>
      <c r="N48" s="1177"/>
      <c r="O48" s="1177"/>
      <c r="P48" s="1177"/>
      <c r="Q48" s="1177"/>
      <c r="R48" s="1177"/>
      <c r="S48" s="1177"/>
      <c r="T48" s="1177"/>
      <c r="U48" s="1177"/>
      <c r="V48" s="1177"/>
      <c r="W48" s="1177"/>
      <c r="X48" s="1177"/>
      <c r="Y48" s="1177"/>
      <c r="Z48" s="1177"/>
      <c r="AA48" s="1177"/>
      <c r="AB48" s="1177"/>
      <c r="AC48" s="1177"/>
      <c r="AD48" s="1177"/>
      <c r="AE48" s="1177"/>
      <c r="AF48" s="1177"/>
      <c r="AG48" s="1177"/>
      <c r="AH48" s="1177"/>
      <c r="AI48" s="1177"/>
      <c r="AJ48" s="1177"/>
      <c r="AK48" s="1177"/>
      <c r="AL48" s="1177"/>
      <c r="AM48" s="1177"/>
      <c r="AN48" s="1177"/>
      <c r="AO48" s="1177"/>
      <c r="AP48" s="1177"/>
      <c r="AQ48" s="1177"/>
    </row>
    <row r="49" spans="2:43">
      <c r="B49" s="1207" t="s">
        <v>3294</v>
      </c>
      <c r="C49" s="1177"/>
      <c r="D49" s="1177"/>
      <c r="E49" s="1177">
        <v>53527363</v>
      </c>
      <c r="F49" s="1177"/>
      <c r="G49" s="1177"/>
      <c r="H49" s="1177"/>
      <c r="I49" s="1177"/>
      <c r="J49" s="1177"/>
      <c r="K49" s="1177">
        <v>-3395927</v>
      </c>
      <c r="L49" s="1177">
        <v>-27547</v>
      </c>
      <c r="M49" s="1177"/>
      <c r="N49" s="1177"/>
      <c r="O49" s="1177"/>
      <c r="P49" s="1177"/>
      <c r="Q49" s="1177"/>
      <c r="R49" s="1177"/>
      <c r="S49" s="1177"/>
      <c r="T49" s="1177"/>
      <c r="U49" s="1177"/>
      <c r="V49" s="1177"/>
      <c r="W49" s="1177"/>
      <c r="X49" s="1177"/>
      <c r="Y49" s="1177"/>
      <c r="Z49" s="1177"/>
      <c r="AA49" s="1177"/>
      <c r="AB49" s="1177"/>
      <c r="AC49" s="1177"/>
      <c r="AD49" s="1177"/>
      <c r="AE49" s="1177"/>
      <c r="AF49" s="1177"/>
      <c r="AG49" s="1177"/>
      <c r="AH49" s="1177"/>
      <c r="AI49" s="1177"/>
      <c r="AJ49" s="1177"/>
      <c r="AK49" s="1177"/>
      <c r="AL49" s="1177"/>
      <c r="AM49" s="1177"/>
      <c r="AN49" s="1177"/>
      <c r="AO49" s="1177"/>
      <c r="AP49" s="1177"/>
      <c r="AQ49" s="1177"/>
    </row>
    <row r="50" spans="2:43">
      <c r="B50" s="1207" t="s">
        <v>3146</v>
      </c>
      <c r="C50" s="1177"/>
      <c r="D50" s="1177"/>
      <c r="E50" s="1177">
        <f>E49-E36</f>
        <v>-0.17014764994382858</v>
      </c>
      <c r="F50" s="1177"/>
      <c r="G50" s="1177"/>
      <c r="H50" s="1177"/>
      <c r="I50" s="1177"/>
      <c r="J50" s="1177"/>
      <c r="K50" s="1177">
        <f>K49-K36</f>
        <v>-0.36586495954543352</v>
      </c>
      <c r="L50" s="1177">
        <f>L49-L36</f>
        <v>9.0554118156433105E-2</v>
      </c>
      <c r="M50" s="1177"/>
      <c r="N50" s="1177"/>
      <c r="O50" s="1177"/>
      <c r="P50" s="1177"/>
      <c r="Q50" s="1177"/>
      <c r="R50" s="1177"/>
      <c r="S50" s="1177"/>
      <c r="T50" s="1177"/>
      <c r="U50" s="1177"/>
      <c r="V50" s="1177"/>
      <c r="W50" s="1177"/>
      <c r="X50" s="1177"/>
      <c r="Y50" s="1177"/>
      <c r="Z50" s="1177"/>
      <c r="AA50" s="1177"/>
      <c r="AB50" s="1177"/>
      <c r="AC50" s="1177"/>
      <c r="AD50" s="1177"/>
      <c r="AE50" s="1177"/>
      <c r="AF50" s="1177"/>
      <c r="AG50" s="1177"/>
      <c r="AH50" s="1177"/>
      <c r="AI50" s="1177"/>
      <c r="AJ50" s="1177"/>
      <c r="AK50" s="1177"/>
      <c r="AL50" s="1177"/>
      <c r="AM50" s="1177"/>
      <c r="AN50" s="1177"/>
      <c r="AO50" s="1177"/>
      <c r="AP50" s="1177"/>
      <c r="AQ50" s="1177"/>
    </row>
    <row r="51" spans="2:43">
      <c r="C51" s="1177"/>
      <c r="D51" s="1177"/>
      <c r="E51" s="1177"/>
      <c r="F51" s="1177"/>
      <c r="G51" s="1177"/>
      <c r="H51" s="1177"/>
      <c r="I51" s="1177"/>
      <c r="J51" s="1177"/>
      <c r="K51" s="1177"/>
      <c r="L51" s="1177"/>
      <c r="M51" s="1177"/>
      <c r="N51" s="1177"/>
      <c r="O51" s="1177"/>
      <c r="P51" s="1177"/>
      <c r="Q51" s="1177"/>
      <c r="R51" s="1177"/>
      <c r="S51" s="1177"/>
      <c r="T51" s="1177"/>
      <c r="U51" s="1177"/>
      <c r="V51" s="1177"/>
      <c r="W51" s="1177"/>
      <c r="X51" s="1177"/>
      <c r="Y51" s="1177"/>
      <c r="Z51" s="1177"/>
      <c r="AA51" s="1177"/>
      <c r="AB51" s="1177"/>
      <c r="AC51" s="1177"/>
      <c r="AD51" s="1177"/>
      <c r="AE51" s="1177"/>
      <c r="AF51" s="1177"/>
      <c r="AG51" s="1177"/>
      <c r="AH51" s="1177"/>
      <c r="AI51" s="1177"/>
      <c r="AJ51" s="1177"/>
      <c r="AK51" s="1177"/>
      <c r="AL51" s="1177"/>
      <c r="AM51" s="1177"/>
      <c r="AN51" s="1177"/>
      <c r="AO51" s="1177"/>
      <c r="AP51" s="1177"/>
      <c r="AQ51" s="1177"/>
    </row>
  </sheetData>
  <phoneticPr fontId="124" type="noConversion"/>
  <printOptions horizontalCentered="1"/>
  <pageMargins left="0" right="0" top="0.5" bottom="0.5" header="0.3" footer="0.3"/>
  <pageSetup paperSize="5" scale="83" fitToWidth="0" orientation="landscape" r:id="rId1"/>
  <headerFooter scaleWithDoc="0" alignWithMargins="0">
    <oddHeader>&amp;RDocket No. UG-200568
Exhibit _____ (MCP-10)
Page 1 of 1</oddHeader>
  </headerFooter>
  <colBreaks count="2" manualBreakCount="2">
    <brk id="16" max="1048575" man="1"/>
    <brk id="26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7"/>
    <pageSetUpPr fitToPage="1"/>
  </sheetPr>
  <dimension ref="A1:AH219"/>
  <sheetViews>
    <sheetView zoomScale="80" zoomScaleNormal="80" workbookViewId="0">
      <pane xSplit="2" ySplit="6" topLeftCell="C7" activePane="bottomRight" state="frozen"/>
      <selection pane="topRight" activeCell="A4" sqref="A4"/>
      <selection pane="bottomLeft" activeCell="A4" sqref="A4"/>
      <selection pane="bottomRight" activeCell="O190" sqref="O190"/>
    </sheetView>
  </sheetViews>
  <sheetFormatPr defaultColWidth="9.140625" defaultRowHeight="15" outlineLevelRow="1"/>
  <cols>
    <col min="1" max="1" width="6.28515625" style="2" customWidth="1"/>
    <col min="2" max="2" width="14.140625" style="1" bestFit="1" customWidth="1"/>
    <col min="3" max="3" width="14.140625" style="1" customWidth="1"/>
    <col min="4" max="4" width="60.140625" style="1" bestFit="1" customWidth="1"/>
    <col min="5" max="5" width="13.5703125" style="1" bestFit="1" customWidth="1"/>
    <col min="6" max="6" width="18.85546875" style="1" bestFit="1" customWidth="1"/>
    <col min="7" max="7" width="9.85546875" style="1" bestFit="1" customWidth="1"/>
    <col min="8" max="8" width="22.140625" style="1" bestFit="1" customWidth="1"/>
    <col min="9" max="9" width="18" style="1" customWidth="1"/>
    <col min="10" max="10" width="12.28515625" style="1" bestFit="1" customWidth="1"/>
    <col min="11" max="11" width="16" style="241" bestFit="1" customWidth="1"/>
    <col min="12" max="12" width="16.5703125" style="1" bestFit="1" customWidth="1"/>
    <col min="13" max="13" width="11.28515625" style="1" bestFit="1" customWidth="1"/>
    <col min="14" max="14" width="15" style="1" bestFit="1" customWidth="1"/>
    <col min="15" max="15" width="15" style="1" customWidth="1"/>
    <col min="16" max="16" width="9.140625" style="1"/>
    <col min="17" max="17" width="13.28515625" style="1" customWidth="1"/>
    <col min="18" max="19" width="16.140625" style="1" customWidth="1"/>
    <col min="20" max="20" width="9.140625" style="1"/>
    <col min="21" max="21" width="10.85546875" style="1" customWidth="1"/>
    <col min="22" max="22" width="9.140625" style="1"/>
    <col min="23" max="23" width="15.28515625" style="1" customWidth="1"/>
    <col min="24" max="24" width="14.7109375" style="1" customWidth="1"/>
    <col min="25" max="25" width="9.140625" style="1" customWidth="1"/>
    <col min="26" max="26" width="9.140625" style="1"/>
    <col min="27" max="27" width="13.5703125" style="1" customWidth="1"/>
    <col min="28" max="28" width="15.140625" style="1" customWidth="1"/>
    <col min="29" max="29" width="11.28515625" style="1" bestFit="1" customWidth="1"/>
    <col min="30" max="31" width="9.140625" style="1"/>
    <col min="32" max="32" width="15.7109375" style="1" customWidth="1"/>
    <col min="33" max="33" width="16.85546875" style="1" bestFit="1" customWidth="1"/>
    <col min="34" max="35" width="9.140625" style="1"/>
    <col min="36" max="36" width="9.7109375" style="1" bestFit="1" customWidth="1"/>
    <col min="37" max="16384" width="9.140625" style="1"/>
  </cols>
  <sheetData>
    <row r="1" spans="1:33">
      <c r="A1" s="607" t="str">
        <f>Company</f>
        <v>Cascade Natural Gas Corp.</v>
      </c>
      <c r="B1" s="607"/>
      <c r="C1" s="607"/>
      <c r="D1" s="607"/>
      <c r="E1" s="607"/>
      <c r="F1" s="607"/>
      <c r="G1" s="607"/>
      <c r="H1" s="607"/>
      <c r="I1" s="607"/>
      <c r="J1" s="607"/>
      <c r="K1" s="607"/>
      <c r="L1" s="1" t="s">
        <v>191</v>
      </c>
    </row>
    <row r="2" spans="1:33">
      <c r="A2" s="607" t="str">
        <f>Title1</f>
        <v>Washington Jurisdiction</v>
      </c>
      <c r="B2" s="607"/>
      <c r="C2" s="607"/>
      <c r="D2" s="607"/>
      <c r="E2" s="607"/>
      <c r="F2" s="607"/>
      <c r="G2" s="607"/>
      <c r="H2" s="607"/>
      <c r="J2" s="607"/>
      <c r="K2" s="607"/>
    </row>
    <row r="3" spans="1:33">
      <c r="A3" s="607" t="str">
        <f>Title2</f>
        <v>Twelve-Months ended December 31, 2020</v>
      </c>
      <c r="B3" s="607"/>
      <c r="C3" s="607"/>
      <c r="D3" s="607"/>
      <c r="E3" s="607"/>
      <c r="F3" s="607"/>
      <c r="G3" s="607"/>
      <c r="H3" s="607"/>
      <c r="J3" s="607"/>
      <c r="K3" s="607"/>
    </row>
    <row r="4" spans="1:33">
      <c r="A4" s="607" t="s">
        <v>734</v>
      </c>
      <c r="B4" s="607"/>
      <c r="C4" s="607"/>
      <c r="D4" s="607"/>
      <c r="E4" s="607"/>
      <c r="F4" s="607"/>
      <c r="G4" s="607"/>
      <c r="H4" s="607"/>
      <c r="I4" s="607"/>
      <c r="J4" s="607"/>
      <c r="K4" s="607"/>
    </row>
    <row r="6" spans="1:33" ht="30" hidden="1" outlineLevel="1">
      <c r="A6" s="1316" t="s">
        <v>0</v>
      </c>
      <c r="B6" s="1317" t="s">
        <v>735</v>
      </c>
      <c r="C6" s="1317" t="s">
        <v>736</v>
      </c>
      <c r="D6" s="1317" t="s">
        <v>737</v>
      </c>
      <c r="E6" s="1318" t="s">
        <v>738</v>
      </c>
      <c r="F6" s="1318" t="s">
        <v>739</v>
      </c>
      <c r="G6" s="1317" t="s">
        <v>740</v>
      </c>
      <c r="H6" s="1317" t="s">
        <v>741</v>
      </c>
      <c r="I6" s="1317" t="s">
        <v>742</v>
      </c>
      <c r="J6" s="1317" t="s">
        <v>1</v>
      </c>
      <c r="K6" s="1319" t="s">
        <v>743</v>
      </c>
      <c r="O6" s="447" t="s">
        <v>744</v>
      </c>
      <c r="U6" s="1225"/>
    </row>
    <row r="7" spans="1:33" hidden="1" outlineLevel="1">
      <c r="A7" s="1316"/>
      <c r="B7" s="1317" t="s">
        <v>2</v>
      </c>
      <c r="C7" s="1317" t="s">
        <v>3</v>
      </c>
      <c r="D7" s="1317" t="s">
        <v>4</v>
      </c>
      <c r="E7" s="1318" t="s">
        <v>5</v>
      </c>
      <c r="F7" s="1318" t="s">
        <v>6</v>
      </c>
      <c r="G7" s="1317" t="s">
        <v>273</v>
      </c>
      <c r="H7" s="1317" t="s">
        <v>745</v>
      </c>
      <c r="I7" s="1317" t="s">
        <v>275</v>
      </c>
      <c r="J7" s="1317" t="s">
        <v>276</v>
      </c>
      <c r="K7" s="1319" t="s">
        <v>277</v>
      </c>
      <c r="O7" s="734" t="s">
        <v>746</v>
      </c>
      <c r="U7" s="1225"/>
    </row>
    <row r="8" spans="1:33" hidden="1" outlineLevel="1">
      <c r="A8" s="1320">
        <f>MAX($A$7:A7)+1</f>
        <v>1</v>
      </c>
      <c r="B8" s="1321" t="s">
        <v>747</v>
      </c>
      <c r="C8" s="1321" t="s">
        <v>748</v>
      </c>
      <c r="D8" s="1321" t="s">
        <v>749</v>
      </c>
      <c r="E8" s="1322">
        <v>303</v>
      </c>
      <c r="F8" s="1323">
        <f>1116901.1+1361625.27</f>
        <v>2478526.37</v>
      </c>
      <c r="G8" s="1324"/>
      <c r="H8" s="1325">
        <f>IF(ISBLANK(G8), F8, G8*F8)</f>
        <v>2478526.37</v>
      </c>
      <c r="I8" s="1323">
        <f>IF($O$7="Yes", H8, 0)</f>
        <v>0</v>
      </c>
      <c r="J8" s="1326"/>
      <c r="K8" s="1327">
        <v>44560</v>
      </c>
      <c r="L8" s="240"/>
      <c r="M8" s="241" t="str">
        <f t="shared" ref="M8:M40" si="0">IFERROR(VLOOKUP(Q8, $AA$8:$AC$24, 3, FALSE), "")</f>
        <v/>
      </c>
      <c r="O8" s="239"/>
      <c r="R8" s="240"/>
      <c r="S8" s="240"/>
      <c r="U8" s="1225"/>
      <c r="W8" s="240"/>
      <c r="X8" s="240"/>
      <c r="Y8" s="240"/>
      <c r="AB8" s="240"/>
      <c r="AC8" s="241"/>
      <c r="AF8" s="240"/>
      <c r="AG8" s="241"/>
    </row>
    <row r="9" spans="1:33" hidden="1" outlineLevel="1">
      <c r="A9" s="1320">
        <f>MAX($A$7:A8)+1</f>
        <v>2</v>
      </c>
      <c r="B9" s="1321" t="s">
        <v>747</v>
      </c>
      <c r="C9" s="1321" t="s">
        <v>750</v>
      </c>
      <c r="D9" s="1321" t="s">
        <v>751</v>
      </c>
      <c r="E9" s="1322">
        <v>303</v>
      </c>
      <c r="F9" s="1323">
        <v>15151.12</v>
      </c>
      <c r="G9" s="1324"/>
      <c r="H9" s="1322">
        <f t="shared" ref="H9:H20" si="1">IF(ISBLANK(G9), F9, G9*F9)</f>
        <v>15151.12</v>
      </c>
      <c r="I9" s="1323"/>
      <c r="J9" s="1326"/>
      <c r="K9" s="1327">
        <v>44378</v>
      </c>
      <c r="L9" s="240"/>
      <c r="M9" s="241" t="str">
        <f t="shared" si="0"/>
        <v/>
      </c>
      <c r="O9" s="239"/>
      <c r="R9" s="240"/>
      <c r="S9" s="240"/>
      <c r="W9" s="240"/>
      <c r="X9" s="240"/>
      <c r="Y9" s="240"/>
      <c r="AB9" s="240"/>
      <c r="AC9" s="241"/>
      <c r="AF9" s="240"/>
      <c r="AG9" s="241"/>
    </row>
    <row r="10" spans="1:33" hidden="1" outlineLevel="1">
      <c r="A10" s="1320">
        <f>MAX($A$7:A9)+1</f>
        <v>3</v>
      </c>
      <c r="B10" s="1321" t="s">
        <v>747</v>
      </c>
      <c r="C10" s="1321" t="s">
        <v>752</v>
      </c>
      <c r="D10" s="1321" t="s">
        <v>753</v>
      </c>
      <c r="E10" s="1322">
        <v>303</v>
      </c>
      <c r="F10" s="1323">
        <f>754924.17+515517.84</f>
        <v>1270442.01</v>
      </c>
      <c r="G10" s="1324"/>
      <c r="H10" s="1322">
        <f t="shared" si="1"/>
        <v>1270442.01</v>
      </c>
      <c r="I10" s="1323">
        <f>IF($O$7="Yes", H10, 0)</f>
        <v>0</v>
      </c>
      <c r="J10" s="1326"/>
      <c r="K10" s="1328">
        <v>44439</v>
      </c>
      <c r="L10" s="239"/>
      <c r="M10" s="241" t="str">
        <f t="shared" si="0"/>
        <v/>
      </c>
      <c r="O10" s="239"/>
      <c r="R10" s="240"/>
      <c r="S10" s="240"/>
      <c r="W10" s="240"/>
      <c r="X10" s="240"/>
      <c r="Y10" s="240"/>
      <c r="AB10" s="240"/>
      <c r="AC10" s="241"/>
      <c r="AF10" s="240"/>
      <c r="AG10" s="241"/>
    </row>
    <row r="11" spans="1:33" hidden="1" outlineLevel="1">
      <c r="A11" s="1257">
        <f>MAX($A$7:A10)+1</f>
        <v>4</v>
      </c>
      <c r="B11" s="1321" t="s">
        <v>747</v>
      </c>
      <c r="C11" s="1321" t="s">
        <v>754</v>
      </c>
      <c r="D11" s="1321" t="s">
        <v>755</v>
      </c>
      <c r="E11" s="1322">
        <v>303</v>
      </c>
      <c r="F11" s="1323">
        <v>6666.49</v>
      </c>
      <c r="G11" s="1324"/>
      <c r="H11" s="1322">
        <f t="shared" si="1"/>
        <v>6666.49</v>
      </c>
      <c r="I11" s="1323"/>
      <c r="J11" s="1326"/>
      <c r="K11" s="1328">
        <v>44346</v>
      </c>
      <c r="L11" s="240"/>
      <c r="M11" s="241" t="str">
        <f t="shared" si="0"/>
        <v/>
      </c>
      <c r="O11" s="239"/>
      <c r="R11" s="240"/>
      <c r="S11" s="240"/>
      <c r="U11" s="1225"/>
      <c r="W11" s="240"/>
      <c r="X11" s="240"/>
      <c r="Y11" s="240"/>
      <c r="AB11" s="240"/>
      <c r="AC11" s="241"/>
      <c r="AF11" s="240"/>
      <c r="AG11" s="241"/>
    </row>
    <row r="12" spans="1:33" hidden="1" outlineLevel="1">
      <c r="A12" s="1320">
        <f>MAX($A$7:A11)+1</f>
        <v>5</v>
      </c>
      <c r="B12" s="1321" t="s">
        <v>747</v>
      </c>
      <c r="C12" s="1321" t="s">
        <v>756</v>
      </c>
      <c r="D12" s="1321" t="s">
        <v>757</v>
      </c>
      <c r="E12" s="1322">
        <v>303</v>
      </c>
      <c r="F12" s="1323">
        <v>13408.73</v>
      </c>
      <c r="G12" s="1324"/>
      <c r="H12" s="1322">
        <f t="shared" si="1"/>
        <v>13408.73</v>
      </c>
      <c r="I12" s="1323"/>
      <c r="J12" s="1326"/>
      <c r="K12" s="1328">
        <v>44377</v>
      </c>
      <c r="L12" s="239"/>
      <c r="M12" s="241" t="str">
        <f t="shared" si="0"/>
        <v/>
      </c>
      <c r="O12" s="239"/>
      <c r="R12" s="240"/>
      <c r="S12" s="240"/>
      <c r="U12" s="1225"/>
      <c r="W12" s="240"/>
      <c r="X12" s="240"/>
      <c r="Y12" s="240"/>
      <c r="AB12" s="240"/>
      <c r="AC12" s="241"/>
      <c r="AF12" s="240"/>
      <c r="AG12" s="241"/>
    </row>
    <row r="13" spans="1:33" hidden="1" outlineLevel="1">
      <c r="A13" s="1320">
        <f>MAX($A$7:A12)+1</f>
        <v>6</v>
      </c>
      <c r="B13" s="1321" t="s">
        <v>747</v>
      </c>
      <c r="C13" s="1321" t="s">
        <v>758</v>
      </c>
      <c r="D13" s="1329" t="s">
        <v>759</v>
      </c>
      <c r="E13" s="1322">
        <v>303</v>
      </c>
      <c r="F13" s="1323">
        <v>32129.46</v>
      </c>
      <c r="G13" s="1324">
        <f>+'State Allocators'!$C$14</f>
        <v>0.74890000000000001</v>
      </c>
      <c r="H13" s="1322">
        <f t="shared" si="1"/>
        <v>24061.752594000001</v>
      </c>
      <c r="I13" s="1323"/>
      <c r="J13" s="1326"/>
      <c r="K13" s="1328">
        <v>44561</v>
      </c>
      <c r="L13" s="239"/>
      <c r="M13" s="241"/>
      <c r="O13" s="239"/>
      <c r="R13" s="240"/>
      <c r="S13" s="240"/>
      <c r="U13" s="1225"/>
      <c r="W13" s="240"/>
      <c r="X13" s="240"/>
      <c r="Y13" s="240"/>
      <c r="AB13" s="240"/>
      <c r="AC13" s="241"/>
      <c r="AF13" s="240"/>
      <c r="AG13" s="241"/>
    </row>
    <row r="14" spans="1:33" hidden="1" outlineLevel="1">
      <c r="A14" s="1320">
        <f>MAX($A$7:A13)+1</f>
        <v>7</v>
      </c>
      <c r="B14" s="1321" t="s">
        <v>747</v>
      </c>
      <c r="C14" s="1321" t="s">
        <v>760</v>
      </c>
      <c r="D14" s="1321" t="s">
        <v>761</v>
      </c>
      <c r="E14" s="1322">
        <v>303</v>
      </c>
      <c r="F14" s="1323">
        <v>515.09</v>
      </c>
      <c r="G14" s="1324">
        <f>+'State Allocators'!$C$14</f>
        <v>0.74890000000000001</v>
      </c>
      <c r="H14" s="1322">
        <f t="shared" si="1"/>
        <v>385.75090100000006</v>
      </c>
      <c r="I14" s="1323"/>
      <c r="J14" s="1326"/>
      <c r="K14" s="1328">
        <v>44531</v>
      </c>
      <c r="L14" s="240"/>
      <c r="M14" s="241" t="str">
        <f t="shared" si="0"/>
        <v/>
      </c>
      <c r="O14" s="239"/>
      <c r="R14" s="240"/>
      <c r="S14" s="240"/>
      <c r="W14" s="240"/>
      <c r="X14" s="240"/>
      <c r="Y14" s="240"/>
      <c r="AB14" s="240"/>
      <c r="AC14" s="241"/>
      <c r="AF14" s="240"/>
      <c r="AG14" s="241"/>
    </row>
    <row r="15" spans="1:33" hidden="1" outlineLevel="1">
      <c r="A15" s="1320">
        <f>MAX($A$7:A14)+1</f>
        <v>8</v>
      </c>
      <c r="B15" s="1321" t="s">
        <v>747</v>
      </c>
      <c r="C15" s="1321" t="s">
        <v>762</v>
      </c>
      <c r="D15" s="1321" t="s">
        <v>763</v>
      </c>
      <c r="E15" s="1322">
        <v>303</v>
      </c>
      <c r="F15" s="1323">
        <v>111480.94</v>
      </c>
      <c r="G15" s="1324">
        <f>+'State Allocators'!$C$14</f>
        <v>0.74890000000000001</v>
      </c>
      <c r="H15" s="1322">
        <f t="shared" si="1"/>
        <v>83488.075966000004</v>
      </c>
      <c r="I15" s="1323"/>
      <c r="J15" s="1326"/>
      <c r="K15" s="1328">
        <v>44377</v>
      </c>
      <c r="L15" s="240"/>
      <c r="M15" s="241" t="str">
        <f t="shared" si="0"/>
        <v/>
      </c>
      <c r="O15" s="239"/>
      <c r="R15" s="240"/>
      <c r="S15" s="240"/>
      <c r="W15" s="240"/>
      <c r="X15" s="240"/>
      <c r="Y15" s="240"/>
      <c r="AB15" s="240"/>
      <c r="AC15" s="241"/>
      <c r="AF15" s="240"/>
      <c r="AG15" s="241"/>
    </row>
    <row r="16" spans="1:33" hidden="1" outlineLevel="1">
      <c r="A16" s="1320">
        <f>MAX($A$7:A15)+1</f>
        <v>9</v>
      </c>
      <c r="B16" s="1321" t="s">
        <v>747</v>
      </c>
      <c r="C16" s="1321" t="s">
        <v>764</v>
      </c>
      <c r="D16" s="1321" t="s">
        <v>765</v>
      </c>
      <c r="E16" s="1322">
        <v>303</v>
      </c>
      <c r="F16" s="1323">
        <v>108982.38</v>
      </c>
      <c r="G16" s="1324">
        <v>0.74890000000000001</v>
      </c>
      <c r="H16" s="1322">
        <f t="shared" si="1"/>
        <v>81616.904382000008</v>
      </c>
      <c r="I16" s="1323"/>
      <c r="J16" s="1326"/>
      <c r="K16" s="1328">
        <v>44407</v>
      </c>
      <c r="L16" s="240"/>
      <c r="M16" s="241" t="str">
        <f t="shared" si="0"/>
        <v/>
      </c>
      <c r="O16" s="239"/>
      <c r="R16" s="240"/>
      <c r="S16" s="240"/>
      <c r="W16" s="240"/>
      <c r="X16" s="240"/>
      <c r="Y16" s="240"/>
      <c r="AB16" s="240"/>
      <c r="AC16" s="241"/>
      <c r="AF16" s="240"/>
      <c r="AG16" s="241"/>
    </row>
    <row r="17" spans="1:34" hidden="1" outlineLevel="1">
      <c r="A17" s="1320">
        <f>MAX($A$7:A16)+1</f>
        <v>10</v>
      </c>
      <c r="B17" s="1321" t="s">
        <v>747</v>
      </c>
      <c r="C17" s="1321" t="s">
        <v>766</v>
      </c>
      <c r="D17" s="1321" t="s">
        <v>767</v>
      </c>
      <c r="E17" s="1322">
        <v>303</v>
      </c>
      <c r="F17" s="1323">
        <v>24574.38</v>
      </c>
      <c r="G17" s="1324">
        <f>+'State Allocators'!$C$14</f>
        <v>0.74890000000000001</v>
      </c>
      <c r="H17" s="1322">
        <f t="shared" si="1"/>
        <v>18403.753182</v>
      </c>
      <c r="I17" s="1323"/>
      <c r="J17" s="1326"/>
      <c r="K17" s="1328">
        <v>44286</v>
      </c>
      <c r="L17" s="240"/>
      <c r="M17" s="241" t="str">
        <f t="shared" si="0"/>
        <v/>
      </c>
      <c r="O17" s="239"/>
      <c r="R17" s="240"/>
      <c r="S17" s="240"/>
      <c r="W17" s="240"/>
      <c r="X17" s="240"/>
      <c r="Y17" s="240"/>
      <c r="AB17" s="240"/>
      <c r="AC17" s="241"/>
      <c r="AF17" s="240"/>
      <c r="AG17" s="241"/>
    </row>
    <row r="18" spans="1:34" hidden="1" outlineLevel="1">
      <c r="A18" s="1320">
        <f>MAX($A$7:A17)+1</f>
        <v>11</v>
      </c>
      <c r="B18" s="1321" t="s">
        <v>747</v>
      </c>
      <c r="C18" s="1321" t="s">
        <v>768</v>
      </c>
      <c r="D18" s="1321" t="s">
        <v>769</v>
      </c>
      <c r="E18" s="1322">
        <v>303</v>
      </c>
      <c r="F18" s="1323">
        <v>33.11</v>
      </c>
      <c r="G18" s="1324">
        <f>+'State Allocators'!$C$14</f>
        <v>0.74890000000000001</v>
      </c>
      <c r="H18" s="1322">
        <f t="shared" si="1"/>
        <v>24.796078999999999</v>
      </c>
      <c r="I18" s="1323"/>
      <c r="J18" s="1326"/>
      <c r="K18" s="1328">
        <v>44227</v>
      </c>
      <c r="L18" s="240"/>
      <c r="M18" s="241" t="str">
        <f t="shared" si="0"/>
        <v/>
      </c>
      <c r="O18" s="239"/>
      <c r="R18" s="240"/>
      <c r="S18" s="240"/>
      <c r="W18" s="240"/>
      <c r="X18" s="240"/>
      <c r="Y18" s="240"/>
      <c r="AB18" s="240"/>
      <c r="AC18" s="241"/>
      <c r="AF18" s="240"/>
      <c r="AG18" s="241"/>
    </row>
    <row r="19" spans="1:34" hidden="1" outlineLevel="1">
      <c r="A19" s="1320">
        <f>MAX($A$7:A18)+1</f>
        <v>12</v>
      </c>
      <c r="B19" s="1321" t="s">
        <v>747</v>
      </c>
      <c r="C19" s="1321" t="s">
        <v>762</v>
      </c>
      <c r="D19" s="1321" t="s">
        <v>770</v>
      </c>
      <c r="E19" s="1322">
        <v>303</v>
      </c>
      <c r="F19" s="1323">
        <v>186061.48</v>
      </c>
      <c r="G19" s="1324">
        <f>+'State Allocators'!$C$14</f>
        <v>0.74890000000000001</v>
      </c>
      <c r="H19" s="1322">
        <f t="shared" si="1"/>
        <v>139341.44237200002</v>
      </c>
      <c r="I19" s="1323"/>
      <c r="J19" s="1326"/>
      <c r="K19" s="1328">
        <v>44286</v>
      </c>
      <c r="L19" s="240"/>
      <c r="M19" s="241" t="str">
        <f t="shared" si="0"/>
        <v/>
      </c>
      <c r="O19" s="239"/>
      <c r="R19" s="240"/>
      <c r="S19" s="240"/>
      <c r="W19" s="240"/>
      <c r="X19" s="240"/>
      <c r="Y19" s="240"/>
      <c r="AB19" s="240"/>
      <c r="AC19" s="241"/>
      <c r="AF19" s="240"/>
      <c r="AG19" s="241"/>
    </row>
    <row r="20" spans="1:34" hidden="1" outlineLevel="1">
      <c r="A20" s="1320">
        <f>MAX($A$7:A19)+1</f>
        <v>13</v>
      </c>
      <c r="B20" s="1321" t="s">
        <v>747</v>
      </c>
      <c r="C20" s="1321" t="s">
        <v>771</v>
      </c>
      <c r="D20" s="1321" t="s">
        <v>772</v>
      </c>
      <c r="E20" s="1322">
        <v>303</v>
      </c>
      <c r="F20" s="1323">
        <v>11456.59</v>
      </c>
      <c r="G20" s="1324">
        <f>+'State Allocators'!$C$14</f>
        <v>0.74890000000000001</v>
      </c>
      <c r="H20" s="1322">
        <f t="shared" si="1"/>
        <v>8579.8402509999996</v>
      </c>
      <c r="I20" s="1323"/>
      <c r="J20" s="1326"/>
      <c r="K20" s="1328">
        <v>44378</v>
      </c>
      <c r="L20" s="240"/>
      <c r="M20" s="241" t="str">
        <f t="shared" si="0"/>
        <v/>
      </c>
      <c r="O20" s="239"/>
      <c r="R20" s="240"/>
      <c r="S20" s="240"/>
      <c r="W20" s="240"/>
      <c r="X20" s="240"/>
      <c r="Y20" s="240"/>
      <c r="AB20" s="240"/>
      <c r="AC20" s="241"/>
      <c r="AF20" s="240"/>
      <c r="AG20" s="241"/>
    </row>
    <row r="21" spans="1:34" hidden="1" outlineLevel="1">
      <c r="A21" s="1320">
        <f>MAX($A$7:A20)+1</f>
        <v>14</v>
      </c>
      <c r="B21" s="1330"/>
      <c r="C21" s="1330"/>
      <c r="D21" s="1331" t="s">
        <v>773</v>
      </c>
      <c r="E21" s="1332"/>
      <c r="F21" s="1332">
        <f>SUM(F8:F20)</f>
        <v>4259428.1499999994</v>
      </c>
      <c r="G21" s="1330"/>
      <c r="H21" s="1332">
        <f>SUM(H8:H20)</f>
        <v>4140097.0357270008</v>
      </c>
      <c r="I21" s="1332">
        <f>SUM(I8:I20)</f>
        <v>0</v>
      </c>
      <c r="J21" s="1333"/>
      <c r="K21" s="1334"/>
      <c r="L21" s="240"/>
      <c r="M21" s="241" t="str">
        <f t="shared" si="0"/>
        <v/>
      </c>
      <c r="R21" s="240"/>
      <c r="S21" s="240"/>
      <c r="W21" s="240"/>
      <c r="X21" s="240"/>
      <c r="Y21" s="240"/>
      <c r="AB21" s="240"/>
      <c r="AC21" s="241"/>
      <c r="AF21" s="240"/>
      <c r="AG21" s="241"/>
    </row>
    <row r="22" spans="1:34" hidden="1" outlineLevel="1">
      <c r="A22" s="1320">
        <f>MAX($A$7:A21)+1</f>
        <v>15</v>
      </c>
      <c r="B22" s="1335"/>
      <c r="C22" s="1335"/>
      <c r="D22" s="1335"/>
      <c r="E22" s="1322"/>
      <c r="F22" s="1322"/>
      <c r="G22" s="1335"/>
      <c r="H22" s="1322"/>
      <c r="I22" s="1322"/>
      <c r="J22" s="1336"/>
      <c r="K22" s="1337"/>
      <c r="L22" s="240"/>
      <c r="M22" s="241" t="str">
        <f t="shared" si="0"/>
        <v/>
      </c>
      <c r="R22" s="240"/>
      <c r="S22" s="240"/>
      <c r="W22" s="240"/>
      <c r="X22" s="240"/>
      <c r="Y22" s="240"/>
      <c r="AB22" s="240"/>
      <c r="AC22" s="241"/>
      <c r="AF22" s="240"/>
      <c r="AG22" s="241"/>
    </row>
    <row r="23" spans="1:34" hidden="1" outlineLevel="1">
      <c r="A23" s="1320">
        <f>MAX($A$7:A22)+1</f>
        <v>16</v>
      </c>
      <c r="B23" s="1321" t="s">
        <v>774</v>
      </c>
      <c r="C23" s="1321" t="s">
        <v>775</v>
      </c>
      <c r="D23" s="1335" t="s">
        <v>776</v>
      </c>
      <c r="E23" s="1338">
        <v>376.3</v>
      </c>
      <c r="F23" s="1323">
        <v>238118.69</v>
      </c>
      <c r="G23" s="1339"/>
      <c r="H23" s="1322">
        <f t="shared" ref="H23:H86" si="2">IF(ISBLANK(G23), F23, G23*F23)</f>
        <v>238118.69</v>
      </c>
      <c r="I23" s="1323">
        <f t="shared" ref="I23:I31" si="3">IF($O$7="Yes", H23, 0)</f>
        <v>0</v>
      </c>
      <c r="J23" s="1336"/>
      <c r="K23" s="1328">
        <v>44500</v>
      </c>
      <c r="L23" s="240"/>
      <c r="M23" s="241" t="str">
        <f t="shared" si="0"/>
        <v/>
      </c>
      <c r="R23" s="240"/>
      <c r="S23" s="240"/>
      <c r="W23" s="240"/>
      <c r="X23" s="240"/>
      <c r="Y23" s="240"/>
      <c r="AB23" s="240"/>
      <c r="AC23" s="241"/>
      <c r="AF23" s="240"/>
      <c r="AG23" s="241"/>
    </row>
    <row r="24" spans="1:34" hidden="1" outlineLevel="1">
      <c r="A24" s="1320">
        <f>MAX($A$7:A23)+1</f>
        <v>17</v>
      </c>
      <c r="B24" s="1321" t="s">
        <v>774</v>
      </c>
      <c r="C24" s="1321" t="s">
        <v>777</v>
      </c>
      <c r="D24" s="1335" t="s">
        <v>778</v>
      </c>
      <c r="E24" s="1338">
        <v>376.2</v>
      </c>
      <c r="F24" s="1323">
        <f>1961720.32+198774.9</f>
        <v>2160495.2200000002</v>
      </c>
      <c r="G24" s="1339"/>
      <c r="H24" s="1322">
        <f t="shared" si="2"/>
        <v>2160495.2200000002</v>
      </c>
      <c r="I24" s="1323">
        <f t="shared" si="3"/>
        <v>0</v>
      </c>
      <c r="J24" s="1336"/>
      <c r="K24" s="1328">
        <v>44515</v>
      </c>
      <c r="L24" s="240"/>
      <c r="M24" s="241" t="str">
        <f t="shared" si="0"/>
        <v/>
      </c>
      <c r="O24" s="239"/>
      <c r="R24" s="240"/>
      <c r="S24" s="240"/>
      <c r="W24" s="240"/>
      <c r="X24" s="240"/>
      <c r="Y24" s="240"/>
      <c r="AB24" s="240"/>
      <c r="AC24" s="241"/>
      <c r="AF24" s="240"/>
      <c r="AG24" s="241"/>
    </row>
    <row r="25" spans="1:34" hidden="1" outlineLevel="1">
      <c r="A25" s="1320">
        <f>MAX($A$7:A24)+1</f>
        <v>18</v>
      </c>
      <c r="B25" s="1321" t="s">
        <v>774</v>
      </c>
      <c r="C25" s="1321" t="s">
        <v>779</v>
      </c>
      <c r="D25" s="1321" t="s">
        <v>780</v>
      </c>
      <c r="E25" s="1338">
        <v>376.2</v>
      </c>
      <c r="F25" s="1323">
        <v>396117.24</v>
      </c>
      <c r="G25" s="1321"/>
      <c r="H25" s="1322">
        <f t="shared" si="2"/>
        <v>396117.24</v>
      </c>
      <c r="I25" s="1323">
        <f t="shared" si="3"/>
        <v>0</v>
      </c>
      <c r="J25" s="1326"/>
      <c r="K25" s="1328">
        <v>44500</v>
      </c>
      <c r="L25" s="240"/>
      <c r="M25" s="241" t="str">
        <f t="shared" si="0"/>
        <v/>
      </c>
      <c r="O25" s="239"/>
      <c r="R25" s="240"/>
      <c r="S25" s="240"/>
      <c r="W25" s="240"/>
      <c r="X25" s="240"/>
      <c r="Y25" s="240"/>
    </row>
    <row r="26" spans="1:34" hidden="1" outlineLevel="1">
      <c r="A26" s="1320">
        <f>MAX($A$7:A25)+1</f>
        <v>19</v>
      </c>
      <c r="B26" s="1321" t="s">
        <v>774</v>
      </c>
      <c r="C26" s="1321" t="s">
        <v>781</v>
      </c>
      <c r="D26" s="1321" t="s">
        <v>782</v>
      </c>
      <c r="E26" s="1338">
        <v>376.2</v>
      </c>
      <c r="F26" s="1323">
        <v>584360.66</v>
      </c>
      <c r="G26" s="1321"/>
      <c r="H26" s="1322">
        <f t="shared" si="2"/>
        <v>584360.66</v>
      </c>
      <c r="I26" s="1323">
        <f t="shared" si="3"/>
        <v>0</v>
      </c>
      <c r="J26" s="1326"/>
      <c r="K26" s="1328">
        <v>44561</v>
      </c>
      <c r="L26" s="240"/>
      <c r="M26" s="241" t="str">
        <f t="shared" si="0"/>
        <v/>
      </c>
      <c r="N26" s="238"/>
      <c r="O26" s="239"/>
      <c r="R26" s="240"/>
      <c r="S26" s="240"/>
      <c r="W26" s="240"/>
      <c r="X26" s="240"/>
      <c r="Y26" s="240"/>
      <c r="AB26" s="240"/>
      <c r="AD26" s="242"/>
      <c r="AF26" s="240"/>
      <c r="AH26" s="242"/>
    </row>
    <row r="27" spans="1:34" hidden="1" outlineLevel="1">
      <c r="A27" s="1320">
        <f>MAX($A$7:A26)+1</f>
        <v>20</v>
      </c>
      <c r="B27" s="1321" t="s">
        <v>774</v>
      </c>
      <c r="C27" s="1321" t="s">
        <v>783</v>
      </c>
      <c r="D27" s="1321" t="s">
        <v>784</v>
      </c>
      <c r="E27" s="1338">
        <v>376.1</v>
      </c>
      <c r="F27" s="1323">
        <v>530012.96</v>
      </c>
      <c r="G27" s="1321"/>
      <c r="H27" s="1322">
        <f t="shared" si="2"/>
        <v>530012.96</v>
      </c>
      <c r="I27" s="1323">
        <f t="shared" si="3"/>
        <v>0</v>
      </c>
      <c r="J27" s="1326"/>
      <c r="K27" s="1328">
        <v>44440</v>
      </c>
      <c r="L27" s="240"/>
      <c r="M27" s="241" t="str">
        <f t="shared" si="0"/>
        <v/>
      </c>
      <c r="O27" s="239"/>
      <c r="R27" s="240"/>
      <c r="S27" s="240"/>
      <c r="T27" s="240"/>
      <c r="W27" s="240"/>
      <c r="X27" s="240"/>
      <c r="Y27" s="240"/>
      <c r="AF27" s="240"/>
      <c r="AH27" s="242"/>
    </row>
    <row r="28" spans="1:34" hidden="1" outlineLevel="1">
      <c r="A28" s="1320">
        <f>MAX($A$7:A27)+1</f>
        <v>21</v>
      </c>
      <c r="B28" s="1321" t="s">
        <v>774</v>
      </c>
      <c r="C28" s="1321" t="s">
        <v>785</v>
      </c>
      <c r="D28" s="1321" t="s">
        <v>786</v>
      </c>
      <c r="E28" s="1338">
        <v>376.2</v>
      </c>
      <c r="F28" s="1323">
        <f>3351791.66+9228478.44</f>
        <v>12580270.1</v>
      </c>
      <c r="G28" s="1321"/>
      <c r="H28" s="1322">
        <f t="shared" si="2"/>
        <v>12580270.1</v>
      </c>
      <c r="I28" s="1323">
        <f t="shared" si="3"/>
        <v>0</v>
      </c>
      <c r="J28" s="1326"/>
      <c r="K28" s="1328">
        <v>44454</v>
      </c>
      <c r="L28" s="240"/>
      <c r="M28" s="241" t="str">
        <f t="shared" si="0"/>
        <v/>
      </c>
      <c r="O28" s="239"/>
      <c r="R28" s="240"/>
      <c r="S28" s="240"/>
      <c r="W28" s="240"/>
      <c r="X28" s="240"/>
      <c r="Y28" s="240"/>
    </row>
    <row r="29" spans="1:34" hidden="1" outlineLevel="1">
      <c r="A29" s="1320">
        <f>MAX($A$7:A28)+1</f>
        <v>22</v>
      </c>
      <c r="B29" s="1321" t="s">
        <v>774</v>
      </c>
      <c r="C29" s="1321" t="s">
        <v>787</v>
      </c>
      <c r="D29" s="1321" t="s">
        <v>788</v>
      </c>
      <c r="E29" s="1338">
        <v>376.2</v>
      </c>
      <c r="F29" s="1323">
        <f>3411605.12+77505.42</f>
        <v>3489110.54</v>
      </c>
      <c r="G29" s="1321"/>
      <c r="H29" s="1322">
        <f t="shared" si="2"/>
        <v>3489110.54</v>
      </c>
      <c r="I29" s="1323">
        <f t="shared" si="3"/>
        <v>0</v>
      </c>
      <c r="J29" s="1326"/>
      <c r="K29" s="1328">
        <v>44469</v>
      </c>
      <c r="L29" s="240"/>
      <c r="M29" s="241" t="str">
        <f t="shared" si="0"/>
        <v/>
      </c>
      <c r="O29" s="239"/>
      <c r="R29" s="240"/>
      <c r="S29" s="240"/>
      <c r="W29" s="240"/>
      <c r="X29" s="240"/>
      <c r="Y29" s="240"/>
    </row>
    <row r="30" spans="1:34" hidden="1" outlineLevel="1">
      <c r="A30" s="1320">
        <f>MAX($A$7:A29)+1</f>
        <v>23</v>
      </c>
      <c r="B30" s="1321" t="s">
        <v>774</v>
      </c>
      <c r="C30" s="1321" t="s">
        <v>789</v>
      </c>
      <c r="D30" s="1321" t="s">
        <v>790</v>
      </c>
      <c r="E30" s="1338">
        <v>376.2</v>
      </c>
      <c r="F30" s="1323">
        <f>3070069.26+5739.55</f>
        <v>3075808.8099999996</v>
      </c>
      <c r="G30" s="1321"/>
      <c r="H30" s="1322">
        <f t="shared" si="2"/>
        <v>3075808.8099999996</v>
      </c>
      <c r="I30" s="1323">
        <f t="shared" si="3"/>
        <v>0</v>
      </c>
      <c r="J30" s="1326"/>
      <c r="K30" s="1328">
        <v>44497</v>
      </c>
      <c r="L30" s="240"/>
      <c r="M30" s="241" t="str">
        <f t="shared" si="0"/>
        <v/>
      </c>
      <c r="O30" s="239"/>
      <c r="R30" s="240"/>
      <c r="S30" s="240"/>
      <c r="W30" s="240"/>
      <c r="X30" s="240"/>
      <c r="Y30" s="240"/>
      <c r="AB30" s="240"/>
    </row>
    <row r="31" spans="1:34" hidden="1" outlineLevel="1">
      <c r="A31" s="1320">
        <f>MAX($A$7:A30)+1</f>
        <v>24</v>
      </c>
      <c r="B31" s="1321" t="s">
        <v>774</v>
      </c>
      <c r="C31" s="1321" t="s">
        <v>791</v>
      </c>
      <c r="D31" s="1321" t="s">
        <v>792</v>
      </c>
      <c r="E31" s="1338">
        <v>379</v>
      </c>
      <c r="F31" s="1323">
        <f>1155580.12+2548.64</f>
        <v>1158128.76</v>
      </c>
      <c r="G31" s="1321"/>
      <c r="H31" s="1322">
        <f t="shared" si="2"/>
        <v>1158128.76</v>
      </c>
      <c r="I31" s="1323">
        <f t="shared" si="3"/>
        <v>0</v>
      </c>
      <c r="J31" s="1326"/>
      <c r="K31" s="1328">
        <v>44454</v>
      </c>
      <c r="L31" s="240"/>
      <c r="M31" s="241" t="str">
        <f t="shared" si="0"/>
        <v/>
      </c>
      <c r="O31" s="239"/>
      <c r="R31" s="240"/>
      <c r="S31" s="240"/>
      <c r="W31" s="240"/>
      <c r="X31" s="240"/>
      <c r="Y31" s="240"/>
      <c r="AB31" s="240"/>
    </row>
    <row r="32" spans="1:34" hidden="1" outlineLevel="1">
      <c r="A32" s="1320">
        <f>MAX($A$7:A31)+1</f>
        <v>25</v>
      </c>
      <c r="B32" s="1321" t="s">
        <v>774</v>
      </c>
      <c r="C32" s="1321" t="s">
        <v>793</v>
      </c>
      <c r="D32" s="1321" t="s">
        <v>794</v>
      </c>
      <c r="E32" s="1338">
        <v>378</v>
      </c>
      <c r="F32" s="1323">
        <v>175028.82</v>
      </c>
      <c r="G32" s="1324"/>
      <c r="H32" s="1322">
        <f t="shared" si="2"/>
        <v>175028.82</v>
      </c>
      <c r="I32" s="1323"/>
      <c r="J32" s="1326"/>
      <c r="K32" s="1328">
        <v>44423</v>
      </c>
      <c r="L32" s="240"/>
      <c r="M32" s="241" t="str">
        <f t="shared" si="0"/>
        <v/>
      </c>
      <c r="O32" s="239"/>
      <c r="R32" s="240"/>
      <c r="S32" s="240"/>
      <c r="T32" s="240"/>
      <c r="W32" s="240"/>
      <c r="X32" s="240"/>
      <c r="Y32" s="240"/>
      <c r="AB32" s="240"/>
    </row>
    <row r="33" spans="1:28" hidden="1" outlineLevel="1">
      <c r="A33" s="1320">
        <f>MAX($A$7:A32)+1</f>
        <v>26</v>
      </c>
      <c r="B33" s="1321" t="s">
        <v>774</v>
      </c>
      <c r="C33" s="1321" t="s">
        <v>795</v>
      </c>
      <c r="D33" s="1321" t="s">
        <v>796</v>
      </c>
      <c r="E33" s="1338">
        <v>378</v>
      </c>
      <c r="F33" s="1323">
        <v>131415.54</v>
      </c>
      <c r="G33" s="1324"/>
      <c r="H33" s="1322">
        <f t="shared" si="2"/>
        <v>131415.54</v>
      </c>
      <c r="I33" s="1323"/>
      <c r="J33" s="1326"/>
      <c r="K33" s="1328">
        <v>44531</v>
      </c>
      <c r="L33" s="240"/>
      <c r="M33" s="241" t="str">
        <f t="shared" si="0"/>
        <v/>
      </c>
      <c r="O33" s="239"/>
      <c r="R33" s="240"/>
      <c r="S33" s="240"/>
      <c r="W33" s="240"/>
      <c r="X33" s="240"/>
      <c r="Y33" s="240"/>
      <c r="AB33" s="240"/>
    </row>
    <row r="34" spans="1:28" hidden="1" outlineLevel="1">
      <c r="A34" s="1320">
        <f>MAX($A$7:A33)+1</f>
        <v>27</v>
      </c>
      <c r="B34" s="1321" t="s">
        <v>774</v>
      </c>
      <c r="C34" s="1321" t="s">
        <v>797</v>
      </c>
      <c r="D34" s="1321" t="s">
        <v>798</v>
      </c>
      <c r="E34" s="1338">
        <v>378</v>
      </c>
      <c r="F34" s="1323">
        <v>172264.31</v>
      </c>
      <c r="G34" s="1324"/>
      <c r="H34" s="1322">
        <f t="shared" si="2"/>
        <v>172264.31</v>
      </c>
      <c r="I34" s="1323"/>
      <c r="J34" s="1326"/>
      <c r="K34" s="1328">
        <v>44347</v>
      </c>
      <c r="L34" s="240"/>
      <c r="M34" s="241" t="str">
        <f t="shared" si="0"/>
        <v/>
      </c>
      <c r="O34" s="239"/>
      <c r="R34" s="240"/>
      <c r="S34" s="240"/>
      <c r="W34" s="240"/>
      <c r="X34" s="240"/>
      <c r="Y34" s="240"/>
      <c r="AB34" s="240"/>
    </row>
    <row r="35" spans="1:28" hidden="1" outlineLevel="1">
      <c r="A35" s="1320">
        <f>MAX($A$7:A34)+1</f>
        <v>28</v>
      </c>
      <c r="B35" s="1321" t="s">
        <v>774</v>
      </c>
      <c r="C35" s="1321" t="s">
        <v>799</v>
      </c>
      <c r="D35" s="1321" t="s">
        <v>800</v>
      </c>
      <c r="E35" s="1338">
        <v>378</v>
      </c>
      <c r="F35" s="1323">
        <f>299826.3+23787.92</f>
        <v>323614.21999999997</v>
      </c>
      <c r="G35" s="1321"/>
      <c r="H35" s="1322">
        <f t="shared" si="2"/>
        <v>323614.21999999997</v>
      </c>
      <c r="I35" s="1323">
        <f>IF($O$7="Yes", H35, 0)</f>
        <v>0</v>
      </c>
      <c r="J35" s="1326"/>
      <c r="K35" s="1328">
        <v>44499</v>
      </c>
      <c r="L35" s="240"/>
      <c r="M35" s="241" t="str">
        <f t="shared" si="0"/>
        <v/>
      </c>
      <c r="O35" s="239"/>
      <c r="R35" s="240"/>
      <c r="S35" s="240"/>
      <c r="W35" s="240"/>
      <c r="X35" s="240"/>
      <c r="Y35" s="240"/>
      <c r="AB35" s="240"/>
    </row>
    <row r="36" spans="1:28" hidden="1" outlineLevel="1">
      <c r="A36" s="1320">
        <f>MAX($A$7:A35)+1</f>
        <v>29</v>
      </c>
      <c r="B36" s="1321" t="s">
        <v>774</v>
      </c>
      <c r="C36" s="1321" t="s">
        <v>801</v>
      </c>
      <c r="D36" s="1321" t="s">
        <v>802</v>
      </c>
      <c r="E36" s="1338">
        <v>379</v>
      </c>
      <c r="F36" s="1323">
        <f>392087.6+3354.16</f>
        <v>395441.75999999995</v>
      </c>
      <c r="G36" s="1321"/>
      <c r="H36" s="1322">
        <f t="shared" si="2"/>
        <v>395441.75999999995</v>
      </c>
      <c r="I36" s="1323">
        <f>IF($O$7="Yes", H36, 0)</f>
        <v>0</v>
      </c>
      <c r="J36" s="1326"/>
      <c r="K36" s="1328">
        <v>44561</v>
      </c>
      <c r="L36" s="240"/>
      <c r="M36" s="241" t="str">
        <f t="shared" si="0"/>
        <v/>
      </c>
      <c r="O36" s="239"/>
      <c r="R36" s="240"/>
      <c r="S36" s="240"/>
      <c r="W36" s="240"/>
      <c r="X36" s="240"/>
      <c r="Y36" s="240"/>
      <c r="AB36" s="240"/>
    </row>
    <row r="37" spans="1:28" hidden="1" outlineLevel="1">
      <c r="A37" s="1320">
        <f>MAX($A$7:A36)+1</f>
        <v>30</v>
      </c>
      <c r="B37" s="1321" t="s">
        <v>774</v>
      </c>
      <c r="C37" s="1321" t="s">
        <v>803</v>
      </c>
      <c r="D37" s="1321" t="s">
        <v>804</v>
      </c>
      <c r="E37" s="1338">
        <v>378</v>
      </c>
      <c r="F37" s="1323">
        <v>153540.21</v>
      </c>
      <c r="G37" s="1321"/>
      <c r="H37" s="1322">
        <f t="shared" si="2"/>
        <v>153540.21</v>
      </c>
      <c r="I37" s="1323"/>
      <c r="J37" s="1326"/>
      <c r="K37" s="1328">
        <v>44423</v>
      </c>
      <c r="L37" s="240"/>
      <c r="M37" s="241" t="str">
        <f t="shared" si="0"/>
        <v/>
      </c>
      <c r="O37" s="239"/>
      <c r="R37" s="240"/>
      <c r="S37" s="240"/>
      <c r="W37" s="240"/>
      <c r="X37" s="240"/>
      <c r="Y37" s="240"/>
      <c r="AB37" s="240"/>
    </row>
    <row r="38" spans="1:28" hidden="1" outlineLevel="1">
      <c r="A38" s="1320">
        <f>MAX($A$7:A37)+1</f>
        <v>31</v>
      </c>
      <c r="B38" s="1321" t="s">
        <v>774</v>
      </c>
      <c r="C38" s="1321" t="s">
        <v>805</v>
      </c>
      <c r="D38" s="1321" t="s">
        <v>806</v>
      </c>
      <c r="E38" s="1338">
        <v>376.2</v>
      </c>
      <c r="F38" s="1323">
        <v>708526.42</v>
      </c>
      <c r="G38" s="1321"/>
      <c r="H38" s="1322">
        <f t="shared" si="2"/>
        <v>708526.42</v>
      </c>
      <c r="I38" s="1323">
        <f>IF($O$7="Yes", H38, 0)</f>
        <v>0</v>
      </c>
      <c r="J38" s="1326"/>
      <c r="K38" s="1328">
        <v>44316</v>
      </c>
      <c r="L38" s="240"/>
      <c r="M38" s="241" t="str">
        <f t="shared" si="0"/>
        <v/>
      </c>
      <c r="O38" s="239"/>
      <c r="R38" s="240"/>
      <c r="S38" s="240"/>
      <c r="W38" s="240"/>
      <c r="X38" s="240"/>
      <c r="Y38" s="240"/>
      <c r="AB38" s="240"/>
    </row>
    <row r="39" spans="1:28" hidden="1" outlineLevel="1">
      <c r="A39" s="1320">
        <f>MAX($A$7:A38)+1</f>
        <v>32</v>
      </c>
      <c r="B39" s="1321" t="s">
        <v>774</v>
      </c>
      <c r="C39" s="1321" t="s">
        <v>807</v>
      </c>
      <c r="D39" s="1321" t="s">
        <v>808</v>
      </c>
      <c r="E39" s="1338">
        <v>376.1</v>
      </c>
      <c r="F39" s="1323">
        <v>239709.34</v>
      </c>
      <c r="G39" s="1324"/>
      <c r="H39" s="1322">
        <f t="shared" si="2"/>
        <v>239709.34</v>
      </c>
      <c r="I39" s="1323">
        <f>IF($O$7="Yes", H39, 0)</f>
        <v>0</v>
      </c>
      <c r="J39" s="1326"/>
      <c r="K39" s="1328">
        <v>44307</v>
      </c>
      <c r="L39" s="240"/>
      <c r="M39" s="241" t="str">
        <f t="shared" si="0"/>
        <v/>
      </c>
      <c r="O39" s="239"/>
      <c r="R39" s="240"/>
      <c r="S39" s="240"/>
      <c r="W39" s="240"/>
      <c r="X39" s="240"/>
      <c r="Y39" s="240"/>
      <c r="AB39" s="240"/>
    </row>
    <row r="40" spans="1:28" hidden="1" outlineLevel="1">
      <c r="A40" s="1320">
        <f>MAX($A$7:A39)+1</f>
        <v>33</v>
      </c>
      <c r="B40" s="1321" t="s">
        <v>774</v>
      </c>
      <c r="C40" s="1321" t="s">
        <v>809</v>
      </c>
      <c r="D40" s="1321" t="s">
        <v>810</v>
      </c>
      <c r="E40" s="1338">
        <v>376.1</v>
      </c>
      <c r="F40" s="1323">
        <f>74207.06+323.26</f>
        <v>74530.319999999992</v>
      </c>
      <c r="G40" s="1321"/>
      <c r="H40" s="1322">
        <f t="shared" si="2"/>
        <v>74530.319999999992</v>
      </c>
      <c r="I40" s="1323"/>
      <c r="J40" s="1326"/>
      <c r="K40" s="1328">
        <v>44326</v>
      </c>
      <c r="L40" s="239"/>
      <c r="M40" s="241" t="str">
        <f t="shared" si="0"/>
        <v/>
      </c>
      <c r="O40" s="239"/>
      <c r="R40" s="240"/>
      <c r="S40" s="240"/>
      <c r="W40" s="240"/>
      <c r="X40" s="240"/>
      <c r="Y40" s="240"/>
      <c r="AB40" s="240"/>
    </row>
    <row r="41" spans="1:28" hidden="1" outlineLevel="1">
      <c r="A41" s="1320">
        <f>MAX($A$7:A40)+1</f>
        <v>34</v>
      </c>
      <c r="B41" s="1321" t="s">
        <v>774</v>
      </c>
      <c r="C41" s="1321" t="s">
        <v>811</v>
      </c>
      <c r="D41" s="1321" t="s">
        <v>812</v>
      </c>
      <c r="E41" s="1338">
        <v>378</v>
      </c>
      <c r="F41" s="1323">
        <v>109970.85</v>
      </c>
      <c r="G41" s="1321"/>
      <c r="H41" s="1322">
        <f t="shared" si="2"/>
        <v>109970.85</v>
      </c>
      <c r="I41" s="1323"/>
      <c r="J41" s="1326"/>
      <c r="K41" s="1328">
        <v>44469</v>
      </c>
      <c r="L41" s="240"/>
      <c r="M41" s="241" t="str">
        <f t="shared" ref="M41:M62" si="4">IFERROR(VLOOKUP(Q41, $AA$8:$AC$24, 3, FALSE), "")</f>
        <v/>
      </c>
      <c r="O41" s="239"/>
      <c r="R41" s="240"/>
      <c r="S41" s="240"/>
      <c r="W41" s="240"/>
      <c r="X41" s="240"/>
      <c r="Y41" s="240"/>
      <c r="AB41" s="240"/>
    </row>
    <row r="42" spans="1:28" hidden="1" outlineLevel="1">
      <c r="A42" s="1320">
        <f>MAX($A$7:A41)+1</f>
        <v>35</v>
      </c>
      <c r="B42" s="1321" t="s">
        <v>774</v>
      </c>
      <c r="C42" s="1321" t="s">
        <v>813</v>
      </c>
      <c r="D42" s="1321" t="s">
        <v>814</v>
      </c>
      <c r="E42" s="1338">
        <v>376.3</v>
      </c>
      <c r="F42" s="1323">
        <f>315335.56+4548.44</f>
        <v>319884</v>
      </c>
      <c r="G42" s="1324"/>
      <c r="H42" s="1322">
        <f t="shared" si="2"/>
        <v>319884</v>
      </c>
      <c r="I42" s="1323">
        <f>IF($O$7="Yes", H42, 0)</f>
        <v>0</v>
      </c>
      <c r="J42" s="1326"/>
      <c r="K42" s="1328">
        <v>44317</v>
      </c>
      <c r="L42" s="240"/>
      <c r="M42" s="241" t="str">
        <f t="shared" si="4"/>
        <v/>
      </c>
      <c r="O42" s="239"/>
      <c r="R42" s="240"/>
      <c r="S42" s="240"/>
      <c r="W42" s="240"/>
      <c r="X42" s="240"/>
      <c r="Y42" s="240"/>
      <c r="AB42" s="240"/>
    </row>
    <row r="43" spans="1:28" hidden="1" outlineLevel="1">
      <c r="A43" s="1320">
        <f>MAX($A$7:A42)+1</f>
        <v>36</v>
      </c>
      <c r="B43" s="1321" t="s">
        <v>774</v>
      </c>
      <c r="C43" s="1321" t="s">
        <v>815</v>
      </c>
      <c r="D43" s="1321" t="s">
        <v>816</v>
      </c>
      <c r="E43" s="1338">
        <v>378</v>
      </c>
      <c r="F43" s="1323">
        <v>166110</v>
      </c>
      <c r="G43" s="1321"/>
      <c r="H43" s="1322">
        <f t="shared" si="2"/>
        <v>166110</v>
      </c>
      <c r="I43" s="1323"/>
      <c r="J43" s="1326"/>
      <c r="K43" s="1328">
        <v>44377</v>
      </c>
      <c r="L43" s="239"/>
      <c r="M43" s="241" t="str">
        <f t="shared" si="4"/>
        <v/>
      </c>
      <c r="O43" s="239"/>
      <c r="R43" s="240"/>
      <c r="S43" s="240"/>
      <c r="W43" s="240"/>
      <c r="X43" s="240"/>
      <c r="Y43" s="240"/>
      <c r="AB43" s="240"/>
    </row>
    <row r="44" spans="1:28" hidden="1" outlineLevel="1">
      <c r="A44" s="1320">
        <f>MAX($A$7:A43)+1</f>
        <v>37</v>
      </c>
      <c r="B44" s="1321" t="s">
        <v>774</v>
      </c>
      <c r="C44" s="1321" t="s">
        <v>817</v>
      </c>
      <c r="D44" s="1329" t="s">
        <v>818</v>
      </c>
      <c r="E44" s="1338">
        <v>377</v>
      </c>
      <c r="F44" s="1323">
        <v>30282</v>
      </c>
      <c r="G44" s="1321"/>
      <c r="H44" s="1322">
        <f t="shared" si="2"/>
        <v>30282</v>
      </c>
      <c r="I44" s="1323"/>
      <c r="J44" s="1326"/>
      <c r="K44" s="1328">
        <v>44317</v>
      </c>
      <c r="L44" s="240"/>
      <c r="M44" s="241" t="str">
        <f t="shared" si="4"/>
        <v/>
      </c>
      <c r="R44" s="240"/>
      <c r="S44" s="240"/>
      <c r="W44" s="240"/>
      <c r="X44" s="240"/>
      <c r="Y44" s="240"/>
      <c r="AB44" s="240"/>
    </row>
    <row r="45" spans="1:28" hidden="1" outlineLevel="1">
      <c r="A45" s="1320">
        <f>MAX($A$7:A44)+1</f>
        <v>38</v>
      </c>
      <c r="B45" s="1321" t="s">
        <v>774</v>
      </c>
      <c r="C45" s="1321" t="s">
        <v>819</v>
      </c>
      <c r="D45" s="1321" t="s">
        <v>820</v>
      </c>
      <c r="E45" s="1338">
        <v>377</v>
      </c>
      <c r="F45" s="1323">
        <v>94974.58</v>
      </c>
      <c r="G45" s="1321"/>
      <c r="H45" s="1322">
        <f t="shared" si="2"/>
        <v>94974.58</v>
      </c>
      <c r="I45" s="1323"/>
      <c r="J45" s="1326"/>
      <c r="K45" s="1328">
        <v>44378</v>
      </c>
      <c r="L45" s="240"/>
      <c r="M45" s="241" t="str">
        <f t="shared" si="4"/>
        <v/>
      </c>
      <c r="O45" s="240"/>
      <c r="R45" s="240"/>
      <c r="S45" s="240"/>
      <c r="W45" s="240"/>
      <c r="X45" s="240"/>
      <c r="Y45" s="240"/>
      <c r="AB45" s="240"/>
    </row>
    <row r="46" spans="1:28" hidden="1" outlineLevel="1">
      <c r="A46" s="1320">
        <f>MAX($A$7:A45)+1</f>
        <v>39</v>
      </c>
      <c r="B46" s="1321" t="s">
        <v>774</v>
      </c>
      <c r="C46" s="1321" t="s">
        <v>821</v>
      </c>
      <c r="D46" s="1321" t="s">
        <v>822</v>
      </c>
      <c r="E46" s="1338">
        <v>378</v>
      </c>
      <c r="F46" s="1323">
        <v>141447.5</v>
      </c>
      <c r="G46" s="1321"/>
      <c r="H46" s="1322">
        <f t="shared" si="2"/>
        <v>141447.5</v>
      </c>
      <c r="I46" s="1323"/>
      <c r="J46" s="1326"/>
      <c r="K46" s="1328">
        <v>44377</v>
      </c>
      <c r="L46" s="240"/>
      <c r="M46" s="241" t="str">
        <f t="shared" si="4"/>
        <v/>
      </c>
      <c r="R46" s="240"/>
      <c r="S46" s="240"/>
      <c r="W46" s="240"/>
      <c r="X46" s="240"/>
      <c r="Y46" s="240"/>
      <c r="AB46" s="240"/>
    </row>
    <row r="47" spans="1:28" hidden="1" outlineLevel="1">
      <c r="A47" s="1320">
        <f>MAX($A$7:A46)+1</f>
        <v>40</v>
      </c>
      <c r="B47" s="1321" t="s">
        <v>774</v>
      </c>
      <c r="C47" s="1321" t="s">
        <v>823</v>
      </c>
      <c r="D47" s="1321" t="s">
        <v>824</v>
      </c>
      <c r="E47" s="1338">
        <v>378</v>
      </c>
      <c r="F47" s="1323">
        <v>166161.33000000002</v>
      </c>
      <c r="G47" s="1321"/>
      <c r="H47" s="1322">
        <f t="shared" si="2"/>
        <v>166161.33000000002</v>
      </c>
      <c r="I47" s="1323"/>
      <c r="J47" s="1326"/>
      <c r="K47" s="1328">
        <v>44377</v>
      </c>
      <c r="L47" s="240"/>
      <c r="M47" s="241" t="str">
        <f t="shared" si="4"/>
        <v/>
      </c>
      <c r="R47" s="240"/>
      <c r="S47" s="240"/>
      <c r="W47" s="240"/>
      <c r="X47" s="240"/>
      <c r="Y47" s="240"/>
      <c r="AB47" s="240"/>
    </row>
    <row r="48" spans="1:28" hidden="1" outlineLevel="1">
      <c r="A48" s="1320">
        <f>MAX($A$7:A47)+1</f>
        <v>41</v>
      </c>
      <c r="B48" s="1321" t="s">
        <v>774</v>
      </c>
      <c r="C48" s="1321" t="s">
        <v>825</v>
      </c>
      <c r="D48" s="1321" t="s">
        <v>826</v>
      </c>
      <c r="E48" s="1338">
        <v>376.2</v>
      </c>
      <c r="F48" s="1323">
        <v>768505.09</v>
      </c>
      <c r="G48" s="1321"/>
      <c r="H48" s="1322">
        <f t="shared" si="2"/>
        <v>768505.09</v>
      </c>
      <c r="I48" s="1323">
        <f>IF($O$7="Yes", H48, 0)</f>
        <v>0</v>
      </c>
      <c r="J48" s="1326"/>
      <c r="K48" s="1328">
        <v>44407</v>
      </c>
      <c r="L48" s="240"/>
      <c r="M48" s="241" t="str">
        <f t="shared" si="4"/>
        <v/>
      </c>
      <c r="R48" s="240"/>
      <c r="S48" s="240"/>
      <c r="W48" s="240"/>
      <c r="X48" s="240"/>
      <c r="Y48" s="240"/>
      <c r="AB48" s="240"/>
    </row>
    <row r="49" spans="1:28" hidden="1" outlineLevel="1">
      <c r="A49" s="1320">
        <f>MAX($A$7:A48)+1</f>
        <v>42</v>
      </c>
      <c r="B49" s="1321" t="s">
        <v>774</v>
      </c>
      <c r="C49" s="1321" t="s">
        <v>827</v>
      </c>
      <c r="D49" s="1321" t="s">
        <v>828</v>
      </c>
      <c r="E49" s="1338">
        <v>376.2</v>
      </c>
      <c r="F49" s="1323">
        <v>91055</v>
      </c>
      <c r="G49" s="1321"/>
      <c r="H49" s="1322">
        <f t="shared" si="2"/>
        <v>91055</v>
      </c>
      <c r="I49" s="1323"/>
      <c r="J49" s="1326"/>
      <c r="K49" s="1328">
        <v>44377</v>
      </c>
      <c r="L49" s="240"/>
      <c r="M49" s="241" t="str">
        <f t="shared" si="4"/>
        <v/>
      </c>
      <c r="R49" s="240"/>
      <c r="S49" s="240"/>
      <c r="W49" s="240"/>
      <c r="X49" s="240"/>
      <c r="Y49" s="240"/>
      <c r="AB49" s="240"/>
    </row>
    <row r="50" spans="1:28" hidden="1" outlineLevel="1">
      <c r="A50" s="1320">
        <f>MAX($A$7:A49)+1</f>
        <v>43</v>
      </c>
      <c r="B50" s="1321" t="s">
        <v>774</v>
      </c>
      <c r="C50" s="1321" t="s">
        <v>829</v>
      </c>
      <c r="D50" s="1321" t="s">
        <v>830</v>
      </c>
      <c r="E50" s="1338">
        <v>378</v>
      </c>
      <c r="F50" s="1323">
        <v>71021.240000000005</v>
      </c>
      <c r="G50" s="1321"/>
      <c r="H50" s="1322">
        <f t="shared" si="2"/>
        <v>71021.240000000005</v>
      </c>
      <c r="I50" s="1323"/>
      <c r="J50" s="1326"/>
      <c r="K50" s="1328">
        <v>44409</v>
      </c>
      <c r="L50" s="240"/>
      <c r="M50" s="241" t="str">
        <f t="shared" si="4"/>
        <v/>
      </c>
      <c r="R50" s="240"/>
      <c r="S50" s="240"/>
      <c r="W50" s="240"/>
      <c r="X50" s="240"/>
      <c r="Y50" s="240"/>
      <c r="AB50" s="240"/>
    </row>
    <row r="51" spans="1:28" hidden="1" outlineLevel="1">
      <c r="A51" s="1320">
        <f>MAX($A$7:A50)+1</f>
        <v>44</v>
      </c>
      <c r="B51" s="1321" t="s">
        <v>774</v>
      </c>
      <c r="C51" s="1321" t="s">
        <v>831</v>
      </c>
      <c r="D51" s="1321" t="s">
        <v>832</v>
      </c>
      <c r="E51" s="1338">
        <v>378</v>
      </c>
      <c r="F51" s="1323">
        <v>64625</v>
      </c>
      <c r="G51" s="1321"/>
      <c r="H51" s="1322">
        <f t="shared" si="2"/>
        <v>64625</v>
      </c>
      <c r="I51" s="1323"/>
      <c r="J51" s="1326"/>
      <c r="K51" s="1328">
        <v>44409</v>
      </c>
      <c r="L51" s="240"/>
      <c r="M51" s="241" t="str">
        <f t="shared" si="4"/>
        <v/>
      </c>
      <c r="R51" s="240"/>
      <c r="S51" s="240"/>
      <c r="W51" s="240"/>
      <c r="X51" s="240"/>
      <c r="Y51" s="240"/>
      <c r="AB51" s="240"/>
    </row>
    <row r="52" spans="1:28" hidden="1" outlineLevel="1">
      <c r="A52" s="1320">
        <f>MAX($A$7:A51)+1</f>
        <v>45</v>
      </c>
      <c r="B52" s="1321" t="s">
        <v>774</v>
      </c>
      <c r="C52" s="1321" t="s">
        <v>833</v>
      </c>
      <c r="D52" s="1321" t="s">
        <v>834</v>
      </c>
      <c r="E52" s="1338">
        <v>376.3</v>
      </c>
      <c r="F52" s="1323">
        <v>168199.44</v>
      </c>
      <c r="G52" s="1321"/>
      <c r="H52" s="1322">
        <f t="shared" si="2"/>
        <v>168199.44</v>
      </c>
      <c r="I52" s="1323"/>
      <c r="J52" s="1326"/>
      <c r="K52" s="1328">
        <v>44378</v>
      </c>
      <c r="L52" s="240"/>
      <c r="M52" s="241" t="str">
        <f t="shared" si="4"/>
        <v/>
      </c>
      <c r="R52" s="240"/>
      <c r="S52" s="240"/>
      <c r="W52" s="240"/>
      <c r="X52" s="240"/>
      <c r="Y52" s="240"/>
      <c r="AB52" s="240"/>
    </row>
    <row r="53" spans="1:28" hidden="1" outlineLevel="1">
      <c r="A53" s="1320">
        <f>MAX($A$7:A52)+1</f>
        <v>46</v>
      </c>
      <c r="B53" s="1321" t="s">
        <v>774</v>
      </c>
      <c r="C53" s="1321" t="s">
        <v>835</v>
      </c>
      <c r="D53" s="1321" t="s">
        <v>836</v>
      </c>
      <c r="E53" s="1338">
        <v>376.3</v>
      </c>
      <c r="F53" s="1323">
        <v>168198.68</v>
      </c>
      <c r="G53" s="1324"/>
      <c r="H53" s="1322">
        <f t="shared" si="2"/>
        <v>168198.68</v>
      </c>
      <c r="I53" s="1323"/>
      <c r="J53" s="1326"/>
      <c r="K53" s="1328">
        <v>44470</v>
      </c>
      <c r="L53" s="240"/>
      <c r="M53" s="241" t="str">
        <f t="shared" si="4"/>
        <v/>
      </c>
      <c r="R53" s="240"/>
      <c r="S53" s="240"/>
      <c r="W53" s="240"/>
      <c r="X53" s="240"/>
      <c r="Y53" s="240"/>
      <c r="AB53" s="240"/>
    </row>
    <row r="54" spans="1:28" hidden="1" outlineLevel="1">
      <c r="A54" s="1320">
        <f>MAX($A$7:A53)+1</f>
        <v>47</v>
      </c>
      <c r="B54" s="1321" t="s">
        <v>774</v>
      </c>
      <c r="C54" s="1321" t="s">
        <v>837</v>
      </c>
      <c r="D54" s="1321" t="s">
        <v>838</v>
      </c>
      <c r="E54" s="1338">
        <v>376.3</v>
      </c>
      <c r="F54" s="1323">
        <v>613876.79</v>
      </c>
      <c r="G54" s="1324"/>
      <c r="H54" s="1322">
        <f t="shared" si="2"/>
        <v>613876.79</v>
      </c>
      <c r="I54" s="1323">
        <f>IF($O$7="Yes", H54, 0)</f>
        <v>0</v>
      </c>
      <c r="J54" s="1326"/>
      <c r="K54" s="1328">
        <v>44377</v>
      </c>
      <c r="L54" s="240"/>
      <c r="M54" s="241" t="str">
        <f t="shared" si="4"/>
        <v/>
      </c>
      <c r="R54" s="240"/>
      <c r="S54" s="240"/>
      <c r="W54" s="240"/>
      <c r="X54" s="240"/>
      <c r="Y54" s="240"/>
      <c r="AB54" s="240"/>
    </row>
    <row r="55" spans="1:28" hidden="1" outlineLevel="1">
      <c r="A55" s="1320">
        <f>MAX($A$7:A54)+1</f>
        <v>48</v>
      </c>
      <c r="B55" s="1321" t="s">
        <v>774</v>
      </c>
      <c r="C55" s="1321" t="s">
        <v>839</v>
      </c>
      <c r="D55" s="1321" t="s">
        <v>840</v>
      </c>
      <c r="E55" s="1338">
        <v>376.3</v>
      </c>
      <c r="F55" s="1323">
        <v>307920.92</v>
      </c>
      <c r="G55" s="1321"/>
      <c r="H55" s="1322">
        <f t="shared" si="2"/>
        <v>307920.92</v>
      </c>
      <c r="I55" s="1323">
        <f>IF($O$7="Yes", H55, 0)</f>
        <v>0</v>
      </c>
      <c r="J55" s="1326"/>
      <c r="K55" s="1328">
        <v>44545</v>
      </c>
      <c r="L55" s="239"/>
      <c r="M55" s="241" t="str">
        <f t="shared" si="4"/>
        <v/>
      </c>
      <c r="R55" s="240"/>
      <c r="S55" s="240"/>
      <c r="W55" s="240"/>
      <c r="X55" s="240"/>
      <c r="Y55" s="240"/>
      <c r="AB55" s="240"/>
    </row>
    <row r="56" spans="1:28" hidden="1" outlineLevel="1">
      <c r="A56" s="1320">
        <f>MAX($A$7:A55)+1</f>
        <v>49</v>
      </c>
      <c r="B56" s="1321" t="s">
        <v>774</v>
      </c>
      <c r="C56" s="1321" t="s">
        <v>841</v>
      </c>
      <c r="D56" s="1321" t="s">
        <v>842</v>
      </c>
      <c r="E56" s="1340">
        <v>385</v>
      </c>
      <c r="F56" s="1323">
        <v>12420.7</v>
      </c>
      <c r="G56" s="1321"/>
      <c r="H56" s="1322">
        <f t="shared" si="2"/>
        <v>12420.7</v>
      </c>
      <c r="I56" s="1323"/>
      <c r="J56" s="1326"/>
      <c r="K56" s="1328">
        <v>44316</v>
      </c>
      <c r="L56" s="240"/>
      <c r="M56" s="241" t="str">
        <f t="shared" si="4"/>
        <v/>
      </c>
      <c r="R56" s="240"/>
      <c r="S56" s="240"/>
      <c r="W56" s="240"/>
      <c r="X56" s="240"/>
      <c r="Y56" s="240"/>
    </row>
    <row r="57" spans="1:28" hidden="1" outlineLevel="1">
      <c r="A57" s="1320">
        <f>MAX($A$7:A56)+1</f>
        <v>50</v>
      </c>
      <c r="B57" s="1321" t="s">
        <v>774</v>
      </c>
      <c r="C57" s="1321" t="s">
        <v>843</v>
      </c>
      <c r="D57" s="1321" t="s">
        <v>844</v>
      </c>
      <c r="E57" s="1340">
        <v>385</v>
      </c>
      <c r="F57" s="1323">
        <v>6894.51</v>
      </c>
      <c r="G57" s="1321"/>
      <c r="H57" s="1322">
        <f t="shared" si="2"/>
        <v>6894.51</v>
      </c>
      <c r="I57" s="1323"/>
      <c r="J57" s="1326"/>
      <c r="K57" s="1328">
        <v>44271</v>
      </c>
      <c r="L57" s="240"/>
      <c r="M57" s="241" t="str">
        <f t="shared" si="4"/>
        <v/>
      </c>
      <c r="R57" s="240"/>
      <c r="S57" s="240"/>
      <c r="W57" s="240"/>
      <c r="X57" s="240"/>
      <c r="Y57" s="240"/>
      <c r="AB57" s="240"/>
    </row>
    <row r="58" spans="1:28" hidden="1" outlineLevel="1">
      <c r="A58" s="1320">
        <f>MAX($A$7:A57)+1</f>
        <v>51</v>
      </c>
      <c r="B58" s="1321" t="s">
        <v>774</v>
      </c>
      <c r="C58" s="1321" t="s">
        <v>845</v>
      </c>
      <c r="D58" s="1321" t="s">
        <v>846</v>
      </c>
      <c r="E58" s="1340">
        <v>376.2</v>
      </c>
      <c r="F58" s="1323">
        <v>20876.71</v>
      </c>
      <c r="G58" s="1321"/>
      <c r="H58" s="1322">
        <f t="shared" si="2"/>
        <v>20876.71</v>
      </c>
      <c r="I58" s="1323"/>
      <c r="J58" s="1326"/>
      <c r="K58" s="1328">
        <v>44252</v>
      </c>
      <c r="L58" s="239"/>
      <c r="M58" s="241" t="str">
        <f t="shared" si="4"/>
        <v/>
      </c>
      <c r="R58" s="240"/>
      <c r="S58" s="240"/>
      <c r="W58" s="240"/>
      <c r="X58" s="240"/>
      <c r="Y58" s="240"/>
    </row>
    <row r="59" spans="1:28" hidden="1" outlineLevel="1">
      <c r="A59" s="1320">
        <f>MAX($A$7:A58)+1</f>
        <v>52</v>
      </c>
      <c r="B59" s="1321" t="s">
        <v>774</v>
      </c>
      <c r="C59" s="1321"/>
      <c r="D59" s="1321"/>
      <c r="E59" s="1340"/>
      <c r="F59" s="1323">
        <v>0</v>
      </c>
      <c r="G59" s="1321"/>
      <c r="H59" s="1322">
        <f t="shared" si="2"/>
        <v>0</v>
      </c>
      <c r="I59" s="1323">
        <f>IF($O$7="Yes", H59, 0)</f>
        <v>0</v>
      </c>
      <c r="J59" s="1326"/>
      <c r="K59" s="1328">
        <v>44423</v>
      </c>
      <c r="L59" s="239"/>
      <c r="M59" s="241" t="str">
        <f t="shared" si="4"/>
        <v/>
      </c>
      <c r="O59" s="240"/>
      <c r="R59" s="240"/>
      <c r="S59" s="240"/>
      <c r="W59" s="240"/>
      <c r="X59" s="240"/>
      <c r="Y59" s="240"/>
    </row>
    <row r="60" spans="1:28" hidden="1" outlineLevel="1">
      <c r="A60" s="1320">
        <f>MAX($A$7:A59)+1</f>
        <v>53</v>
      </c>
      <c r="B60" s="1321" t="s">
        <v>774</v>
      </c>
      <c r="C60" s="1321" t="s">
        <v>847</v>
      </c>
      <c r="D60" s="1321" t="s">
        <v>848</v>
      </c>
      <c r="E60" s="1340">
        <v>376.2</v>
      </c>
      <c r="F60" s="1323">
        <v>489197.02</v>
      </c>
      <c r="G60" s="1321"/>
      <c r="H60" s="1322">
        <f t="shared" si="2"/>
        <v>489197.02</v>
      </c>
      <c r="I60" s="1323">
        <f>IF($O$7="Yes", H60, 0)</f>
        <v>0</v>
      </c>
      <c r="J60" s="1326"/>
      <c r="K60" s="1341">
        <v>44247</v>
      </c>
      <c r="L60" s="239"/>
      <c r="M60" s="241" t="str">
        <f t="shared" si="4"/>
        <v/>
      </c>
      <c r="N60" s="240"/>
      <c r="R60" s="240"/>
      <c r="S60" s="240"/>
      <c r="W60" s="240"/>
      <c r="X60" s="240"/>
      <c r="Y60" s="240"/>
    </row>
    <row r="61" spans="1:28" hidden="1" outlineLevel="1">
      <c r="A61" s="1320">
        <f>MAX($A$7:A60)+1</f>
        <v>54</v>
      </c>
      <c r="B61" s="1321" t="s">
        <v>774</v>
      </c>
      <c r="C61" s="1321" t="s">
        <v>849</v>
      </c>
      <c r="D61" s="1321" t="s">
        <v>850</v>
      </c>
      <c r="E61" s="1340">
        <v>376.3</v>
      </c>
      <c r="F61" s="1323">
        <v>30509.87</v>
      </c>
      <c r="G61" s="1321"/>
      <c r="H61" s="1322">
        <f t="shared" si="2"/>
        <v>30509.87</v>
      </c>
      <c r="I61" s="1323"/>
      <c r="J61" s="1326"/>
      <c r="K61" s="1328">
        <v>44348</v>
      </c>
      <c r="L61" s="239"/>
      <c r="M61" s="241" t="str">
        <f t="shared" si="4"/>
        <v/>
      </c>
      <c r="R61" s="240"/>
      <c r="S61" s="240"/>
      <c r="W61" s="240"/>
      <c r="X61" s="240"/>
      <c r="Y61" s="240"/>
    </row>
    <row r="62" spans="1:28" hidden="1" outlineLevel="1">
      <c r="A62" s="1320">
        <f>MAX($A$7:A61)+1</f>
        <v>55</v>
      </c>
      <c r="B62" s="1321" t="s">
        <v>774</v>
      </c>
      <c r="C62" s="1321" t="s">
        <v>851</v>
      </c>
      <c r="D62" s="1321" t="s">
        <v>852</v>
      </c>
      <c r="E62" s="1340">
        <v>378</v>
      </c>
      <c r="F62" s="1323">
        <v>16340.5</v>
      </c>
      <c r="G62" s="1321"/>
      <c r="H62" s="1322">
        <f t="shared" si="2"/>
        <v>16340.5</v>
      </c>
      <c r="I62" s="1323"/>
      <c r="J62" s="1326"/>
      <c r="K62" s="1341">
        <v>44377</v>
      </c>
      <c r="L62" s="240"/>
      <c r="M62" s="241" t="str">
        <f t="shared" si="4"/>
        <v/>
      </c>
      <c r="N62" s="240"/>
      <c r="R62" s="240"/>
      <c r="S62" s="240"/>
      <c r="W62" s="240"/>
      <c r="X62" s="240"/>
      <c r="Y62" s="240"/>
    </row>
    <row r="63" spans="1:28" hidden="1" outlineLevel="1">
      <c r="A63" s="1320">
        <f>MAX($A$7:A62)+1</f>
        <v>56</v>
      </c>
      <c r="B63" s="1321" t="s">
        <v>774</v>
      </c>
      <c r="C63" s="1321"/>
      <c r="D63" s="1321"/>
      <c r="E63" s="1340">
        <v>376.3</v>
      </c>
      <c r="F63" s="1323">
        <v>0</v>
      </c>
      <c r="G63" s="1321"/>
      <c r="H63" s="1322">
        <f t="shared" si="2"/>
        <v>0</v>
      </c>
      <c r="I63" s="1323"/>
      <c r="J63" s="1326"/>
      <c r="K63" s="1341">
        <v>44377</v>
      </c>
      <c r="L63" s="240"/>
      <c r="M63" s="241"/>
      <c r="N63" s="240"/>
      <c r="R63" s="240"/>
      <c r="S63" s="240"/>
      <c r="W63" s="240"/>
      <c r="X63" s="240"/>
      <c r="Y63" s="240"/>
    </row>
    <row r="64" spans="1:28" hidden="1" outlineLevel="1">
      <c r="A64" s="1320">
        <f>MAX($A$7:A63)+1</f>
        <v>57</v>
      </c>
      <c r="B64" s="1321" t="s">
        <v>774</v>
      </c>
      <c r="C64" s="1321" t="s">
        <v>853</v>
      </c>
      <c r="D64" s="1321" t="s">
        <v>854</v>
      </c>
      <c r="E64" s="1340">
        <v>378</v>
      </c>
      <c r="F64" s="1323">
        <v>116370.93000000001</v>
      </c>
      <c r="G64" s="1321"/>
      <c r="H64" s="1322">
        <f t="shared" si="2"/>
        <v>116370.93000000001</v>
      </c>
      <c r="I64" s="1323"/>
      <c r="J64" s="1326"/>
      <c r="K64" s="1341">
        <v>44228</v>
      </c>
      <c r="L64" s="240"/>
      <c r="M64" s="241"/>
      <c r="N64" s="240"/>
      <c r="R64" s="240"/>
      <c r="S64" s="240"/>
      <c r="W64" s="240"/>
      <c r="X64" s="240"/>
      <c r="Y64" s="240"/>
    </row>
    <row r="65" spans="1:25" hidden="1" outlineLevel="1">
      <c r="A65" s="1320">
        <f>MAX($A$7:A64)+1</f>
        <v>58</v>
      </c>
      <c r="B65" s="1321" t="s">
        <v>774</v>
      </c>
      <c r="C65" s="1321"/>
      <c r="D65" s="1321"/>
      <c r="E65" s="1340">
        <v>385</v>
      </c>
      <c r="F65" s="1323">
        <v>534.61</v>
      </c>
      <c r="G65" s="1321"/>
      <c r="H65" s="1322">
        <f t="shared" si="2"/>
        <v>534.61</v>
      </c>
      <c r="I65" s="1323"/>
      <c r="J65" s="1326"/>
      <c r="K65" s="1341">
        <v>44317</v>
      </c>
      <c r="L65" s="240"/>
      <c r="M65" s="241"/>
      <c r="R65" s="240"/>
      <c r="S65" s="240"/>
      <c r="W65" s="240"/>
      <c r="X65" s="240"/>
      <c r="Y65" s="240"/>
    </row>
    <row r="66" spans="1:25" hidden="1" outlineLevel="1">
      <c r="A66" s="1320">
        <f>MAX($A$7:A65)+1</f>
        <v>59</v>
      </c>
      <c r="B66" s="1321" t="s">
        <v>774</v>
      </c>
      <c r="C66" s="1321" t="s">
        <v>793</v>
      </c>
      <c r="D66" s="1321" t="s">
        <v>794</v>
      </c>
      <c r="E66" s="1340">
        <v>378</v>
      </c>
      <c r="F66" s="1323">
        <v>336.76</v>
      </c>
      <c r="G66" s="1321"/>
      <c r="H66" s="1322">
        <f t="shared" si="2"/>
        <v>336.76</v>
      </c>
      <c r="I66" s="1323"/>
      <c r="J66" s="1326"/>
      <c r="K66" s="1341">
        <v>44423</v>
      </c>
      <c r="L66" s="240"/>
      <c r="M66" s="241"/>
      <c r="R66" s="240"/>
      <c r="S66" s="240"/>
      <c r="W66" s="240"/>
      <c r="X66" s="240"/>
      <c r="Y66" s="240"/>
    </row>
    <row r="67" spans="1:25" hidden="1" outlineLevel="1">
      <c r="A67" s="1320">
        <f>MAX($A$7:A66)+1</f>
        <v>60</v>
      </c>
      <c r="B67" s="1321" t="s">
        <v>774</v>
      </c>
      <c r="C67" s="1321" t="s">
        <v>855</v>
      </c>
      <c r="D67" s="1321" t="s">
        <v>856</v>
      </c>
      <c r="E67" s="1340">
        <v>376.2</v>
      </c>
      <c r="F67" s="1323">
        <v>293959.32</v>
      </c>
      <c r="G67" s="1321"/>
      <c r="H67" s="1322">
        <f t="shared" si="2"/>
        <v>293959.32</v>
      </c>
      <c r="I67" s="1323">
        <f>IF($O$7="Yes", H67, 0)</f>
        <v>0</v>
      </c>
      <c r="J67" s="1326"/>
      <c r="K67" s="1341">
        <v>44377</v>
      </c>
      <c r="L67" s="240"/>
      <c r="M67" s="241"/>
      <c r="R67" s="240"/>
      <c r="S67" s="240"/>
      <c r="W67" s="240"/>
      <c r="X67" s="240"/>
      <c r="Y67" s="240"/>
    </row>
    <row r="68" spans="1:25" hidden="1" outlineLevel="1">
      <c r="A68" s="1320">
        <f>MAX($A$7:A67)+1</f>
        <v>61</v>
      </c>
      <c r="B68" s="1321" t="s">
        <v>774</v>
      </c>
      <c r="C68" s="1321" t="s">
        <v>857</v>
      </c>
      <c r="D68" s="1321" t="s">
        <v>858</v>
      </c>
      <c r="E68" s="1340">
        <v>376.3</v>
      </c>
      <c r="F68" s="1323">
        <v>110136.42</v>
      </c>
      <c r="G68" s="1321"/>
      <c r="H68" s="1322">
        <f t="shared" si="2"/>
        <v>110136.42</v>
      </c>
      <c r="I68" s="1323"/>
      <c r="J68" s="1326"/>
      <c r="K68" s="1341">
        <v>44253</v>
      </c>
      <c r="L68" s="240"/>
      <c r="M68" s="241"/>
      <c r="R68" s="240"/>
      <c r="S68" s="240"/>
      <c r="W68" s="240"/>
      <c r="X68" s="240"/>
      <c r="Y68" s="240"/>
    </row>
    <row r="69" spans="1:25" hidden="1" outlineLevel="1">
      <c r="A69" s="1320">
        <f>MAX($A$7:A68)+1</f>
        <v>62</v>
      </c>
      <c r="B69" s="1321" t="s">
        <v>774</v>
      </c>
      <c r="C69" s="1321" t="s">
        <v>859</v>
      </c>
      <c r="D69" s="1321" t="s">
        <v>860</v>
      </c>
      <c r="E69" s="1340">
        <v>376.3</v>
      </c>
      <c r="F69" s="1323">
        <v>181732.08</v>
      </c>
      <c r="G69" s="1321"/>
      <c r="H69" s="1322">
        <f t="shared" si="2"/>
        <v>181732.08</v>
      </c>
      <c r="I69" s="1323"/>
      <c r="J69" s="1326"/>
      <c r="K69" s="1341">
        <v>44377</v>
      </c>
      <c r="L69" s="240"/>
      <c r="M69" s="241"/>
      <c r="R69" s="240"/>
      <c r="S69" s="240"/>
      <c r="W69" s="240"/>
      <c r="X69" s="240"/>
      <c r="Y69" s="240"/>
    </row>
    <row r="70" spans="1:25" hidden="1" outlineLevel="1">
      <c r="A70" s="1320">
        <f>MAX($A$7:A69)+1</f>
        <v>63</v>
      </c>
      <c r="B70" s="1321" t="s">
        <v>774</v>
      </c>
      <c r="C70" s="1321" t="s">
        <v>861</v>
      </c>
      <c r="D70" s="1321" t="s">
        <v>862</v>
      </c>
      <c r="E70" s="1340">
        <v>380.3</v>
      </c>
      <c r="F70" s="1323">
        <v>1583.45</v>
      </c>
      <c r="G70" s="1321"/>
      <c r="H70" s="1322">
        <f t="shared" si="2"/>
        <v>1583.45</v>
      </c>
      <c r="I70" s="1323"/>
      <c r="J70" s="1326"/>
      <c r="K70" s="1341">
        <v>44228</v>
      </c>
      <c r="L70" s="240"/>
      <c r="M70" s="241"/>
      <c r="R70" s="240"/>
      <c r="S70" s="240"/>
      <c r="W70" s="240"/>
      <c r="X70" s="240"/>
      <c r="Y70" s="240"/>
    </row>
    <row r="71" spans="1:25" hidden="1" outlineLevel="1">
      <c r="A71" s="1320">
        <f>MAX($A$7:A70)+1</f>
        <v>64</v>
      </c>
      <c r="B71" s="1321" t="s">
        <v>774</v>
      </c>
      <c r="C71" s="1321" t="s">
        <v>849</v>
      </c>
      <c r="D71" s="1321" t="s">
        <v>863</v>
      </c>
      <c r="E71" s="1340">
        <v>376.3</v>
      </c>
      <c r="F71" s="1323">
        <v>-2508.09</v>
      </c>
      <c r="G71" s="1321"/>
      <c r="H71" s="1322">
        <f t="shared" si="2"/>
        <v>-2508.09</v>
      </c>
      <c r="I71" s="1323"/>
      <c r="J71" s="1326"/>
      <c r="K71" s="1341">
        <v>44378</v>
      </c>
      <c r="L71" s="240"/>
      <c r="M71" s="241"/>
      <c r="R71" s="240"/>
      <c r="S71" s="240"/>
      <c r="W71" s="240"/>
      <c r="X71" s="240"/>
      <c r="Y71" s="240"/>
    </row>
    <row r="72" spans="1:25" hidden="1" outlineLevel="1">
      <c r="A72" s="1320">
        <f>MAX($A$7:A71)+1</f>
        <v>65</v>
      </c>
      <c r="B72" s="1321" t="s">
        <v>774</v>
      </c>
      <c r="C72" s="1321" t="s">
        <v>864</v>
      </c>
      <c r="D72" s="1321" t="s">
        <v>865</v>
      </c>
      <c r="E72" s="1340">
        <v>376.3</v>
      </c>
      <c r="F72" s="1323">
        <v>329925.08</v>
      </c>
      <c r="G72" s="1321"/>
      <c r="H72" s="1322">
        <f t="shared" si="2"/>
        <v>329925.08</v>
      </c>
      <c r="I72" s="1323">
        <f>IF($O$7="Yes", H72, 0)</f>
        <v>0</v>
      </c>
      <c r="J72" s="1326"/>
      <c r="K72" s="1341">
        <v>44551</v>
      </c>
      <c r="L72" s="240"/>
      <c r="M72" s="241"/>
      <c r="R72" s="240"/>
      <c r="S72" s="240"/>
      <c r="W72" s="240"/>
      <c r="X72" s="240"/>
      <c r="Y72" s="240"/>
    </row>
    <row r="73" spans="1:25" hidden="1" outlineLevel="1">
      <c r="A73" s="1320">
        <f>MAX($A$7:A72)+1</f>
        <v>66</v>
      </c>
      <c r="B73" s="1321" t="s">
        <v>774</v>
      </c>
      <c r="C73" s="1321" t="s">
        <v>866</v>
      </c>
      <c r="D73" s="1321" t="s">
        <v>867</v>
      </c>
      <c r="E73" s="1340">
        <v>380.3</v>
      </c>
      <c r="F73" s="1323">
        <v>155266.04</v>
      </c>
      <c r="G73" s="1321"/>
      <c r="H73" s="1322">
        <f t="shared" si="2"/>
        <v>155266.04</v>
      </c>
      <c r="I73" s="1323"/>
      <c r="J73" s="1326"/>
      <c r="K73" s="1341">
        <v>44551</v>
      </c>
      <c r="L73" s="240"/>
      <c r="M73" s="241"/>
      <c r="R73" s="240"/>
      <c r="S73" s="240"/>
      <c r="W73" s="240"/>
      <c r="X73" s="240"/>
      <c r="Y73" s="240"/>
    </row>
    <row r="74" spans="1:25" hidden="1" outlineLevel="1">
      <c r="A74" s="1320">
        <f>MAX($A$7:A73)+1</f>
        <v>67</v>
      </c>
      <c r="B74" s="1321" t="s">
        <v>774</v>
      </c>
      <c r="C74" s="1321" t="s">
        <v>868</v>
      </c>
      <c r="D74" s="1321" t="s">
        <v>869</v>
      </c>
      <c r="E74" s="1340">
        <v>376.3</v>
      </c>
      <c r="F74" s="1323">
        <v>281223.94</v>
      </c>
      <c r="G74" s="1321"/>
      <c r="H74" s="1322">
        <f t="shared" si="2"/>
        <v>281223.94</v>
      </c>
      <c r="I74" s="1323">
        <f>IF($O$7="Yes", H74, 0)</f>
        <v>0</v>
      </c>
      <c r="J74" s="1326"/>
      <c r="K74" s="1341">
        <v>44377</v>
      </c>
      <c r="L74" s="240"/>
      <c r="M74" s="241"/>
      <c r="R74" s="240"/>
      <c r="S74" s="240"/>
      <c r="W74" s="240"/>
      <c r="X74" s="240"/>
      <c r="Y74" s="240"/>
    </row>
    <row r="75" spans="1:25" hidden="1" outlineLevel="1">
      <c r="A75" s="1320">
        <f>MAX($A$7:A74)+1</f>
        <v>68</v>
      </c>
      <c r="B75" s="1321" t="s">
        <v>774</v>
      </c>
      <c r="C75" s="1321" t="s">
        <v>870</v>
      </c>
      <c r="D75" s="1321" t="s">
        <v>871</v>
      </c>
      <c r="E75" s="1340">
        <v>376.1</v>
      </c>
      <c r="F75" s="1323">
        <v>13396.220000000001</v>
      </c>
      <c r="G75" s="1321"/>
      <c r="H75" s="1322">
        <f t="shared" si="2"/>
        <v>13396.220000000001</v>
      </c>
      <c r="I75" s="1323"/>
      <c r="J75" s="1326"/>
      <c r="K75" s="1341">
        <v>44285</v>
      </c>
      <c r="L75" s="240"/>
      <c r="M75" s="241"/>
      <c r="R75" s="240"/>
      <c r="S75" s="240"/>
      <c r="W75" s="240"/>
      <c r="X75" s="240"/>
      <c r="Y75" s="240"/>
    </row>
    <row r="76" spans="1:25" hidden="1" outlineLevel="1">
      <c r="A76" s="1320">
        <f>MAX($A$7:A75)+1</f>
        <v>69</v>
      </c>
      <c r="B76" s="1321" t="s">
        <v>774</v>
      </c>
      <c r="C76" s="1321" t="s">
        <v>872</v>
      </c>
      <c r="D76" s="1321" t="s">
        <v>873</v>
      </c>
      <c r="E76" s="1340">
        <v>385</v>
      </c>
      <c r="F76" s="1323">
        <v>2857.56</v>
      </c>
      <c r="G76" s="1321"/>
      <c r="H76" s="1322">
        <f t="shared" si="2"/>
        <v>2857.56</v>
      </c>
      <c r="I76" s="1323"/>
      <c r="J76" s="1326"/>
      <c r="K76" s="1341">
        <v>44321</v>
      </c>
      <c r="L76" s="240"/>
      <c r="M76" s="241"/>
      <c r="R76" s="240"/>
      <c r="S76" s="240"/>
      <c r="W76" s="240"/>
      <c r="X76" s="240"/>
      <c r="Y76" s="240"/>
    </row>
    <row r="77" spans="1:25" hidden="1" outlineLevel="1">
      <c r="A77" s="1320">
        <f>MAX($A$7:A76)+1</f>
        <v>70</v>
      </c>
      <c r="B77" s="1321" t="s">
        <v>774</v>
      </c>
      <c r="C77" s="1321" t="s">
        <v>874</v>
      </c>
      <c r="D77" s="1321" t="s">
        <v>875</v>
      </c>
      <c r="E77" s="1340">
        <v>376.3</v>
      </c>
      <c r="F77" s="1323">
        <v>119812.17</v>
      </c>
      <c r="G77" s="1321"/>
      <c r="H77" s="1322">
        <f t="shared" si="2"/>
        <v>119812.17</v>
      </c>
      <c r="I77" s="1323"/>
      <c r="J77" s="1326"/>
      <c r="K77" s="1341">
        <v>44216</v>
      </c>
      <c r="L77" s="240"/>
      <c r="M77" s="241"/>
      <c r="R77" s="240"/>
      <c r="S77" s="240"/>
      <c r="W77" s="240"/>
      <c r="X77" s="240"/>
      <c r="Y77" s="240"/>
    </row>
    <row r="78" spans="1:25" hidden="1" outlineLevel="1">
      <c r="A78" s="1320">
        <f>MAX($A$7:A77)+1</f>
        <v>71</v>
      </c>
      <c r="B78" s="1321" t="s">
        <v>774</v>
      </c>
      <c r="C78" s="1321" t="s">
        <v>876</v>
      </c>
      <c r="D78" s="1321" t="s">
        <v>877</v>
      </c>
      <c r="E78" s="1340">
        <v>378</v>
      </c>
      <c r="F78" s="1323">
        <v>34825.980000000003</v>
      </c>
      <c r="G78" s="1321"/>
      <c r="H78" s="1322">
        <f t="shared" si="2"/>
        <v>34825.980000000003</v>
      </c>
      <c r="I78" s="1323"/>
      <c r="J78" s="1326"/>
      <c r="K78" s="1341">
        <v>44216</v>
      </c>
      <c r="L78" s="240"/>
      <c r="M78" s="241"/>
      <c r="R78" s="240"/>
      <c r="S78" s="240"/>
      <c r="W78" s="240"/>
      <c r="X78" s="240"/>
      <c r="Y78" s="240"/>
    </row>
    <row r="79" spans="1:25" hidden="1" outlineLevel="1">
      <c r="A79" s="1320">
        <f>MAX($A$7:A78)+1</f>
        <v>72</v>
      </c>
      <c r="B79" s="1321" t="s">
        <v>774</v>
      </c>
      <c r="C79" s="1321" t="s">
        <v>878</v>
      </c>
      <c r="D79" s="1321" t="s">
        <v>879</v>
      </c>
      <c r="E79" s="1340">
        <v>385</v>
      </c>
      <c r="F79" s="1323">
        <v>77779.13</v>
      </c>
      <c r="G79" s="1321"/>
      <c r="H79" s="1322">
        <f t="shared" si="2"/>
        <v>77779.13</v>
      </c>
      <c r="I79" s="1323"/>
      <c r="J79" s="1326"/>
      <c r="K79" s="1341">
        <v>44216</v>
      </c>
      <c r="L79" s="240"/>
      <c r="M79" s="241"/>
      <c r="R79" s="240"/>
      <c r="S79" s="240"/>
      <c r="W79" s="240"/>
      <c r="X79" s="240"/>
      <c r="Y79" s="240"/>
    </row>
    <row r="80" spans="1:25" hidden="1" outlineLevel="1">
      <c r="A80" s="1320">
        <f>MAX($A$7:A79)+1</f>
        <v>73</v>
      </c>
      <c r="B80" s="1321" t="s">
        <v>774</v>
      </c>
      <c r="C80" s="1321" t="s">
        <v>880</v>
      </c>
      <c r="D80" s="1321" t="s">
        <v>881</v>
      </c>
      <c r="E80" s="1340">
        <v>378</v>
      </c>
      <c r="F80" s="1323">
        <v>72372.56</v>
      </c>
      <c r="G80" s="1321"/>
      <c r="H80" s="1322">
        <f t="shared" si="2"/>
        <v>72372.56</v>
      </c>
      <c r="I80" s="1323"/>
      <c r="J80" s="1326"/>
      <c r="K80" s="1341">
        <v>44286</v>
      </c>
      <c r="L80" s="240"/>
      <c r="M80" s="241"/>
      <c r="R80" s="240"/>
      <c r="S80" s="240"/>
      <c r="W80" s="240"/>
      <c r="X80" s="240"/>
      <c r="Y80" s="240"/>
    </row>
    <row r="81" spans="1:25" hidden="1" outlineLevel="1">
      <c r="A81" s="1320">
        <f>MAX($A$7:A80)+1</f>
        <v>74</v>
      </c>
      <c r="B81" s="1321" t="s">
        <v>774</v>
      </c>
      <c r="C81" s="1321" t="s">
        <v>882</v>
      </c>
      <c r="D81" s="1321" t="s">
        <v>883</v>
      </c>
      <c r="E81" s="1340">
        <v>376.2</v>
      </c>
      <c r="F81" s="1323">
        <v>1871.03</v>
      </c>
      <c r="G81" s="1321"/>
      <c r="H81" s="1322">
        <f t="shared" si="2"/>
        <v>1871.03</v>
      </c>
      <c r="I81" s="1323"/>
      <c r="J81" s="1326"/>
      <c r="K81" s="1341">
        <v>44286</v>
      </c>
      <c r="L81" s="240"/>
      <c r="M81" s="241"/>
      <c r="N81" s="240"/>
      <c r="R81" s="240"/>
      <c r="S81" s="240"/>
      <c r="W81" s="240"/>
      <c r="X81" s="240"/>
      <c r="Y81" s="240"/>
    </row>
    <row r="82" spans="1:25" hidden="1" outlineLevel="1">
      <c r="A82" s="1320">
        <f>MAX($A$7:A81)+1</f>
        <v>75</v>
      </c>
      <c r="B82" s="1321" t="s">
        <v>774</v>
      </c>
      <c r="C82" s="1321"/>
      <c r="D82" s="1321"/>
      <c r="E82" s="1340"/>
      <c r="F82" s="1323">
        <v>0</v>
      </c>
      <c r="G82" s="1321"/>
      <c r="H82" s="1322">
        <f t="shared" si="2"/>
        <v>0</v>
      </c>
      <c r="I82" s="1323"/>
      <c r="J82" s="1326"/>
      <c r="K82" s="1341">
        <v>44286</v>
      </c>
      <c r="L82" s="240"/>
      <c r="M82" s="241"/>
      <c r="N82" s="240"/>
      <c r="R82" s="240"/>
      <c r="S82" s="240"/>
      <c r="W82" s="240"/>
      <c r="X82" s="240"/>
      <c r="Y82" s="240"/>
    </row>
    <row r="83" spans="1:25" hidden="1" outlineLevel="1">
      <c r="A83" s="1320">
        <f>MAX($A$7:A82)+1</f>
        <v>76</v>
      </c>
      <c r="B83" s="1321" t="s">
        <v>774</v>
      </c>
      <c r="C83" s="1321" t="s">
        <v>884</v>
      </c>
      <c r="D83" s="1321" t="s">
        <v>885</v>
      </c>
      <c r="E83" s="1340">
        <v>376.3</v>
      </c>
      <c r="F83" s="1323">
        <v>45550.720000000001</v>
      </c>
      <c r="G83" s="1321"/>
      <c r="H83" s="1322">
        <f t="shared" si="2"/>
        <v>45550.720000000001</v>
      </c>
      <c r="I83" s="1323"/>
      <c r="J83" s="1326"/>
      <c r="K83" s="1341">
        <v>44306</v>
      </c>
      <c r="L83" s="240"/>
      <c r="M83" s="241"/>
      <c r="N83" s="240"/>
      <c r="R83" s="240"/>
      <c r="S83" s="240"/>
      <c r="W83" s="240"/>
      <c r="X83" s="240"/>
      <c r="Y83" s="240"/>
    </row>
    <row r="84" spans="1:25" hidden="1" outlineLevel="1">
      <c r="A84" s="1320">
        <f>MAX($A$7:A83)+1</f>
        <v>77</v>
      </c>
      <c r="B84" s="1321" t="s">
        <v>774</v>
      </c>
      <c r="C84" s="1321" t="s">
        <v>886</v>
      </c>
      <c r="D84" s="1321" t="s">
        <v>887</v>
      </c>
      <c r="E84" s="1340">
        <v>380.3</v>
      </c>
      <c r="F84" s="1323">
        <v>1913.85</v>
      </c>
      <c r="G84" s="1321"/>
      <c r="H84" s="1322">
        <f t="shared" si="2"/>
        <v>1913.85</v>
      </c>
      <c r="I84" s="1323"/>
      <c r="J84" s="1326"/>
      <c r="K84" s="1341">
        <v>44255</v>
      </c>
      <c r="L84" s="240"/>
      <c r="M84" s="241"/>
      <c r="N84" s="240"/>
      <c r="R84" s="240"/>
      <c r="S84" s="240"/>
      <c r="W84" s="240"/>
      <c r="X84" s="240"/>
      <c r="Y84" s="240"/>
    </row>
    <row r="85" spans="1:25" hidden="1" outlineLevel="1">
      <c r="A85" s="1320">
        <f>MAX($A$7:A84)+1</f>
        <v>78</v>
      </c>
      <c r="B85" s="1321" t="s">
        <v>774</v>
      </c>
      <c r="C85" s="1321" t="s">
        <v>888</v>
      </c>
      <c r="D85" s="1321" t="s">
        <v>889</v>
      </c>
      <c r="E85" s="1340">
        <v>376.3</v>
      </c>
      <c r="F85" s="1323">
        <f>174.74+23125.75</f>
        <v>23300.49</v>
      </c>
      <c r="G85" s="1321"/>
      <c r="H85" s="1322">
        <f t="shared" si="2"/>
        <v>23300.49</v>
      </c>
      <c r="I85" s="1323"/>
      <c r="J85" s="1326"/>
      <c r="K85" s="1341">
        <v>44285</v>
      </c>
      <c r="L85" s="240"/>
      <c r="M85" s="241"/>
      <c r="N85" s="240"/>
      <c r="R85" s="240"/>
      <c r="S85" s="240"/>
      <c r="W85" s="240"/>
      <c r="X85" s="240"/>
      <c r="Y85" s="240"/>
    </row>
    <row r="86" spans="1:25" hidden="1" outlineLevel="1">
      <c r="A86" s="1320">
        <f>MAX($A$7:A85)+1</f>
        <v>79</v>
      </c>
      <c r="B86" s="1321" t="s">
        <v>774</v>
      </c>
      <c r="C86" s="1321" t="s">
        <v>797</v>
      </c>
      <c r="D86" s="1321" t="s">
        <v>890</v>
      </c>
      <c r="E86" s="1340">
        <v>378</v>
      </c>
      <c r="F86" s="1323">
        <v>6340.41</v>
      </c>
      <c r="G86" s="1321"/>
      <c r="H86" s="1322">
        <f t="shared" si="2"/>
        <v>6340.41</v>
      </c>
      <c r="I86" s="1323"/>
      <c r="J86" s="1326"/>
      <c r="K86" s="1341">
        <v>44347</v>
      </c>
      <c r="L86" s="240"/>
      <c r="M86" s="241"/>
      <c r="N86" s="240"/>
      <c r="R86" s="240"/>
      <c r="S86" s="240"/>
      <c r="W86" s="240"/>
      <c r="X86" s="240"/>
      <c r="Y86" s="240"/>
    </row>
    <row r="87" spans="1:25" hidden="1" outlineLevel="1">
      <c r="A87" s="1320">
        <f>MAX($A$7:A86)+1</f>
        <v>80</v>
      </c>
      <c r="B87" s="1321" t="s">
        <v>774</v>
      </c>
      <c r="C87" s="1321" t="s">
        <v>891</v>
      </c>
      <c r="D87" s="1321" t="s">
        <v>892</v>
      </c>
      <c r="E87" s="1340">
        <v>376.2</v>
      </c>
      <c r="F87" s="1323">
        <v>177440.32</v>
      </c>
      <c r="G87" s="1321"/>
      <c r="H87" s="1322">
        <f t="shared" ref="H87:H133" si="5">IF(ISBLANK(G87), F87, G87*F87)</f>
        <v>177440.32</v>
      </c>
      <c r="I87" s="1323"/>
      <c r="J87" s="1326"/>
      <c r="K87" s="1341">
        <v>44225</v>
      </c>
      <c r="L87" s="240"/>
      <c r="M87" s="241"/>
      <c r="N87" s="240"/>
      <c r="R87" s="240"/>
      <c r="S87" s="240"/>
      <c r="W87" s="240"/>
      <c r="X87" s="240"/>
      <c r="Y87" s="240"/>
    </row>
    <row r="88" spans="1:25" hidden="1" outlineLevel="1">
      <c r="A88" s="1320">
        <f>MAX($A$7:A87)+1</f>
        <v>81</v>
      </c>
      <c r="B88" s="1321" t="s">
        <v>774</v>
      </c>
      <c r="C88" s="1321" t="s">
        <v>893</v>
      </c>
      <c r="D88" s="1321" t="s">
        <v>894</v>
      </c>
      <c r="E88" s="1340">
        <v>378</v>
      </c>
      <c r="F88" s="1323">
        <v>61554.39</v>
      </c>
      <c r="G88" s="1321"/>
      <c r="H88" s="1322">
        <f t="shared" si="5"/>
        <v>61554.39</v>
      </c>
      <c r="I88" s="1323"/>
      <c r="J88" s="1326"/>
      <c r="K88" s="1341">
        <v>44225</v>
      </c>
      <c r="L88" s="240"/>
      <c r="M88" s="241"/>
      <c r="N88" s="240"/>
      <c r="R88" s="240"/>
      <c r="S88" s="240"/>
      <c r="W88" s="240"/>
      <c r="X88" s="240"/>
      <c r="Y88" s="240"/>
    </row>
    <row r="89" spans="1:25" hidden="1" outlineLevel="1">
      <c r="A89" s="1320">
        <f>MAX($A$7:A88)+1</f>
        <v>82</v>
      </c>
      <c r="B89" s="1321" t="s">
        <v>774</v>
      </c>
      <c r="C89" s="1321"/>
      <c r="D89" s="1321"/>
      <c r="E89" s="1340"/>
      <c r="F89" s="1323">
        <v>0</v>
      </c>
      <c r="G89" s="1321"/>
      <c r="H89" s="1322">
        <f t="shared" si="5"/>
        <v>0</v>
      </c>
      <c r="I89" s="1323"/>
      <c r="J89" s="1326"/>
      <c r="K89" s="1341">
        <v>44285</v>
      </c>
      <c r="L89" s="240"/>
      <c r="M89" s="241"/>
      <c r="N89" s="240"/>
      <c r="R89" s="240"/>
      <c r="S89" s="240"/>
      <c r="W89" s="240"/>
      <c r="X89" s="240"/>
      <c r="Y89" s="240"/>
    </row>
    <row r="90" spans="1:25" hidden="1" outlineLevel="1">
      <c r="A90" s="1320">
        <f>MAX($A$7:A89)+1</f>
        <v>83</v>
      </c>
      <c r="B90" s="1321" t="s">
        <v>774</v>
      </c>
      <c r="C90" s="1321" t="s">
        <v>895</v>
      </c>
      <c r="D90" s="1329" t="s">
        <v>896</v>
      </c>
      <c r="E90" s="1340">
        <v>376.1</v>
      </c>
      <c r="F90" s="1323">
        <v>14216.48</v>
      </c>
      <c r="G90" s="1321"/>
      <c r="H90" s="1322">
        <f t="shared" si="5"/>
        <v>14216.48</v>
      </c>
      <c r="I90" s="1323"/>
      <c r="J90" s="1326"/>
      <c r="K90" s="1341">
        <v>44300</v>
      </c>
      <c r="L90" s="240"/>
      <c r="M90" s="241"/>
      <c r="N90" s="240"/>
      <c r="R90" s="240"/>
      <c r="S90" s="240"/>
      <c r="W90" s="240"/>
      <c r="X90" s="240"/>
      <c r="Y90" s="240"/>
    </row>
    <row r="91" spans="1:25" hidden="1" outlineLevel="1">
      <c r="A91" s="1320">
        <f>MAX($A$7:A90)+1</f>
        <v>84</v>
      </c>
      <c r="B91" s="1321" t="s">
        <v>774</v>
      </c>
      <c r="C91" s="1321" t="s">
        <v>897</v>
      </c>
      <c r="D91" s="1321" t="s">
        <v>898</v>
      </c>
      <c r="E91" s="1340">
        <v>380.3</v>
      </c>
      <c r="F91" s="1323">
        <v>2855.74</v>
      </c>
      <c r="G91" s="1321"/>
      <c r="H91" s="1322">
        <f t="shared" si="5"/>
        <v>2855.74</v>
      </c>
      <c r="I91" s="1323"/>
      <c r="J91" s="1326"/>
      <c r="K91" s="1341">
        <v>44300</v>
      </c>
      <c r="L91" s="240"/>
      <c r="M91" s="241"/>
      <c r="N91" s="240"/>
      <c r="R91" s="240"/>
      <c r="S91" s="240"/>
      <c r="W91" s="240"/>
      <c r="X91" s="240"/>
      <c r="Y91" s="240"/>
    </row>
    <row r="92" spans="1:25" hidden="1" outlineLevel="1">
      <c r="A92" s="1320">
        <f>MAX($A$7:A91)+1</f>
        <v>85</v>
      </c>
      <c r="B92" s="1321" t="s">
        <v>774</v>
      </c>
      <c r="C92" s="1321" t="s">
        <v>899</v>
      </c>
      <c r="D92" s="1321" t="s">
        <v>900</v>
      </c>
      <c r="E92" s="1340">
        <v>378</v>
      </c>
      <c r="F92" s="1323">
        <v>17249.900000000001</v>
      </c>
      <c r="G92" s="1321"/>
      <c r="H92" s="1322">
        <f t="shared" si="5"/>
        <v>17249.900000000001</v>
      </c>
      <c r="I92" s="1323"/>
      <c r="J92" s="1326"/>
      <c r="K92" s="1341">
        <v>44377</v>
      </c>
      <c r="L92" s="240"/>
      <c r="M92" s="241"/>
      <c r="N92" s="240"/>
      <c r="R92" s="240"/>
      <c r="S92" s="240"/>
      <c r="W92" s="240"/>
      <c r="X92" s="240"/>
      <c r="Y92" s="240"/>
    </row>
    <row r="93" spans="1:25" hidden="1" outlineLevel="1">
      <c r="A93" s="1320">
        <f>MAX($A$7:A92)+1</f>
        <v>86</v>
      </c>
      <c r="B93" s="1321" t="s">
        <v>774</v>
      </c>
      <c r="C93" s="1321" t="s">
        <v>901</v>
      </c>
      <c r="D93" s="1321" t="s">
        <v>902</v>
      </c>
      <c r="E93" s="1340">
        <v>378</v>
      </c>
      <c r="F93" s="1323">
        <v>78999.399999999994</v>
      </c>
      <c r="G93" s="1321"/>
      <c r="H93" s="1322">
        <f t="shared" si="5"/>
        <v>78999.399999999994</v>
      </c>
      <c r="I93" s="1323"/>
      <c r="J93" s="1326"/>
      <c r="K93" s="1341">
        <v>44286</v>
      </c>
      <c r="L93" s="240"/>
      <c r="M93" s="241"/>
      <c r="N93" s="240"/>
      <c r="R93" s="240"/>
      <c r="S93" s="240"/>
      <c r="W93" s="240"/>
      <c r="X93" s="240"/>
      <c r="Y93" s="240"/>
    </row>
    <row r="94" spans="1:25" hidden="1" outlineLevel="1">
      <c r="A94" s="1320">
        <f>MAX($A$7:A93)+1</f>
        <v>87</v>
      </c>
      <c r="B94" s="1321" t="s">
        <v>774</v>
      </c>
      <c r="C94" s="1321" t="s">
        <v>903</v>
      </c>
      <c r="D94" s="1321" t="s">
        <v>904</v>
      </c>
      <c r="E94" s="1340">
        <v>376.3</v>
      </c>
      <c r="F94" s="1323">
        <v>171044.25</v>
      </c>
      <c r="G94" s="1321"/>
      <c r="H94" s="1322">
        <f t="shared" si="5"/>
        <v>171044.25</v>
      </c>
      <c r="I94" s="1323"/>
      <c r="J94" s="1326"/>
      <c r="K94" s="1341">
        <v>44226</v>
      </c>
      <c r="L94" s="240"/>
      <c r="M94" s="241"/>
      <c r="N94" s="240"/>
      <c r="R94" s="240"/>
      <c r="S94" s="240"/>
      <c r="W94" s="240"/>
      <c r="X94" s="240"/>
      <c r="Y94" s="240"/>
    </row>
    <row r="95" spans="1:25" hidden="1" outlineLevel="1">
      <c r="A95" s="1320">
        <f>MAX($A$7:A94)+1</f>
        <v>88</v>
      </c>
      <c r="B95" s="1321" t="s">
        <v>774</v>
      </c>
      <c r="C95" s="1321" t="s">
        <v>905</v>
      </c>
      <c r="D95" s="1321" t="s">
        <v>906</v>
      </c>
      <c r="E95" s="1340">
        <v>367.1</v>
      </c>
      <c r="F95" s="1323">
        <v>361500.67</v>
      </c>
      <c r="G95" s="1321"/>
      <c r="H95" s="1322">
        <f t="shared" si="5"/>
        <v>361500.67</v>
      </c>
      <c r="I95" s="1323">
        <f>IF($O$7="Yes", H95, 0)</f>
        <v>0</v>
      </c>
      <c r="J95" s="1326"/>
      <c r="K95" s="1341">
        <v>44347</v>
      </c>
      <c r="L95" s="240"/>
      <c r="M95" s="241"/>
      <c r="N95" s="240"/>
      <c r="R95" s="240"/>
      <c r="S95" s="240"/>
      <c r="W95" s="240"/>
      <c r="X95" s="240"/>
      <c r="Y95" s="240"/>
    </row>
    <row r="96" spans="1:25" hidden="1" outlineLevel="1">
      <c r="A96" s="1320">
        <f>MAX($A$7:A95)+1</f>
        <v>89</v>
      </c>
      <c r="B96" s="1321" t="s">
        <v>774</v>
      </c>
      <c r="C96" s="1321" t="s">
        <v>907</v>
      </c>
      <c r="D96" s="1321" t="s">
        <v>908</v>
      </c>
      <c r="E96" s="1340">
        <v>376.1</v>
      </c>
      <c r="F96" s="1323">
        <v>16654.25</v>
      </c>
      <c r="G96" s="1321"/>
      <c r="H96" s="1322">
        <f t="shared" si="5"/>
        <v>16654.25</v>
      </c>
      <c r="I96" s="1323"/>
      <c r="J96" s="1326"/>
      <c r="K96" s="1341">
        <v>44344</v>
      </c>
      <c r="L96" s="240"/>
      <c r="M96" s="241"/>
      <c r="N96" s="240"/>
      <c r="R96" s="240"/>
      <c r="S96" s="240"/>
      <c r="W96" s="240"/>
      <c r="X96" s="240"/>
      <c r="Y96" s="240"/>
    </row>
    <row r="97" spans="1:25" hidden="1" outlineLevel="1">
      <c r="A97" s="1320">
        <f>MAX($A$7:A96)+1</f>
        <v>90</v>
      </c>
      <c r="B97" s="1321" t="s">
        <v>774</v>
      </c>
      <c r="C97" s="1321" t="s">
        <v>909</v>
      </c>
      <c r="D97" s="1321" t="s">
        <v>910</v>
      </c>
      <c r="E97" s="1340">
        <v>380.3</v>
      </c>
      <c r="F97" s="1323">
        <v>2751.73</v>
      </c>
      <c r="G97" s="1321"/>
      <c r="H97" s="1322">
        <f t="shared" si="5"/>
        <v>2751.73</v>
      </c>
      <c r="I97" s="1323"/>
      <c r="J97" s="1326"/>
      <c r="K97" s="1341">
        <v>44513</v>
      </c>
      <c r="L97" s="240"/>
      <c r="M97" s="241"/>
      <c r="N97" s="240"/>
      <c r="R97" s="240"/>
      <c r="S97" s="240"/>
      <c r="W97" s="240"/>
      <c r="X97" s="240"/>
      <c r="Y97" s="240"/>
    </row>
    <row r="98" spans="1:25" hidden="1" outlineLevel="1">
      <c r="A98" s="1320">
        <f>MAX($A$7:A97)+1</f>
        <v>91</v>
      </c>
      <c r="B98" s="1321" t="s">
        <v>774</v>
      </c>
      <c r="C98" s="1321" t="s">
        <v>911</v>
      </c>
      <c r="D98" s="1321" t="s">
        <v>912</v>
      </c>
      <c r="E98" s="1340">
        <v>380.1</v>
      </c>
      <c r="F98" s="1323">
        <v>3181.96</v>
      </c>
      <c r="G98" s="1321"/>
      <c r="H98" s="1322">
        <f t="shared" si="5"/>
        <v>3181.96</v>
      </c>
      <c r="I98" s="1323"/>
      <c r="J98" s="1326"/>
      <c r="K98" s="1341">
        <v>44227</v>
      </c>
      <c r="L98" s="240"/>
      <c r="M98" s="241"/>
      <c r="N98" s="240"/>
      <c r="R98" s="240"/>
      <c r="S98" s="240"/>
      <c r="W98" s="240"/>
      <c r="X98" s="240"/>
      <c r="Y98" s="240"/>
    </row>
    <row r="99" spans="1:25" hidden="1" outlineLevel="1">
      <c r="A99" s="1320">
        <f>MAX($A$7:A98)+1</f>
        <v>92</v>
      </c>
      <c r="B99" s="1321" t="s">
        <v>774</v>
      </c>
      <c r="C99" s="1321" t="s">
        <v>913</v>
      </c>
      <c r="D99" s="1321" t="s">
        <v>914</v>
      </c>
      <c r="E99" s="1340">
        <v>376.3</v>
      </c>
      <c r="F99" s="1323">
        <v>25956.400000000001</v>
      </c>
      <c r="G99" s="1321"/>
      <c r="H99" s="1322">
        <f t="shared" si="5"/>
        <v>25956.400000000001</v>
      </c>
      <c r="I99" s="1323"/>
      <c r="J99" s="1326"/>
      <c r="K99" s="1341">
        <v>44312</v>
      </c>
      <c r="L99" s="240"/>
      <c r="M99" s="241"/>
      <c r="N99" s="240"/>
      <c r="R99" s="240"/>
      <c r="S99" s="240"/>
      <c r="W99" s="240"/>
      <c r="X99" s="240"/>
      <c r="Y99" s="240"/>
    </row>
    <row r="100" spans="1:25" hidden="1" outlineLevel="1">
      <c r="A100" s="1320">
        <f>MAX($A$7:A99)+1</f>
        <v>93</v>
      </c>
      <c r="B100" s="1321" t="s">
        <v>774</v>
      </c>
      <c r="C100" s="1321" t="s">
        <v>915</v>
      </c>
      <c r="D100" s="1321" t="s">
        <v>916</v>
      </c>
      <c r="E100" s="1340">
        <v>376.3</v>
      </c>
      <c r="F100" s="1323">
        <v>66694.42</v>
      </c>
      <c r="G100" s="1321"/>
      <c r="H100" s="1322">
        <f t="shared" si="5"/>
        <v>66694.42</v>
      </c>
      <c r="I100" s="1323"/>
      <c r="J100" s="1326"/>
      <c r="K100" s="1341">
        <v>44331</v>
      </c>
      <c r="L100" s="240"/>
      <c r="M100" s="241"/>
      <c r="N100" s="240"/>
      <c r="R100" s="240"/>
      <c r="S100" s="240"/>
      <c r="W100" s="240"/>
      <c r="X100" s="240"/>
      <c r="Y100" s="240"/>
    </row>
    <row r="101" spans="1:25" hidden="1" outlineLevel="1">
      <c r="A101" s="1320">
        <f>MAX($A$7:A100)+1</f>
        <v>94</v>
      </c>
      <c r="B101" s="1321" t="s">
        <v>774</v>
      </c>
      <c r="C101" s="1321" t="s">
        <v>917</v>
      </c>
      <c r="D101" s="1321" t="s">
        <v>918</v>
      </c>
      <c r="E101" s="1340">
        <v>379</v>
      </c>
      <c r="F101" s="1323">
        <v>7232.56</v>
      </c>
      <c r="G101" s="1321"/>
      <c r="H101" s="1322">
        <f t="shared" si="5"/>
        <v>7232.56</v>
      </c>
      <c r="I101" s="1323"/>
      <c r="J101" s="1326"/>
      <c r="K101" s="1341">
        <v>44278</v>
      </c>
      <c r="L101" s="240"/>
      <c r="M101" s="241"/>
      <c r="N101" s="240"/>
      <c r="R101" s="240"/>
      <c r="S101" s="240"/>
      <c r="W101" s="240"/>
      <c r="X101" s="240"/>
      <c r="Y101" s="240"/>
    </row>
    <row r="102" spans="1:25" hidden="1" outlineLevel="1">
      <c r="A102" s="1320">
        <f>MAX($A$7:A101)+1</f>
        <v>95</v>
      </c>
      <c r="B102" s="1321" t="s">
        <v>774</v>
      </c>
      <c r="C102" s="1321" t="s">
        <v>919</v>
      </c>
      <c r="D102" s="1321" t="s">
        <v>920</v>
      </c>
      <c r="E102" s="1340">
        <v>376.3</v>
      </c>
      <c r="F102" s="1323">
        <v>287.95999999999998</v>
      </c>
      <c r="G102" s="1321"/>
      <c r="H102" s="1322">
        <f t="shared" si="5"/>
        <v>287.95999999999998</v>
      </c>
      <c r="I102" s="1323"/>
      <c r="J102" s="1326"/>
      <c r="K102" s="1341">
        <v>44255</v>
      </c>
      <c r="L102" s="240"/>
      <c r="M102" s="241"/>
      <c r="N102" s="240"/>
      <c r="R102" s="240"/>
      <c r="S102" s="240"/>
      <c r="W102" s="240"/>
      <c r="X102" s="240"/>
      <c r="Y102" s="240"/>
    </row>
    <row r="103" spans="1:25" hidden="1" outlineLevel="1">
      <c r="A103" s="1320">
        <f>MAX($A$7:A102)+1</f>
        <v>96</v>
      </c>
      <c r="B103" s="1321" t="s">
        <v>774</v>
      </c>
      <c r="C103" s="1321" t="s">
        <v>921</v>
      </c>
      <c r="D103" s="1321" t="s">
        <v>922</v>
      </c>
      <c r="E103" s="1340">
        <v>376.2</v>
      </c>
      <c r="F103" s="1323">
        <v>414175.79000000004</v>
      </c>
      <c r="G103" s="1321"/>
      <c r="H103" s="1322">
        <f t="shared" si="5"/>
        <v>414175.79000000004</v>
      </c>
      <c r="I103" s="1323">
        <f>IF($O$7="Yes", H103, 0)</f>
        <v>0</v>
      </c>
      <c r="J103" s="1326"/>
      <c r="K103" s="1341">
        <v>44226</v>
      </c>
      <c r="L103" s="240"/>
      <c r="M103" s="241"/>
      <c r="N103" s="240"/>
      <c r="R103" s="240"/>
      <c r="S103" s="240"/>
      <c r="W103" s="240"/>
      <c r="X103" s="240"/>
      <c r="Y103" s="240"/>
    </row>
    <row r="104" spans="1:25" hidden="1" outlineLevel="1">
      <c r="A104" s="1320">
        <f>MAX($A$7:A103)+1</f>
        <v>97</v>
      </c>
      <c r="B104" s="1321" t="s">
        <v>774</v>
      </c>
      <c r="C104" s="1321" t="s">
        <v>923</v>
      </c>
      <c r="D104" s="1321" t="s">
        <v>924</v>
      </c>
      <c r="E104" s="1340">
        <v>376.3</v>
      </c>
      <c r="F104" s="1323">
        <v>4156.0200000000004</v>
      </c>
      <c r="G104" s="1321"/>
      <c r="H104" s="1322">
        <f t="shared" si="5"/>
        <v>4156.0200000000004</v>
      </c>
      <c r="I104" s="1323"/>
      <c r="J104" s="1326"/>
      <c r="K104" s="1341">
        <v>44271</v>
      </c>
      <c r="L104" s="240"/>
      <c r="M104" s="241"/>
      <c r="N104" s="240"/>
      <c r="R104" s="240"/>
      <c r="S104" s="240"/>
      <c r="W104" s="240"/>
      <c r="X104" s="240"/>
      <c r="Y104" s="240"/>
    </row>
    <row r="105" spans="1:25" hidden="1" outlineLevel="1">
      <c r="A105" s="1320">
        <f>MAX($A$7:A104)+1</f>
        <v>98</v>
      </c>
      <c r="B105" s="1321" t="s">
        <v>774</v>
      </c>
      <c r="C105" s="1321" t="s">
        <v>925</v>
      </c>
      <c r="D105" s="1321" t="s">
        <v>926</v>
      </c>
      <c r="E105" s="1340">
        <v>378</v>
      </c>
      <c r="F105" s="1323">
        <v>36523.51</v>
      </c>
      <c r="G105" s="1321"/>
      <c r="H105" s="1322">
        <f t="shared" si="5"/>
        <v>36523.51</v>
      </c>
      <c r="I105" s="1323"/>
      <c r="J105" s="1326"/>
      <c r="K105" s="1341">
        <v>44285</v>
      </c>
      <c r="L105" s="240"/>
      <c r="M105" s="241"/>
      <c r="N105" s="240"/>
      <c r="R105" s="240"/>
      <c r="S105" s="240"/>
      <c r="W105" s="240"/>
      <c r="X105" s="240"/>
      <c r="Y105" s="240"/>
    </row>
    <row r="106" spans="1:25" hidden="1" outlineLevel="1">
      <c r="A106" s="1320">
        <f>MAX($A$7:A105)+1</f>
        <v>99</v>
      </c>
      <c r="B106" s="1321" t="s">
        <v>774</v>
      </c>
      <c r="C106" s="1321" t="s">
        <v>927</v>
      </c>
      <c r="D106" s="1321" t="s">
        <v>928</v>
      </c>
      <c r="E106" s="1340">
        <v>378</v>
      </c>
      <c r="F106" s="1323">
        <v>100560.96000000001</v>
      </c>
      <c r="G106" s="1321"/>
      <c r="H106" s="1322">
        <f t="shared" si="5"/>
        <v>100560.96000000001</v>
      </c>
      <c r="I106" s="1323"/>
      <c r="J106" s="1326"/>
      <c r="K106" s="1341">
        <v>44298</v>
      </c>
      <c r="L106" s="240"/>
      <c r="M106" s="241" t="str">
        <f t="shared" ref="M106:M134" si="6">IFERROR(VLOOKUP(Q106, $AA$8:$AC$24, 3, FALSE), "")</f>
        <v/>
      </c>
      <c r="R106" s="240"/>
      <c r="S106" s="240"/>
      <c r="W106" s="240"/>
      <c r="X106" s="240"/>
      <c r="Y106" s="240"/>
    </row>
    <row r="107" spans="1:25" hidden="1" outlineLevel="1">
      <c r="A107" s="1320">
        <f>MAX($A$7:A106)+1</f>
        <v>100</v>
      </c>
      <c r="B107" s="1321" t="s">
        <v>774</v>
      </c>
      <c r="C107" s="1321" t="s">
        <v>929</v>
      </c>
      <c r="D107" s="1329" t="s">
        <v>930</v>
      </c>
      <c r="E107" s="1340">
        <v>378</v>
      </c>
      <c r="F107" s="1323">
        <v>77484.45</v>
      </c>
      <c r="G107" s="1321"/>
      <c r="H107" s="1322">
        <f t="shared" si="5"/>
        <v>77484.45</v>
      </c>
      <c r="I107" s="1323"/>
      <c r="J107" s="1326"/>
      <c r="K107" s="1341">
        <v>44287</v>
      </c>
      <c r="L107" s="240"/>
      <c r="M107" s="241" t="str">
        <f t="shared" si="6"/>
        <v/>
      </c>
      <c r="R107" s="240"/>
      <c r="S107" s="240"/>
      <c r="W107" s="240"/>
      <c r="X107" s="240"/>
      <c r="Y107" s="240"/>
    </row>
    <row r="108" spans="1:25" hidden="1" outlineLevel="1">
      <c r="A108" s="1320">
        <f>MAX($A$7:A107)+1</f>
        <v>101</v>
      </c>
      <c r="B108" s="1321" t="s">
        <v>774</v>
      </c>
      <c r="C108" s="1321" t="s">
        <v>931</v>
      </c>
      <c r="D108" s="1329" t="s">
        <v>932</v>
      </c>
      <c r="E108" s="1340">
        <v>378</v>
      </c>
      <c r="F108" s="1323">
        <v>2194.5700000000002</v>
      </c>
      <c r="G108" s="1321"/>
      <c r="H108" s="1322">
        <f t="shared" si="5"/>
        <v>2194.5700000000002</v>
      </c>
      <c r="I108" s="1323"/>
      <c r="J108" s="1326"/>
      <c r="K108" s="1328">
        <v>44287</v>
      </c>
      <c r="L108" s="239"/>
      <c r="M108" s="241" t="str">
        <f t="shared" si="6"/>
        <v/>
      </c>
      <c r="R108" s="240"/>
      <c r="S108" s="240"/>
      <c r="W108" s="240"/>
      <c r="X108" s="240"/>
      <c r="Y108" s="240"/>
    </row>
    <row r="109" spans="1:25" hidden="1" outlineLevel="1">
      <c r="A109" s="1320">
        <f>MAX($A$7:A108)+1</f>
        <v>102</v>
      </c>
      <c r="B109" s="1321" t="s">
        <v>774</v>
      </c>
      <c r="C109" s="1321" t="s">
        <v>933</v>
      </c>
      <c r="D109" s="1329" t="s">
        <v>934</v>
      </c>
      <c r="E109" s="1340">
        <v>376.3</v>
      </c>
      <c r="F109" s="1323">
        <v>57507.78</v>
      </c>
      <c r="G109" s="1321"/>
      <c r="H109" s="1322">
        <f t="shared" si="5"/>
        <v>57507.78</v>
      </c>
      <c r="I109" s="1323"/>
      <c r="J109" s="1326"/>
      <c r="K109" s="1328">
        <v>44252</v>
      </c>
      <c r="L109" s="240"/>
      <c r="M109" s="241" t="str">
        <f t="shared" si="6"/>
        <v/>
      </c>
      <c r="R109" s="240"/>
      <c r="S109" s="240"/>
      <c r="W109" s="240"/>
      <c r="X109" s="240"/>
      <c r="Y109" s="240"/>
    </row>
    <row r="110" spans="1:25" hidden="1" outlineLevel="1">
      <c r="A110" s="1320">
        <f>MAX($A$7:A109)+1</f>
        <v>103</v>
      </c>
      <c r="B110" s="1321" t="s">
        <v>774</v>
      </c>
      <c r="C110" s="1321" t="s">
        <v>935</v>
      </c>
      <c r="D110" s="1329" t="s">
        <v>936</v>
      </c>
      <c r="E110" s="1340">
        <v>391.1</v>
      </c>
      <c r="F110" s="1323">
        <v>44978.19</v>
      </c>
      <c r="G110" s="1342">
        <v>0.74890000000000001</v>
      </c>
      <c r="H110" s="1322">
        <f t="shared" si="5"/>
        <v>33684.166491000004</v>
      </c>
      <c r="I110" s="1323"/>
      <c r="J110" s="1326"/>
      <c r="K110" s="1328">
        <v>44287</v>
      </c>
      <c r="L110" s="240"/>
      <c r="M110" s="241" t="str">
        <f t="shared" si="6"/>
        <v/>
      </c>
      <c r="R110" s="240"/>
      <c r="S110" s="240"/>
      <c r="W110" s="240"/>
      <c r="X110" s="240"/>
      <c r="Y110" s="240"/>
    </row>
    <row r="111" spans="1:25" hidden="1" outlineLevel="1">
      <c r="A111" s="1320">
        <f>MAX($A$7:A110)+1</f>
        <v>104</v>
      </c>
      <c r="B111" s="1321" t="s">
        <v>774</v>
      </c>
      <c r="C111" s="1321" t="s">
        <v>937</v>
      </c>
      <c r="D111" s="1329" t="s">
        <v>938</v>
      </c>
      <c r="E111" s="1340">
        <v>378</v>
      </c>
      <c r="F111" s="1323">
        <v>45588.12</v>
      </c>
      <c r="G111" s="1321"/>
      <c r="H111" s="1322">
        <f t="shared" si="5"/>
        <v>45588.12</v>
      </c>
      <c r="I111" s="1323"/>
      <c r="J111" s="1326"/>
      <c r="K111" s="1328">
        <v>44214</v>
      </c>
      <c r="L111" s="239"/>
      <c r="M111" s="241" t="str">
        <f t="shared" si="6"/>
        <v/>
      </c>
      <c r="R111" s="240"/>
      <c r="S111" s="240"/>
      <c r="W111" s="240"/>
      <c r="X111" s="240"/>
      <c r="Y111" s="240"/>
    </row>
    <row r="112" spans="1:25" hidden="1" outlineLevel="1">
      <c r="A112" s="1320">
        <f>MAX($A$7:A111)+1</f>
        <v>105</v>
      </c>
      <c r="B112" s="1321" t="s">
        <v>774</v>
      </c>
      <c r="C112" s="1321" t="s">
        <v>939</v>
      </c>
      <c r="D112" s="1329" t="s">
        <v>940</v>
      </c>
      <c r="E112" s="1340">
        <v>380.3</v>
      </c>
      <c r="F112" s="1323">
        <v>13802.26</v>
      </c>
      <c r="G112" s="1321"/>
      <c r="H112" s="1322">
        <f t="shared" si="5"/>
        <v>13802.26</v>
      </c>
      <c r="I112" s="1323"/>
      <c r="J112" s="1326"/>
      <c r="K112" s="1328">
        <v>44205</v>
      </c>
      <c r="L112" s="240"/>
      <c r="M112" s="241" t="str">
        <f t="shared" si="6"/>
        <v/>
      </c>
      <c r="R112" s="240"/>
      <c r="S112" s="240"/>
      <c r="W112" s="240"/>
      <c r="X112" s="240"/>
      <c r="Y112" s="240"/>
    </row>
    <row r="113" spans="1:25" hidden="1" outlineLevel="1">
      <c r="A113" s="1320">
        <f>MAX($A$7:A112)+1</f>
        <v>106</v>
      </c>
      <c r="B113" s="1321" t="s">
        <v>774</v>
      </c>
      <c r="C113" s="1321" t="s">
        <v>941</v>
      </c>
      <c r="D113" s="1329" t="s">
        <v>942</v>
      </c>
      <c r="E113" s="1329">
        <v>376.3</v>
      </c>
      <c r="F113" s="1323">
        <v>10298.44</v>
      </c>
      <c r="G113" s="1321"/>
      <c r="H113" s="1322">
        <f t="shared" si="5"/>
        <v>10298.44</v>
      </c>
      <c r="I113" s="1323"/>
      <c r="J113" s="1326"/>
      <c r="K113" s="1328">
        <v>44201</v>
      </c>
      <c r="L113" s="240"/>
      <c r="M113" s="241" t="str">
        <f t="shared" si="6"/>
        <v/>
      </c>
      <c r="R113" s="240"/>
      <c r="S113" s="240"/>
      <c r="T113" s="240"/>
      <c r="W113" s="240"/>
      <c r="X113" s="240"/>
      <c r="Y113" s="240"/>
    </row>
    <row r="114" spans="1:25" hidden="1" outlineLevel="1">
      <c r="A114" s="1320">
        <f>MAX($A$7:A113)+1</f>
        <v>107</v>
      </c>
      <c r="B114" s="1321" t="s">
        <v>774</v>
      </c>
      <c r="C114" s="1321" t="s">
        <v>943</v>
      </c>
      <c r="D114" s="1329" t="s">
        <v>944</v>
      </c>
      <c r="E114" s="1329">
        <v>376.2</v>
      </c>
      <c r="F114" s="1323">
        <v>9058.19</v>
      </c>
      <c r="G114" s="1321"/>
      <c r="H114" s="1322">
        <f t="shared" si="5"/>
        <v>9058.19</v>
      </c>
      <c r="I114" s="1323"/>
      <c r="J114" s="1326"/>
      <c r="K114" s="1328">
        <v>44201</v>
      </c>
      <c r="L114" s="240"/>
      <c r="M114" s="241" t="str">
        <f t="shared" si="6"/>
        <v/>
      </c>
      <c r="R114" s="240"/>
      <c r="S114" s="240"/>
      <c r="T114" s="240"/>
      <c r="W114" s="240"/>
      <c r="X114" s="240"/>
      <c r="Y114" s="240"/>
    </row>
    <row r="115" spans="1:25" hidden="1" outlineLevel="1">
      <c r="A115" s="1320">
        <f>MAX($A$7:A114)+1</f>
        <v>108</v>
      </c>
      <c r="B115" s="1321" t="s">
        <v>774</v>
      </c>
      <c r="C115" s="1321" t="s">
        <v>945</v>
      </c>
      <c r="D115" s="1329" t="s">
        <v>946</v>
      </c>
      <c r="E115" s="1329">
        <v>376.2</v>
      </c>
      <c r="F115" s="1323">
        <v>17025.57</v>
      </c>
      <c r="G115" s="1321"/>
      <c r="H115" s="1322">
        <f t="shared" si="5"/>
        <v>17025.57</v>
      </c>
      <c r="I115" s="1323"/>
      <c r="J115" s="1326"/>
      <c r="K115" s="1328">
        <v>44198</v>
      </c>
      <c r="L115" s="240"/>
      <c r="M115" s="241" t="str">
        <f t="shared" si="6"/>
        <v/>
      </c>
      <c r="R115" s="240"/>
      <c r="S115" s="240"/>
      <c r="T115" s="240"/>
      <c r="W115" s="240"/>
      <c r="X115" s="240"/>
      <c r="Y115" s="240"/>
    </row>
    <row r="116" spans="1:25" hidden="1" outlineLevel="1">
      <c r="A116" s="1320">
        <f>MAX($A$7:A115)+1</f>
        <v>109</v>
      </c>
      <c r="B116" s="1321" t="s">
        <v>774</v>
      </c>
      <c r="C116" s="1321" t="s">
        <v>947</v>
      </c>
      <c r="D116" s="1329" t="s">
        <v>948</v>
      </c>
      <c r="E116" s="1340">
        <v>376.2</v>
      </c>
      <c r="F116" s="1323">
        <v>564861.29</v>
      </c>
      <c r="G116" s="1321"/>
      <c r="H116" s="1322">
        <f t="shared" si="5"/>
        <v>564861.29</v>
      </c>
      <c r="I116" s="1323">
        <f>IF($O$7="Yes", H116, 0)</f>
        <v>0</v>
      </c>
      <c r="J116" s="1326"/>
      <c r="K116" s="1328">
        <v>44253</v>
      </c>
      <c r="L116" s="240"/>
      <c r="M116" s="241" t="str">
        <f t="shared" si="6"/>
        <v/>
      </c>
      <c r="R116" s="240"/>
      <c r="S116" s="240"/>
      <c r="T116" s="240"/>
      <c r="W116" s="240"/>
      <c r="X116" s="240"/>
      <c r="Y116" s="240"/>
    </row>
    <row r="117" spans="1:25" hidden="1" outlineLevel="1">
      <c r="A117" s="1320">
        <f>MAX($A$7:A116)+1</f>
        <v>110</v>
      </c>
      <c r="B117" s="1321" t="s">
        <v>774</v>
      </c>
      <c r="C117" s="1321" t="s">
        <v>949</v>
      </c>
      <c r="D117" s="1329" t="s">
        <v>950</v>
      </c>
      <c r="E117" s="1340">
        <v>376.3</v>
      </c>
      <c r="F117" s="1323">
        <v>24341.67</v>
      </c>
      <c r="G117" s="1321"/>
      <c r="H117" s="1322">
        <f t="shared" si="5"/>
        <v>24341.67</v>
      </c>
      <c r="I117" s="1323"/>
      <c r="J117" s="1326"/>
      <c r="K117" s="1328">
        <v>44226</v>
      </c>
      <c r="L117" s="240"/>
      <c r="M117" s="241" t="str">
        <f t="shared" si="6"/>
        <v/>
      </c>
      <c r="R117" s="240"/>
      <c r="S117" s="240"/>
      <c r="T117" s="240"/>
      <c r="W117" s="240"/>
      <c r="X117" s="240"/>
      <c r="Y117" s="240"/>
    </row>
    <row r="118" spans="1:25" hidden="1" outlineLevel="1">
      <c r="A118" s="1320">
        <f>MAX($A$7:A117)+1</f>
        <v>111</v>
      </c>
      <c r="B118" s="1321" t="s">
        <v>774</v>
      </c>
      <c r="C118" s="1321" t="s">
        <v>951</v>
      </c>
      <c r="D118" s="1329" t="s">
        <v>952</v>
      </c>
      <c r="E118" s="1340">
        <v>376.3</v>
      </c>
      <c r="F118" s="1323">
        <v>52980.340000000004</v>
      </c>
      <c r="G118" s="1321"/>
      <c r="H118" s="1322">
        <f t="shared" si="5"/>
        <v>52980.340000000004</v>
      </c>
      <c r="I118" s="1323"/>
      <c r="J118" s="1326"/>
      <c r="K118" s="1328">
        <v>44228</v>
      </c>
      <c r="L118" s="240"/>
      <c r="M118" s="241" t="str">
        <f t="shared" si="6"/>
        <v/>
      </c>
      <c r="R118" s="240"/>
      <c r="S118" s="240"/>
      <c r="T118" s="240"/>
      <c r="W118" s="240"/>
      <c r="X118" s="240"/>
      <c r="Y118" s="240"/>
    </row>
    <row r="119" spans="1:25" hidden="1" outlineLevel="1">
      <c r="A119" s="1320">
        <f>MAX($A$7:A118)+1</f>
        <v>112</v>
      </c>
      <c r="B119" s="1321" t="s">
        <v>774</v>
      </c>
      <c r="C119" s="1321" t="s">
        <v>953</v>
      </c>
      <c r="D119" s="1329" t="s">
        <v>954</v>
      </c>
      <c r="E119" s="1340">
        <v>376.3</v>
      </c>
      <c r="F119" s="1323">
        <v>92472.55</v>
      </c>
      <c r="G119" s="1321"/>
      <c r="H119" s="1322">
        <f t="shared" si="5"/>
        <v>92472.55</v>
      </c>
      <c r="I119" s="1323"/>
      <c r="J119" s="1326"/>
      <c r="K119" s="1328">
        <v>44229</v>
      </c>
      <c r="L119" s="240"/>
      <c r="M119" s="241" t="str">
        <f t="shared" si="6"/>
        <v/>
      </c>
      <c r="R119" s="240"/>
      <c r="S119" s="240"/>
      <c r="T119" s="240"/>
      <c r="W119" s="240"/>
      <c r="X119" s="240"/>
      <c r="Y119" s="240"/>
    </row>
    <row r="120" spans="1:25" hidden="1" outlineLevel="1">
      <c r="A120" s="1320">
        <f>MAX($A$7:A119)+1</f>
        <v>113</v>
      </c>
      <c r="B120" s="1321" t="s">
        <v>774</v>
      </c>
      <c r="C120" s="1321" t="s">
        <v>939</v>
      </c>
      <c r="D120" s="1329" t="s">
        <v>955</v>
      </c>
      <c r="E120" s="1340">
        <v>380.3</v>
      </c>
      <c r="F120" s="1323">
        <v>51775.98</v>
      </c>
      <c r="G120" s="1321"/>
      <c r="H120" s="1322">
        <f t="shared" si="5"/>
        <v>51775.98</v>
      </c>
      <c r="I120" s="1323"/>
      <c r="J120" s="1326"/>
      <c r="K120" s="1328">
        <v>44211</v>
      </c>
      <c r="L120" s="240"/>
      <c r="M120" s="241" t="str">
        <f t="shared" si="6"/>
        <v/>
      </c>
      <c r="R120" s="240"/>
      <c r="S120" s="240"/>
      <c r="T120" s="240"/>
      <c r="W120" s="240"/>
      <c r="X120" s="240"/>
      <c r="Y120" s="240"/>
    </row>
    <row r="121" spans="1:25" hidden="1" outlineLevel="1">
      <c r="A121" s="1320">
        <f>MAX($A$7:A120)+1</f>
        <v>114</v>
      </c>
      <c r="B121" s="1321" t="s">
        <v>774</v>
      </c>
      <c r="C121" s="1321" t="s">
        <v>956</v>
      </c>
      <c r="D121" s="1329" t="s">
        <v>957</v>
      </c>
      <c r="E121" s="1340">
        <v>376.3</v>
      </c>
      <c r="F121" s="1323">
        <v>-64285.919999999998</v>
      </c>
      <c r="G121" s="1321"/>
      <c r="H121" s="1322">
        <f t="shared" si="5"/>
        <v>-64285.919999999998</v>
      </c>
      <c r="I121" s="1323"/>
      <c r="J121" s="1326"/>
      <c r="K121" s="1328">
        <v>44349</v>
      </c>
      <c r="L121" s="240"/>
      <c r="M121" s="241" t="str">
        <f t="shared" si="6"/>
        <v/>
      </c>
      <c r="O121" s="239"/>
      <c r="R121" s="240"/>
      <c r="S121" s="240"/>
      <c r="T121" s="240"/>
      <c r="W121" s="240"/>
      <c r="X121" s="240"/>
      <c r="Y121" s="240"/>
    </row>
    <row r="122" spans="1:25" hidden="1" outlineLevel="1">
      <c r="A122" s="1320">
        <f>MAX($A$7:A121)+1</f>
        <v>115</v>
      </c>
      <c r="B122" s="1321" t="s">
        <v>774</v>
      </c>
      <c r="C122" s="1321" t="s">
        <v>958</v>
      </c>
      <c r="D122" s="1329" t="s">
        <v>959</v>
      </c>
      <c r="E122" s="1340">
        <v>385.5</v>
      </c>
      <c r="F122" s="1323">
        <v>9132.6200000000008</v>
      </c>
      <c r="G122" s="1321"/>
      <c r="H122" s="1322">
        <f t="shared" si="5"/>
        <v>9132.6200000000008</v>
      </c>
      <c r="I122" s="1323"/>
      <c r="J122" s="1326"/>
      <c r="K122" s="1328">
        <v>44342</v>
      </c>
      <c r="L122" s="240"/>
      <c r="M122" s="241" t="str">
        <f t="shared" si="6"/>
        <v/>
      </c>
      <c r="O122" s="239"/>
      <c r="R122" s="240"/>
      <c r="S122" s="240"/>
      <c r="T122" s="240"/>
      <c r="W122" s="240"/>
      <c r="X122" s="240"/>
      <c r="Y122" s="240"/>
    </row>
    <row r="123" spans="1:25" hidden="1" outlineLevel="1">
      <c r="A123" s="1320">
        <f>MAX($A$7:A122)+1</f>
        <v>116</v>
      </c>
      <c r="B123" s="1321" t="s">
        <v>774</v>
      </c>
      <c r="C123" s="1321" t="s">
        <v>960</v>
      </c>
      <c r="D123" s="1329" t="s">
        <v>961</v>
      </c>
      <c r="E123" s="1340">
        <v>376.3</v>
      </c>
      <c r="F123" s="1323">
        <v>1971.33</v>
      </c>
      <c r="G123" s="1321"/>
      <c r="H123" s="1322">
        <f t="shared" si="5"/>
        <v>1971.33</v>
      </c>
      <c r="I123" s="1323"/>
      <c r="J123" s="1326"/>
      <c r="K123" s="1328">
        <v>44331</v>
      </c>
      <c r="L123" s="240"/>
      <c r="M123" s="241" t="str">
        <f t="shared" si="6"/>
        <v/>
      </c>
      <c r="O123" s="239"/>
      <c r="R123" s="240"/>
      <c r="S123" s="240"/>
      <c r="T123" s="240"/>
      <c r="W123" s="240"/>
      <c r="X123" s="240"/>
      <c r="Y123" s="240"/>
    </row>
    <row r="124" spans="1:25" hidden="1" outlineLevel="1">
      <c r="A124" s="1320">
        <f>MAX($A$7:A123)+1</f>
        <v>117</v>
      </c>
      <c r="B124" s="1321" t="s">
        <v>774</v>
      </c>
      <c r="C124" s="1321" t="s">
        <v>962</v>
      </c>
      <c r="D124" s="1329" t="s">
        <v>963</v>
      </c>
      <c r="E124" s="1340">
        <v>376.3</v>
      </c>
      <c r="F124" s="1323">
        <v>59.36</v>
      </c>
      <c r="G124" s="1321"/>
      <c r="H124" s="1322">
        <f t="shared" si="5"/>
        <v>59.36</v>
      </c>
      <c r="I124" s="1323"/>
      <c r="J124" s="1326"/>
      <c r="K124" s="1328">
        <v>44256</v>
      </c>
      <c r="L124" s="240"/>
      <c r="M124" s="241" t="str">
        <f t="shared" si="6"/>
        <v/>
      </c>
      <c r="O124" s="239"/>
      <c r="R124" s="240"/>
      <c r="S124" s="240"/>
      <c r="T124" s="240"/>
      <c r="W124" s="240"/>
      <c r="X124" s="240"/>
      <c r="Y124" s="240"/>
    </row>
    <row r="125" spans="1:25" hidden="1" outlineLevel="1">
      <c r="A125" s="1320">
        <f>MAX($A$7:A124)+1</f>
        <v>118</v>
      </c>
      <c r="B125" s="1321" t="s">
        <v>774</v>
      </c>
      <c r="C125" s="1321" t="s">
        <v>964</v>
      </c>
      <c r="D125" s="1329" t="s">
        <v>965</v>
      </c>
      <c r="E125" s="1340">
        <v>380.3</v>
      </c>
      <c r="F125" s="1323">
        <v>190.11</v>
      </c>
      <c r="G125" s="1321"/>
      <c r="H125" s="1322">
        <f t="shared" si="5"/>
        <v>190.11</v>
      </c>
      <c r="I125" s="1323"/>
      <c r="J125" s="1326"/>
      <c r="K125" s="1328">
        <v>44438</v>
      </c>
      <c r="L125" s="240"/>
      <c r="M125" s="241" t="str">
        <f t="shared" si="6"/>
        <v/>
      </c>
      <c r="O125" s="239"/>
      <c r="R125" s="240"/>
      <c r="S125" s="240"/>
      <c r="T125" s="240"/>
      <c r="W125" s="240"/>
      <c r="X125" s="240"/>
      <c r="Y125" s="240"/>
    </row>
    <row r="126" spans="1:25" hidden="1" outlineLevel="1">
      <c r="A126" s="1320">
        <f>MAX($A$7:A125)+1</f>
        <v>119</v>
      </c>
      <c r="B126" s="1321" t="s">
        <v>774</v>
      </c>
      <c r="C126" s="1321" t="s">
        <v>966</v>
      </c>
      <c r="D126" s="1329" t="s">
        <v>967</v>
      </c>
      <c r="E126" s="1340">
        <v>376.3</v>
      </c>
      <c r="F126" s="1323">
        <v>87.37</v>
      </c>
      <c r="G126" s="1321"/>
      <c r="H126" s="1322">
        <f t="shared" si="5"/>
        <v>87.37</v>
      </c>
      <c r="I126" s="1323"/>
      <c r="J126" s="1326"/>
      <c r="K126" s="1328">
        <v>44228</v>
      </c>
      <c r="L126" s="240"/>
      <c r="M126" s="241" t="str">
        <f t="shared" si="6"/>
        <v/>
      </c>
      <c r="O126" s="239"/>
      <c r="R126" s="240"/>
      <c r="S126" s="240"/>
      <c r="T126" s="240"/>
      <c r="W126" s="240"/>
      <c r="X126" s="240"/>
      <c r="Y126" s="240"/>
    </row>
    <row r="127" spans="1:25" hidden="1" outlineLevel="1">
      <c r="A127" s="1320">
        <f>MAX($A$7:A126)+1</f>
        <v>120</v>
      </c>
      <c r="B127" s="1321" t="s">
        <v>774</v>
      </c>
      <c r="C127" s="1321" t="s">
        <v>968</v>
      </c>
      <c r="D127" s="1329" t="s">
        <v>969</v>
      </c>
      <c r="E127" s="1340">
        <v>376.3</v>
      </c>
      <c r="F127" s="1323">
        <v>-4271.95</v>
      </c>
      <c r="G127" s="1321"/>
      <c r="H127" s="1322">
        <f t="shared" si="5"/>
        <v>-4271.95</v>
      </c>
      <c r="I127" s="1323"/>
      <c r="J127" s="1326"/>
      <c r="K127" s="1328">
        <v>44377</v>
      </c>
      <c r="L127" s="240"/>
      <c r="M127" s="241" t="str">
        <f t="shared" si="6"/>
        <v/>
      </c>
      <c r="O127" s="239"/>
      <c r="R127" s="240"/>
      <c r="S127" s="240"/>
      <c r="T127" s="240"/>
      <c r="W127" s="240"/>
      <c r="X127" s="240"/>
      <c r="Y127" s="240"/>
    </row>
    <row r="128" spans="1:25" hidden="1" outlineLevel="1">
      <c r="A128" s="1320">
        <f>MAX($A$7:A127)+1</f>
        <v>121</v>
      </c>
      <c r="B128" s="1321" t="s">
        <v>774</v>
      </c>
      <c r="C128" s="1321" t="s">
        <v>970</v>
      </c>
      <c r="D128" s="1329" t="s">
        <v>971</v>
      </c>
      <c r="E128" s="1340">
        <v>376.1</v>
      </c>
      <c r="F128" s="1323">
        <v>2803.36</v>
      </c>
      <c r="G128" s="1321"/>
      <c r="H128" s="1322">
        <f t="shared" si="5"/>
        <v>2803.36</v>
      </c>
      <c r="I128" s="1323"/>
      <c r="J128" s="1326"/>
      <c r="K128" s="1341">
        <v>44225</v>
      </c>
      <c r="L128" s="240"/>
      <c r="M128" s="241" t="str">
        <f t="shared" si="6"/>
        <v/>
      </c>
      <c r="O128" s="239"/>
      <c r="R128" s="240"/>
      <c r="S128" s="240"/>
      <c r="T128" s="240"/>
      <c r="W128" s="240"/>
      <c r="X128" s="240"/>
      <c r="Y128" s="240"/>
    </row>
    <row r="129" spans="1:25" hidden="1" outlineLevel="1">
      <c r="A129" s="1320">
        <f>MAX($A$7:A128)+1</f>
        <v>122</v>
      </c>
      <c r="B129" s="1321" t="s">
        <v>774</v>
      </c>
      <c r="C129" s="1321" t="s">
        <v>874</v>
      </c>
      <c r="D129" s="1329" t="s">
        <v>972</v>
      </c>
      <c r="E129" s="1340">
        <v>376.3</v>
      </c>
      <c r="F129" s="1323">
        <v>1065.17</v>
      </c>
      <c r="G129" s="1321"/>
      <c r="H129" s="1322">
        <f t="shared" si="5"/>
        <v>1065.17</v>
      </c>
      <c r="I129" s="1323"/>
      <c r="J129" s="1326"/>
      <c r="K129" s="1328">
        <v>44228</v>
      </c>
      <c r="L129" s="240"/>
      <c r="M129" s="241" t="str">
        <f t="shared" si="6"/>
        <v/>
      </c>
      <c r="O129" s="239"/>
      <c r="R129" s="240"/>
      <c r="S129" s="240"/>
      <c r="T129" s="240"/>
      <c r="W129" s="240"/>
      <c r="X129" s="240"/>
      <c r="Y129" s="240"/>
    </row>
    <row r="130" spans="1:25" hidden="1" outlineLevel="1">
      <c r="A130" s="1320">
        <f>MAX($A$7:A129)+1</f>
        <v>123</v>
      </c>
      <c r="B130" s="1321" t="s">
        <v>774</v>
      </c>
      <c r="C130" s="1321" t="s">
        <v>973</v>
      </c>
      <c r="D130" s="1329" t="s">
        <v>974</v>
      </c>
      <c r="E130" s="1340">
        <v>376.3</v>
      </c>
      <c r="F130" s="1323">
        <v>-5324.56</v>
      </c>
      <c r="G130" s="1321"/>
      <c r="H130" s="1322">
        <f t="shared" si="5"/>
        <v>-5324.56</v>
      </c>
      <c r="I130" s="1323"/>
      <c r="J130" s="1326"/>
      <c r="K130" s="1328">
        <v>44242</v>
      </c>
      <c r="L130" s="240"/>
      <c r="M130" s="241" t="str">
        <f t="shared" si="6"/>
        <v/>
      </c>
      <c r="O130" s="239"/>
      <c r="R130" s="240"/>
      <c r="S130" s="240"/>
      <c r="T130" s="240"/>
      <c r="W130" s="240"/>
      <c r="X130" s="240"/>
      <c r="Y130" s="240"/>
    </row>
    <row r="131" spans="1:25" hidden="1" outlineLevel="1">
      <c r="A131" s="1320">
        <f>MAX($A$7:A130)+1</f>
        <v>124</v>
      </c>
      <c r="B131" s="1321" t="s">
        <v>774</v>
      </c>
      <c r="C131" s="1321" t="s">
        <v>975</v>
      </c>
      <c r="D131" s="1329" t="s">
        <v>976</v>
      </c>
      <c r="E131" s="1340">
        <v>376.3</v>
      </c>
      <c r="F131" s="1323">
        <v>919.06000000000006</v>
      </c>
      <c r="G131" s="1321"/>
      <c r="H131" s="1322">
        <f t="shared" si="5"/>
        <v>919.06000000000006</v>
      </c>
      <c r="I131" s="1323"/>
      <c r="J131" s="1326"/>
      <c r="K131" s="1328">
        <v>44256</v>
      </c>
      <c r="L131" s="240"/>
      <c r="M131" s="241" t="str">
        <f t="shared" si="6"/>
        <v/>
      </c>
      <c r="O131" s="239"/>
      <c r="R131" s="240"/>
      <c r="S131" s="240"/>
      <c r="T131" s="240"/>
      <c r="W131" s="240"/>
      <c r="X131" s="240"/>
      <c r="Y131" s="240"/>
    </row>
    <row r="132" spans="1:25" hidden="1" outlineLevel="1">
      <c r="A132" s="1320">
        <f>MAX($A$7:A131)+1</f>
        <v>125</v>
      </c>
      <c r="B132" s="1321" t="s">
        <v>774</v>
      </c>
      <c r="C132" s="1321" t="s">
        <v>977</v>
      </c>
      <c r="D132" s="1329" t="s">
        <v>978</v>
      </c>
      <c r="E132" s="1340">
        <v>376.2</v>
      </c>
      <c r="F132" s="1323">
        <v>171781.69</v>
      </c>
      <c r="G132" s="1321"/>
      <c r="H132" s="1322">
        <f t="shared" si="5"/>
        <v>171781.69</v>
      </c>
      <c r="I132" s="1323"/>
      <c r="J132" s="1326"/>
      <c r="K132" s="1328">
        <v>44253</v>
      </c>
      <c r="L132" s="240"/>
      <c r="M132" s="241" t="str">
        <f t="shared" si="6"/>
        <v/>
      </c>
      <c r="O132" s="239"/>
      <c r="R132" s="240"/>
      <c r="S132" s="240"/>
      <c r="T132" s="240"/>
      <c r="W132" s="240"/>
      <c r="X132" s="240"/>
      <c r="Y132" s="240"/>
    </row>
    <row r="133" spans="1:25" hidden="1" outlineLevel="1">
      <c r="A133" s="1320">
        <f>MAX($A$7:A132)+1</f>
        <v>126</v>
      </c>
      <c r="B133" s="1321" t="s">
        <v>774</v>
      </c>
      <c r="C133" s="1321"/>
      <c r="D133" s="1329"/>
      <c r="E133" s="1322"/>
      <c r="F133" s="1323">
        <v>0</v>
      </c>
      <c r="G133" s="1342">
        <v>0.74890000000000001</v>
      </c>
      <c r="H133" s="1322">
        <f t="shared" si="5"/>
        <v>0</v>
      </c>
      <c r="I133" s="1323"/>
      <c r="J133" s="1326"/>
      <c r="K133" s="1328"/>
      <c r="L133" s="240"/>
      <c r="M133" s="241" t="str">
        <f t="shared" si="6"/>
        <v/>
      </c>
      <c r="O133" s="239"/>
      <c r="R133" s="240"/>
      <c r="S133" s="240"/>
      <c r="T133" s="240"/>
      <c r="W133" s="240"/>
      <c r="X133" s="240"/>
      <c r="Y133" s="240"/>
    </row>
    <row r="134" spans="1:25" hidden="1" outlineLevel="1">
      <c r="A134" s="1320">
        <f>MAX($A$7:A133)+1</f>
        <v>127</v>
      </c>
      <c r="B134" s="1330"/>
      <c r="C134" s="1330"/>
      <c r="D134" s="1331" t="s">
        <v>979</v>
      </c>
      <c r="E134" s="1332"/>
      <c r="F134" s="1332">
        <f>SUM(F23:F133)</f>
        <v>35055080.05999998</v>
      </c>
      <c r="G134" s="1330"/>
      <c r="H134" s="1332">
        <f>SUM(H23:H133)</f>
        <v>35043786.036490984</v>
      </c>
      <c r="I134" s="1332">
        <f>SUM(I23:I133)</f>
        <v>0</v>
      </c>
      <c r="J134" s="1333"/>
      <c r="K134" s="1334"/>
      <c r="L134" s="240"/>
      <c r="M134" s="241" t="str">
        <f t="shared" si="6"/>
        <v/>
      </c>
      <c r="R134" s="240"/>
      <c r="S134" s="240"/>
      <c r="W134" s="240"/>
      <c r="X134" s="240"/>
      <c r="Y134" s="240"/>
    </row>
    <row r="135" spans="1:25" hidden="1" outlineLevel="1">
      <c r="A135" s="1320">
        <f>MAX($A$7:A134)+1</f>
        <v>128</v>
      </c>
      <c r="B135" s="1335"/>
      <c r="C135" s="1335"/>
      <c r="D135" s="1343"/>
      <c r="E135" s="1322"/>
      <c r="F135" s="1322"/>
      <c r="G135" s="1335"/>
      <c r="H135" s="1322"/>
      <c r="I135" s="1322"/>
      <c r="J135" s="1336"/>
      <c r="K135" s="1344">
        <v>44256</v>
      </c>
      <c r="L135" s="240"/>
      <c r="M135" s="241"/>
      <c r="R135" s="240"/>
      <c r="S135" s="240"/>
      <c r="W135" s="240"/>
      <c r="X135" s="240"/>
      <c r="Y135" s="240"/>
    </row>
    <row r="136" spans="1:25" hidden="1" outlineLevel="1">
      <c r="A136" s="1320">
        <f>MAX($A$7:A135)+1</f>
        <v>129</v>
      </c>
      <c r="B136" s="1321" t="s">
        <v>980</v>
      </c>
      <c r="C136" s="1321" t="s">
        <v>981</v>
      </c>
      <c r="D136" s="1321" t="s">
        <v>982</v>
      </c>
      <c r="E136" s="1338">
        <v>390.1</v>
      </c>
      <c r="F136" s="1323">
        <v>2181680.04</v>
      </c>
      <c r="G136" s="1321"/>
      <c r="H136" s="1322">
        <f t="shared" ref="H136:H187" si="7">IF(ISBLANK(G136), F136, G136*F136)</f>
        <v>2181680.04</v>
      </c>
      <c r="I136" s="1323">
        <f>IF($O$7="Yes", H136, 0)</f>
        <v>0</v>
      </c>
      <c r="J136" s="1326"/>
      <c r="K136" s="1341">
        <v>44253</v>
      </c>
      <c r="L136" s="240"/>
      <c r="M136" s="241" t="str">
        <f t="shared" ref="M136:M187" si="8">IFERROR(VLOOKUP(Q136, $AA$8:$AC$24, 3, FALSE), "")</f>
        <v/>
      </c>
      <c r="R136" s="240"/>
      <c r="S136" s="240"/>
      <c r="W136" s="240"/>
      <c r="X136" s="240"/>
      <c r="Y136" s="240"/>
    </row>
    <row r="137" spans="1:25" hidden="1" outlineLevel="1">
      <c r="A137" s="1320">
        <f>MAX($A$7:A136)+1</f>
        <v>130</v>
      </c>
      <c r="B137" s="1321" t="s">
        <v>980</v>
      </c>
      <c r="C137" s="1321" t="s">
        <v>983</v>
      </c>
      <c r="D137" s="1321" t="s">
        <v>984</v>
      </c>
      <c r="E137" s="1338">
        <v>397.2</v>
      </c>
      <c r="F137" s="1323">
        <v>44654.15</v>
      </c>
      <c r="G137" s="1324">
        <f>+G138</f>
        <v>0.74890000000000001</v>
      </c>
      <c r="H137" s="1322">
        <f t="shared" si="7"/>
        <v>33441.492935000002</v>
      </c>
      <c r="I137" s="1323"/>
      <c r="J137" s="1326"/>
      <c r="K137" s="1341"/>
      <c r="L137" s="240"/>
      <c r="M137" s="241"/>
      <c r="R137" s="240"/>
      <c r="S137" s="240"/>
      <c r="W137" s="240"/>
      <c r="X137" s="240"/>
      <c r="Y137" s="240"/>
    </row>
    <row r="138" spans="1:25" hidden="1" outlineLevel="1">
      <c r="A138" s="1320">
        <f>MAX($A$7:A137)+1</f>
        <v>131</v>
      </c>
      <c r="B138" s="1321" t="s">
        <v>980</v>
      </c>
      <c r="C138" s="1321" t="s">
        <v>985</v>
      </c>
      <c r="D138" s="1321" t="s">
        <v>986</v>
      </c>
      <c r="E138" s="1338">
        <v>394.1</v>
      </c>
      <c r="F138" s="1323">
        <v>15691.4</v>
      </c>
      <c r="G138" s="1342">
        <v>0.74890000000000001</v>
      </c>
      <c r="H138" s="1322">
        <f t="shared" si="7"/>
        <v>11751.28946</v>
      </c>
      <c r="I138" s="1323"/>
      <c r="J138" s="1326"/>
      <c r="K138" s="1341"/>
      <c r="L138" s="240"/>
      <c r="M138" s="241"/>
      <c r="R138" s="240"/>
      <c r="S138" s="240"/>
      <c r="W138" s="240"/>
      <c r="X138" s="240"/>
      <c r="Y138" s="240"/>
    </row>
    <row r="139" spans="1:25" hidden="1" outlineLevel="1">
      <c r="A139" s="1320">
        <f>MAX($A$7:A138)+1</f>
        <v>132</v>
      </c>
      <c r="B139" s="1321" t="s">
        <v>980</v>
      </c>
      <c r="C139" s="1321" t="s">
        <v>987</v>
      </c>
      <c r="D139" s="1321" t="s">
        <v>988</v>
      </c>
      <c r="E139" s="1338">
        <v>397.2</v>
      </c>
      <c r="F139" s="1323">
        <v>92494.8</v>
      </c>
      <c r="G139" s="1342">
        <v>0.74890000000000001</v>
      </c>
      <c r="H139" s="1322">
        <f t="shared" si="7"/>
        <v>69269.355720000007</v>
      </c>
      <c r="I139" s="1323"/>
      <c r="J139" s="1326"/>
      <c r="K139" s="1341"/>
      <c r="L139" s="240"/>
      <c r="M139" s="241"/>
      <c r="R139" s="240"/>
      <c r="S139" s="240"/>
      <c r="W139" s="240"/>
      <c r="X139" s="240"/>
      <c r="Y139" s="240"/>
    </row>
    <row r="140" spans="1:25" hidden="1" outlineLevel="1">
      <c r="A140" s="1320">
        <f>MAX($A$7:A139)+1</f>
        <v>133</v>
      </c>
      <c r="B140" s="1321" t="s">
        <v>980</v>
      </c>
      <c r="C140" s="1321" t="s">
        <v>989</v>
      </c>
      <c r="D140" s="1329" t="s">
        <v>990</v>
      </c>
      <c r="E140" s="1338">
        <v>391.3</v>
      </c>
      <c r="F140" s="1323">
        <v>100394</v>
      </c>
      <c r="G140" s="1324">
        <f>+G133</f>
        <v>0.74890000000000001</v>
      </c>
      <c r="H140" s="1322">
        <f t="shared" si="7"/>
        <v>75185.066600000006</v>
      </c>
      <c r="I140" s="1323"/>
      <c r="J140" s="1326"/>
      <c r="K140" s="1341"/>
      <c r="L140" s="240"/>
      <c r="M140" s="241"/>
      <c r="R140" s="240"/>
      <c r="S140" s="240"/>
      <c r="W140" s="240"/>
      <c r="X140" s="240"/>
      <c r="Y140" s="240"/>
    </row>
    <row r="141" spans="1:25" hidden="1" outlineLevel="1">
      <c r="A141" s="1320">
        <f>MAX($A$7:A140)+1</f>
        <v>134</v>
      </c>
      <c r="B141" s="1321" t="s">
        <v>980</v>
      </c>
      <c r="C141" s="1321" t="s">
        <v>991</v>
      </c>
      <c r="D141" s="1321" t="s">
        <v>992</v>
      </c>
      <c r="E141" s="1338">
        <v>390.1</v>
      </c>
      <c r="F141" s="1323">
        <v>37877.74</v>
      </c>
      <c r="G141" s="1321"/>
      <c r="H141" s="1322">
        <f t="shared" si="7"/>
        <v>37877.74</v>
      </c>
      <c r="I141" s="1323"/>
      <c r="J141" s="1326"/>
      <c r="K141" s="1341">
        <v>44409</v>
      </c>
      <c r="L141" s="240"/>
      <c r="M141" s="241" t="str">
        <f t="shared" si="8"/>
        <v/>
      </c>
      <c r="R141" s="240"/>
      <c r="S141" s="240"/>
      <c r="W141" s="240"/>
      <c r="X141" s="240"/>
      <c r="Y141" s="240"/>
    </row>
    <row r="142" spans="1:25" hidden="1" outlineLevel="1">
      <c r="A142" s="1320">
        <f>MAX($A$7:A141)+1</f>
        <v>135</v>
      </c>
      <c r="B142" s="1321" t="s">
        <v>980</v>
      </c>
      <c r="C142" s="1321" t="s">
        <v>993</v>
      </c>
      <c r="D142" s="1321" t="s">
        <v>994</v>
      </c>
      <c r="E142" s="1338">
        <v>390.1</v>
      </c>
      <c r="F142" s="1323">
        <v>64392.160000000003</v>
      </c>
      <c r="G142" s="1321"/>
      <c r="H142" s="1322">
        <f t="shared" si="7"/>
        <v>64392.160000000003</v>
      </c>
      <c r="I142" s="1323"/>
      <c r="J142" s="1326"/>
      <c r="K142" s="1341">
        <v>44515</v>
      </c>
      <c r="L142" s="240"/>
      <c r="M142" s="241" t="str">
        <f t="shared" si="8"/>
        <v/>
      </c>
      <c r="R142" s="240"/>
      <c r="S142" s="240"/>
      <c r="W142" s="240"/>
      <c r="X142" s="240"/>
      <c r="Y142" s="240"/>
    </row>
    <row r="143" spans="1:25" hidden="1" outlineLevel="1">
      <c r="A143" s="1320">
        <f>MAX($A$7:A142)+1</f>
        <v>136</v>
      </c>
      <c r="B143" s="1321" t="s">
        <v>980</v>
      </c>
      <c r="C143" s="1321" t="s">
        <v>995</v>
      </c>
      <c r="D143" s="1321" t="s">
        <v>996</v>
      </c>
      <c r="E143" s="1338">
        <v>390.1</v>
      </c>
      <c r="F143" s="1323">
        <v>264258.41000000003</v>
      </c>
      <c r="G143" s="1324"/>
      <c r="H143" s="1322">
        <f t="shared" si="7"/>
        <v>264258.41000000003</v>
      </c>
      <c r="I143" s="1323">
        <f>IF($O$7="Yes", H143, 0)</f>
        <v>0</v>
      </c>
      <c r="J143" s="1326"/>
      <c r="K143" s="1341">
        <v>44530</v>
      </c>
      <c r="L143" s="240"/>
      <c r="M143" s="241" t="str">
        <f t="shared" si="8"/>
        <v/>
      </c>
      <c r="R143" s="240"/>
      <c r="S143" s="240"/>
      <c r="W143" s="240"/>
      <c r="X143" s="240"/>
      <c r="Y143" s="240"/>
    </row>
    <row r="144" spans="1:25" hidden="1" outlineLevel="1">
      <c r="A144" s="1320">
        <f>MAX($A$7:A143)+1</f>
        <v>137</v>
      </c>
      <c r="B144" s="1321" t="s">
        <v>980</v>
      </c>
      <c r="C144" s="1321" t="s">
        <v>997</v>
      </c>
      <c r="D144" s="1321" t="s">
        <v>998</v>
      </c>
      <c r="E144" s="1338">
        <v>390.1</v>
      </c>
      <c r="F144" s="1323">
        <v>56036.53</v>
      </c>
      <c r="G144" s="1324"/>
      <c r="H144" s="1322">
        <f t="shared" si="7"/>
        <v>56036.53</v>
      </c>
      <c r="I144" s="1323"/>
      <c r="J144" s="1326"/>
      <c r="K144" s="1341">
        <v>44469</v>
      </c>
      <c r="L144" s="240"/>
      <c r="M144" s="241" t="str">
        <f t="shared" si="8"/>
        <v/>
      </c>
      <c r="R144" s="240"/>
      <c r="S144" s="240"/>
      <c r="W144" s="240"/>
      <c r="X144" s="240"/>
      <c r="Y144" s="240"/>
    </row>
    <row r="145" spans="1:25" hidden="1" outlineLevel="1">
      <c r="A145" s="1320">
        <f>MAX($A$7:A144)+1</f>
        <v>138</v>
      </c>
      <c r="B145" s="1321" t="s">
        <v>980</v>
      </c>
      <c r="C145" s="1321" t="s">
        <v>999</v>
      </c>
      <c r="D145" s="1321" t="s">
        <v>1000</v>
      </c>
      <c r="E145" s="1338">
        <v>394.1</v>
      </c>
      <c r="F145" s="1323">
        <v>4482.74</v>
      </c>
      <c r="G145" s="1324"/>
      <c r="H145" s="1322">
        <f t="shared" si="7"/>
        <v>4482.74</v>
      </c>
      <c r="I145" s="1323"/>
      <c r="J145" s="1326"/>
      <c r="K145" s="1341">
        <v>44256</v>
      </c>
      <c r="L145" s="240"/>
      <c r="M145" s="241" t="str">
        <f t="shared" si="8"/>
        <v/>
      </c>
      <c r="N145" s="238"/>
      <c r="R145" s="240"/>
      <c r="S145" s="240"/>
      <c r="W145" s="240"/>
      <c r="X145" s="240"/>
      <c r="Y145" s="240"/>
    </row>
    <row r="146" spans="1:25" hidden="1" outlineLevel="1">
      <c r="A146" s="1320">
        <f>MAX($A$7:A145)+1</f>
        <v>139</v>
      </c>
      <c r="B146" s="1321" t="s">
        <v>980</v>
      </c>
      <c r="C146" s="1321" t="s">
        <v>1001</v>
      </c>
      <c r="D146" s="1321" t="s">
        <v>1002</v>
      </c>
      <c r="E146" s="1338">
        <v>394.1</v>
      </c>
      <c r="F146" s="1323">
        <v>75705.040000000008</v>
      </c>
      <c r="G146" s="1324"/>
      <c r="H146" s="1322">
        <f t="shared" si="7"/>
        <v>75705.040000000008</v>
      </c>
      <c r="I146" s="1323"/>
      <c r="J146" s="1326"/>
      <c r="K146" s="1341">
        <v>44286</v>
      </c>
      <c r="L146" s="240"/>
      <c r="M146" s="241" t="str">
        <f t="shared" si="8"/>
        <v/>
      </c>
      <c r="N146" s="238"/>
      <c r="R146" s="240"/>
      <c r="S146" s="240"/>
      <c r="W146" s="240"/>
      <c r="X146" s="240"/>
      <c r="Y146" s="240"/>
    </row>
    <row r="147" spans="1:25" hidden="1" outlineLevel="1">
      <c r="A147" s="1320">
        <f>MAX($A$7:A146)+1</f>
        <v>140</v>
      </c>
      <c r="B147" s="1321" t="s">
        <v>980</v>
      </c>
      <c r="C147" s="1321" t="s">
        <v>1003</v>
      </c>
      <c r="D147" s="1321" t="s">
        <v>1004</v>
      </c>
      <c r="E147" s="1338">
        <v>394.1</v>
      </c>
      <c r="F147" s="1323">
        <f>22109.44+20423.19</f>
        <v>42532.63</v>
      </c>
      <c r="G147" s="1321"/>
      <c r="H147" s="1322">
        <f t="shared" si="7"/>
        <v>42532.63</v>
      </c>
      <c r="I147" s="1323"/>
      <c r="J147" s="1326"/>
      <c r="K147" s="1341">
        <v>44352</v>
      </c>
      <c r="L147" s="240"/>
      <c r="M147" s="241" t="str">
        <f t="shared" si="8"/>
        <v/>
      </c>
      <c r="N147" s="238"/>
      <c r="R147" s="240"/>
      <c r="S147" s="240"/>
      <c r="W147" s="240"/>
      <c r="X147" s="240"/>
      <c r="Y147" s="240"/>
    </row>
    <row r="148" spans="1:25" hidden="1" outlineLevel="1">
      <c r="A148" s="1320">
        <f>MAX($A$7:A147)+1</f>
        <v>141</v>
      </c>
      <c r="B148" s="1321" t="s">
        <v>980</v>
      </c>
      <c r="C148" s="1321" t="s">
        <v>1005</v>
      </c>
      <c r="D148" s="1321" t="s">
        <v>1006</v>
      </c>
      <c r="E148" s="1338">
        <v>394.1</v>
      </c>
      <c r="F148" s="1323">
        <f>2105.93+1866.38</f>
        <v>3972.31</v>
      </c>
      <c r="G148" s="1321"/>
      <c r="H148" s="1322">
        <f t="shared" si="7"/>
        <v>3972.31</v>
      </c>
      <c r="I148" s="1323"/>
      <c r="J148" s="1326"/>
      <c r="K148" s="1341">
        <v>44353</v>
      </c>
      <c r="L148" s="240"/>
      <c r="M148" s="241" t="str">
        <f t="shared" si="8"/>
        <v/>
      </c>
      <c r="N148" s="238"/>
      <c r="R148" s="240"/>
      <c r="S148" s="240"/>
      <c r="W148" s="240"/>
      <c r="X148" s="240"/>
      <c r="Y148" s="240"/>
    </row>
    <row r="149" spans="1:25" hidden="1" outlineLevel="1">
      <c r="A149" s="1320">
        <f>MAX($A$7:A148)+1</f>
        <v>142</v>
      </c>
      <c r="B149" s="1321" t="s">
        <v>980</v>
      </c>
      <c r="C149" s="1321" t="s">
        <v>1007</v>
      </c>
      <c r="D149" s="1321" t="s">
        <v>1008</v>
      </c>
      <c r="E149" s="1338">
        <v>394.1</v>
      </c>
      <c r="F149" s="1323">
        <f>3849.49+3818.56</f>
        <v>7668.0499999999993</v>
      </c>
      <c r="G149" s="1321"/>
      <c r="H149" s="1322">
        <f t="shared" si="7"/>
        <v>7668.0499999999993</v>
      </c>
      <c r="I149" s="1323"/>
      <c r="J149" s="1326"/>
      <c r="K149" s="1341">
        <v>44353</v>
      </c>
      <c r="L149" s="240"/>
      <c r="M149" s="241" t="str">
        <f t="shared" si="8"/>
        <v/>
      </c>
      <c r="N149" s="238"/>
      <c r="R149" s="240"/>
      <c r="S149" s="240"/>
      <c r="W149" s="240"/>
      <c r="X149" s="240"/>
      <c r="Y149" s="240"/>
    </row>
    <row r="150" spans="1:25" hidden="1" outlineLevel="1">
      <c r="A150" s="1320">
        <f>MAX($A$7:A149)+1</f>
        <v>143</v>
      </c>
      <c r="B150" s="1321" t="s">
        <v>980</v>
      </c>
      <c r="C150" s="1321" t="s">
        <v>1009</v>
      </c>
      <c r="D150" s="1321" t="s">
        <v>1010</v>
      </c>
      <c r="E150" s="1338">
        <v>394.1</v>
      </c>
      <c r="F150" s="1323">
        <f>16853.88+21803.04</f>
        <v>38656.92</v>
      </c>
      <c r="G150" s="1342"/>
      <c r="H150" s="1322">
        <f t="shared" si="7"/>
        <v>38656.92</v>
      </c>
      <c r="I150" s="1323"/>
      <c r="J150" s="1326"/>
      <c r="K150" s="1341">
        <v>44353</v>
      </c>
      <c r="L150" s="240"/>
      <c r="M150" s="241" t="str">
        <f t="shared" si="8"/>
        <v/>
      </c>
      <c r="N150" s="238"/>
      <c r="R150" s="240"/>
      <c r="S150" s="240"/>
      <c r="W150" s="240"/>
      <c r="X150" s="240"/>
      <c r="Y150" s="240"/>
    </row>
    <row r="151" spans="1:25" hidden="1" outlineLevel="1">
      <c r="A151" s="1320">
        <f>MAX($A$7:A150)+1</f>
        <v>144</v>
      </c>
      <c r="B151" s="1321" t="s">
        <v>980</v>
      </c>
      <c r="C151" s="1321" t="s">
        <v>1011</v>
      </c>
      <c r="D151" s="1321" t="s">
        <v>1012</v>
      </c>
      <c r="E151" s="1338">
        <v>394.1</v>
      </c>
      <c r="F151" s="1323">
        <f>6275.11+6038.23</f>
        <v>12313.34</v>
      </c>
      <c r="G151" s="1342"/>
      <c r="H151" s="1322">
        <f t="shared" si="7"/>
        <v>12313.34</v>
      </c>
      <c r="I151" s="1323"/>
      <c r="J151" s="1326"/>
      <c r="K151" s="1341">
        <v>44353</v>
      </c>
      <c r="L151" s="240"/>
      <c r="M151" s="241" t="str">
        <f t="shared" si="8"/>
        <v/>
      </c>
      <c r="N151" s="238"/>
      <c r="R151" s="240"/>
      <c r="S151" s="240"/>
      <c r="W151" s="240"/>
      <c r="X151" s="240"/>
      <c r="Y151" s="240"/>
    </row>
    <row r="152" spans="1:25" hidden="1" outlineLevel="1">
      <c r="A152" s="1320">
        <f>MAX($A$7:A151)+1</f>
        <v>145</v>
      </c>
      <c r="B152" s="1321" t="s">
        <v>980</v>
      </c>
      <c r="C152" s="1321" t="s">
        <v>1013</v>
      </c>
      <c r="D152" s="1321" t="s">
        <v>1014</v>
      </c>
      <c r="E152" s="1338">
        <v>394.1</v>
      </c>
      <c r="F152" s="1323">
        <v>1866.38</v>
      </c>
      <c r="G152" s="1321"/>
      <c r="H152" s="1322">
        <f t="shared" si="7"/>
        <v>1866.38</v>
      </c>
      <c r="I152" s="1323"/>
      <c r="J152" s="1326"/>
      <c r="K152" s="1341">
        <v>44287</v>
      </c>
      <c r="L152" s="240"/>
      <c r="M152" s="241" t="str">
        <f t="shared" si="8"/>
        <v/>
      </c>
      <c r="R152" s="240"/>
      <c r="S152" s="240"/>
      <c r="W152" s="240"/>
      <c r="X152" s="240"/>
      <c r="Y152" s="240"/>
    </row>
    <row r="153" spans="1:25" hidden="1" outlineLevel="1">
      <c r="A153" s="1320">
        <f>MAX($A$7:A152)+1</f>
        <v>146</v>
      </c>
      <c r="B153" s="1321" t="s">
        <v>980</v>
      </c>
      <c r="C153" s="1321" t="s">
        <v>1015</v>
      </c>
      <c r="D153" s="1321" t="s">
        <v>1016</v>
      </c>
      <c r="E153" s="1338">
        <v>394.1</v>
      </c>
      <c r="F153" s="1323">
        <f>9703.72+17165.86</f>
        <v>26869.58</v>
      </c>
      <c r="G153" s="1321"/>
      <c r="H153" s="1322">
        <f t="shared" si="7"/>
        <v>26869.58</v>
      </c>
      <c r="I153" s="1323"/>
      <c r="J153" s="1326"/>
      <c r="K153" s="1341">
        <v>44256</v>
      </c>
      <c r="L153" s="240"/>
      <c r="M153" s="241" t="str">
        <f t="shared" si="8"/>
        <v/>
      </c>
      <c r="N153" s="238"/>
      <c r="R153" s="240"/>
      <c r="S153" s="240"/>
      <c r="W153" s="240"/>
      <c r="X153" s="240"/>
      <c r="Y153" s="240"/>
    </row>
    <row r="154" spans="1:25" hidden="1" outlineLevel="1">
      <c r="A154" s="1320">
        <f>MAX($A$7:A153)+1</f>
        <v>147</v>
      </c>
      <c r="B154" s="1321" t="s">
        <v>980</v>
      </c>
      <c r="C154" s="1321" t="s">
        <v>1017</v>
      </c>
      <c r="D154" s="1321" t="s">
        <v>1018</v>
      </c>
      <c r="E154" s="1338">
        <v>394.1</v>
      </c>
      <c r="F154" s="1323">
        <v>21803.040000000001</v>
      </c>
      <c r="G154" s="1321"/>
      <c r="H154" s="1322">
        <f t="shared" si="7"/>
        <v>21803.040000000001</v>
      </c>
      <c r="I154" s="1323"/>
      <c r="J154" s="1326"/>
      <c r="K154" s="1341">
        <v>44256</v>
      </c>
      <c r="L154" s="239"/>
      <c r="M154" s="241" t="str">
        <f t="shared" si="8"/>
        <v/>
      </c>
      <c r="N154" s="238"/>
      <c r="R154" s="240"/>
      <c r="S154" s="240"/>
      <c r="W154" s="240"/>
      <c r="X154" s="240"/>
      <c r="Y154" s="240"/>
    </row>
    <row r="155" spans="1:25" hidden="1" outlineLevel="1">
      <c r="A155" s="1320">
        <f>MAX($A$7:A154)+1</f>
        <v>148</v>
      </c>
      <c r="B155" s="1321" t="s">
        <v>980</v>
      </c>
      <c r="C155" s="1321" t="s">
        <v>1019</v>
      </c>
      <c r="D155" s="1321" t="s">
        <v>1020</v>
      </c>
      <c r="E155" s="1338">
        <v>394.1</v>
      </c>
      <c r="F155" s="1323">
        <v>6038.2300000000005</v>
      </c>
      <c r="G155" s="1324"/>
      <c r="H155" s="1322">
        <f t="shared" si="7"/>
        <v>6038.2300000000005</v>
      </c>
      <c r="I155" s="1323"/>
      <c r="J155" s="1326"/>
      <c r="K155" s="1341">
        <v>44331</v>
      </c>
      <c r="L155" s="240"/>
      <c r="M155" s="241" t="str">
        <f t="shared" si="8"/>
        <v/>
      </c>
      <c r="N155" s="238"/>
      <c r="R155" s="240"/>
      <c r="S155" s="240"/>
      <c r="W155" s="240"/>
      <c r="X155" s="240"/>
      <c r="Y155" s="240"/>
    </row>
    <row r="156" spans="1:25" hidden="1" outlineLevel="1">
      <c r="A156" s="1320">
        <f>MAX($A$7:A155)+1</f>
        <v>149</v>
      </c>
      <c r="B156" s="1321" t="s">
        <v>980</v>
      </c>
      <c r="C156" s="1321" t="s">
        <v>1021</v>
      </c>
      <c r="D156" s="1321" t="s">
        <v>1022</v>
      </c>
      <c r="E156" s="1338">
        <v>391.5</v>
      </c>
      <c r="F156" s="1323">
        <v>30616.7</v>
      </c>
      <c r="G156" s="1321"/>
      <c r="H156" s="1322">
        <f t="shared" si="7"/>
        <v>30616.7</v>
      </c>
      <c r="I156" s="1323"/>
      <c r="J156" s="1326"/>
      <c r="K156" s="1341">
        <v>44440</v>
      </c>
      <c r="L156" s="240"/>
      <c r="M156" s="241" t="str">
        <f t="shared" si="8"/>
        <v/>
      </c>
      <c r="N156" s="238"/>
      <c r="R156" s="240"/>
      <c r="S156" s="240"/>
      <c r="W156" s="240"/>
      <c r="X156" s="240"/>
      <c r="Y156" s="240"/>
    </row>
    <row r="157" spans="1:25" hidden="1" outlineLevel="1">
      <c r="A157" s="1320">
        <f>MAX($A$7:A156)+1</f>
        <v>150</v>
      </c>
      <c r="B157" s="1321" t="s">
        <v>980</v>
      </c>
      <c r="C157" s="1321" t="s">
        <v>1023</v>
      </c>
      <c r="D157" s="1321" t="s">
        <v>1024</v>
      </c>
      <c r="E157" s="1338">
        <v>394.1</v>
      </c>
      <c r="F157" s="1323">
        <v>10094</v>
      </c>
      <c r="G157" s="1321"/>
      <c r="H157" s="1322">
        <f t="shared" si="7"/>
        <v>10094</v>
      </c>
      <c r="I157" s="1323"/>
      <c r="J157" s="1326"/>
      <c r="K157" s="1341">
        <v>44316</v>
      </c>
      <c r="L157" s="240"/>
      <c r="M157" s="241" t="str">
        <f t="shared" si="8"/>
        <v/>
      </c>
      <c r="N157" s="238"/>
      <c r="R157" s="240"/>
      <c r="S157" s="240"/>
      <c r="W157" s="240"/>
      <c r="X157" s="240"/>
      <c r="Y157" s="240"/>
    </row>
    <row r="158" spans="1:25" hidden="1" outlineLevel="1">
      <c r="A158" s="1320">
        <f>MAX($A$7:A157)+1</f>
        <v>151</v>
      </c>
      <c r="B158" s="1321" t="s">
        <v>980</v>
      </c>
      <c r="C158" s="1321" t="s">
        <v>1025</v>
      </c>
      <c r="D158" s="1321" t="s">
        <v>1026</v>
      </c>
      <c r="E158" s="1338">
        <v>394.1</v>
      </c>
      <c r="F158" s="1323">
        <v>17165.86</v>
      </c>
      <c r="G158" s="1321"/>
      <c r="H158" s="1322">
        <f t="shared" si="7"/>
        <v>17165.86</v>
      </c>
      <c r="I158" s="1323"/>
      <c r="J158" s="1326"/>
      <c r="K158" s="1341">
        <v>44257</v>
      </c>
      <c r="L158" s="240"/>
      <c r="M158" s="241" t="str">
        <f t="shared" si="8"/>
        <v/>
      </c>
      <c r="N158" s="238"/>
      <c r="R158" s="240"/>
      <c r="S158" s="240"/>
      <c r="W158" s="240"/>
      <c r="X158" s="240"/>
      <c r="Y158" s="240"/>
    </row>
    <row r="159" spans="1:25" hidden="1" outlineLevel="1">
      <c r="A159" s="1320">
        <f>MAX($A$7:A158)+1</f>
        <v>152</v>
      </c>
      <c r="B159" s="1321" t="s">
        <v>980</v>
      </c>
      <c r="C159" s="1321" t="s">
        <v>1027</v>
      </c>
      <c r="D159" s="1321" t="s">
        <v>1028</v>
      </c>
      <c r="E159" s="1338">
        <v>391.5</v>
      </c>
      <c r="F159" s="1323">
        <v>5147.9400000000005</v>
      </c>
      <c r="G159" s="1321"/>
      <c r="H159" s="1322">
        <f t="shared" si="7"/>
        <v>5147.9400000000005</v>
      </c>
      <c r="I159" s="1323"/>
      <c r="J159" s="1326"/>
      <c r="K159" s="1341">
        <v>44501</v>
      </c>
      <c r="L159" s="240"/>
      <c r="M159" s="241" t="str">
        <f t="shared" si="8"/>
        <v/>
      </c>
      <c r="N159" s="238"/>
      <c r="R159" s="240"/>
      <c r="S159" s="240"/>
      <c r="W159" s="240"/>
      <c r="X159" s="240"/>
      <c r="Y159" s="240"/>
    </row>
    <row r="160" spans="1:25" hidden="1" outlineLevel="1">
      <c r="A160" s="1320">
        <f>MAX($A$7:A159)+1</f>
        <v>153</v>
      </c>
      <c r="B160" s="1321" t="s">
        <v>980</v>
      </c>
      <c r="C160" s="1321" t="s">
        <v>1029</v>
      </c>
      <c r="D160" s="1321" t="s">
        <v>1030</v>
      </c>
      <c r="E160" s="1338">
        <v>394.1</v>
      </c>
      <c r="F160" s="1323">
        <v>25234.959999999999</v>
      </c>
      <c r="G160" s="1321"/>
      <c r="H160" s="1322">
        <f t="shared" si="7"/>
        <v>25234.959999999999</v>
      </c>
      <c r="I160" s="1323"/>
      <c r="J160" s="1326"/>
      <c r="K160" s="1341">
        <v>44286</v>
      </c>
      <c r="L160" s="240"/>
      <c r="M160" s="241" t="str">
        <f t="shared" si="8"/>
        <v/>
      </c>
      <c r="N160" s="238"/>
      <c r="R160" s="240"/>
      <c r="S160" s="240"/>
      <c r="W160" s="240"/>
      <c r="X160" s="240"/>
      <c r="Y160" s="240"/>
    </row>
    <row r="161" spans="1:25" hidden="1" outlineLevel="1">
      <c r="A161" s="1320">
        <f>MAX($A$7:A160)+1</f>
        <v>154</v>
      </c>
      <c r="B161" s="1321" t="s">
        <v>980</v>
      </c>
      <c r="C161" s="1321" t="s">
        <v>1031</v>
      </c>
      <c r="D161" s="1321" t="s">
        <v>1032</v>
      </c>
      <c r="E161" s="1338">
        <v>394.1</v>
      </c>
      <c r="F161" s="1323">
        <v>50470</v>
      </c>
      <c r="G161" s="1321"/>
      <c r="H161" s="1322">
        <f t="shared" si="7"/>
        <v>50470</v>
      </c>
      <c r="I161" s="1323"/>
      <c r="J161" s="1326"/>
      <c r="K161" s="1341">
        <v>44256</v>
      </c>
      <c r="L161" s="240"/>
      <c r="M161" s="241" t="str">
        <f t="shared" si="8"/>
        <v/>
      </c>
      <c r="R161" s="240"/>
      <c r="S161" s="240"/>
      <c r="W161" s="240"/>
      <c r="X161" s="240"/>
      <c r="Y161" s="240"/>
    </row>
    <row r="162" spans="1:25" hidden="1" outlineLevel="1">
      <c r="A162" s="1320">
        <f>MAX($A$7:A161)+1</f>
        <v>155</v>
      </c>
      <c r="B162" s="1321" t="s">
        <v>980</v>
      </c>
      <c r="C162" s="1321" t="s">
        <v>1033</v>
      </c>
      <c r="D162" s="1321" t="s">
        <v>1034</v>
      </c>
      <c r="E162" s="1338">
        <v>394.1</v>
      </c>
      <c r="F162" s="1323">
        <v>40376</v>
      </c>
      <c r="G162" s="1321"/>
      <c r="H162" s="1322">
        <f t="shared" si="7"/>
        <v>40376</v>
      </c>
      <c r="I162" s="1323"/>
      <c r="J162" s="1326"/>
      <c r="K162" s="1341">
        <v>44286</v>
      </c>
      <c r="L162" s="240"/>
      <c r="M162" s="241" t="str">
        <f t="shared" si="8"/>
        <v/>
      </c>
      <c r="R162" s="240"/>
      <c r="S162" s="240"/>
      <c r="W162" s="240"/>
      <c r="X162" s="240"/>
      <c r="Y162" s="240"/>
    </row>
    <row r="163" spans="1:25" hidden="1" outlineLevel="1">
      <c r="A163" s="1320">
        <f>MAX($A$7:A162)+1</f>
        <v>156</v>
      </c>
      <c r="B163" s="1321" t="s">
        <v>980</v>
      </c>
      <c r="C163" s="1321" t="s">
        <v>1035</v>
      </c>
      <c r="D163" s="1321" t="s">
        <v>1036</v>
      </c>
      <c r="E163" s="1338">
        <v>394.1</v>
      </c>
      <c r="F163" s="1323">
        <v>30778.62</v>
      </c>
      <c r="G163" s="1321"/>
      <c r="H163" s="1322">
        <f t="shared" si="7"/>
        <v>30778.62</v>
      </c>
      <c r="I163" s="1323"/>
      <c r="J163" s="1326"/>
      <c r="K163" s="1341">
        <v>44256</v>
      </c>
      <c r="L163" s="240"/>
      <c r="M163" s="241" t="str">
        <f t="shared" si="8"/>
        <v/>
      </c>
      <c r="R163" s="240"/>
      <c r="S163" s="240"/>
      <c r="W163" s="240"/>
      <c r="X163" s="240"/>
      <c r="Y163" s="240"/>
    </row>
    <row r="164" spans="1:25" hidden="1" outlineLevel="1">
      <c r="A164" s="1320">
        <f>MAX($A$7:A163)+1</f>
        <v>157</v>
      </c>
      <c r="B164" s="1321" t="s">
        <v>980</v>
      </c>
      <c r="C164" s="1321" t="s">
        <v>1037</v>
      </c>
      <c r="D164" s="1321" t="s">
        <v>1030</v>
      </c>
      <c r="E164" s="1338">
        <v>394.1</v>
      </c>
      <c r="F164" s="1323">
        <v>126175</v>
      </c>
      <c r="G164" s="1321"/>
      <c r="H164" s="1322">
        <f t="shared" si="7"/>
        <v>126175</v>
      </c>
      <c r="I164" s="1323"/>
      <c r="J164" s="1326"/>
      <c r="K164" s="1341">
        <v>44256</v>
      </c>
      <c r="L164" s="240"/>
      <c r="M164" s="241" t="str">
        <f t="shared" si="8"/>
        <v/>
      </c>
      <c r="R164" s="240"/>
      <c r="S164" s="240"/>
      <c r="W164" s="240"/>
      <c r="X164" s="240"/>
      <c r="Y164" s="240"/>
    </row>
    <row r="165" spans="1:25" hidden="1" outlineLevel="1">
      <c r="A165" s="1320">
        <f>MAX($A$7:A164)+1</f>
        <v>158</v>
      </c>
      <c r="B165" s="1321" t="s">
        <v>980</v>
      </c>
      <c r="C165" s="1321" t="s">
        <v>1038</v>
      </c>
      <c r="D165" s="1321" t="s">
        <v>1039</v>
      </c>
      <c r="E165" s="1322">
        <v>391.3</v>
      </c>
      <c r="F165" s="1323">
        <v>27316.48</v>
      </c>
      <c r="G165" s="1324">
        <f>+'State Allocators'!C14</f>
        <v>0.74890000000000001</v>
      </c>
      <c r="H165" s="1322">
        <f t="shared" si="7"/>
        <v>20457.311871999998</v>
      </c>
      <c r="I165" s="1323"/>
      <c r="J165" s="1326"/>
      <c r="K165" s="1341">
        <v>44317</v>
      </c>
      <c r="L165" s="240"/>
      <c r="M165" s="241" t="str">
        <f t="shared" si="8"/>
        <v/>
      </c>
      <c r="R165" s="240"/>
      <c r="S165" s="240"/>
      <c r="W165" s="240"/>
      <c r="X165" s="240"/>
      <c r="Y165" s="240"/>
    </row>
    <row r="166" spans="1:25" hidden="1" outlineLevel="1">
      <c r="A166" s="1320">
        <f>MAX($A$7:A165)+1</f>
        <v>159</v>
      </c>
      <c r="B166" s="1321" t="s">
        <v>980</v>
      </c>
      <c r="C166" s="1321" t="s">
        <v>1040</v>
      </c>
      <c r="D166" s="1321" t="s">
        <v>1041</v>
      </c>
      <c r="E166" s="1322">
        <v>394.1</v>
      </c>
      <c r="F166" s="1323">
        <v>5299.35</v>
      </c>
      <c r="G166" s="1324">
        <f>+'State Allocators'!C14</f>
        <v>0.74890000000000001</v>
      </c>
      <c r="H166" s="1322">
        <f t="shared" si="7"/>
        <v>3968.6832150000005</v>
      </c>
      <c r="I166" s="1323"/>
      <c r="J166" s="1326"/>
      <c r="K166" s="1341">
        <v>44378</v>
      </c>
      <c r="L166" s="240"/>
      <c r="M166" s="241" t="str">
        <f t="shared" si="8"/>
        <v/>
      </c>
      <c r="R166" s="240"/>
      <c r="S166" s="240"/>
      <c r="W166" s="240"/>
      <c r="X166" s="240"/>
      <c r="Y166" s="240"/>
    </row>
    <row r="167" spans="1:25" hidden="1" outlineLevel="1">
      <c r="A167" s="1320">
        <f>MAX($A$7:A166)+1</f>
        <v>160</v>
      </c>
      <c r="B167" s="1321" t="s">
        <v>980</v>
      </c>
      <c r="C167" s="1321" t="s">
        <v>1042</v>
      </c>
      <c r="D167" s="1321" t="s">
        <v>1043</v>
      </c>
      <c r="E167" s="1322">
        <v>394.1</v>
      </c>
      <c r="F167" s="1323">
        <v>10094</v>
      </c>
      <c r="G167" s="1342">
        <v>0.74890000000000001</v>
      </c>
      <c r="H167" s="1322">
        <f t="shared" si="7"/>
        <v>7559.3966</v>
      </c>
      <c r="I167" s="1323"/>
      <c r="J167" s="1326"/>
      <c r="K167" s="1341">
        <v>44287</v>
      </c>
      <c r="L167" s="240"/>
      <c r="M167" s="241" t="str">
        <f t="shared" si="8"/>
        <v/>
      </c>
      <c r="R167" s="240"/>
      <c r="S167" s="240"/>
      <c r="W167" s="240"/>
      <c r="X167" s="240"/>
      <c r="Y167" s="240"/>
    </row>
    <row r="168" spans="1:25" hidden="1" outlineLevel="1">
      <c r="A168" s="1320">
        <f>MAX($A$7:A167)+1</f>
        <v>161</v>
      </c>
      <c r="B168" s="1321" t="s">
        <v>980</v>
      </c>
      <c r="C168" s="1321" t="s">
        <v>1044</v>
      </c>
      <c r="D168" s="1321" t="s">
        <v>1045</v>
      </c>
      <c r="E168" s="1322">
        <v>394.1</v>
      </c>
      <c r="F168" s="1323">
        <v>30342.59</v>
      </c>
      <c r="G168" s="1324">
        <f>+'State Allocators'!C14</f>
        <v>0.74890000000000001</v>
      </c>
      <c r="H168" s="1322">
        <f t="shared" si="7"/>
        <v>22723.565651000001</v>
      </c>
      <c r="I168" s="1323"/>
      <c r="J168" s="1326"/>
      <c r="K168" s="1341">
        <v>44237</v>
      </c>
      <c r="L168" s="240"/>
      <c r="M168" s="241" t="str">
        <f t="shared" si="8"/>
        <v/>
      </c>
      <c r="R168" s="240"/>
      <c r="S168" s="240"/>
      <c r="W168" s="240"/>
      <c r="X168" s="240"/>
      <c r="Y168" s="240"/>
    </row>
    <row r="169" spans="1:25" hidden="1" outlineLevel="1">
      <c r="A169" s="1320">
        <f>MAX($A$7:A168)+1</f>
        <v>162</v>
      </c>
      <c r="B169" s="1321" t="s">
        <v>980</v>
      </c>
      <c r="C169" s="1321" t="s">
        <v>1046</v>
      </c>
      <c r="D169" s="1321" t="s">
        <v>1047</v>
      </c>
      <c r="E169" s="1322">
        <v>394.1</v>
      </c>
      <c r="F169" s="1323">
        <v>15821.33</v>
      </c>
      <c r="G169" s="1324">
        <f>+'State Allocators'!C14</f>
        <v>0.74890000000000001</v>
      </c>
      <c r="H169" s="1322">
        <f t="shared" si="7"/>
        <v>11848.594037000001</v>
      </c>
      <c r="I169" s="1323"/>
      <c r="J169" s="1326"/>
      <c r="K169" s="1341">
        <v>44256</v>
      </c>
      <c r="L169" s="240"/>
      <c r="M169" s="241" t="str">
        <f t="shared" si="8"/>
        <v/>
      </c>
      <c r="R169" s="240"/>
      <c r="S169" s="240"/>
      <c r="W169" s="240"/>
      <c r="X169" s="240"/>
      <c r="Y169" s="240"/>
    </row>
    <row r="170" spans="1:25" hidden="1" outlineLevel="1">
      <c r="A170" s="1320">
        <f>MAX($A$7:A169)+1</f>
        <v>163</v>
      </c>
      <c r="B170" s="1321" t="s">
        <v>980</v>
      </c>
      <c r="C170" s="1321" t="s">
        <v>1048</v>
      </c>
      <c r="D170" s="1321" t="s">
        <v>1049</v>
      </c>
      <c r="E170" s="1322">
        <v>394.1</v>
      </c>
      <c r="F170" s="1323">
        <v>4958.2700000000004</v>
      </c>
      <c r="G170" s="1324">
        <f>+'State Allocators'!C14</f>
        <v>0.74890000000000001</v>
      </c>
      <c r="H170" s="1322">
        <f t="shared" si="7"/>
        <v>3713.2484030000005</v>
      </c>
      <c r="I170" s="1323"/>
      <c r="J170" s="1326"/>
      <c r="K170" s="1341">
        <v>44206</v>
      </c>
      <c r="L170" s="240"/>
      <c r="M170" s="241" t="str">
        <f t="shared" si="8"/>
        <v/>
      </c>
      <c r="R170" s="240"/>
      <c r="S170" s="240"/>
      <c r="W170" s="240"/>
      <c r="X170" s="240"/>
      <c r="Y170" s="240"/>
    </row>
    <row r="171" spans="1:25" hidden="1" outlineLevel="1">
      <c r="A171" s="1320">
        <f>MAX($A$7:A170)+1</f>
        <v>164</v>
      </c>
      <c r="B171" s="1321" t="s">
        <v>980</v>
      </c>
      <c r="C171" s="1321" t="s">
        <v>1050</v>
      </c>
      <c r="D171" s="1321" t="s">
        <v>1051</v>
      </c>
      <c r="E171" s="1322">
        <v>394.1</v>
      </c>
      <c r="F171" s="1323">
        <f>4562.29+4556.38</f>
        <v>9118.67</v>
      </c>
      <c r="G171" s="1324">
        <f>+'State Allocators'!C14</f>
        <v>0.74890000000000001</v>
      </c>
      <c r="H171" s="1322">
        <f t="shared" si="7"/>
        <v>6828.971963</v>
      </c>
      <c r="I171" s="1323"/>
      <c r="J171" s="1326"/>
      <c r="K171" s="1341">
        <v>44216</v>
      </c>
      <c r="L171" s="240"/>
      <c r="M171" s="241" t="str">
        <f t="shared" si="8"/>
        <v/>
      </c>
      <c r="R171" s="240"/>
      <c r="S171" s="240"/>
      <c r="W171" s="240"/>
      <c r="X171" s="240"/>
      <c r="Y171" s="240"/>
    </row>
    <row r="172" spans="1:25" hidden="1" outlineLevel="1">
      <c r="A172" s="1320">
        <f>MAX($A$7:A171)+1</f>
        <v>165</v>
      </c>
      <c r="B172" s="1321" t="s">
        <v>980</v>
      </c>
      <c r="C172" s="1321" t="s">
        <v>1052</v>
      </c>
      <c r="D172" s="1321" t="s">
        <v>1053</v>
      </c>
      <c r="E172" s="1322">
        <v>394.1</v>
      </c>
      <c r="F172" s="1323">
        <f>2229.8+2243.8</f>
        <v>4473.6000000000004</v>
      </c>
      <c r="G172" s="1342">
        <v>0.74890000000000001</v>
      </c>
      <c r="H172" s="1322">
        <f t="shared" si="7"/>
        <v>3350.2790400000004</v>
      </c>
      <c r="I172" s="1323"/>
      <c r="J172" s="1326"/>
      <c r="K172" s="1341">
        <v>44206</v>
      </c>
      <c r="L172" s="240"/>
      <c r="M172" s="241" t="str">
        <f t="shared" si="8"/>
        <v/>
      </c>
      <c r="R172" s="240"/>
      <c r="S172" s="240"/>
      <c r="W172" s="240"/>
      <c r="X172" s="240"/>
      <c r="Y172" s="240"/>
    </row>
    <row r="173" spans="1:25" hidden="1" outlineLevel="1">
      <c r="A173" s="1320">
        <f>MAX($A$7:A172)+1</f>
        <v>166</v>
      </c>
      <c r="B173" s="1321" t="s">
        <v>980</v>
      </c>
      <c r="C173" s="1321" t="s">
        <v>1054</v>
      </c>
      <c r="D173" s="1321" t="s">
        <v>1055</v>
      </c>
      <c r="E173" s="1322">
        <v>394.1</v>
      </c>
      <c r="F173" s="1323">
        <v>40376</v>
      </c>
      <c r="G173" s="1342">
        <v>0.74890000000000001</v>
      </c>
      <c r="H173" s="1322">
        <f t="shared" si="7"/>
        <v>30237.5864</v>
      </c>
      <c r="I173" s="1323"/>
      <c r="J173" s="1326"/>
      <c r="K173" s="1341">
        <v>44227</v>
      </c>
      <c r="L173" s="240"/>
      <c r="M173" s="241" t="str">
        <f t="shared" si="8"/>
        <v/>
      </c>
      <c r="R173" s="240"/>
      <c r="S173" s="240"/>
      <c r="W173" s="240"/>
      <c r="X173" s="240"/>
      <c r="Y173" s="240"/>
    </row>
    <row r="174" spans="1:25" hidden="1" outlineLevel="1">
      <c r="A174" s="1320">
        <f>MAX($A$7:A173)+1</f>
        <v>167</v>
      </c>
      <c r="B174" s="1321" t="s">
        <v>980</v>
      </c>
      <c r="C174" s="1321" t="s">
        <v>1056</v>
      </c>
      <c r="D174" s="1321" t="s">
        <v>1057</v>
      </c>
      <c r="E174" s="1322">
        <v>394.1</v>
      </c>
      <c r="F174" s="1323">
        <v>5551.7</v>
      </c>
      <c r="G174" s="1342">
        <v>0.74890000000000001</v>
      </c>
      <c r="H174" s="1322">
        <f t="shared" si="7"/>
        <v>4157.66813</v>
      </c>
      <c r="I174" s="1323"/>
      <c r="J174" s="1326"/>
      <c r="K174" s="1341">
        <v>44255</v>
      </c>
      <c r="L174" s="240"/>
      <c r="M174" s="241" t="str">
        <f t="shared" si="8"/>
        <v/>
      </c>
      <c r="R174" s="240"/>
      <c r="S174" s="240"/>
      <c r="W174" s="240"/>
      <c r="X174" s="240"/>
      <c r="Y174" s="240"/>
    </row>
    <row r="175" spans="1:25" hidden="1" outlineLevel="1">
      <c r="A175" s="1320">
        <f>MAX($A$7:A174)+1</f>
        <v>168</v>
      </c>
      <c r="B175" s="1321" t="s">
        <v>980</v>
      </c>
      <c r="C175" s="1321" t="s">
        <v>1058</v>
      </c>
      <c r="D175" s="1321" t="s">
        <v>1059</v>
      </c>
      <c r="E175" s="1322">
        <v>394.1</v>
      </c>
      <c r="F175" s="1323">
        <f>75705+51260.44</f>
        <v>126965.44</v>
      </c>
      <c r="G175" s="1342">
        <v>0.74890000000000001</v>
      </c>
      <c r="H175" s="1322">
        <f t="shared" si="7"/>
        <v>95084.418015999996</v>
      </c>
      <c r="I175" s="1323"/>
      <c r="J175" s="1326"/>
      <c r="K175" s="1341">
        <v>44438</v>
      </c>
      <c r="L175" s="240"/>
      <c r="M175" s="241" t="str">
        <f t="shared" si="8"/>
        <v/>
      </c>
      <c r="R175" s="240"/>
      <c r="S175" s="240"/>
      <c r="W175" s="240"/>
      <c r="X175" s="240"/>
      <c r="Y175" s="240"/>
    </row>
    <row r="176" spans="1:25" hidden="1" outlineLevel="1">
      <c r="A176" s="1320">
        <f>MAX($A$7:A175)+1</f>
        <v>169</v>
      </c>
      <c r="B176" s="1321" t="s">
        <v>980</v>
      </c>
      <c r="C176" s="1321" t="s">
        <v>1060</v>
      </c>
      <c r="D176" s="1321" t="s">
        <v>1061</v>
      </c>
      <c r="E176" s="1322">
        <v>390.1</v>
      </c>
      <c r="F176" s="1323">
        <v>5551.7</v>
      </c>
      <c r="G176" s="1342">
        <v>0.74890000000000001</v>
      </c>
      <c r="H176" s="1322">
        <f t="shared" si="7"/>
        <v>4157.66813</v>
      </c>
      <c r="I176" s="1323"/>
      <c r="J176" s="1326"/>
      <c r="K176" s="1341">
        <v>44348</v>
      </c>
      <c r="L176" s="240"/>
      <c r="M176" s="241" t="str">
        <f t="shared" si="8"/>
        <v/>
      </c>
      <c r="R176" s="240"/>
      <c r="S176" s="240"/>
      <c r="W176" s="240"/>
      <c r="X176" s="240"/>
      <c r="Y176" s="240"/>
    </row>
    <row r="177" spans="1:25" hidden="1" outlineLevel="1">
      <c r="A177" s="1320">
        <f>MAX($A$7:A176)+1</f>
        <v>170</v>
      </c>
      <c r="B177" s="1321" t="s">
        <v>980</v>
      </c>
      <c r="C177" s="1321" t="s">
        <v>1062</v>
      </c>
      <c r="D177" s="1321" t="s">
        <v>1063</v>
      </c>
      <c r="E177" s="1322">
        <v>394.1</v>
      </c>
      <c r="F177" s="1323">
        <v>6038.9400000000005</v>
      </c>
      <c r="G177" s="1342">
        <v>0.74890000000000001</v>
      </c>
      <c r="H177" s="1322">
        <f t="shared" si="7"/>
        <v>4522.5621660000006</v>
      </c>
      <c r="I177" s="1323"/>
      <c r="J177" s="1326"/>
      <c r="K177" s="1341">
        <v>44285</v>
      </c>
      <c r="L177" s="240"/>
      <c r="M177" s="241" t="str">
        <f t="shared" si="8"/>
        <v/>
      </c>
      <c r="R177" s="240"/>
      <c r="S177" s="240"/>
      <c r="W177" s="240"/>
      <c r="X177" s="240"/>
      <c r="Y177" s="240"/>
    </row>
    <row r="178" spans="1:25" hidden="1" outlineLevel="1">
      <c r="A178" s="1320">
        <f>MAX($A$7:A177)+1</f>
        <v>171</v>
      </c>
      <c r="B178" s="1321" t="s">
        <v>980</v>
      </c>
      <c r="C178" s="1321" t="s">
        <v>1064</v>
      </c>
      <c r="D178" s="1321" t="s">
        <v>1065</v>
      </c>
      <c r="E178" s="1322">
        <v>394.1</v>
      </c>
      <c r="F178" s="1323">
        <f>3043.34+1199.16</f>
        <v>4242.5</v>
      </c>
      <c r="G178" s="1342">
        <v>0.74890000000000001</v>
      </c>
      <c r="H178" s="1322">
        <f t="shared" si="7"/>
        <v>3177.2082500000001</v>
      </c>
      <c r="I178" s="1323"/>
      <c r="J178" s="1326"/>
      <c r="K178" s="1341">
        <v>44438</v>
      </c>
      <c r="L178" s="240"/>
      <c r="M178" s="241" t="str">
        <f t="shared" si="8"/>
        <v/>
      </c>
      <c r="R178" s="240"/>
      <c r="S178" s="240"/>
      <c r="W178" s="240"/>
      <c r="X178" s="240"/>
      <c r="Y178" s="240"/>
    </row>
    <row r="179" spans="1:25" hidden="1" outlineLevel="1">
      <c r="A179" s="1320">
        <f>MAX($A$7:A178)+1</f>
        <v>172</v>
      </c>
      <c r="B179" s="1321" t="s">
        <v>980</v>
      </c>
      <c r="C179" s="1321" t="s">
        <v>1066</v>
      </c>
      <c r="D179" s="1321" t="s">
        <v>1067</v>
      </c>
      <c r="E179" s="1322">
        <v>394.1</v>
      </c>
      <c r="F179" s="1323">
        <v>4722.71</v>
      </c>
      <c r="G179" s="1342">
        <v>0.74890000000000001</v>
      </c>
      <c r="H179" s="1322">
        <f t="shared" si="7"/>
        <v>3536.8375190000002</v>
      </c>
      <c r="I179" s="1323"/>
      <c r="J179" s="1326"/>
      <c r="K179" s="1341">
        <v>44377</v>
      </c>
      <c r="L179" s="240"/>
      <c r="M179" s="241" t="str">
        <f t="shared" si="8"/>
        <v/>
      </c>
      <c r="R179" s="240"/>
      <c r="S179" s="240"/>
      <c r="W179" s="240"/>
      <c r="X179" s="240"/>
      <c r="Y179" s="240"/>
    </row>
    <row r="180" spans="1:25" hidden="1" outlineLevel="1">
      <c r="A180" s="1320">
        <f>MAX($A$7:A179)+1</f>
        <v>173</v>
      </c>
      <c r="B180" s="1321" t="s">
        <v>980</v>
      </c>
      <c r="C180" s="1321" t="s">
        <v>1068</v>
      </c>
      <c r="D180" s="1321" t="s">
        <v>1069</v>
      </c>
      <c r="E180" s="1322">
        <v>391.3</v>
      </c>
      <c r="F180" s="1323">
        <v>18666.560000000001</v>
      </c>
      <c r="G180" s="1342">
        <v>0.74890000000000001</v>
      </c>
      <c r="H180" s="1322">
        <f t="shared" si="7"/>
        <v>13979.386784</v>
      </c>
      <c r="I180" s="1323"/>
      <c r="J180" s="1326"/>
      <c r="K180" s="1341">
        <v>44561</v>
      </c>
      <c r="L180" s="240"/>
      <c r="M180" s="241" t="str">
        <f t="shared" si="8"/>
        <v/>
      </c>
      <c r="R180" s="240"/>
      <c r="S180" s="240"/>
      <c r="W180" s="240"/>
      <c r="X180" s="240"/>
      <c r="Y180" s="240"/>
    </row>
    <row r="181" spans="1:25" hidden="1" outlineLevel="1">
      <c r="A181" s="1320">
        <f>MAX($A$7:A180)+1</f>
        <v>174</v>
      </c>
      <c r="B181" s="1321" t="s">
        <v>980</v>
      </c>
      <c r="C181" s="1321" t="s">
        <v>1070</v>
      </c>
      <c r="D181" s="1321" t="s">
        <v>1071</v>
      </c>
      <c r="E181" s="1322">
        <v>391.3</v>
      </c>
      <c r="F181" s="1323">
        <v>14221.32</v>
      </c>
      <c r="G181" s="1342">
        <v>0.74890000000000001</v>
      </c>
      <c r="H181" s="1322">
        <f t="shared" si="7"/>
        <v>10650.346548</v>
      </c>
      <c r="I181" s="1323"/>
      <c r="J181" s="1326"/>
      <c r="K181" s="1341">
        <v>44317</v>
      </c>
      <c r="L181" s="240"/>
      <c r="M181" s="241" t="str">
        <f t="shared" si="8"/>
        <v/>
      </c>
      <c r="R181" s="240"/>
      <c r="S181" s="240"/>
      <c r="W181" s="240"/>
      <c r="X181" s="240"/>
      <c r="Y181" s="240"/>
    </row>
    <row r="182" spans="1:25" hidden="1" outlineLevel="1">
      <c r="A182" s="1320">
        <f>MAX($A$7:A181)+1</f>
        <v>175</v>
      </c>
      <c r="B182" s="1321" t="s">
        <v>980</v>
      </c>
      <c r="C182" s="1321" t="s">
        <v>993</v>
      </c>
      <c r="D182" s="1321" t="s">
        <v>1072</v>
      </c>
      <c r="E182" s="1322">
        <v>390.1</v>
      </c>
      <c r="F182" s="1323">
        <v>15243.69</v>
      </c>
      <c r="G182" s="1321"/>
      <c r="H182" s="1322">
        <f t="shared" si="7"/>
        <v>15243.69</v>
      </c>
      <c r="I182" s="1323"/>
      <c r="J182" s="1326"/>
      <c r="K182" s="1341">
        <v>44515</v>
      </c>
      <c r="L182" s="240"/>
      <c r="M182" s="241" t="str">
        <f t="shared" si="8"/>
        <v/>
      </c>
      <c r="R182" s="240"/>
      <c r="S182" s="240"/>
      <c r="W182" s="240"/>
      <c r="X182" s="240"/>
      <c r="Y182" s="240"/>
    </row>
    <row r="183" spans="1:25" hidden="1" outlineLevel="1">
      <c r="A183" s="1320">
        <f>MAX($A$7:A182)+1</f>
        <v>176</v>
      </c>
      <c r="B183" s="1321" t="s">
        <v>980</v>
      </c>
      <c r="C183" s="1321" t="s">
        <v>995</v>
      </c>
      <c r="D183" s="1321" t="s">
        <v>1072</v>
      </c>
      <c r="E183" s="1322">
        <v>390.1</v>
      </c>
      <c r="F183" s="1323">
        <v>20694.78</v>
      </c>
      <c r="G183" s="1321"/>
      <c r="H183" s="1322">
        <f t="shared" si="7"/>
        <v>20694.78</v>
      </c>
      <c r="I183" s="1323"/>
      <c r="J183" s="1326"/>
      <c r="K183" s="1341">
        <v>44530</v>
      </c>
      <c r="L183" s="240"/>
      <c r="M183" s="241" t="str">
        <f t="shared" si="8"/>
        <v/>
      </c>
      <c r="R183" s="240"/>
      <c r="S183" s="240"/>
      <c r="W183" s="240"/>
      <c r="X183" s="240"/>
      <c r="Y183" s="240"/>
    </row>
    <row r="184" spans="1:25" hidden="1" outlineLevel="1">
      <c r="A184" s="1320">
        <f>MAX($A$7:A183)+1</f>
        <v>177</v>
      </c>
      <c r="B184" s="1321" t="s">
        <v>980</v>
      </c>
      <c r="C184" s="1321" t="s">
        <v>981</v>
      </c>
      <c r="D184" s="1321" t="s">
        <v>1072</v>
      </c>
      <c r="E184" s="1322">
        <v>390.1</v>
      </c>
      <c r="F184" s="1323">
        <v>317077.53000000003</v>
      </c>
      <c r="G184" s="1324"/>
      <c r="H184" s="1322">
        <f t="shared" si="7"/>
        <v>317077.53000000003</v>
      </c>
      <c r="I184" s="1323">
        <f>IF($O$7="Yes", H184, 0)</f>
        <v>0</v>
      </c>
      <c r="J184" s="1326"/>
      <c r="K184" s="1341">
        <v>44545</v>
      </c>
      <c r="L184" s="240"/>
      <c r="M184" s="241" t="str">
        <f t="shared" si="8"/>
        <v/>
      </c>
      <c r="R184" s="240"/>
      <c r="S184" s="240"/>
      <c r="W184" s="240"/>
      <c r="X184" s="240"/>
      <c r="Y184" s="240"/>
    </row>
    <row r="185" spans="1:25" hidden="1" outlineLevel="1">
      <c r="A185" s="1320">
        <f>MAX($A$7:A184)+1</f>
        <v>178</v>
      </c>
      <c r="B185" s="1321" t="s">
        <v>980</v>
      </c>
      <c r="C185" s="1321" t="s">
        <v>1073</v>
      </c>
      <c r="D185" s="1321" t="s">
        <v>1074</v>
      </c>
      <c r="E185" s="1322">
        <v>396.2</v>
      </c>
      <c r="F185" s="1323">
        <v>155633.65</v>
      </c>
      <c r="G185" s="1324"/>
      <c r="H185" s="1322">
        <f t="shared" si="7"/>
        <v>155633.65</v>
      </c>
      <c r="I185" s="1323"/>
      <c r="J185" s="1326"/>
      <c r="K185" s="1341">
        <v>44227</v>
      </c>
      <c r="L185" s="240"/>
      <c r="M185" s="241" t="str">
        <f t="shared" si="8"/>
        <v/>
      </c>
      <c r="R185" s="240"/>
      <c r="S185" s="240"/>
      <c r="W185" s="240"/>
      <c r="X185" s="240"/>
      <c r="Y185" s="240"/>
    </row>
    <row r="186" spans="1:25" hidden="1" outlineLevel="1">
      <c r="A186" s="1320">
        <f>MAX($A$7:A185)+1</f>
        <v>179</v>
      </c>
      <c r="B186" s="1321" t="s">
        <v>980</v>
      </c>
      <c r="C186" s="1321" t="s">
        <v>1073</v>
      </c>
      <c r="D186" s="1321" t="s">
        <v>1074</v>
      </c>
      <c r="E186" s="1322">
        <v>396.2</v>
      </c>
      <c r="F186" s="1323">
        <v>235338.28</v>
      </c>
      <c r="G186" s="1324"/>
      <c r="H186" s="1322">
        <f t="shared" si="7"/>
        <v>235338.28</v>
      </c>
      <c r="I186" s="1323">
        <f>IF($O$7="Yes", H186, 0)</f>
        <v>0</v>
      </c>
      <c r="J186" s="1326"/>
      <c r="K186" s="1341">
        <v>44227</v>
      </c>
      <c r="L186" s="240"/>
      <c r="M186" s="241" t="str">
        <f t="shared" si="8"/>
        <v/>
      </c>
      <c r="R186" s="240"/>
      <c r="S186" s="240"/>
      <c r="W186" s="240"/>
      <c r="X186" s="240"/>
      <c r="Y186" s="240"/>
    </row>
    <row r="187" spans="1:25" hidden="1" outlineLevel="1">
      <c r="A187" s="1320">
        <f>MAX($A$7:A186)+1</f>
        <v>180</v>
      </c>
      <c r="B187" s="1321" t="s">
        <v>980</v>
      </c>
      <c r="C187" s="1321" t="s">
        <v>1075</v>
      </c>
      <c r="D187" s="1321" t="s">
        <v>1076</v>
      </c>
      <c r="E187" s="1322">
        <v>392.2</v>
      </c>
      <c r="F187" s="1323">
        <v>264141.15000000002</v>
      </c>
      <c r="G187" s="1321"/>
      <c r="H187" s="1322">
        <f t="shared" si="7"/>
        <v>264141.15000000002</v>
      </c>
      <c r="I187" s="1323">
        <f>IF($O$7="Yes", H187, 0)</f>
        <v>0</v>
      </c>
      <c r="J187" s="1326"/>
      <c r="K187" s="1341">
        <v>44227</v>
      </c>
      <c r="L187" s="240"/>
      <c r="M187" s="241" t="str">
        <f t="shared" si="8"/>
        <v/>
      </c>
      <c r="R187" s="240"/>
      <c r="S187" s="240"/>
      <c r="W187" s="240"/>
      <c r="X187" s="240"/>
      <c r="Y187" s="240"/>
    </row>
    <row r="188" spans="1:25" hidden="1" outlineLevel="1">
      <c r="A188" s="1320">
        <f>MAX($A$7:A187)+1</f>
        <v>181</v>
      </c>
      <c r="B188" s="1330"/>
      <c r="C188" s="1330"/>
      <c r="D188" s="1331" t="s">
        <v>1077</v>
      </c>
      <c r="E188" s="1332"/>
      <c r="F188" s="1332">
        <f>SUM(F136:F187)</f>
        <v>4777336.8100000005</v>
      </c>
      <c r="G188" s="1330"/>
      <c r="H188" s="1332">
        <f>SUM(H136:H187)</f>
        <v>4629942.237439</v>
      </c>
      <c r="I188" s="1332">
        <f>SUM(I136:I187)</f>
        <v>0</v>
      </c>
      <c r="J188" s="1333"/>
      <c r="K188" s="1334"/>
      <c r="L188" s="240"/>
    </row>
    <row r="189" spans="1:25" hidden="1" outlineLevel="1">
      <c r="A189" s="1320">
        <f>MAX($A$7:A188)+1</f>
        <v>182</v>
      </c>
      <c r="B189" s="1335"/>
      <c r="C189" s="1335"/>
      <c r="D189" s="1335"/>
      <c r="E189" s="1322"/>
      <c r="F189" s="1322"/>
      <c r="G189" s="1335"/>
      <c r="H189" s="1322"/>
      <c r="I189" s="1322"/>
      <c r="J189" s="1336"/>
      <c r="K189" s="1344"/>
      <c r="R189" s="240"/>
      <c r="S189" s="240"/>
      <c r="W189" s="240"/>
      <c r="X189" s="240"/>
      <c r="Y189" s="240"/>
    </row>
    <row r="190" spans="1:25" ht="15.75" hidden="1" outlineLevel="1" thickBot="1">
      <c r="A190" s="1320">
        <f>MAX($A$7:A189)+1</f>
        <v>183</v>
      </c>
      <c r="B190" s="1335"/>
      <c r="C190" s="1335"/>
      <c r="D190" s="1345" t="s">
        <v>294</v>
      </c>
      <c r="E190" s="1346"/>
      <c r="F190" s="1346">
        <f>F21+F134+F188</f>
        <v>44091845.019999981</v>
      </c>
      <c r="G190" s="1347"/>
      <c r="H190" s="1346">
        <f>H21+H134+H188</f>
        <v>43813825.309656985</v>
      </c>
      <c r="I190" s="1346">
        <f>I21+I134+I188</f>
        <v>0</v>
      </c>
      <c r="J190" s="1335"/>
      <c r="K190" s="1348"/>
      <c r="L190" s="244"/>
    </row>
    <row r="191" spans="1:25" ht="15.75" hidden="1" outlineLevel="1" thickTop="1">
      <c r="A191" s="1320">
        <f>MAX($A$7:A190)+1</f>
        <v>184</v>
      </c>
      <c r="B191" s="1335"/>
      <c r="C191" s="1335"/>
      <c r="D191" s="1335"/>
      <c r="E191" s="1322"/>
      <c r="F191" s="1322"/>
      <c r="G191" s="1335"/>
      <c r="H191" s="1349"/>
      <c r="I191" s="1335"/>
      <c r="J191" s="1335"/>
      <c r="K191" s="1337"/>
    </row>
    <row r="192" spans="1:25" hidden="1" outlineLevel="1">
      <c r="A192" s="1320">
        <f>MAX($A$7:A191)+1</f>
        <v>185</v>
      </c>
      <c r="B192" s="1329"/>
      <c r="C192" s="1329"/>
      <c r="D192" s="1329"/>
      <c r="E192" s="1329"/>
      <c r="F192" s="1322"/>
      <c r="G192" s="1321"/>
      <c r="H192" s="1326"/>
      <c r="I192" s="1326"/>
      <c r="J192" s="1326"/>
      <c r="K192" s="1350"/>
    </row>
    <row r="193" spans="1:15" ht="30" hidden="1" outlineLevel="1">
      <c r="A193" s="1320">
        <f>MAX($A$7:A192)+1</f>
        <v>186</v>
      </c>
      <c r="B193" s="1321" t="s">
        <v>1078</v>
      </c>
      <c r="C193" s="1329"/>
      <c r="D193" s="1329"/>
      <c r="E193" s="1329"/>
      <c r="F193" s="1322"/>
      <c r="G193" s="1321"/>
      <c r="H193" s="1351" t="s">
        <v>1079</v>
      </c>
      <c r="I193" s="1351" t="s">
        <v>1080</v>
      </c>
      <c r="J193" s="1351" t="s">
        <v>1081</v>
      </c>
      <c r="K193" s="1352" t="s">
        <v>1082</v>
      </c>
    </row>
    <row r="194" spans="1:15" hidden="1" outlineLevel="1">
      <c r="A194" s="1320">
        <f>MAX($A$7:A193)+1</f>
        <v>187</v>
      </c>
      <c r="B194" s="1326" t="s">
        <v>4</v>
      </c>
      <c r="C194" s="1321" t="s">
        <v>1083</v>
      </c>
      <c r="D194" s="1322">
        <f>SUMIF(J7:J186,B194,H7:H186)</f>
        <v>0</v>
      </c>
      <c r="E194" s="1329"/>
      <c r="F194" s="1329"/>
      <c r="G194" s="1321"/>
      <c r="H194" s="1321">
        <v>303</v>
      </c>
      <c r="I194" s="1322">
        <f>+SUMIF($E$8:$E$187,H194,$I$8:$I$187)</f>
        <v>0</v>
      </c>
      <c r="J194" s="1342">
        <v>0.12809999999999999</v>
      </c>
      <c r="K194" s="1322">
        <f>+I194*J194</f>
        <v>0</v>
      </c>
      <c r="N194" s="239"/>
      <c r="O194" s="239"/>
    </row>
    <row r="195" spans="1:15" hidden="1" outlineLevel="1">
      <c r="A195" s="1320">
        <f>MAX($A$7:A194)+1</f>
        <v>188</v>
      </c>
      <c r="B195" s="1353"/>
      <c r="C195" s="1353"/>
      <c r="D195" s="1329"/>
      <c r="E195" s="1329"/>
      <c r="F195" s="1329"/>
      <c r="G195" s="1321"/>
      <c r="H195" s="1321">
        <v>367.1</v>
      </c>
      <c r="I195" s="1322">
        <f t="shared" ref="I195:I214" si="9">+SUMIF($E$8:$E$187,H195,$I$8:$I$187)</f>
        <v>0</v>
      </c>
      <c r="J195" s="1342">
        <f>'EOP Depn Exp Adj'!D15</f>
        <v>1.4999999999999999E-2</v>
      </c>
      <c r="K195" s="1322">
        <f t="shared" ref="K195:K214" si="10">+I195*J195</f>
        <v>0</v>
      </c>
      <c r="M195" s="243"/>
      <c r="N195" s="239"/>
      <c r="O195" s="239"/>
    </row>
    <row r="196" spans="1:15" hidden="1" outlineLevel="1">
      <c r="A196" s="1320">
        <f>MAX($A$7:A195)+1</f>
        <v>189</v>
      </c>
      <c r="B196" s="1353"/>
      <c r="C196" s="1353"/>
      <c r="D196" s="1353"/>
      <c r="E196" s="1322"/>
      <c r="F196" s="1322"/>
      <c r="G196" s="1321"/>
      <c r="H196" s="1321">
        <v>374.2</v>
      </c>
      <c r="I196" s="1322">
        <f t="shared" si="9"/>
        <v>0</v>
      </c>
      <c r="J196" s="1342">
        <f>'EOP Depn Exp Adj'!D18</f>
        <v>1.6399999999999998E-2</v>
      </c>
      <c r="K196" s="1322">
        <f t="shared" si="10"/>
        <v>0</v>
      </c>
      <c r="M196" s="243"/>
      <c r="N196" s="239"/>
      <c r="O196" s="239"/>
    </row>
    <row r="197" spans="1:15" hidden="1" outlineLevel="1">
      <c r="A197" s="1320">
        <f>MAX($A$7:A196)+1</f>
        <v>190</v>
      </c>
      <c r="B197" s="1353"/>
      <c r="C197" s="1353"/>
      <c r="D197" s="1321"/>
      <c r="E197" s="1322"/>
      <c r="F197" s="1322"/>
      <c r="G197" s="1321"/>
      <c r="H197" s="1321">
        <v>376.1</v>
      </c>
      <c r="I197" s="1322">
        <f t="shared" si="9"/>
        <v>0</v>
      </c>
      <c r="J197" s="1342">
        <f>'EOP Depn Exp Adj'!D22</f>
        <v>3.56E-2</v>
      </c>
      <c r="K197" s="1322">
        <f t="shared" si="10"/>
        <v>0</v>
      </c>
      <c r="M197" s="243"/>
      <c r="N197" s="239"/>
      <c r="O197" s="239"/>
    </row>
    <row r="198" spans="1:15" hidden="1" outlineLevel="1">
      <c r="A198" s="1320">
        <f>MAX($A$7:A197)+1</f>
        <v>191</v>
      </c>
      <c r="B198" s="1353"/>
      <c r="C198" s="1353"/>
      <c r="D198" s="1321"/>
      <c r="E198" s="1322"/>
      <c r="F198" s="1322"/>
      <c r="G198" s="1321"/>
      <c r="H198" s="1321">
        <v>376.2</v>
      </c>
      <c r="I198" s="1322">
        <f t="shared" si="9"/>
        <v>0</v>
      </c>
      <c r="J198" s="1342">
        <f>'EOP Depn Exp Adj'!D20</f>
        <v>1.52E-2</v>
      </c>
      <c r="K198" s="1322">
        <f t="shared" si="10"/>
        <v>0</v>
      </c>
      <c r="M198" s="243"/>
      <c r="N198" s="239"/>
      <c r="O198" s="239"/>
    </row>
    <row r="199" spans="1:15" hidden="1" outlineLevel="1">
      <c r="A199" s="1320">
        <f>MAX($A$7:A198)+1</f>
        <v>192</v>
      </c>
      <c r="B199" s="1353"/>
      <c r="C199" s="1353"/>
      <c r="D199" s="1321"/>
      <c r="E199" s="1322"/>
      <c r="F199" s="1322"/>
      <c r="G199" s="1321"/>
      <c r="H199" s="1321">
        <v>376.3</v>
      </c>
      <c r="I199" s="1322">
        <f t="shared" si="9"/>
        <v>0</v>
      </c>
      <c r="J199" s="1342">
        <f>'EOP Depn Exp Adj'!D21</f>
        <v>2.81E-2</v>
      </c>
      <c r="K199" s="1322">
        <f t="shared" si="10"/>
        <v>0</v>
      </c>
      <c r="M199" s="243"/>
      <c r="N199" s="239"/>
      <c r="O199" s="239"/>
    </row>
    <row r="200" spans="1:15" hidden="1" outlineLevel="1">
      <c r="A200" s="1320">
        <f>MAX($A$7:A199)+1</f>
        <v>193</v>
      </c>
      <c r="B200" s="1353"/>
      <c r="C200" s="1353"/>
      <c r="D200" s="1321"/>
      <c r="E200" s="1322"/>
      <c r="F200" s="1322"/>
      <c r="G200" s="1321"/>
      <c r="H200" s="1321">
        <v>377</v>
      </c>
      <c r="I200" s="1322">
        <f t="shared" si="9"/>
        <v>0</v>
      </c>
      <c r="J200" s="1342">
        <f>'EOP Depn Exp Adj'!D23</f>
        <v>1.72E-2</v>
      </c>
      <c r="K200" s="1322">
        <f t="shared" si="10"/>
        <v>0</v>
      </c>
      <c r="M200" s="243"/>
      <c r="N200" s="239"/>
      <c r="O200" s="239"/>
    </row>
    <row r="201" spans="1:15" hidden="1" outlineLevel="1">
      <c r="A201" s="1320">
        <f>MAX($A$7:A200)+1</f>
        <v>194</v>
      </c>
      <c r="B201" s="1353"/>
      <c r="C201" s="1353"/>
      <c r="D201" s="1321"/>
      <c r="E201" s="1322"/>
      <c r="F201" s="1322"/>
      <c r="G201" s="1321"/>
      <c r="H201" s="1321">
        <v>378</v>
      </c>
      <c r="I201" s="1322">
        <f t="shared" si="9"/>
        <v>0</v>
      </c>
      <c r="J201" s="1342">
        <f>'EOP Depn Exp Adj'!D24</f>
        <v>1.9699999999999999E-2</v>
      </c>
      <c r="K201" s="1322">
        <f t="shared" si="10"/>
        <v>0</v>
      </c>
      <c r="M201" s="243"/>
      <c r="N201" s="239"/>
      <c r="O201" s="239"/>
    </row>
    <row r="202" spans="1:15" hidden="1" outlineLevel="1">
      <c r="A202" s="1320">
        <f>MAX($A$7:A201)+1</f>
        <v>195</v>
      </c>
      <c r="B202" s="1353"/>
      <c r="C202" s="1353"/>
      <c r="D202" s="1321"/>
      <c r="E202" s="1322"/>
      <c r="F202" s="1322"/>
      <c r="G202" s="1321"/>
      <c r="H202" s="1321">
        <v>379</v>
      </c>
      <c r="I202" s="1322">
        <f t="shared" si="9"/>
        <v>0</v>
      </c>
      <c r="J202" s="1342">
        <f>'EOP Depn Exp Adj'!D25</f>
        <v>1.9699999999999999E-2</v>
      </c>
      <c r="K202" s="1322">
        <f t="shared" si="10"/>
        <v>0</v>
      </c>
      <c r="M202" s="243"/>
      <c r="N202" s="239"/>
      <c r="O202" s="239"/>
    </row>
    <row r="203" spans="1:15" hidden="1" outlineLevel="1">
      <c r="A203" s="1320">
        <f>MAX($A$7:A202)+1</f>
        <v>196</v>
      </c>
      <c r="B203" s="1353"/>
      <c r="C203" s="1353"/>
      <c r="D203" s="1321"/>
      <c r="E203" s="1322"/>
      <c r="F203" s="1322"/>
      <c r="G203" s="1321"/>
      <c r="H203" s="1321">
        <v>380</v>
      </c>
      <c r="I203" s="1322">
        <f t="shared" si="9"/>
        <v>0</v>
      </c>
      <c r="J203" s="1342">
        <f>'EOP Depn Exp Adj'!D26</f>
        <v>3.3599999999999998E-2</v>
      </c>
      <c r="K203" s="1322">
        <f t="shared" si="10"/>
        <v>0</v>
      </c>
      <c r="M203" s="243"/>
      <c r="N203" s="239"/>
      <c r="O203" s="239"/>
    </row>
    <row r="204" spans="1:15" hidden="1" outlineLevel="1">
      <c r="A204" s="1320">
        <f>MAX($A$7:A203)+1</f>
        <v>197</v>
      </c>
      <c r="B204" s="1353"/>
      <c r="C204" s="1353"/>
      <c r="D204" s="1321"/>
      <c r="E204" s="1322"/>
      <c r="F204" s="1322"/>
      <c r="G204" s="1321"/>
      <c r="H204" s="1321">
        <v>380.1</v>
      </c>
      <c r="I204" s="1322">
        <f t="shared" si="9"/>
        <v>0</v>
      </c>
      <c r="J204" s="1342">
        <f>'EOP Depn Exp Adj'!D26</f>
        <v>3.3599999999999998E-2</v>
      </c>
      <c r="K204" s="1322">
        <f t="shared" si="10"/>
        <v>0</v>
      </c>
      <c r="M204" s="243"/>
      <c r="N204" s="239"/>
      <c r="O204" s="239"/>
    </row>
    <row r="205" spans="1:15" hidden="1" outlineLevel="1">
      <c r="A205" s="1320">
        <f>MAX($A$7:A204)+1</f>
        <v>198</v>
      </c>
      <c r="B205" s="1321"/>
      <c r="C205" s="1321"/>
      <c r="D205" s="1321"/>
      <c r="E205" s="1322"/>
      <c r="F205" s="1322"/>
      <c r="G205" s="1321"/>
      <c r="H205" s="1329">
        <v>380.3</v>
      </c>
      <c r="I205" s="1322">
        <f t="shared" si="9"/>
        <v>0</v>
      </c>
      <c r="J205" s="1342">
        <f>'EOP Depn Exp Adj'!D27</f>
        <v>3.4700000000000002E-2</v>
      </c>
      <c r="K205" s="1322">
        <f t="shared" si="10"/>
        <v>0</v>
      </c>
      <c r="M205" s="243"/>
      <c r="N205" s="239"/>
      <c r="O205" s="239"/>
    </row>
    <row r="206" spans="1:15" hidden="1" outlineLevel="1">
      <c r="A206" s="1320">
        <f>MAX($A$7:A205)+1</f>
        <v>199</v>
      </c>
      <c r="B206" s="1321"/>
      <c r="C206" s="1321"/>
      <c r="D206" s="1321"/>
      <c r="E206" s="1322"/>
      <c r="F206" s="1322"/>
      <c r="G206" s="1321"/>
      <c r="H206" s="1321">
        <v>381</v>
      </c>
      <c r="I206" s="1322">
        <f t="shared" si="9"/>
        <v>0</v>
      </c>
      <c r="J206" s="1342">
        <f>'EOP Depn Exp Adj'!D30</f>
        <v>2.6099999999999998E-2</v>
      </c>
      <c r="K206" s="1322">
        <f t="shared" si="10"/>
        <v>0</v>
      </c>
      <c r="M206" s="243"/>
      <c r="N206" s="239"/>
      <c r="O206" s="239"/>
    </row>
    <row r="207" spans="1:15" hidden="1" outlineLevel="1">
      <c r="A207" s="1320">
        <f>MAX($A$7:A206)+1</f>
        <v>200</v>
      </c>
      <c r="B207" s="1321"/>
      <c r="C207" s="1321"/>
      <c r="D207" s="1321"/>
      <c r="E207" s="1322"/>
      <c r="F207" s="1322"/>
      <c r="G207" s="1321"/>
      <c r="H207" s="1321">
        <v>383</v>
      </c>
      <c r="I207" s="1322">
        <f t="shared" si="9"/>
        <v>0</v>
      </c>
      <c r="J207" s="1342">
        <f>'EOP Depn Exp Adj'!D31</f>
        <v>2.1600000000000001E-2</v>
      </c>
      <c r="K207" s="1322">
        <f t="shared" si="10"/>
        <v>0</v>
      </c>
      <c r="M207" s="243"/>
      <c r="N207" s="239"/>
      <c r="O207" s="239"/>
    </row>
    <row r="208" spans="1:15" hidden="1" outlineLevel="1">
      <c r="A208" s="1320">
        <f>MAX($A$7:A207)+1</f>
        <v>201</v>
      </c>
      <c r="B208" s="1321"/>
      <c r="C208" s="1321"/>
      <c r="D208" s="1321"/>
      <c r="E208" s="1322"/>
      <c r="F208" s="1322"/>
      <c r="G208" s="1321"/>
      <c r="H208" s="1321">
        <v>385</v>
      </c>
      <c r="I208" s="1322">
        <f t="shared" si="9"/>
        <v>0</v>
      </c>
      <c r="J208" s="1342">
        <f>'EOP Depn Exp Adj'!D32</f>
        <v>1.7000000000000001E-2</v>
      </c>
      <c r="K208" s="1322">
        <f t="shared" si="10"/>
        <v>0</v>
      </c>
      <c r="M208" s="243"/>
      <c r="N208" s="239"/>
      <c r="O208" s="239"/>
    </row>
    <row r="209" spans="1:18" hidden="1" outlineLevel="1">
      <c r="A209" s="1320">
        <f>MAX($A$7:A208)+1</f>
        <v>202</v>
      </c>
      <c r="B209" s="1321"/>
      <c r="C209" s="1321"/>
      <c r="D209" s="1321"/>
      <c r="E209" s="1322"/>
      <c r="F209" s="1322"/>
      <c r="G209" s="1321"/>
      <c r="H209" s="1321">
        <v>390.1</v>
      </c>
      <c r="I209" s="1322">
        <f t="shared" si="9"/>
        <v>0</v>
      </c>
      <c r="J209" s="1342">
        <f>'EOP Depn Exp Adj'!D35</f>
        <v>1.44E-2</v>
      </c>
      <c r="K209" s="1322">
        <f t="shared" si="10"/>
        <v>0</v>
      </c>
      <c r="M209" s="243"/>
      <c r="N209" s="239"/>
      <c r="O209" s="239"/>
      <c r="R209" s="240"/>
    </row>
    <row r="210" spans="1:18" hidden="1" outlineLevel="1">
      <c r="A210" s="1320">
        <f>MAX($A$7:A209)+1</f>
        <v>203</v>
      </c>
      <c r="B210" s="1321"/>
      <c r="C210" s="1321"/>
      <c r="D210" s="1321"/>
      <c r="E210" s="1322"/>
      <c r="F210" s="1322"/>
      <c r="G210" s="1321"/>
      <c r="H210" s="1321">
        <v>391.3</v>
      </c>
      <c r="I210" s="1322">
        <f t="shared" si="9"/>
        <v>0</v>
      </c>
      <c r="J210" s="1342">
        <f>'EOP Depn Exp Adj'!D36</f>
        <v>0.44020000000000004</v>
      </c>
      <c r="K210" s="1322">
        <f t="shared" si="10"/>
        <v>0</v>
      </c>
      <c r="M210" s="243"/>
      <c r="N210" s="239"/>
      <c r="O210" s="239"/>
      <c r="R210" s="240"/>
    </row>
    <row r="211" spans="1:18" hidden="1" outlineLevel="1">
      <c r="A211" s="1320">
        <f>MAX($A$7:A210)+1</f>
        <v>204</v>
      </c>
      <c r="B211" s="1321"/>
      <c r="C211" s="1321"/>
      <c r="D211" s="1321"/>
      <c r="E211" s="1322"/>
      <c r="F211" s="1322"/>
      <c r="G211" s="1321"/>
      <c r="H211" s="1321">
        <v>391.5</v>
      </c>
      <c r="I211" s="1322">
        <f t="shared" si="9"/>
        <v>0</v>
      </c>
      <c r="J211" s="1342">
        <f>'EOP Depn Exp Adj'!D38</f>
        <v>0.19</v>
      </c>
      <c r="K211" s="1322">
        <f t="shared" si="10"/>
        <v>0</v>
      </c>
      <c r="M211" s="243"/>
      <c r="N211" s="239"/>
      <c r="O211" s="239"/>
      <c r="R211" s="240"/>
    </row>
    <row r="212" spans="1:18" hidden="1" outlineLevel="1">
      <c r="A212" s="1320">
        <f>MAX($A$7:A211)+1</f>
        <v>205</v>
      </c>
      <c r="B212" s="1321"/>
      <c r="C212" s="1321"/>
      <c r="D212" s="1321"/>
      <c r="E212" s="1322"/>
      <c r="F212" s="1322"/>
      <c r="G212" s="1321"/>
      <c r="H212" s="1321">
        <v>394.1</v>
      </c>
      <c r="I212" s="1322">
        <f t="shared" si="9"/>
        <v>0</v>
      </c>
      <c r="J212" s="1342">
        <f>'EOP Depn Exp Adj'!D43</f>
        <v>0.1066</v>
      </c>
      <c r="K212" s="1322">
        <f t="shared" si="10"/>
        <v>0</v>
      </c>
      <c r="M212" s="243"/>
      <c r="N212" s="239"/>
      <c r="O212" s="239"/>
      <c r="R212" s="240"/>
    </row>
    <row r="213" spans="1:18" hidden="1" outlineLevel="1">
      <c r="A213" s="1320">
        <f>MAX($A$7:A212)+1</f>
        <v>206</v>
      </c>
      <c r="B213" s="1321"/>
      <c r="C213" s="1321"/>
      <c r="D213" s="1321"/>
      <c r="E213" s="1322"/>
      <c r="F213" s="1322"/>
      <c r="G213" s="1321"/>
      <c r="H213" s="1321">
        <v>396.2</v>
      </c>
      <c r="I213" s="1322">
        <f t="shared" si="9"/>
        <v>0</v>
      </c>
      <c r="J213" s="1342">
        <f>'EOP Depn Exp Adj'!D46</f>
        <v>9.6300000000000011E-2</v>
      </c>
      <c r="K213" s="1322">
        <f t="shared" si="10"/>
        <v>0</v>
      </c>
      <c r="M213" s="243"/>
      <c r="N213" s="239"/>
      <c r="O213" s="239"/>
    </row>
    <row r="214" spans="1:18" hidden="1" outlineLevel="1">
      <c r="A214" s="1320">
        <f>MAX($A$7:A213)+1</f>
        <v>207</v>
      </c>
      <c r="B214" s="1321"/>
      <c r="C214" s="1321"/>
      <c r="D214" s="1321"/>
      <c r="E214" s="1322"/>
      <c r="F214" s="1322"/>
      <c r="G214" s="1321"/>
      <c r="H214" s="1321">
        <v>397.2</v>
      </c>
      <c r="I214" s="1322">
        <f t="shared" si="9"/>
        <v>0</v>
      </c>
      <c r="J214" s="1342">
        <f>'EOP Depn Exp Adj'!D50</f>
        <v>5.5300000000000002E-2</v>
      </c>
      <c r="K214" s="1322">
        <f t="shared" si="10"/>
        <v>0</v>
      </c>
      <c r="M214" s="243"/>
      <c r="N214" s="239"/>
      <c r="O214" s="239"/>
    </row>
    <row r="215" spans="1:18" hidden="1" outlineLevel="1">
      <c r="A215" s="1320">
        <f>MAX($A$7:A214)+1</f>
        <v>208</v>
      </c>
      <c r="B215" s="1321"/>
      <c r="C215" s="1321"/>
      <c r="D215" s="1321"/>
      <c r="E215" s="1322"/>
      <c r="F215" s="1322"/>
      <c r="G215" s="1321"/>
      <c r="H215" s="1354" t="s">
        <v>1084</v>
      </c>
      <c r="I215" s="1332">
        <f>SUM(I194:I214)</f>
        <v>0</v>
      </c>
      <c r="J215" s="1355">
        <f>AVERAGE(J195:J214)</f>
        <v>6.1814999999999995E-2</v>
      </c>
      <c r="K215" s="1332">
        <f>SUM(K194:K214)</f>
        <v>0</v>
      </c>
      <c r="N215" s="240"/>
      <c r="O215" s="239"/>
      <c r="Q215" s="240"/>
      <c r="R215" s="240"/>
    </row>
    <row r="216" spans="1:18" hidden="1" outlineLevel="1">
      <c r="A216" s="1320">
        <f>MAX($A$7:A215)+1</f>
        <v>209</v>
      </c>
      <c r="B216" s="1321"/>
      <c r="C216" s="1321"/>
      <c r="D216" s="1321"/>
      <c r="E216" s="1322"/>
      <c r="F216" s="1322"/>
      <c r="G216" s="1321"/>
      <c r="H216" s="1321"/>
      <c r="I216" s="1322"/>
      <c r="J216" s="1321"/>
      <c r="K216" s="1341"/>
      <c r="N216" s="240"/>
      <c r="O216" s="240"/>
      <c r="R216" s="240"/>
    </row>
    <row r="217" spans="1:18" hidden="1" outlineLevel="1">
      <c r="A217" s="1320">
        <f>MAX($A$7:A216)+1</f>
        <v>210</v>
      </c>
      <c r="B217" s="1321"/>
      <c r="C217" s="1321"/>
      <c r="D217" s="1321"/>
      <c r="E217" s="1322"/>
      <c r="F217" s="1322"/>
      <c r="G217" s="1321"/>
      <c r="H217" s="1321"/>
      <c r="I217" s="1322">
        <f>+I190-I215</f>
        <v>0</v>
      </c>
      <c r="J217" s="1321"/>
      <c r="K217" s="1341"/>
    </row>
    <row r="218" spans="1:18" collapsed="1"/>
    <row r="219" spans="1:18">
      <c r="B219" s="5" t="s">
        <v>3223</v>
      </c>
    </row>
  </sheetData>
  <sortState xmlns:xlrd2="http://schemas.microsoft.com/office/spreadsheetml/2017/richdata2" ref="AK8:AK20">
    <sortCondition ref="AK8"/>
  </sortState>
  <dataValidations count="2">
    <dataValidation type="list" allowBlank="1" showInputMessage="1" showErrorMessage="1" sqref="U8 U12:U13" xr:uid="{36EECD96-5483-4AFC-B18B-8269868E9C75}">
      <formula1>$R$6:$S$6</formula1>
    </dataValidation>
    <dataValidation type="list" allowBlank="1" showInputMessage="1" showErrorMessage="1" sqref="O7" xr:uid="{C282341F-E293-4F34-932A-8EEB9A1B3F99}">
      <formula1>"Yes, No"</formula1>
    </dataValidation>
  </dataValidations>
  <pageMargins left="0.7" right="0.7" top="0.75" bottom="0.75" header="0.3" footer="0.3"/>
  <pageSetup scale="57" fitToHeight="0" orientation="landscape" useFirstPageNumber="1" r:id="rId1"/>
  <headerFooter scaleWithDoc="0" alignWithMargins="0">
    <oddHeader>&amp;RDocket No. UG-20___
Exhibit _____ (MCP-6)
Page &amp;P of 5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6090C-EAF4-44AA-A676-6A687C7A14A1}">
  <sheetPr codeName="Sheet5">
    <tabColor theme="7"/>
    <pageSetUpPr fitToPage="1"/>
  </sheetPr>
  <dimension ref="A1:AB45"/>
  <sheetViews>
    <sheetView view="pageBreakPreview" zoomScale="80" zoomScaleNormal="80" zoomScaleSheetLayoutView="80" workbookViewId="0">
      <selection activeCell="Y25" sqref="Y25"/>
    </sheetView>
  </sheetViews>
  <sheetFormatPr defaultColWidth="9.140625" defaultRowHeight="15" outlineLevelCol="1"/>
  <cols>
    <col min="1" max="1" width="5.7109375" style="113" customWidth="1"/>
    <col min="2" max="2" width="34.28515625" style="113" bestFit="1" customWidth="1"/>
    <col min="3" max="3" width="14.5703125" style="1227" hidden="1" customWidth="1" outlineLevel="1"/>
    <col min="4" max="4" width="13.42578125" style="1227" hidden="1" customWidth="1" outlineLevel="1"/>
    <col min="5" max="5" width="15.28515625" style="1227" hidden="1" customWidth="1" outlineLevel="1"/>
    <col min="6" max="6" width="13.7109375" style="1227" hidden="1" customWidth="1" outlineLevel="1"/>
    <col min="7" max="7" width="14.5703125" style="1227" hidden="1" customWidth="1" outlineLevel="1"/>
    <col min="8" max="8" width="2.42578125" style="1227" hidden="1" customWidth="1" outlineLevel="1"/>
    <col min="9" max="9" width="14.5703125" style="1227" hidden="1" customWidth="1" outlineLevel="1"/>
    <col min="10" max="10" width="13.42578125" style="1227" hidden="1" customWidth="1" outlineLevel="1"/>
    <col min="11" max="11" width="15.42578125" style="1227" hidden="1" customWidth="1" outlineLevel="1"/>
    <col min="12" max="12" width="13.42578125" style="1227" hidden="1" customWidth="1" outlineLevel="1"/>
    <col min="13" max="13" width="15.42578125" style="1227" hidden="1" customWidth="1" outlineLevel="1"/>
    <col min="14" max="14" width="2.42578125" style="1227" hidden="1" customWidth="1" outlineLevel="1"/>
    <col min="15" max="15" width="15.42578125" style="1227" hidden="1" customWidth="1" outlineLevel="1"/>
    <col min="16" max="16" width="13.42578125" style="1227" hidden="1" customWidth="1" outlineLevel="1"/>
    <col min="17" max="17" width="15.42578125" style="1227" hidden="1" customWidth="1" outlineLevel="1"/>
    <col min="18" max="18" width="13.42578125" style="1227" hidden="1" customWidth="1" outlineLevel="1"/>
    <col min="19" max="19" width="15.42578125" style="1227" hidden="1" customWidth="1" outlineLevel="1"/>
    <col min="20" max="20" width="5" style="113" customWidth="1" collapsed="1"/>
    <col min="21" max="21" width="11.7109375" style="113" bestFit="1" customWidth="1"/>
    <col min="22" max="22" width="9.28515625" style="113" customWidth="1"/>
    <col min="23" max="23" width="13.7109375" style="113" bestFit="1" customWidth="1"/>
    <col min="24" max="24" width="6.85546875" style="113" bestFit="1" customWidth="1"/>
    <col min="25" max="25" width="26.42578125" style="113" customWidth="1"/>
    <col min="26" max="26" width="10.7109375" style="113" bestFit="1" customWidth="1"/>
    <col min="27" max="27" width="12.140625" style="113" customWidth="1"/>
    <col min="28" max="28" width="26.28515625" style="113" customWidth="1"/>
    <col min="29" max="16384" width="9.140625" style="113"/>
  </cols>
  <sheetData>
    <row r="1" spans="1:28">
      <c r="A1" s="1507" t="str">
        <f>Company</f>
        <v>Cascade Natural Gas Corp.</v>
      </c>
      <c r="B1" s="1507"/>
      <c r="C1" s="1507"/>
      <c r="D1" s="1507"/>
      <c r="E1" s="1507"/>
      <c r="F1" s="1507"/>
      <c r="G1" s="1507"/>
      <c r="H1" s="1507"/>
      <c r="I1" s="1507"/>
      <c r="J1" s="1507"/>
      <c r="K1" s="1507"/>
      <c r="L1" s="1507"/>
      <c r="M1" s="1507"/>
      <c r="N1" s="1507"/>
      <c r="O1" s="1507"/>
      <c r="P1" s="1507"/>
      <c r="Q1" s="1507"/>
      <c r="R1" s="1507"/>
      <c r="S1" s="1507"/>
    </row>
    <row r="2" spans="1:28">
      <c r="A2" s="1507" t="str">
        <f>Title1</f>
        <v>Washington Jurisdiction</v>
      </c>
      <c r="B2" s="1507"/>
      <c r="C2" s="1507"/>
      <c r="D2" s="1507"/>
      <c r="E2" s="1507"/>
      <c r="F2" s="1507"/>
      <c r="G2" s="1507"/>
      <c r="H2" s="1507"/>
      <c r="I2" s="1507"/>
      <c r="J2" s="1507"/>
      <c r="K2" s="1507"/>
      <c r="L2" s="1507"/>
      <c r="M2" s="1507"/>
      <c r="N2" s="1507"/>
      <c r="O2" s="1507"/>
      <c r="P2" s="1507"/>
      <c r="Q2" s="1507"/>
      <c r="R2" s="1507"/>
      <c r="S2" s="1507"/>
    </row>
    <row r="3" spans="1:28">
      <c r="A3" s="1508" t="str">
        <f>Title2</f>
        <v>Twelve-Months ended December 31, 2020</v>
      </c>
      <c r="B3" s="1508"/>
      <c r="C3" s="1508"/>
      <c r="D3" s="1508"/>
      <c r="E3" s="1508"/>
      <c r="F3" s="1508"/>
      <c r="G3" s="1508"/>
      <c r="H3" s="1508"/>
      <c r="I3" s="1508"/>
      <c r="J3" s="1508"/>
      <c r="K3" s="1508"/>
      <c r="L3" s="1508"/>
      <c r="M3" s="1508"/>
      <c r="N3" s="1508"/>
      <c r="O3" s="1508"/>
      <c r="P3" s="1508"/>
      <c r="Q3" s="1508"/>
      <c r="R3" s="1508"/>
      <c r="S3" s="1508"/>
    </row>
    <row r="4" spans="1:28">
      <c r="A4" s="1507" t="s">
        <v>1085</v>
      </c>
      <c r="B4" s="1507"/>
      <c r="C4" s="1507"/>
      <c r="D4" s="1507"/>
      <c r="E4" s="1507"/>
      <c r="F4" s="1507"/>
      <c r="G4" s="1507"/>
      <c r="H4" s="1507"/>
      <c r="I4" s="1507"/>
      <c r="J4" s="1507"/>
      <c r="K4" s="1507"/>
      <c r="L4" s="1507"/>
      <c r="M4" s="1507"/>
      <c r="N4" s="1507"/>
      <c r="O4" s="1507"/>
      <c r="P4" s="1507"/>
      <c r="Q4" s="1507"/>
      <c r="R4" s="1507"/>
      <c r="S4" s="1507"/>
    </row>
    <row r="5" spans="1:28" ht="60">
      <c r="A5" s="258" t="s">
        <v>8</v>
      </c>
      <c r="B5" s="258" t="s">
        <v>9</v>
      </c>
      <c r="C5" s="1226" t="s">
        <v>1086</v>
      </c>
      <c r="D5" s="1226" t="s">
        <v>1087</v>
      </c>
      <c r="E5" s="1226" t="s">
        <v>1088</v>
      </c>
      <c r="F5" s="1226" t="s">
        <v>1089</v>
      </c>
      <c r="G5" s="1226" t="s">
        <v>1090</v>
      </c>
      <c r="I5" s="1226" t="s">
        <v>1091</v>
      </c>
      <c r="J5" s="1226" t="s">
        <v>1092</v>
      </c>
      <c r="K5" s="1226" t="s">
        <v>1093</v>
      </c>
      <c r="L5" s="1226" t="s">
        <v>1094</v>
      </c>
      <c r="M5" s="1226" t="s">
        <v>1095</v>
      </c>
      <c r="O5" s="1226" t="s">
        <v>1096</v>
      </c>
      <c r="P5" s="1226" t="s">
        <v>1097</v>
      </c>
      <c r="Q5" s="1226" t="s">
        <v>1098</v>
      </c>
      <c r="R5" s="1226" t="s">
        <v>1099</v>
      </c>
      <c r="S5" s="1226" t="s">
        <v>1100</v>
      </c>
      <c r="U5" s="112"/>
      <c r="W5" s="259"/>
      <c r="X5" s="260"/>
    </row>
    <row r="6" spans="1:28">
      <c r="A6" s="261"/>
      <c r="B6" s="262" t="s">
        <v>2</v>
      </c>
      <c r="C6" s="1228" t="s">
        <v>3</v>
      </c>
      <c r="D6" s="1229" t="s">
        <v>4</v>
      </c>
      <c r="E6" s="1228" t="s">
        <v>670</v>
      </c>
      <c r="F6" s="1228" t="s">
        <v>6</v>
      </c>
      <c r="G6" s="1228" t="s">
        <v>1101</v>
      </c>
      <c r="I6" s="1228" t="s">
        <v>274</v>
      </c>
      <c r="J6" s="1229" t="s">
        <v>275</v>
      </c>
      <c r="K6" s="1228" t="s">
        <v>1102</v>
      </c>
      <c r="L6" s="1228" t="s">
        <v>277</v>
      </c>
      <c r="M6" s="1228" t="s">
        <v>1103</v>
      </c>
      <c r="O6" s="1228" t="s">
        <v>279</v>
      </c>
      <c r="P6" s="1229" t="s">
        <v>280</v>
      </c>
      <c r="Q6" s="1228" t="s">
        <v>1104</v>
      </c>
      <c r="R6" s="1228" t="s">
        <v>282</v>
      </c>
      <c r="S6" s="1228" t="s">
        <v>1105</v>
      </c>
      <c r="U6" s="112"/>
      <c r="Y6" s="116"/>
    </row>
    <row r="7" spans="1:28">
      <c r="A7" s="263">
        <v>1</v>
      </c>
      <c r="B7" s="264" t="s">
        <v>673</v>
      </c>
      <c r="C7" s="1230"/>
      <c r="D7" s="1231"/>
      <c r="E7" s="1230"/>
      <c r="F7" s="1230"/>
      <c r="G7" s="1230"/>
      <c r="I7" s="1230"/>
      <c r="J7" s="1231"/>
      <c r="K7" s="1230"/>
      <c r="L7" s="1230"/>
      <c r="M7" s="1230"/>
      <c r="O7" s="1230"/>
      <c r="P7" s="1231"/>
      <c r="Q7" s="1230"/>
      <c r="R7" s="1230"/>
      <c r="S7" s="1230"/>
      <c r="U7" s="112"/>
      <c r="Y7" s="116"/>
    </row>
    <row r="8" spans="1:28">
      <c r="A8" s="263">
        <v>2</v>
      </c>
      <c r="B8" s="257" t="s">
        <v>674</v>
      </c>
      <c r="C8" s="1232">
        <f>'Exh MCG-2 ROO Summary'!I9</f>
        <v>101759564.75574003</v>
      </c>
      <c r="D8" s="1233">
        <f>'Exh MCG-5, Summary of Adj'!AG8</f>
        <v>0</v>
      </c>
      <c r="E8" s="1234">
        <f>SUM(C8:D8)</f>
        <v>101759564.75574003</v>
      </c>
      <c r="F8" s="1233">
        <f>ROUND((((E$36*'Exh MCG-3, Rev Req Calc'!$C$9)-E$28)/'Exh MCG-3, Rev Req Calc'!$C$13), 0)</f>
        <v>0</v>
      </c>
      <c r="G8" s="1234">
        <f>SUM(E8:F8)</f>
        <v>101759564.75574003</v>
      </c>
      <c r="I8" s="1232">
        <f>G8</f>
        <v>101759564.75574003</v>
      </c>
      <c r="J8" s="1233">
        <f>'Exh MCG-5, Summary of Adj'!AL8</f>
        <v>0</v>
      </c>
      <c r="K8" s="1234">
        <f>SUM(I8:J8)</f>
        <v>101759564.75574003</v>
      </c>
      <c r="L8" s="1233">
        <f>ROUND((((K$36*'Exh MCG-3, Rev Req Calc'!$C$9)-K$28)/'Exh MCG-3, Rev Req Calc'!$C$13), 0)</f>
        <v>0</v>
      </c>
      <c r="M8" s="1234">
        <f>SUM(K8:L8)</f>
        <v>101759564.75574003</v>
      </c>
      <c r="O8" s="1232">
        <f>M8</f>
        <v>101759564.75574003</v>
      </c>
      <c r="P8" s="1233">
        <f>'Exh MCG-5, Summary of Adj'!AQ8</f>
        <v>0</v>
      </c>
      <c r="Q8" s="1234">
        <f>SUM(O8:P8)</f>
        <v>101759564.75574003</v>
      </c>
      <c r="R8" s="1233">
        <f>ROUND((((Q$36*'Exh MCG-3, Rev Req Calc'!$C$9)-Q$28)/'Exh MCG-3, Rev Req Calc'!$C$13), 0)</f>
        <v>0</v>
      </c>
      <c r="S8" s="1234">
        <f>SUM(Q8:R8)</f>
        <v>101759564.75574003</v>
      </c>
      <c r="U8" s="112"/>
      <c r="V8" s="112"/>
      <c r="Y8" s="116"/>
    </row>
    <row r="9" spans="1:28">
      <c r="A9" s="263">
        <v>3</v>
      </c>
      <c r="B9" s="257" t="s">
        <v>675</v>
      </c>
      <c r="C9" s="1235">
        <f>'Exh MCG-2 ROO Summary'!I10</f>
        <v>25108662.77</v>
      </c>
      <c r="D9" s="1233">
        <f>'Exh MCG-5, Summary of Adj'!AG9</f>
        <v>0</v>
      </c>
      <c r="E9" s="1234">
        <f>SUM(C9:D9)</f>
        <v>25108662.77</v>
      </c>
      <c r="F9" s="1233"/>
      <c r="G9" s="1234">
        <f>SUM(E9:F9)</f>
        <v>25108662.77</v>
      </c>
      <c r="I9" s="1235">
        <f>G9</f>
        <v>25108662.77</v>
      </c>
      <c r="J9" s="1233">
        <f>'Exh MCG-5, Summary of Adj'!AL9</f>
        <v>0</v>
      </c>
      <c r="K9" s="1234">
        <f>SUM(I9:J9)</f>
        <v>25108662.77</v>
      </c>
      <c r="L9" s="1233"/>
      <c r="M9" s="1234">
        <f>SUM(K9:L9)</f>
        <v>25108662.77</v>
      </c>
      <c r="O9" s="1235">
        <f>M9</f>
        <v>25108662.77</v>
      </c>
      <c r="P9" s="1233">
        <f>'Exh MCG-5, Summary of Adj'!AQ9</f>
        <v>0</v>
      </c>
      <c r="Q9" s="1234">
        <f>SUM(O9:P9)</f>
        <v>25108662.77</v>
      </c>
      <c r="R9" s="1233"/>
      <c r="S9" s="1234">
        <f>SUM(Q9:R9)</f>
        <v>25108662.77</v>
      </c>
      <c r="U9" s="112"/>
      <c r="V9" s="112"/>
    </row>
    <row r="10" spans="1:28">
      <c r="A10" s="263">
        <v>4</v>
      </c>
      <c r="B10" s="257" t="s">
        <v>676</v>
      </c>
      <c r="C10" s="1236">
        <f>'Exh MCG-2 ROO Summary'!I11</f>
        <v>4024032.3099999987</v>
      </c>
      <c r="D10" s="1237">
        <f>'Exh MCG-5, Summary of Adj'!AG10</f>
        <v>0</v>
      </c>
      <c r="E10" s="1238">
        <f>SUM(C10:D10)</f>
        <v>4024032.3099999987</v>
      </c>
      <c r="F10" s="1237"/>
      <c r="G10" s="1238">
        <f>SUM(E10:F10)</f>
        <v>4024032.3099999987</v>
      </c>
      <c r="I10" s="1236">
        <f>G10</f>
        <v>4024032.3099999987</v>
      </c>
      <c r="J10" s="1237">
        <f>'Exh MCG-5, Summary of Adj'!AL10</f>
        <v>0</v>
      </c>
      <c r="K10" s="1238">
        <f>SUM(I10:J10)</f>
        <v>4024032.3099999987</v>
      </c>
      <c r="L10" s="1237"/>
      <c r="M10" s="1238">
        <f>SUM(K10:L10)</f>
        <v>4024032.3099999987</v>
      </c>
      <c r="O10" s="1236">
        <f>M10</f>
        <v>4024032.3099999987</v>
      </c>
      <c r="P10" s="1237">
        <f>'Exh MCG-5, Summary of Adj'!AQ10</f>
        <v>0</v>
      </c>
      <c r="Q10" s="1238">
        <f>SUM(O10:P10)</f>
        <v>4024032.3099999987</v>
      </c>
      <c r="R10" s="1237"/>
      <c r="S10" s="1238">
        <f>SUM(Q10:R10)</f>
        <v>4024032.3099999987</v>
      </c>
      <c r="U10" s="112"/>
      <c r="V10" s="112"/>
      <c r="Y10" s="116"/>
      <c r="AA10" s="116"/>
      <c r="AB10" s="116"/>
    </row>
    <row r="11" spans="1:28">
      <c r="A11" s="265">
        <v>5</v>
      </c>
      <c r="B11" s="266" t="s">
        <v>677</v>
      </c>
      <c r="C11" s="1235">
        <f>SUM(C8:C10)</f>
        <v>130892259.83574003</v>
      </c>
      <c r="D11" s="1235">
        <f>SUM(D8:D10)</f>
        <v>0</v>
      </c>
      <c r="E11" s="1235">
        <f>SUM(E8:E10)</f>
        <v>130892259.83574003</v>
      </c>
      <c r="F11" s="1235">
        <f>SUM(F8:F10)</f>
        <v>0</v>
      </c>
      <c r="G11" s="1235">
        <f>SUM(G8:G10)</f>
        <v>130892259.83574003</v>
      </c>
      <c r="I11" s="1235">
        <f>SUM(I8:I10)</f>
        <v>130892259.83574003</v>
      </c>
      <c r="J11" s="1235">
        <f>SUM(J8:J10)</f>
        <v>0</v>
      </c>
      <c r="K11" s="1235">
        <f>SUM(K8:K10)</f>
        <v>130892259.83574003</v>
      </c>
      <c r="L11" s="1235">
        <f>SUM(L8:L10)</f>
        <v>0</v>
      </c>
      <c r="M11" s="1235">
        <f>SUM(M8:M10)</f>
        <v>130892259.83574003</v>
      </c>
      <c r="O11" s="1235">
        <f>SUM(O8:O10)</f>
        <v>130892259.83574003</v>
      </c>
      <c r="P11" s="1235">
        <f>SUM(P8:P10)</f>
        <v>0</v>
      </c>
      <c r="Q11" s="1235">
        <f>SUM(Q8:Q10)</f>
        <v>130892259.83574003</v>
      </c>
      <c r="R11" s="1235">
        <f>SUM(R8:R10)</f>
        <v>0</v>
      </c>
      <c r="S11" s="1235">
        <f>SUM(S8:S10)</f>
        <v>130892259.83574003</v>
      </c>
      <c r="U11" s="112"/>
      <c r="V11" s="112"/>
      <c r="Y11" s="112"/>
      <c r="AA11" s="116"/>
    </row>
    <row r="12" spans="1:28">
      <c r="A12" s="263">
        <v>6</v>
      </c>
      <c r="B12" s="257"/>
      <c r="C12" s="1239"/>
      <c r="D12" s="1239"/>
      <c r="E12" s="1239"/>
      <c r="F12" s="1239"/>
      <c r="G12" s="1239"/>
      <c r="I12" s="1239"/>
      <c r="J12" s="1239"/>
      <c r="K12" s="1239"/>
      <c r="L12" s="1239"/>
      <c r="M12" s="1239"/>
      <c r="O12" s="1239"/>
      <c r="P12" s="1239"/>
      <c r="Q12" s="1239"/>
      <c r="R12" s="1239"/>
      <c r="S12" s="1239"/>
      <c r="U12" s="112"/>
      <c r="V12" s="112"/>
      <c r="W12" s="112"/>
      <c r="Y12" s="112"/>
      <c r="Z12" s="112"/>
      <c r="AA12" s="112"/>
    </row>
    <row r="13" spans="1:28">
      <c r="A13" s="263">
        <v>7</v>
      </c>
      <c r="B13" s="264" t="s">
        <v>678</v>
      </c>
      <c r="C13" s="1239"/>
      <c r="D13" s="1239"/>
      <c r="E13" s="1239"/>
      <c r="F13" s="1239"/>
      <c r="G13" s="1239"/>
      <c r="I13" s="1239"/>
      <c r="J13" s="1239"/>
      <c r="K13" s="1239"/>
      <c r="L13" s="1239"/>
      <c r="M13" s="1239"/>
      <c r="O13" s="1239"/>
      <c r="P13" s="1239"/>
      <c r="Q13" s="1239"/>
      <c r="R13" s="1239"/>
      <c r="S13" s="1239"/>
      <c r="U13" s="112"/>
      <c r="V13" s="112"/>
      <c r="Y13" s="112"/>
    </row>
    <row r="14" spans="1:28">
      <c r="A14" s="263">
        <v>8</v>
      </c>
      <c r="B14" s="267" t="s">
        <v>679</v>
      </c>
      <c r="C14" s="1235">
        <f>'Exh MCG-2 ROO Summary'!I15</f>
        <v>-0.15999996662139893</v>
      </c>
      <c r="D14" s="1233">
        <f>'Exh MCG-5, Summary of Adj'!AG14</f>
        <v>0</v>
      </c>
      <c r="E14" s="1234">
        <f t="shared" ref="E14:E25" si="0">SUM(C14:D14)</f>
        <v>-0.15999996662139893</v>
      </c>
      <c r="F14" s="1233"/>
      <c r="G14" s="1234">
        <f t="shared" ref="G14:G25" si="1">SUM(E14:F14)</f>
        <v>-0.15999996662139893</v>
      </c>
      <c r="I14" s="1235">
        <f t="shared" ref="I14:I25" si="2">G14</f>
        <v>-0.15999996662139893</v>
      </c>
      <c r="J14" s="1233">
        <f>'Exh MCG-5, Summary of Adj'!AL14</f>
        <v>0</v>
      </c>
      <c r="K14" s="1234">
        <f t="shared" ref="K14:K25" si="3">SUM(I14:J14)</f>
        <v>-0.15999996662139893</v>
      </c>
      <c r="L14" s="1233"/>
      <c r="M14" s="1234">
        <f t="shared" ref="M14:M25" si="4">SUM(K14:L14)</f>
        <v>-0.15999996662139893</v>
      </c>
      <c r="O14" s="1235">
        <f t="shared" ref="O14:O25" si="5">M14</f>
        <v>-0.15999996662139893</v>
      </c>
      <c r="P14" s="1233">
        <f>'Exh MCG-5, Summary of Adj'!AQ14</f>
        <v>0</v>
      </c>
      <c r="Q14" s="1234">
        <f t="shared" ref="Q14:Q25" si="6">SUM(O14:P14)</f>
        <v>-0.15999996662139893</v>
      </c>
      <c r="R14" s="1233"/>
      <c r="S14" s="1234">
        <f t="shared" ref="S14:S25" si="7">SUM(Q14:R14)</f>
        <v>-0.15999996662139893</v>
      </c>
      <c r="U14" s="112"/>
      <c r="Y14" s="116"/>
    </row>
    <row r="15" spans="1:28">
      <c r="A15" s="263">
        <v>9</v>
      </c>
      <c r="B15" s="267" t="s">
        <v>680</v>
      </c>
      <c r="C15" s="1235">
        <f>'Exh MCG-2 ROO Summary'!I16</f>
        <v>16904244.503887784</v>
      </c>
      <c r="D15" s="1233">
        <f>'Exh MCG-5, Summary of Adj'!AG15</f>
        <v>0</v>
      </c>
      <c r="E15" s="1234">
        <f t="shared" si="0"/>
        <v>16904244.503887784</v>
      </c>
      <c r="F15" s="1233">
        <f>+F11*('Exh MCG-4, Conversion Factor'!$C$11+'Exh MCG-4, Conversion Factor'!$C$12)</f>
        <v>0</v>
      </c>
      <c r="G15" s="1234">
        <f t="shared" si="1"/>
        <v>16904244.503887784</v>
      </c>
      <c r="I15" s="1235">
        <f t="shared" si="2"/>
        <v>16904244.503887784</v>
      </c>
      <c r="J15" s="1233">
        <f>'Exh MCG-5, Summary of Adj'!AL15</f>
        <v>0</v>
      </c>
      <c r="K15" s="1234">
        <f t="shared" si="3"/>
        <v>16904244.503887784</v>
      </c>
      <c r="L15" s="1233">
        <f>+L11*('Exh MCG-4, Conversion Factor'!$C$11+'Exh MCG-4, Conversion Factor'!$C$12)</f>
        <v>0</v>
      </c>
      <c r="M15" s="1234">
        <f t="shared" si="4"/>
        <v>16904244.503887784</v>
      </c>
      <c r="O15" s="1235">
        <f t="shared" si="5"/>
        <v>16904244.503887784</v>
      </c>
      <c r="P15" s="1233">
        <f>'Exh MCG-5, Summary of Adj'!AQ15</f>
        <v>0</v>
      </c>
      <c r="Q15" s="1234">
        <f t="shared" si="6"/>
        <v>16904244.503887784</v>
      </c>
      <c r="R15" s="1233">
        <f>+R11*('Exh MCG-4, Conversion Factor'!$C$11+'Exh MCG-4, Conversion Factor'!$C$12)</f>
        <v>0</v>
      </c>
      <c r="S15" s="1234">
        <f t="shared" si="7"/>
        <v>16904244.503887784</v>
      </c>
      <c r="U15" s="112"/>
      <c r="W15" s="112"/>
      <c r="Y15" s="116"/>
    </row>
    <row r="16" spans="1:28">
      <c r="A16" s="263">
        <v>10</v>
      </c>
      <c r="B16" s="268" t="s">
        <v>681</v>
      </c>
      <c r="C16" s="1235">
        <f>'Exh MCG-2 ROO Summary'!I17</f>
        <v>325851.02325200004</v>
      </c>
      <c r="D16" s="1233">
        <f>'Exh MCG-5, Summary of Adj'!AG16</f>
        <v>0</v>
      </c>
      <c r="E16" s="1234">
        <f t="shared" si="0"/>
        <v>325851.02325200004</v>
      </c>
      <c r="F16" s="1233"/>
      <c r="G16" s="1234">
        <f t="shared" si="1"/>
        <v>325851.02325200004</v>
      </c>
      <c r="I16" s="1235">
        <f t="shared" si="2"/>
        <v>325851.02325200004</v>
      </c>
      <c r="J16" s="1233">
        <f>'Exh MCG-5, Summary of Adj'!AL16</f>
        <v>0</v>
      </c>
      <c r="K16" s="1234">
        <f t="shared" si="3"/>
        <v>325851.02325200004</v>
      </c>
      <c r="L16" s="1233"/>
      <c r="M16" s="1234">
        <f t="shared" si="4"/>
        <v>325851.02325200004</v>
      </c>
      <c r="O16" s="1235">
        <f t="shared" si="5"/>
        <v>325851.02325200004</v>
      </c>
      <c r="P16" s="1233">
        <f>'Exh MCG-5, Summary of Adj'!AQ16</f>
        <v>0</v>
      </c>
      <c r="Q16" s="1234">
        <f t="shared" si="6"/>
        <v>325851.02325200004</v>
      </c>
      <c r="R16" s="1233"/>
      <c r="S16" s="1234">
        <f t="shared" si="7"/>
        <v>325851.02325200004</v>
      </c>
      <c r="U16" s="112"/>
      <c r="W16" s="112"/>
      <c r="Y16" s="116"/>
    </row>
    <row r="17" spans="1:27">
      <c r="A17" s="263">
        <v>11</v>
      </c>
      <c r="B17" s="268" t="s">
        <v>682</v>
      </c>
      <c r="C17" s="1235">
        <f>'Exh MCG-2 ROO Summary'!I18</f>
        <v>21412263.425851002</v>
      </c>
      <c r="D17" s="1233">
        <f>'Exh MCG-5, Summary of Adj'!AG17</f>
        <v>0</v>
      </c>
      <c r="E17" s="1234">
        <f t="shared" si="0"/>
        <v>21412263.425851002</v>
      </c>
      <c r="F17" s="1233"/>
      <c r="G17" s="1234">
        <f t="shared" si="1"/>
        <v>21412263.425851002</v>
      </c>
      <c r="I17" s="1235">
        <f t="shared" si="2"/>
        <v>21412263.425851002</v>
      </c>
      <c r="J17" s="1233">
        <f>'Exh MCG-5, Summary of Adj'!AL17</f>
        <v>0</v>
      </c>
      <c r="K17" s="1234">
        <f t="shared" si="3"/>
        <v>21412263.425851002</v>
      </c>
      <c r="L17" s="1233"/>
      <c r="M17" s="1234">
        <f t="shared" si="4"/>
        <v>21412263.425851002</v>
      </c>
      <c r="O17" s="1235">
        <f t="shared" si="5"/>
        <v>21412263.425851002</v>
      </c>
      <c r="P17" s="1233">
        <f>'Exh MCG-5, Summary of Adj'!AQ17</f>
        <v>0</v>
      </c>
      <c r="Q17" s="1234">
        <f t="shared" si="6"/>
        <v>21412263.425851002</v>
      </c>
      <c r="R17" s="1233"/>
      <c r="S17" s="1234">
        <f t="shared" si="7"/>
        <v>21412263.425851002</v>
      </c>
      <c r="U17" s="112"/>
    </row>
    <row r="18" spans="1:27">
      <c r="A18" s="263">
        <v>12</v>
      </c>
      <c r="B18" s="268" t="s">
        <v>683</v>
      </c>
      <c r="C18" s="1235">
        <f>'Exh MCG-2 ROO Summary'!I19</f>
        <v>5215500.6191797582</v>
      </c>
      <c r="D18" s="1233">
        <f>'Exh MCG-5, Summary of Adj'!AG18</f>
        <v>0</v>
      </c>
      <c r="E18" s="1234">
        <f t="shared" si="0"/>
        <v>5215500.6191797582</v>
      </c>
      <c r="F18" s="1233">
        <f>+F11*'Exh MCG-4, Conversion Factor'!$C$10</f>
        <v>0</v>
      </c>
      <c r="G18" s="1234">
        <f t="shared" si="1"/>
        <v>5215500.6191797582</v>
      </c>
      <c r="I18" s="1235">
        <f t="shared" si="2"/>
        <v>5215500.6191797582</v>
      </c>
      <c r="J18" s="1233">
        <f>'Exh MCG-5, Summary of Adj'!AL18</f>
        <v>0</v>
      </c>
      <c r="K18" s="1234">
        <f t="shared" si="3"/>
        <v>5215500.6191797582</v>
      </c>
      <c r="L18" s="1233">
        <f>+L11*'Exh MCG-4, Conversion Factor'!$C$10</f>
        <v>0</v>
      </c>
      <c r="M18" s="1234">
        <f t="shared" si="4"/>
        <v>5215500.6191797582</v>
      </c>
      <c r="O18" s="1235">
        <f t="shared" si="5"/>
        <v>5215500.6191797582</v>
      </c>
      <c r="P18" s="1233">
        <f>'Exh MCG-5, Summary of Adj'!AQ18</f>
        <v>0</v>
      </c>
      <c r="Q18" s="1234">
        <f t="shared" si="6"/>
        <v>5215500.6191797582</v>
      </c>
      <c r="R18" s="1233">
        <f>+R11*'Exh MCG-4, Conversion Factor'!$C$10</f>
        <v>0</v>
      </c>
      <c r="S18" s="1234">
        <f t="shared" si="7"/>
        <v>5215500.6191797582</v>
      </c>
      <c r="U18" s="112"/>
      <c r="V18" s="112"/>
      <c r="W18" s="112"/>
      <c r="AA18" s="112"/>
    </row>
    <row r="19" spans="1:27">
      <c r="A19" s="263">
        <v>13</v>
      </c>
      <c r="B19" s="268" t="s">
        <v>684</v>
      </c>
      <c r="C19" s="1235">
        <f>'Exh MCG-2 ROO Summary'!I20</f>
        <v>242783.24818300139</v>
      </c>
      <c r="D19" s="1233">
        <f>'Exh MCG-5, Summary of Adj'!AG19</f>
        <v>0</v>
      </c>
      <c r="E19" s="1234">
        <f t="shared" si="0"/>
        <v>242783.24818300139</v>
      </c>
      <c r="F19" s="1233"/>
      <c r="G19" s="1234">
        <f t="shared" si="1"/>
        <v>242783.24818300139</v>
      </c>
      <c r="I19" s="1235">
        <f t="shared" si="2"/>
        <v>242783.24818300139</v>
      </c>
      <c r="J19" s="1233">
        <f>'Exh MCG-5, Summary of Adj'!AL19</f>
        <v>0</v>
      </c>
      <c r="K19" s="1234">
        <f t="shared" si="3"/>
        <v>242783.24818300139</v>
      </c>
      <c r="L19" s="1233"/>
      <c r="M19" s="1234">
        <f t="shared" si="4"/>
        <v>242783.24818300139</v>
      </c>
      <c r="O19" s="1235">
        <f t="shared" si="5"/>
        <v>242783.24818300139</v>
      </c>
      <c r="P19" s="1233">
        <f>'Exh MCG-5, Summary of Adj'!AQ19</f>
        <v>0</v>
      </c>
      <c r="Q19" s="1234">
        <f t="shared" si="6"/>
        <v>242783.24818300139</v>
      </c>
      <c r="R19" s="1233"/>
      <c r="S19" s="1234">
        <f t="shared" si="7"/>
        <v>242783.24818300139</v>
      </c>
      <c r="U19" s="112"/>
      <c r="V19" s="269"/>
      <c r="W19" s="270"/>
      <c r="Y19" s="116"/>
    </row>
    <row r="20" spans="1:27">
      <c r="A20" s="263">
        <v>14</v>
      </c>
      <c r="B20" s="268" t="s">
        <v>685</v>
      </c>
      <c r="C20" s="1235">
        <f>'Exh MCG-2 ROO Summary'!I21</f>
        <v>19496.009999999998</v>
      </c>
      <c r="D20" s="1233">
        <f>'Exh MCG-5, Summary of Adj'!AG20</f>
        <v>0</v>
      </c>
      <c r="E20" s="1234">
        <f t="shared" si="0"/>
        <v>19496.009999999998</v>
      </c>
      <c r="F20" s="1233"/>
      <c r="G20" s="1234">
        <f t="shared" si="1"/>
        <v>19496.009999999998</v>
      </c>
      <c r="I20" s="1235">
        <f t="shared" si="2"/>
        <v>19496.009999999998</v>
      </c>
      <c r="J20" s="1233">
        <f>'Exh MCG-5, Summary of Adj'!AL20</f>
        <v>0</v>
      </c>
      <c r="K20" s="1234">
        <f t="shared" si="3"/>
        <v>19496.009999999998</v>
      </c>
      <c r="L20" s="1233"/>
      <c r="M20" s="1234">
        <f t="shared" si="4"/>
        <v>19496.009999999998</v>
      </c>
      <c r="O20" s="1235">
        <f t="shared" si="5"/>
        <v>19496.009999999998</v>
      </c>
      <c r="P20" s="1233">
        <f>'Exh MCG-5, Summary of Adj'!AQ20</f>
        <v>0</v>
      </c>
      <c r="Q20" s="1234">
        <f t="shared" si="6"/>
        <v>19496.009999999998</v>
      </c>
      <c r="R20" s="1233"/>
      <c r="S20" s="1234">
        <f t="shared" si="7"/>
        <v>19496.009999999998</v>
      </c>
      <c r="W20" s="270"/>
      <c r="Y20" s="116"/>
    </row>
    <row r="21" spans="1:27">
      <c r="A21" s="263">
        <v>15</v>
      </c>
      <c r="B21" s="268" t="s">
        <v>686</v>
      </c>
      <c r="C21" s="1235">
        <f>'Exh MCG-2 ROO Summary'!I22</f>
        <v>17665167.417146999</v>
      </c>
      <c r="D21" s="1233">
        <f>'Exh MCG-5, Summary of Adj'!AG21</f>
        <v>0</v>
      </c>
      <c r="E21" s="1234">
        <f t="shared" si="0"/>
        <v>17665167.417146999</v>
      </c>
      <c r="F21" s="1233"/>
      <c r="G21" s="1234">
        <f t="shared" si="1"/>
        <v>17665167.417146999</v>
      </c>
      <c r="I21" s="1235">
        <f t="shared" si="2"/>
        <v>17665167.417146999</v>
      </c>
      <c r="J21" s="1233">
        <f>'Exh MCG-5, Summary of Adj'!AL21</f>
        <v>0</v>
      </c>
      <c r="K21" s="1234">
        <f t="shared" si="3"/>
        <v>17665167.417146999</v>
      </c>
      <c r="L21" s="1233"/>
      <c r="M21" s="1234">
        <f t="shared" si="4"/>
        <v>17665167.417146999</v>
      </c>
      <c r="O21" s="1235">
        <f t="shared" si="5"/>
        <v>17665167.417146999</v>
      </c>
      <c r="P21" s="1233">
        <f>'Exh MCG-5, Summary of Adj'!AQ21</f>
        <v>0</v>
      </c>
      <c r="Q21" s="1234">
        <f t="shared" si="6"/>
        <v>17665167.417146999</v>
      </c>
      <c r="R21" s="1233"/>
      <c r="S21" s="1234">
        <f t="shared" si="7"/>
        <v>17665167.417146999</v>
      </c>
      <c r="W21" s="116"/>
      <c r="Y21" s="116"/>
    </row>
    <row r="22" spans="1:27">
      <c r="A22" s="263">
        <v>16</v>
      </c>
      <c r="B22" s="268" t="s">
        <v>687</v>
      </c>
      <c r="C22" s="1232">
        <f>'Exh MCG-2 ROO Summary'!I23</f>
        <v>26465972.872132</v>
      </c>
      <c r="D22" s="1233">
        <f>'Exh MCG-5, Summary of Adj'!AG22</f>
        <v>0</v>
      </c>
      <c r="E22" s="1234">
        <f t="shared" si="0"/>
        <v>26465972.872132</v>
      </c>
      <c r="F22" s="1233"/>
      <c r="G22" s="1234">
        <f t="shared" si="1"/>
        <v>26465972.872132</v>
      </c>
      <c r="I22" s="1232">
        <f t="shared" si="2"/>
        <v>26465972.872132</v>
      </c>
      <c r="J22" s="1233">
        <f>'Exh MCG-5, Summary of Adj'!AL22</f>
        <v>0</v>
      </c>
      <c r="K22" s="1234">
        <f t="shared" si="3"/>
        <v>26465972.872132</v>
      </c>
      <c r="L22" s="1233"/>
      <c r="M22" s="1234">
        <f t="shared" si="4"/>
        <v>26465972.872132</v>
      </c>
      <c r="O22" s="1232">
        <f t="shared" si="5"/>
        <v>26465972.872132</v>
      </c>
      <c r="P22" s="1233">
        <f>'Exh MCG-5, Summary of Adj'!AQ22</f>
        <v>0</v>
      </c>
      <c r="Q22" s="1234">
        <f t="shared" si="6"/>
        <v>26465972.872132</v>
      </c>
      <c r="R22" s="1233"/>
      <c r="S22" s="1234">
        <f t="shared" si="7"/>
        <v>26465972.872132</v>
      </c>
      <c r="Y22" s="116"/>
      <c r="AA22" s="116"/>
    </row>
    <row r="23" spans="1:27">
      <c r="A23" s="263">
        <v>17</v>
      </c>
      <c r="B23" s="268" t="s">
        <v>688</v>
      </c>
      <c r="C23" s="1240">
        <f>'Exh MCG-2 ROO Summary'!I24</f>
        <v>0</v>
      </c>
      <c r="D23" s="1233">
        <f>'Exh MCG-5, Summary of Adj'!AG23</f>
        <v>0</v>
      </c>
      <c r="E23" s="1234">
        <f t="shared" si="0"/>
        <v>0</v>
      </c>
      <c r="F23" s="1233"/>
      <c r="G23" s="1234">
        <f t="shared" si="1"/>
        <v>0</v>
      </c>
      <c r="I23" s="1240">
        <f t="shared" si="2"/>
        <v>0</v>
      </c>
      <c r="J23" s="1233">
        <f>'Exh MCG-5, Summary of Adj'!AL23</f>
        <v>0</v>
      </c>
      <c r="K23" s="1234">
        <f t="shared" si="3"/>
        <v>0</v>
      </c>
      <c r="L23" s="1233"/>
      <c r="M23" s="1234">
        <f t="shared" si="4"/>
        <v>0</v>
      </c>
      <c r="O23" s="1240">
        <f t="shared" si="5"/>
        <v>0</v>
      </c>
      <c r="P23" s="1233">
        <f>'Exh MCG-5, Summary of Adj'!AQ23</f>
        <v>0</v>
      </c>
      <c r="Q23" s="1234">
        <f t="shared" si="6"/>
        <v>0</v>
      </c>
      <c r="R23" s="1233"/>
      <c r="S23" s="1234">
        <f t="shared" si="7"/>
        <v>0</v>
      </c>
      <c r="U23" s="116"/>
      <c r="W23" s="116"/>
      <c r="Y23" s="116"/>
      <c r="AA23" s="116"/>
    </row>
    <row r="24" spans="1:27">
      <c r="A24" s="263">
        <v>18</v>
      </c>
      <c r="B24" s="268" t="s">
        <v>689</v>
      </c>
      <c r="C24" s="1235">
        <f>'Exh MCG-2 ROO Summary'!I25</f>
        <v>7292218.2288488206</v>
      </c>
      <c r="D24" s="1233">
        <f>'Exh MCG-5, Summary of Adj'!AG24</f>
        <v>0</v>
      </c>
      <c r="E24" s="1234">
        <f t="shared" si="0"/>
        <v>7292218.2288488206</v>
      </c>
      <c r="F24" s="1233"/>
      <c r="G24" s="1234">
        <f t="shared" si="1"/>
        <v>7292218.2288488206</v>
      </c>
      <c r="I24" s="1235">
        <f t="shared" si="2"/>
        <v>7292218.2288488206</v>
      </c>
      <c r="J24" s="1233">
        <f>'Exh MCG-5, Summary of Adj'!AL24</f>
        <v>0</v>
      </c>
      <c r="K24" s="1234">
        <f t="shared" si="3"/>
        <v>7292218.2288488206</v>
      </c>
      <c r="L24" s="1233"/>
      <c r="M24" s="1234">
        <f t="shared" si="4"/>
        <v>7292218.2288488206</v>
      </c>
      <c r="O24" s="1235">
        <f t="shared" si="5"/>
        <v>7292218.2288488206</v>
      </c>
      <c r="P24" s="1233">
        <f>'Exh MCG-5, Summary of Adj'!AQ24</f>
        <v>0</v>
      </c>
      <c r="Q24" s="1234">
        <f t="shared" si="6"/>
        <v>7292218.2288488206</v>
      </c>
      <c r="R24" s="1233"/>
      <c r="S24" s="1234">
        <f t="shared" si="7"/>
        <v>7292218.2288488206</v>
      </c>
      <c r="U24" s="271"/>
      <c r="W24" s="116"/>
      <c r="AA24" s="116"/>
    </row>
    <row r="25" spans="1:27">
      <c r="A25" s="263">
        <v>19</v>
      </c>
      <c r="B25" s="268" t="s">
        <v>690</v>
      </c>
      <c r="C25" s="1236">
        <f>'Exh MCG-2 ROO Summary'!I26</f>
        <v>3120815.3782373616</v>
      </c>
      <c r="D25" s="1237">
        <f>'Exh MCG-5, Summary of Adj'!AG25</f>
        <v>0</v>
      </c>
      <c r="E25" s="1238">
        <f t="shared" si="0"/>
        <v>3120815.3782373616</v>
      </c>
      <c r="F25" s="1237">
        <f>(+F11-F15-F18)*'Exh MCG-4, Conversion Factor'!$C$33</f>
        <v>0</v>
      </c>
      <c r="G25" s="1238">
        <f t="shared" si="1"/>
        <v>3120815.3782373616</v>
      </c>
      <c r="I25" s="1236">
        <f t="shared" si="2"/>
        <v>3120815.3782373616</v>
      </c>
      <c r="J25" s="1237">
        <f>'Exh MCG-5, Summary of Adj'!AL25</f>
        <v>0</v>
      </c>
      <c r="K25" s="1238">
        <f t="shared" si="3"/>
        <v>3120815.3782373616</v>
      </c>
      <c r="L25" s="1237">
        <f>(+L11-L15-L18)*'Exh MCG-4, Conversion Factor'!$C$33</f>
        <v>0</v>
      </c>
      <c r="M25" s="1238">
        <f t="shared" si="4"/>
        <v>3120815.3782373616</v>
      </c>
      <c r="O25" s="1236">
        <f t="shared" si="5"/>
        <v>3120815.3782373616</v>
      </c>
      <c r="P25" s="1237">
        <f>'Exh MCG-5, Summary of Adj'!AQ25</f>
        <v>0</v>
      </c>
      <c r="Q25" s="1238">
        <f t="shared" si="6"/>
        <v>3120815.3782373616</v>
      </c>
      <c r="R25" s="1237">
        <f>(+R11-R15-R18)*'Exh MCG-4, Conversion Factor'!$C$33</f>
        <v>0</v>
      </c>
      <c r="S25" s="1238">
        <f t="shared" si="7"/>
        <v>3120815.3782373616</v>
      </c>
      <c r="U25" s="272"/>
      <c r="V25" s="273"/>
      <c r="W25" s="116"/>
    </row>
    <row r="26" spans="1:27">
      <c r="A26" s="263">
        <v>20</v>
      </c>
      <c r="B26" s="266" t="s">
        <v>691</v>
      </c>
      <c r="C26" s="1234">
        <f>SUM(C14:C25)</f>
        <v>98664312.566718757</v>
      </c>
      <c r="D26" s="1234">
        <f>SUM(D14:D25)</f>
        <v>0</v>
      </c>
      <c r="E26" s="1234">
        <f>SUM(E14:E25)</f>
        <v>98664312.566718757</v>
      </c>
      <c r="F26" s="1234">
        <f>SUM(F14:F25)</f>
        <v>0</v>
      </c>
      <c r="G26" s="1234">
        <f>SUM(G14:G25)</f>
        <v>98664312.566718757</v>
      </c>
      <c r="I26" s="1234">
        <f>SUM(I14:I25)</f>
        <v>98664312.566718757</v>
      </c>
      <c r="J26" s="1234">
        <f>SUM(J14:J25)</f>
        <v>0</v>
      </c>
      <c r="K26" s="1234">
        <f>SUM(K14:K25)</f>
        <v>98664312.566718757</v>
      </c>
      <c r="L26" s="1234">
        <f>SUM(L14:L25)</f>
        <v>0</v>
      </c>
      <c r="M26" s="1234">
        <f>SUM(M14:M25)</f>
        <v>98664312.566718757</v>
      </c>
      <c r="O26" s="1234">
        <f>SUM(O14:O25)</f>
        <v>98664312.566718757</v>
      </c>
      <c r="P26" s="1234">
        <f>SUM(P14:P25)</f>
        <v>0</v>
      </c>
      <c r="Q26" s="1234">
        <f>SUM(Q14:Q25)</f>
        <v>98664312.566718757</v>
      </c>
      <c r="R26" s="1234">
        <f>SUM(R14:R25)</f>
        <v>0</v>
      </c>
      <c r="S26" s="1234">
        <f>SUM(S14:S25)</f>
        <v>98664312.566718757</v>
      </c>
    </row>
    <row r="27" spans="1:27">
      <c r="A27" s="263">
        <v>21</v>
      </c>
      <c r="B27" s="266"/>
      <c r="C27" s="1241"/>
      <c r="D27" s="1241"/>
      <c r="E27" s="1241"/>
      <c r="F27" s="1241"/>
      <c r="G27" s="1241"/>
      <c r="I27" s="1241"/>
      <c r="J27" s="1241"/>
      <c r="K27" s="1241"/>
      <c r="L27" s="1241"/>
      <c r="M27" s="1241"/>
      <c r="O27" s="1241"/>
      <c r="P27" s="1241"/>
      <c r="Q27" s="1241"/>
      <c r="R27" s="1241"/>
      <c r="S27" s="1241"/>
    </row>
    <row r="28" spans="1:27" ht="15.75" thickBot="1">
      <c r="A28" s="263">
        <v>22</v>
      </c>
      <c r="B28" s="264" t="s">
        <v>3235</v>
      </c>
      <c r="C28" s="1242">
        <f>+C11-C26</f>
        <v>32227947.269021273</v>
      </c>
      <c r="D28" s="1242">
        <f>+D11-D26</f>
        <v>0</v>
      </c>
      <c r="E28" s="1242">
        <f>+E11-E26</f>
        <v>32227947.269021273</v>
      </c>
      <c r="F28" s="1242">
        <f>+F11-F26</f>
        <v>0</v>
      </c>
      <c r="G28" s="1242">
        <f>+G11-G26</f>
        <v>32227947.269021273</v>
      </c>
      <c r="I28" s="1242">
        <f>+I11-I26</f>
        <v>32227947.269021273</v>
      </c>
      <c r="J28" s="1242">
        <f>+J11-J26</f>
        <v>0</v>
      </c>
      <c r="K28" s="1242">
        <f>+K11-K26</f>
        <v>32227947.269021273</v>
      </c>
      <c r="L28" s="1242">
        <f>+L11-L26</f>
        <v>0</v>
      </c>
      <c r="M28" s="1242">
        <f>+M11-M26</f>
        <v>32227947.269021273</v>
      </c>
      <c r="O28" s="1242">
        <f>+O11-O26</f>
        <v>32227947.269021273</v>
      </c>
      <c r="P28" s="1242">
        <f>+P11-P26</f>
        <v>0</v>
      </c>
      <c r="Q28" s="1242">
        <f>+Q11-Q26</f>
        <v>32227947.269021273</v>
      </c>
      <c r="R28" s="1242">
        <f>+R11-R26</f>
        <v>0</v>
      </c>
      <c r="S28" s="1242">
        <f>+S11-S26</f>
        <v>32227947.269021273</v>
      </c>
      <c r="AA28" s="116"/>
    </row>
    <row r="29" spans="1:27" ht="15.75" thickTop="1">
      <c r="A29" s="263">
        <v>23</v>
      </c>
      <c r="B29" s="264"/>
      <c r="C29" s="1241"/>
      <c r="D29" s="1241"/>
      <c r="E29" s="1241"/>
      <c r="F29" s="1241"/>
      <c r="G29" s="1241"/>
      <c r="I29" s="1241"/>
      <c r="J29" s="1241"/>
      <c r="K29" s="1241"/>
      <c r="L29" s="1241"/>
      <c r="M29" s="1241"/>
      <c r="O29" s="1241"/>
      <c r="P29" s="1241"/>
      <c r="Q29" s="1241"/>
      <c r="R29" s="1241"/>
      <c r="S29" s="1241"/>
      <c r="AA29" s="116"/>
    </row>
    <row r="30" spans="1:27">
      <c r="A30" s="263">
        <v>24</v>
      </c>
      <c r="B30" s="264" t="s">
        <v>693</v>
      </c>
      <c r="C30" s="1243"/>
      <c r="D30" s="1243"/>
      <c r="E30" s="1243"/>
      <c r="F30" s="1243"/>
      <c r="G30" s="1243"/>
      <c r="I30" s="1243"/>
      <c r="J30" s="1243"/>
      <c r="K30" s="1243"/>
      <c r="L30" s="1243"/>
      <c r="M30" s="1243"/>
      <c r="O30" s="1243"/>
      <c r="P30" s="1243"/>
      <c r="Q30" s="1243"/>
      <c r="R30" s="1243"/>
      <c r="S30" s="1243"/>
      <c r="U30" s="112"/>
      <c r="AA30" s="116"/>
    </row>
    <row r="31" spans="1:27">
      <c r="A31" s="263">
        <v>25</v>
      </c>
      <c r="B31" s="257" t="s">
        <v>694</v>
      </c>
      <c r="C31" s="1232">
        <f>'Exh MCG-2 ROO Summary'!I32</f>
        <v>953426106.80674791</v>
      </c>
      <c r="D31" s="1233">
        <f>'Exh MCG-5, Summary of Adj'!AG31</f>
        <v>0</v>
      </c>
      <c r="E31" s="1234">
        <f>SUM(C31:D31)</f>
        <v>953426106.80674791</v>
      </c>
      <c r="F31" s="1234"/>
      <c r="G31" s="1234">
        <f>SUM(E31:F31)</f>
        <v>953426106.80674791</v>
      </c>
      <c r="I31" s="1232">
        <f>G31</f>
        <v>953426106.80674791</v>
      </c>
      <c r="J31" s="1233">
        <f>'Exh MCG-5, Summary of Adj'!AL31</f>
        <v>0</v>
      </c>
      <c r="K31" s="1234">
        <f>SUM(I31:J31)</f>
        <v>953426106.80674791</v>
      </c>
      <c r="L31" s="1234"/>
      <c r="M31" s="1234">
        <f>SUM(K31:L31)</f>
        <v>953426106.80674791</v>
      </c>
      <c r="O31" s="1232">
        <f>M31</f>
        <v>953426106.80674791</v>
      </c>
      <c r="P31" s="1233">
        <f>'Exh MCG-5, Summary of Adj'!AQ31</f>
        <v>0</v>
      </c>
      <c r="Q31" s="1234">
        <f>SUM(O31:P31)</f>
        <v>953426106.80674791</v>
      </c>
      <c r="R31" s="1234"/>
      <c r="S31" s="1234">
        <f>SUM(Q31:R31)</f>
        <v>953426106.80674791</v>
      </c>
      <c r="U31" s="112"/>
      <c r="W31" s="112"/>
    </row>
    <row r="32" spans="1:27">
      <c r="A32" s="263">
        <v>26</v>
      </c>
      <c r="B32" s="257" t="s">
        <v>695</v>
      </c>
      <c r="C32" s="1232">
        <f>'Exh MCG-2 ROO Summary'!I33</f>
        <v>-415494328.19733793</v>
      </c>
      <c r="D32" s="1233">
        <f>'Exh MCG-5, Summary of Adj'!AG32</f>
        <v>0</v>
      </c>
      <c r="E32" s="1234">
        <f>SUM(C32:D32)</f>
        <v>-415494328.19733793</v>
      </c>
      <c r="F32" s="1234"/>
      <c r="G32" s="1234">
        <f>SUM(E32:F32)</f>
        <v>-415494328.19733793</v>
      </c>
      <c r="I32" s="1232">
        <f>G32</f>
        <v>-415494328.19733793</v>
      </c>
      <c r="J32" s="1233">
        <f>'Exh MCG-5, Summary of Adj'!AL32</f>
        <v>0</v>
      </c>
      <c r="K32" s="1234">
        <f>SUM(I32:J32)</f>
        <v>-415494328.19733793</v>
      </c>
      <c r="L32" s="1234"/>
      <c r="M32" s="1234">
        <f>SUM(K32:L32)</f>
        <v>-415494328.19733793</v>
      </c>
      <c r="O32" s="1232">
        <f>M32</f>
        <v>-415494328.19733793</v>
      </c>
      <c r="P32" s="1233">
        <f>'Exh MCG-5, Summary of Adj'!AQ32</f>
        <v>0</v>
      </c>
      <c r="Q32" s="1234">
        <f>SUM(O32:P32)</f>
        <v>-415494328.19733793</v>
      </c>
      <c r="R32" s="1234"/>
      <c r="S32" s="1234">
        <f>SUM(Q32:R32)</f>
        <v>-415494328.19733793</v>
      </c>
      <c r="U32" s="112"/>
    </row>
    <row r="33" spans="1:25">
      <c r="A33" s="263">
        <v>27</v>
      </c>
      <c r="B33" s="257" t="s">
        <v>696</v>
      </c>
      <c r="C33" s="1235">
        <f>'Exh MCG-2 ROO Summary'!I34</f>
        <v>-3032533.5500000003</v>
      </c>
      <c r="D33" s="1233">
        <f>'Exh MCG-5, Summary of Adj'!AG33</f>
        <v>0</v>
      </c>
      <c r="E33" s="1234">
        <f>SUM(C33:D33)</f>
        <v>-3032533.5500000003</v>
      </c>
      <c r="F33" s="1234"/>
      <c r="G33" s="1234">
        <f>SUM(E33:F33)</f>
        <v>-3032533.5500000003</v>
      </c>
      <c r="I33" s="1235">
        <f>G33</f>
        <v>-3032533.5500000003</v>
      </c>
      <c r="J33" s="1233">
        <f>'Exh MCG-5, Summary of Adj'!AL33</f>
        <v>0</v>
      </c>
      <c r="K33" s="1234">
        <f>SUM(I33:J33)</f>
        <v>-3032533.5500000003</v>
      </c>
      <c r="L33" s="1234"/>
      <c r="M33" s="1234">
        <f>SUM(K33:L33)</f>
        <v>-3032533.5500000003</v>
      </c>
      <c r="O33" s="1235">
        <f>M33</f>
        <v>-3032533.5500000003</v>
      </c>
      <c r="P33" s="1233">
        <f>'Exh MCG-5, Summary of Adj'!AQ33</f>
        <v>0</v>
      </c>
      <c r="Q33" s="1234">
        <f>SUM(O33:P33)</f>
        <v>-3032533.5500000003</v>
      </c>
      <c r="R33" s="1234"/>
      <c r="S33" s="1234">
        <f>SUM(Q33:R33)</f>
        <v>-3032533.5500000003</v>
      </c>
      <c r="U33" s="112"/>
      <c r="W33" s="112"/>
    </row>
    <row r="34" spans="1:25">
      <c r="A34" s="263">
        <v>28</v>
      </c>
      <c r="B34" s="257" t="s">
        <v>697</v>
      </c>
      <c r="C34" s="1235">
        <f>'Exh MCG-2 ROO Summary'!I35</f>
        <v>-77525314.873559147</v>
      </c>
      <c r="D34" s="1233">
        <f>'Exh MCG-5, Summary of Adj'!AG34</f>
        <v>0</v>
      </c>
      <c r="E34" s="1234">
        <f>SUM(C34:D34)</f>
        <v>-77525314.873559147</v>
      </c>
      <c r="F34" s="1234"/>
      <c r="G34" s="1234">
        <f>SUM(E34:F34)</f>
        <v>-77525314.873559147</v>
      </c>
      <c r="I34" s="1235">
        <f>G34</f>
        <v>-77525314.873559147</v>
      </c>
      <c r="J34" s="1233">
        <f>'Exh MCG-5, Summary of Adj'!AL34</f>
        <v>0</v>
      </c>
      <c r="K34" s="1234">
        <f>SUM(I34:J34)</f>
        <v>-77525314.873559147</v>
      </c>
      <c r="L34" s="1234"/>
      <c r="M34" s="1234">
        <f>SUM(K34:L34)</f>
        <v>-77525314.873559147</v>
      </c>
      <c r="O34" s="1235">
        <f>M34</f>
        <v>-77525314.873559147</v>
      </c>
      <c r="P34" s="1233">
        <f>'Exh MCG-5, Summary of Adj'!AQ34</f>
        <v>0</v>
      </c>
      <c r="Q34" s="1234">
        <f>SUM(O34:P34)</f>
        <v>-77525314.873559147</v>
      </c>
      <c r="R34" s="1234"/>
      <c r="S34" s="1234">
        <f>SUM(Q34:R34)</f>
        <v>-77525314.873559147</v>
      </c>
      <c r="U34" s="112"/>
    </row>
    <row r="35" spans="1:25">
      <c r="A35" s="263">
        <v>29</v>
      </c>
      <c r="B35" s="257" t="s">
        <v>698</v>
      </c>
      <c r="C35" s="1235">
        <f>'Exh MCG-2 ROO Summary'!I36</f>
        <v>13038375.998352319</v>
      </c>
      <c r="D35" s="1233">
        <f>'Exh MCG-5, Summary of Adj'!AG35</f>
        <v>0</v>
      </c>
      <c r="E35" s="1234">
        <f>SUM(C35:D35)</f>
        <v>13038375.998352319</v>
      </c>
      <c r="F35" s="1234"/>
      <c r="G35" s="1234">
        <f>SUM(E35:F35)</f>
        <v>13038375.998352319</v>
      </c>
      <c r="I35" s="1235">
        <f>G35</f>
        <v>13038375.998352319</v>
      </c>
      <c r="J35" s="1233">
        <f>'Exh MCG-5, Summary of Adj'!AL35</f>
        <v>0</v>
      </c>
      <c r="K35" s="1234">
        <f>SUM(I35:J35)</f>
        <v>13038375.998352319</v>
      </c>
      <c r="L35" s="1234"/>
      <c r="M35" s="1234">
        <f>SUM(K35:L35)</f>
        <v>13038375.998352319</v>
      </c>
      <c r="O35" s="1235">
        <f>M35</f>
        <v>13038375.998352319</v>
      </c>
      <c r="P35" s="1233">
        <f>'Exh MCG-5, Summary of Adj'!AQ35</f>
        <v>0</v>
      </c>
      <c r="Q35" s="1234">
        <f>SUM(O35:P35)</f>
        <v>13038375.998352319</v>
      </c>
      <c r="R35" s="1234"/>
      <c r="S35" s="1234">
        <f>SUM(Q35:R35)</f>
        <v>13038375.998352319</v>
      </c>
      <c r="U35" s="116"/>
    </row>
    <row r="36" spans="1:25" ht="15.75" thickBot="1">
      <c r="A36" s="263">
        <v>30</v>
      </c>
      <c r="B36" s="266" t="s">
        <v>699</v>
      </c>
      <c r="C36" s="1242">
        <f>SUM(C31:C35)</f>
        <v>470412306.18420315</v>
      </c>
      <c r="D36" s="1242">
        <f>SUM(D31:D35)</f>
        <v>0</v>
      </c>
      <c r="E36" s="1242">
        <f>SUM(E31:E35)</f>
        <v>470412306.18420315</v>
      </c>
      <c r="F36" s="1242"/>
      <c r="G36" s="1242">
        <f>SUM(G31:G35)</f>
        <v>470412306.18420315</v>
      </c>
      <c r="I36" s="1242">
        <f>SUM(I31:I35)</f>
        <v>470412306.18420315</v>
      </c>
      <c r="J36" s="1242">
        <f>SUM(J31:J35)</f>
        <v>0</v>
      </c>
      <c r="K36" s="1242">
        <f>SUM(K31:K35)</f>
        <v>470412306.18420315</v>
      </c>
      <c r="L36" s="1242"/>
      <c r="M36" s="1242">
        <f>SUM(M31:M35)</f>
        <v>470412306.18420315</v>
      </c>
      <c r="O36" s="1242">
        <f>SUM(O31:O35)</f>
        <v>470412306.18420315</v>
      </c>
      <c r="P36" s="1242">
        <f>SUM(P31:P35)</f>
        <v>0</v>
      </c>
      <c r="Q36" s="1242">
        <f>SUM(Q31:Q35)</f>
        <v>470412306.18420315</v>
      </c>
      <c r="R36" s="1242"/>
      <c r="S36" s="1242">
        <f>SUM(S31:S35)</f>
        <v>470412306.18420315</v>
      </c>
      <c r="U36" s="116"/>
    </row>
    <row r="37" spans="1:25" ht="15.75" thickTop="1">
      <c r="A37" s="263">
        <v>31</v>
      </c>
      <c r="B37" s="264"/>
      <c r="C37" s="1244"/>
      <c r="D37" s="1244"/>
      <c r="E37" s="1244"/>
      <c r="F37" s="1244"/>
      <c r="G37" s="1244"/>
      <c r="I37" s="1244"/>
      <c r="J37" s="1244"/>
      <c r="K37" s="1244"/>
      <c r="L37" s="1244"/>
      <c r="M37" s="1244"/>
      <c r="O37" s="1244"/>
      <c r="P37" s="1244"/>
      <c r="Q37" s="1244"/>
      <c r="R37" s="1244"/>
      <c r="S37" s="1244"/>
      <c r="U37" s="116"/>
    </row>
    <row r="38" spans="1:25">
      <c r="A38" s="263">
        <v>32</v>
      </c>
      <c r="B38" s="266" t="s">
        <v>700</v>
      </c>
      <c r="C38" s="1245">
        <f>+C28/C36</f>
        <v>6.8510000366362678E-2</v>
      </c>
      <c r="D38" s="1230"/>
      <c r="E38" s="1245">
        <f>+E28/E36</f>
        <v>6.8510000366362678E-2</v>
      </c>
      <c r="F38" s="1246"/>
      <c r="G38" s="1245">
        <f>+G28/G36</f>
        <v>6.8510000366362678E-2</v>
      </c>
      <c r="I38" s="1245">
        <f>+I28/I36</f>
        <v>6.8510000366362678E-2</v>
      </c>
      <c r="J38" s="1230"/>
      <c r="K38" s="1245">
        <f>+K28/K36</f>
        <v>6.8510000366362678E-2</v>
      </c>
      <c r="L38" s="1246"/>
      <c r="M38" s="1245">
        <f>+M28/M36</f>
        <v>6.8510000366362678E-2</v>
      </c>
      <c r="O38" s="1245">
        <f>+O28/O36</f>
        <v>6.8510000366362678E-2</v>
      </c>
      <c r="P38" s="1230"/>
      <c r="Q38" s="1245">
        <f>+Q28/Q36</f>
        <v>6.8510000366362678E-2</v>
      </c>
      <c r="R38" s="1246"/>
      <c r="S38" s="1245">
        <f>+S28/S36</f>
        <v>6.8510000366362678E-2</v>
      </c>
      <c r="U38" s="116"/>
    </row>
    <row r="39" spans="1:25">
      <c r="A39" s="263">
        <v>33</v>
      </c>
      <c r="B39" s="257"/>
      <c r="C39" s="1230"/>
      <c r="D39" s="1230"/>
      <c r="E39" s="1230"/>
      <c r="F39" s="1230"/>
      <c r="G39" s="1230"/>
      <c r="I39" s="1230"/>
      <c r="J39" s="1230"/>
      <c r="K39" s="1230"/>
      <c r="L39" s="1230"/>
      <c r="M39" s="1230"/>
      <c r="O39" s="1230"/>
      <c r="P39" s="1230"/>
      <c r="Q39" s="1230"/>
      <c r="R39" s="1230"/>
      <c r="S39" s="1230"/>
      <c r="U39" s="116"/>
    </row>
    <row r="40" spans="1:25">
      <c r="A40" s="263">
        <v>34</v>
      </c>
      <c r="B40" s="113" t="s">
        <v>1106</v>
      </c>
      <c r="F40" s="1247">
        <f>F11/E11</f>
        <v>0</v>
      </c>
      <c r="L40" s="1247">
        <f>L11/K11</f>
        <v>0</v>
      </c>
      <c r="R40" s="1247">
        <f>R11/Q11</f>
        <v>0</v>
      </c>
      <c r="U40" s="116"/>
    </row>
    <row r="41" spans="1:25">
      <c r="C41" s="1247"/>
      <c r="F41" s="1248"/>
      <c r="I41" s="1247"/>
      <c r="L41" s="1248"/>
      <c r="O41" s="1247"/>
      <c r="R41" s="1248"/>
      <c r="U41" s="116"/>
    </row>
    <row r="42" spans="1:25">
      <c r="B42" s="5" t="s">
        <v>3223</v>
      </c>
      <c r="U42" s="112"/>
      <c r="W42" s="116"/>
    </row>
    <row r="43" spans="1:25">
      <c r="F43" s="1249"/>
      <c r="L43" s="1249"/>
      <c r="R43" s="1249"/>
      <c r="U43" s="116"/>
    </row>
    <row r="44" spans="1:25">
      <c r="Y44" s="119"/>
    </row>
    <row r="45" spans="1:25">
      <c r="U45" s="116"/>
    </row>
  </sheetData>
  <mergeCells count="4">
    <mergeCell ref="A1:S1"/>
    <mergeCell ref="A4:S4"/>
    <mergeCell ref="A3:S3"/>
    <mergeCell ref="A2:S2"/>
  </mergeCells>
  <printOptions horizontalCentered="1"/>
  <pageMargins left="1" right="1" top="1" bottom="1" header="0.3" footer="0.3"/>
  <pageSetup scale="74" fitToWidth="0" orientation="landscape" r:id="rId1"/>
  <headerFooter scaleWithDoc="0" alignWithMargins="0">
    <oddHeader>&amp;RDocket No. UG-200568
Exhibit _____ (MCP-8)
Page 1 of 1</oddHeader>
  </headerFooter>
  <colBreaks count="2" manualBreakCount="2">
    <brk id="7" max="1048575" man="1"/>
    <brk id="13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E826C-87B0-47BF-9AFA-27FE57931F2A}">
  <sheetPr codeName="Sheet60">
    <tabColor theme="7" tint="0.79998168889431442"/>
  </sheetPr>
  <dimension ref="A1:M18"/>
  <sheetViews>
    <sheetView showGridLines="0" zoomScale="80" zoomScaleNormal="80" workbookViewId="0">
      <selection activeCell="B2" sqref="B2:M18"/>
    </sheetView>
  </sheetViews>
  <sheetFormatPr defaultColWidth="8.85546875" defaultRowHeight="15"/>
  <cols>
    <col min="1" max="16384" width="8.85546875" style="113"/>
  </cols>
  <sheetData>
    <row r="1" spans="1:13">
      <c r="A1" s="15" t="str">
        <f ca="1">MID(CELL("filename",A1),FIND("]",CELL("filename",A1))+1,255)</f>
        <v>RR WPs ---&gt;</v>
      </c>
    </row>
    <row r="2" spans="1:13">
      <c r="B2" s="1486" t="s">
        <v>1107</v>
      </c>
      <c r="C2" s="1486"/>
      <c r="D2" s="1486"/>
      <c r="E2" s="1486"/>
      <c r="F2" s="1486"/>
      <c r="G2" s="1486"/>
      <c r="H2" s="1486"/>
      <c r="I2" s="1486"/>
      <c r="J2" s="1486"/>
      <c r="K2" s="1486"/>
      <c r="L2" s="1486"/>
      <c r="M2" s="1486"/>
    </row>
    <row r="3" spans="1:13">
      <c r="B3" s="1486"/>
      <c r="C3" s="1486"/>
      <c r="D3" s="1486"/>
      <c r="E3" s="1486"/>
      <c r="F3" s="1486"/>
      <c r="G3" s="1486"/>
      <c r="H3" s="1486"/>
      <c r="I3" s="1486"/>
      <c r="J3" s="1486"/>
      <c r="K3" s="1486"/>
      <c r="L3" s="1486"/>
      <c r="M3" s="1486"/>
    </row>
    <row r="4" spans="1:13">
      <c r="B4" s="1486"/>
      <c r="C4" s="1486"/>
      <c r="D4" s="1486"/>
      <c r="E4" s="1486"/>
      <c r="F4" s="1486"/>
      <c r="G4" s="1486"/>
      <c r="H4" s="1486"/>
      <c r="I4" s="1486"/>
      <c r="J4" s="1486"/>
      <c r="K4" s="1486"/>
      <c r="L4" s="1486"/>
      <c r="M4" s="1486"/>
    </row>
    <row r="5" spans="1:13">
      <c r="B5" s="1486"/>
      <c r="C5" s="1486"/>
      <c r="D5" s="1486"/>
      <c r="E5" s="1486"/>
      <c r="F5" s="1486"/>
      <c r="G5" s="1486"/>
      <c r="H5" s="1486"/>
      <c r="I5" s="1486"/>
      <c r="J5" s="1486"/>
      <c r="K5" s="1486"/>
      <c r="L5" s="1486"/>
      <c r="M5" s="1486"/>
    </row>
    <row r="6" spans="1:13">
      <c r="B6" s="1486"/>
      <c r="C6" s="1486"/>
      <c r="D6" s="1486"/>
      <c r="E6" s="1486"/>
      <c r="F6" s="1486"/>
      <c r="G6" s="1486"/>
      <c r="H6" s="1486"/>
      <c r="I6" s="1486"/>
      <c r="J6" s="1486"/>
      <c r="K6" s="1486"/>
      <c r="L6" s="1486"/>
      <c r="M6" s="1486"/>
    </row>
    <row r="7" spans="1:13">
      <c r="B7" s="1486"/>
      <c r="C7" s="1486"/>
      <c r="D7" s="1486"/>
      <c r="E7" s="1486"/>
      <c r="F7" s="1486"/>
      <c r="G7" s="1486"/>
      <c r="H7" s="1486"/>
      <c r="I7" s="1486"/>
      <c r="J7" s="1486"/>
      <c r="K7" s="1486"/>
      <c r="L7" s="1486"/>
      <c r="M7" s="1486"/>
    </row>
    <row r="8" spans="1:13">
      <c r="B8" s="1486"/>
      <c r="C8" s="1486"/>
      <c r="D8" s="1486"/>
      <c r="E8" s="1486"/>
      <c r="F8" s="1486"/>
      <c r="G8" s="1486"/>
      <c r="H8" s="1486"/>
      <c r="I8" s="1486"/>
      <c r="J8" s="1486"/>
      <c r="K8" s="1486"/>
      <c r="L8" s="1486"/>
      <c r="M8" s="1486"/>
    </row>
    <row r="9" spans="1:13">
      <c r="B9" s="1486"/>
      <c r="C9" s="1486"/>
      <c r="D9" s="1486"/>
      <c r="E9" s="1486"/>
      <c r="F9" s="1486"/>
      <c r="G9" s="1486"/>
      <c r="H9" s="1486"/>
      <c r="I9" s="1486"/>
      <c r="J9" s="1486"/>
      <c r="K9" s="1486"/>
      <c r="L9" s="1486"/>
      <c r="M9" s="1486"/>
    </row>
    <row r="10" spans="1:13">
      <c r="B10" s="1486"/>
      <c r="C10" s="1486"/>
      <c r="D10" s="1486"/>
      <c r="E10" s="1486"/>
      <c r="F10" s="1486"/>
      <c r="G10" s="1486"/>
      <c r="H10" s="1486"/>
      <c r="I10" s="1486"/>
      <c r="J10" s="1486"/>
      <c r="K10" s="1486"/>
      <c r="L10" s="1486"/>
      <c r="M10" s="1486"/>
    </row>
    <row r="11" spans="1:13">
      <c r="B11" s="1486"/>
      <c r="C11" s="1486"/>
      <c r="D11" s="1486"/>
      <c r="E11" s="1486"/>
      <c r="F11" s="1486"/>
      <c r="G11" s="1486"/>
      <c r="H11" s="1486"/>
      <c r="I11" s="1486"/>
      <c r="J11" s="1486"/>
      <c r="K11" s="1486"/>
      <c r="L11" s="1486"/>
      <c r="M11" s="1486"/>
    </row>
    <row r="12" spans="1:13">
      <c r="B12" s="1486"/>
      <c r="C12" s="1486"/>
      <c r="D12" s="1486"/>
      <c r="E12" s="1486"/>
      <c r="F12" s="1486"/>
      <c r="G12" s="1486"/>
      <c r="H12" s="1486"/>
      <c r="I12" s="1486"/>
      <c r="J12" s="1486"/>
      <c r="K12" s="1486"/>
      <c r="L12" s="1486"/>
      <c r="M12" s="1486"/>
    </row>
    <row r="13" spans="1:13">
      <c r="B13" s="1486"/>
      <c r="C13" s="1486"/>
      <c r="D13" s="1486"/>
      <c r="E13" s="1486"/>
      <c r="F13" s="1486"/>
      <c r="G13" s="1486"/>
      <c r="H13" s="1486"/>
      <c r="I13" s="1486"/>
      <c r="J13" s="1486"/>
      <c r="K13" s="1486"/>
      <c r="L13" s="1486"/>
      <c r="M13" s="1486"/>
    </row>
    <row r="14" spans="1:13">
      <c r="B14" s="1486"/>
      <c r="C14" s="1486"/>
      <c r="D14" s="1486"/>
      <c r="E14" s="1486"/>
      <c r="F14" s="1486"/>
      <c r="G14" s="1486"/>
      <c r="H14" s="1486"/>
      <c r="I14" s="1486"/>
      <c r="J14" s="1486"/>
      <c r="K14" s="1486"/>
      <c r="L14" s="1486"/>
      <c r="M14" s="1486"/>
    </row>
    <row r="15" spans="1:13">
      <c r="B15" s="1486"/>
      <c r="C15" s="1486"/>
      <c r="D15" s="1486"/>
      <c r="E15" s="1486"/>
      <c r="F15" s="1486"/>
      <c r="G15" s="1486"/>
      <c r="H15" s="1486"/>
      <c r="I15" s="1486"/>
      <c r="J15" s="1486"/>
      <c r="K15" s="1486"/>
      <c r="L15" s="1486"/>
      <c r="M15" s="1486"/>
    </row>
    <row r="16" spans="1:13">
      <c r="B16" s="1486"/>
      <c r="C16" s="1486"/>
      <c r="D16" s="1486"/>
      <c r="E16" s="1486"/>
      <c r="F16" s="1486"/>
      <c r="G16" s="1486"/>
      <c r="H16" s="1486"/>
      <c r="I16" s="1486"/>
      <c r="J16" s="1486"/>
      <c r="K16" s="1486"/>
      <c r="L16" s="1486"/>
      <c r="M16" s="1486"/>
    </row>
    <row r="17" spans="2:13">
      <c r="B17" s="1486"/>
      <c r="C17" s="1486"/>
      <c r="D17" s="1486"/>
      <c r="E17" s="1486"/>
      <c r="F17" s="1486"/>
      <c r="G17" s="1486"/>
      <c r="H17" s="1486"/>
      <c r="I17" s="1486"/>
      <c r="J17" s="1486"/>
      <c r="K17" s="1486"/>
      <c r="L17" s="1486"/>
      <c r="M17" s="1486"/>
    </row>
    <row r="18" spans="2:13">
      <c r="B18" s="1486"/>
      <c r="C18" s="1486"/>
      <c r="D18" s="1486"/>
      <c r="E18" s="1486"/>
      <c r="F18" s="1486"/>
      <c r="G18" s="1486"/>
      <c r="H18" s="1486"/>
      <c r="I18" s="1486"/>
      <c r="J18" s="1486"/>
      <c r="K18" s="1486"/>
      <c r="L18" s="1486"/>
      <c r="M18" s="1486"/>
    </row>
  </sheetData>
  <mergeCells count="1">
    <mergeCell ref="B2:M18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tabColor rgb="FF92D050"/>
  </sheetPr>
  <dimension ref="A1:AG189"/>
  <sheetViews>
    <sheetView view="pageBreakPreview" zoomScale="80" zoomScaleNormal="100" zoomScaleSheetLayoutView="80" workbookViewId="0">
      <pane xSplit="3" ySplit="14" topLeftCell="K135" activePane="bottomRight" state="frozen"/>
      <selection pane="topRight" activeCell="A4" sqref="A4:G4"/>
      <selection pane="bottomLeft" activeCell="A4" sqref="A4:G4"/>
      <selection pane="bottomRight" activeCell="R13" sqref="R13:S13"/>
    </sheetView>
  </sheetViews>
  <sheetFormatPr defaultColWidth="9.140625" defaultRowHeight="15"/>
  <cols>
    <col min="1" max="1" width="9.28515625" style="735" bestFit="1" customWidth="1"/>
    <col min="2" max="2" width="10.42578125" style="113" bestFit="1" customWidth="1"/>
    <col min="3" max="3" width="45.7109375" style="113" customWidth="1"/>
    <col min="4" max="4" width="16.28515625" style="113" bestFit="1" customWidth="1"/>
    <col min="5" max="5" width="16.5703125" style="113" bestFit="1" customWidth="1"/>
    <col min="6" max="6" width="17.7109375" style="113" bestFit="1" customWidth="1"/>
    <col min="7" max="7" width="10.140625" style="113" bestFit="1" customWidth="1"/>
    <col min="8" max="8" width="18.7109375" style="271" bestFit="1" customWidth="1"/>
    <col min="9" max="9" width="13.140625" style="271" bestFit="1" customWidth="1"/>
    <col min="10" max="10" width="15.5703125" style="271" bestFit="1" customWidth="1"/>
    <col min="11" max="11" width="16" style="271" customWidth="1"/>
    <col min="12" max="12" width="17.5703125" style="271" bestFit="1" customWidth="1"/>
    <col min="13" max="13" width="14.28515625" style="271" bestFit="1" customWidth="1"/>
    <col min="14" max="14" width="17" style="271" bestFit="1" customWidth="1"/>
    <col min="15" max="15" width="17.85546875" style="271" bestFit="1" customWidth="1"/>
    <col min="16" max="16" width="18.42578125" style="271" customWidth="1"/>
    <col min="17" max="20" width="18.42578125" style="271" bestFit="1" customWidth="1"/>
    <col min="21" max="21" width="13.85546875" style="271" bestFit="1" customWidth="1"/>
    <col min="22" max="22" width="20.28515625" style="299" bestFit="1" customWidth="1"/>
    <col min="23" max="23" width="17.140625" style="271" bestFit="1" customWidth="1"/>
    <col min="24" max="24" width="15.5703125" style="563" bestFit="1" customWidth="1"/>
    <col min="25" max="25" width="16.5703125" style="271" bestFit="1" customWidth="1"/>
    <col min="26" max="26" width="15.140625" style="271" bestFit="1" customWidth="1"/>
    <col min="27" max="27" width="13" style="563" bestFit="1" customWidth="1"/>
    <col min="28" max="28" width="6.28515625" style="563" bestFit="1" customWidth="1"/>
    <col min="29" max="29" width="17" style="113" bestFit="1" customWidth="1"/>
    <col min="30" max="30" width="16.28515625" style="113" bestFit="1" customWidth="1"/>
    <col min="31" max="31" width="9.140625" style="113"/>
    <col min="32" max="32" width="17" style="113" bestFit="1" customWidth="1"/>
    <col min="33" max="33" width="17.42578125" style="113" bestFit="1" customWidth="1"/>
    <col min="34" max="16384" width="9.140625" style="113"/>
  </cols>
  <sheetData>
    <row r="1" spans="1:30">
      <c r="A1" s="209" t="str">
        <f>Company</f>
        <v>Cascade Natural Gas Corp.</v>
      </c>
      <c r="D1" s="209"/>
      <c r="E1" s="209"/>
      <c r="F1" s="209"/>
      <c r="H1" s="209" t="str">
        <f>A1</f>
        <v>Cascade Natural Gas Corp.</v>
      </c>
      <c r="J1" s="209"/>
      <c r="K1" s="209"/>
      <c r="L1" s="209"/>
      <c r="M1" s="209"/>
      <c r="N1" s="209"/>
      <c r="O1" s="209"/>
      <c r="P1" s="209"/>
      <c r="Q1" s="209"/>
      <c r="R1" s="209"/>
      <c r="S1" s="209"/>
      <c r="T1" s="209"/>
      <c r="U1" s="209"/>
      <c r="V1" s="209"/>
      <c r="W1" s="209"/>
      <c r="Y1" s="209"/>
      <c r="Z1" s="209"/>
    </row>
    <row r="2" spans="1:30">
      <c r="A2" s="209" t="str">
        <f>Title1</f>
        <v>Washington Jurisdiction</v>
      </c>
      <c r="D2" s="209"/>
      <c r="E2" s="209"/>
      <c r="F2" s="209"/>
      <c r="H2" s="209" t="str">
        <f>A2</f>
        <v>Washington Jurisdiction</v>
      </c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Y2" s="209"/>
      <c r="Z2" s="209"/>
    </row>
    <row r="3" spans="1:30">
      <c r="A3" s="209" t="str">
        <f>Title2</f>
        <v>Twelve-Months ended December 31, 2020</v>
      </c>
      <c r="D3" s="209"/>
      <c r="E3" s="209"/>
      <c r="F3" s="209"/>
      <c r="H3" s="209" t="str">
        <f>A3</f>
        <v>Twelve-Months ended December 31, 2020</v>
      </c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Y3" s="209"/>
      <c r="Z3" s="209"/>
    </row>
    <row r="4" spans="1:30">
      <c r="A4" s="209" t="str">
        <f>Title8</f>
        <v>UG-21____</v>
      </c>
      <c r="D4" s="209"/>
      <c r="E4" s="209"/>
      <c r="F4" s="209"/>
      <c r="H4" s="209" t="str">
        <f>A4</f>
        <v>UG-21____</v>
      </c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Y4" s="209"/>
      <c r="Z4" s="209"/>
    </row>
    <row r="5" spans="1:30">
      <c r="A5" s="209" t="s">
        <v>1110</v>
      </c>
      <c r="D5" s="209"/>
      <c r="E5" s="209"/>
      <c r="F5" s="209"/>
      <c r="H5" s="209" t="str">
        <f>A5</f>
        <v>MCG WP-1.1</v>
      </c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Y5" s="209"/>
      <c r="Z5" s="209"/>
    </row>
    <row r="6" spans="1:30">
      <c r="A6" s="209" t="s">
        <v>1145</v>
      </c>
      <c r="D6" s="209"/>
      <c r="E6" s="209"/>
      <c r="F6" s="209"/>
      <c r="H6" s="209" t="s">
        <v>1109</v>
      </c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Y6" s="209"/>
      <c r="Z6" s="209"/>
    </row>
    <row r="8" spans="1:30" s="735" customFormat="1">
      <c r="A8" s="1211" t="s">
        <v>1146</v>
      </c>
      <c r="B8" s="1211" t="s">
        <v>2</v>
      </c>
      <c r="C8" s="1211" t="s">
        <v>3</v>
      </c>
      <c r="D8" s="1211" t="s">
        <v>4</v>
      </c>
      <c r="E8" s="1211" t="s">
        <v>5</v>
      </c>
      <c r="F8" s="1211" t="s">
        <v>6</v>
      </c>
      <c r="G8" s="1211" t="s">
        <v>273</v>
      </c>
      <c r="H8" s="564" t="s">
        <v>274</v>
      </c>
      <c r="I8" s="564" t="s">
        <v>275</v>
      </c>
      <c r="J8" s="1211" t="s">
        <v>276</v>
      </c>
      <c r="K8" s="564" t="s">
        <v>277</v>
      </c>
      <c r="L8" s="564" t="s">
        <v>278</v>
      </c>
      <c r="M8" s="564" t="s">
        <v>279</v>
      </c>
      <c r="N8" s="564" t="s">
        <v>280</v>
      </c>
      <c r="O8" s="564" t="s">
        <v>281</v>
      </c>
      <c r="P8" s="564" t="s">
        <v>282</v>
      </c>
      <c r="Q8" s="564" t="s">
        <v>283</v>
      </c>
      <c r="R8" s="564" t="s">
        <v>284</v>
      </c>
      <c r="S8" s="564" t="s">
        <v>285</v>
      </c>
      <c r="T8" s="565" t="s">
        <v>286</v>
      </c>
      <c r="U8" s="564" t="s">
        <v>287</v>
      </c>
      <c r="V8" s="564" t="s">
        <v>288</v>
      </c>
      <c r="W8" s="564" t="s">
        <v>289</v>
      </c>
      <c r="X8" s="564" t="s">
        <v>290</v>
      </c>
      <c r="Y8" s="564" t="s">
        <v>1147</v>
      </c>
      <c r="Z8" s="564" t="s">
        <v>1148</v>
      </c>
      <c r="AA8" s="564" t="s">
        <v>1149</v>
      </c>
      <c r="AB8" s="642" t="s">
        <v>1150</v>
      </c>
      <c r="AC8" s="642" t="s">
        <v>1468</v>
      </c>
      <c r="AD8" s="642" t="s">
        <v>1469</v>
      </c>
    </row>
    <row r="9" spans="1:30" ht="30">
      <c r="A9" s="1211">
        <v>1</v>
      </c>
      <c r="B9" s="643" t="s">
        <v>1109</v>
      </c>
      <c r="C9" s="644"/>
      <c r="D9" s="645"/>
      <c r="E9" s="646" t="s">
        <v>1151</v>
      </c>
      <c r="F9" s="646" t="s">
        <v>1152</v>
      </c>
      <c r="G9" s="646" t="s">
        <v>1153</v>
      </c>
      <c r="H9" s="566"/>
      <c r="I9" s="566"/>
      <c r="J9" s="1363"/>
      <c r="K9" s="566"/>
      <c r="L9" s="566"/>
      <c r="M9" s="1363"/>
      <c r="N9"/>
      <c r="O9" s="566"/>
      <c r="P9" s="566"/>
      <c r="Q9" s="1363" t="s">
        <v>3252</v>
      </c>
      <c r="R9"/>
      <c r="S9"/>
      <c r="T9"/>
      <c r="U9" s="566"/>
      <c r="V9"/>
      <c r="W9"/>
      <c r="X9"/>
      <c r="Y9"/>
      <c r="Z9"/>
      <c r="AA9"/>
      <c r="AB9"/>
    </row>
    <row r="10" spans="1:30">
      <c r="A10" s="1211">
        <v>2</v>
      </c>
      <c r="B10" s="627" t="s">
        <v>1154</v>
      </c>
      <c r="C10" s="1"/>
      <c r="D10" s="10" t="s">
        <v>1155</v>
      </c>
      <c r="E10" s="567">
        <f>'State Allocators'!C14</f>
        <v>0.74890000000000001</v>
      </c>
      <c r="F10" s="568">
        <f>+'State Allocators'!C13</f>
        <v>0.74060000000000004</v>
      </c>
      <c r="G10" s="568">
        <f>'State Allocators'!C16</f>
        <v>0.77039999999999997</v>
      </c>
      <c r="J10" s="1364" t="s">
        <v>3265</v>
      </c>
      <c r="M10" s="1364"/>
      <c r="N10"/>
      <c r="Q10" s="1364" t="s">
        <v>3265</v>
      </c>
      <c r="R10"/>
      <c r="S10"/>
      <c r="T10"/>
      <c r="X10" s="569"/>
      <c r="AA10"/>
      <c r="AB10" s="569"/>
    </row>
    <row r="11" spans="1:30">
      <c r="A11" s="1211">
        <v>3</v>
      </c>
      <c r="B11" s="627"/>
      <c r="C11" s="1"/>
      <c r="D11" s="10" t="s">
        <v>1156</v>
      </c>
      <c r="E11" s="567">
        <f>'State Allocators'!D14</f>
        <v>0.25109999999999999</v>
      </c>
      <c r="F11" s="568">
        <f>+'State Allocators'!D13</f>
        <v>0.25940000000000002</v>
      </c>
      <c r="G11" s="568">
        <f>'State Allocators'!D16</f>
        <v>0.2296</v>
      </c>
      <c r="H11" s="570"/>
      <c r="I11" s="570"/>
      <c r="J11" s="570"/>
      <c r="K11" s="284"/>
      <c r="L11" s="284"/>
      <c r="N11" s="284"/>
      <c r="O11" s="284"/>
      <c r="P11" s="284"/>
      <c r="Q11" s="284"/>
      <c r="R11" s="284"/>
      <c r="S11" s="284"/>
      <c r="T11" s="284"/>
      <c r="U11" s="570"/>
      <c r="V11" s="571"/>
      <c r="W11" s="570"/>
      <c r="X11" s="572"/>
      <c r="Y11" s="570"/>
      <c r="Z11" s="284"/>
      <c r="AA11" s="284"/>
      <c r="AB11" s="572"/>
      <c r="AC11" s="284" t="s">
        <v>294</v>
      </c>
      <c r="AD11" s="284" t="s">
        <v>1157</v>
      </c>
    </row>
    <row r="12" spans="1:30">
      <c r="A12" s="1211">
        <v>4</v>
      </c>
      <c r="B12" s="1513" t="s">
        <v>1158</v>
      </c>
      <c r="C12" s="1514"/>
      <c r="D12" s="1517" t="s">
        <v>1159</v>
      </c>
      <c r="E12" s="1518"/>
      <c r="F12" s="1518"/>
      <c r="H12" s="570"/>
      <c r="I12" s="570"/>
      <c r="J12" s="570"/>
      <c r="K12" s="284"/>
      <c r="L12" s="284"/>
      <c r="M12" s="573"/>
      <c r="N12" s="284"/>
      <c r="O12" s="284"/>
      <c r="P12" s="284"/>
      <c r="Q12" s="284"/>
      <c r="R12" s="284"/>
      <c r="S12" s="284"/>
      <c r="T12" s="284"/>
      <c r="U12" s="570"/>
      <c r="V12" s="571"/>
      <c r="W12" s="570"/>
      <c r="X12" s="572"/>
      <c r="Y12" s="570"/>
      <c r="Z12" s="284"/>
      <c r="AA12" s="284"/>
      <c r="AB12" s="572"/>
      <c r="AC12" s="284" t="s">
        <v>192</v>
      </c>
      <c r="AD12" s="284" t="s">
        <v>1160</v>
      </c>
    </row>
    <row r="13" spans="1:30" ht="60">
      <c r="A13" s="1211">
        <v>5</v>
      </c>
      <c r="B13" s="1515"/>
      <c r="C13" s="1516"/>
      <c r="D13" s="1519" t="s">
        <v>1161</v>
      </c>
      <c r="E13" s="1520"/>
      <c r="F13" s="1521"/>
      <c r="H13" s="566" t="s">
        <v>1125</v>
      </c>
      <c r="I13" s="566" t="s">
        <v>1162</v>
      </c>
      <c r="J13" s="566" t="s">
        <v>1163</v>
      </c>
      <c r="K13" s="566" t="s">
        <v>1164</v>
      </c>
      <c r="L13" s="566" t="s">
        <v>1165</v>
      </c>
      <c r="M13" s="566" t="s">
        <v>1166</v>
      </c>
      <c r="N13" s="566" t="s">
        <v>1167</v>
      </c>
      <c r="O13" s="566" t="s">
        <v>1168</v>
      </c>
      <c r="P13" s="566" t="s">
        <v>3224</v>
      </c>
      <c r="Q13" s="566" t="str">
        <f>IF(Q10="On", Q9, "OPEN")</f>
        <v>Reclass Rate Base (AWEC DR 5)</v>
      </c>
      <c r="R13" s="1472" t="s">
        <v>3298</v>
      </c>
      <c r="S13" s="1472" t="s">
        <v>3299</v>
      </c>
      <c r="T13" s="566" t="str">
        <f>IF(T10="On", T9, "OPEN")</f>
        <v>OPEN</v>
      </c>
      <c r="U13" s="566" t="s">
        <v>1169</v>
      </c>
      <c r="V13" s="566" t="s">
        <v>1170</v>
      </c>
      <c r="W13" s="566" t="s">
        <v>1171</v>
      </c>
      <c r="X13" s="566" t="s">
        <v>1140</v>
      </c>
      <c r="Y13" s="566" t="s">
        <v>1172</v>
      </c>
      <c r="Z13" s="566" t="s">
        <v>1173</v>
      </c>
      <c r="AA13" s="566" t="s">
        <v>1174</v>
      </c>
      <c r="AB13" s="566" t="s">
        <v>1174</v>
      </c>
      <c r="AD13" s="1209" t="s">
        <v>1175</v>
      </c>
    </row>
    <row r="14" spans="1:30">
      <c r="A14" s="1211">
        <v>6</v>
      </c>
      <c r="B14" s="1509" t="s">
        <v>1176</v>
      </c>
      <c r="C14" s="1510"/>
      <c r="D14" s="647" t="s">
        <v>1177</v>
      </c>
      <c r="E14" s="648" t="s">
        <v>1178</v>
      </c>
      <c r="F14" s="649" t="s">
        <v>1179</v>
      </c>
      <c r="H14" s="574" t="s">
        <v>1180</v>
      </c>
      <c r="I14" s="574" t="s">
        <v>1181</v>
      </c>
      <c r="J14" s="574" t="s">
        <v>1182</v>
      </c>
      <c r="K14" s="574" t="s">
        <v>1183</v>
      </c>
      <c r="L14" s="574" t="s">
        <v>1184</v>
      </c>
      <c r="M14" s="574" t="s">
        <v>1185</v>
      </c>
      <c r="N14" s="574" t="s">
        <v>1186</v>
      </c>
      <c r="O14" s="574" t="s">
        <v>1187</v>
      </c>
      <c r="P14" s="574" t="s">
        <v>1188</v>
      </c>
      <c r="Q14" s="574" t="s">
        <v>1189</v>
      </c>
      <c r="R14" s="574" t="s">
        <v>1190</v>
      </c>
      <c r="S14" s="574" t="s">
        <v>1190</v>
      </c>
      <c r="T14" s="574" t="s">
        <v>1190</v>
      </c>
      <c r="U14" s="574" t="s">
        <v>1191</v>
      </c>
      <c r="V14" s="574" t="s">
        <v>1192</v>
      </c>
      <c r="W14" s="574" t="s">
        <v>1193</v>
      </c>
      <c r="X14" s="574" t="s">
        <v>1194</v>
      </c>
      <c r="Y14" s="574" t="s">
        <v>1195</v>
      </c>
      <c r="Z14" s="574" t="s">
        <v>1196</v>
      </c>
      <c r="AA14" s="574" t="s">
        <v>1197</v>
      </c>
      <c r="AB14" s="574" t="s">
        <v>1198</v>
      </c>
    </row>
    <row r="15" spans="1:30">
      <c r="A15" s="1211">
        <v>7</v>
      </c>
      <c r="B15" s="650" t="s">
        <v>556</v>
      </c>
      <c r="C15" s="575"/>
      <c r="D15" s="627"/>
      <c r="E15" s="1"/>
      <c r="F15" s="576"/>
    </row>
    <row r="16" spans="1:30">
      <c r="A16" s="1211">
        <v>8</v>
      </c>
      <c r="B16" s="651" t="s">
        <v>557</v>
      </c>
      <c r="C16" s="577" t="s">
        <v>558</v>
      </c>
      <c r="D16" s="599">
        <v>131409142.62</v>
      </c>
      <c r="E16" s="240">
        <v>0</v>
      </c>
      <c r="F16" s="252">
        <f>SUM(D16:E16)</f>
        <v>131409142.62</v>
      </c>
      <c r="H16" s="299">
        <f>ROUND('Annualize CRM'!C12, 0)</f>
        <v>-842800</v>
      </c>
      <c r="J16" s="271">
        <f>+'EOP Rev Adj'!C12</f>
        <v>1473456.6948657625</v>
      </c>
      <c r="N16" s="271">
        <f>'Suppl Sch Adj'!L10</f>
        <v>-147087605.55425999</v>
      </c>
      <c r="V16" s="299">
        <f>+'Annualize Rev Adj'!C19</f>
        <v>1407372.245134247</v>
      </c>
      <c r="Y16" s="271">
        <f>+'Pro Forma Plant Additions'!D22</f>
        <v>0</v>
      </c>
      <c r="AC16" s="440">
        <f>SUM(H16:AB16)</f>
        <v>-145049576.61425999</v>
      </c>
      <c r="AD16" s="440">
        <f>+F16+AC16</f>
        <v>-13640433.994259983</v>
      </c>
    </row>
    <row r="17" spans="1:33">
      <c r="A17" s="1211">
        <v>9</v>
      </c>
      <c r="B17" s="651" t="s">
        <v>559</v>
      </c>
      <c r="C17" s="577" t="s">
        <v>560</v>
      </c>
      <c r="D17" s="599">
        <v>108211098.75</v>
      </c>
      <c r="E17" s="240">
        <v>0</v>
      </c>
      <c r="F17" s="252">
        <f>SUM(D17:E17)</f>
        <v>108211098.75</v>
      </c>
      <c r="AC17" s="440">
        <f>SUM(H17:AB17)</f>
        <v>0</v>
      </c>
      <c r="AD17" s="440">
        <f>+F17+AC17</f>
        <v>108211098.75</v>
      </c>
      <c r="AF17" s="113" t="s">
        <v>322</v>
      </c>
    </row>
    <row r="18" spans="1:33">
      <c r="A18" s="1211">
        <v>10</v>
      </c>
      <c r="B18" s="650" t="s">
        <v>561</v>
      </c>
      <c r="C18" s="575"/>
      <c r="D18" s="578">
        <f>SUM(D16:D17)</f>
        <v>239620241.37</v>
      </c>
      <c r="E18" s="652">
        <f>SUM(E16:E17)</f>
        <v>0</v>
      </c>
      <c r="F18" s="579">
        <f>SUM(F16:F17)</f>
        <v>239620241.37</v>
      </c>
      <c r="H18" s="579">
        <f t="shared" ref="H18:T18" si="0">SUM(H16:H17)</f>
        <v>-842800</v>
      </c>
      <c r="I18" s="579">
        <f t="shared" si="0"/>
        <v>0</v>
      </c>
      <c r="J18" s="579">
        <f t="shared" si="0"/>
        <v>1473456.6948657625</v>
      </c>
      <c r="K18" s="579">
        <f t="shared" si="0"/>
        <v>0</v>
      </c>
      <c r="L18" s="579">
        <f t="shared" si="0"/>
        <v>0</v>
      </c>
      <c r="M18" s="579">
        <f t="shared" si="0"/>
        <v>0</v>
      </c>
      <c r="N18" s="579">
        <f t="shared" si="0"/>
        <v>-147087605.55425999</v>
      </c>
      <c r="O18" s="579">
        <f t="shared" si="0"/>
        <v>0</v>
      </c>
      <c r="P18" s="579">
        <f t="shared" si="0"/>
        <v>0</v>
      </c>
      <c r="Q18" s="579">
        <f t="shared" si="0"/>
        <v>0</v>
      </c>
      <c r="R18" s="579">
        <f t="shared" si="0"/>
        <v>0</v>
      </c>
      <c r="S18" s="579">
        <f t="shared" si="0"/>
        <v>0</v>
      </c>
      <c r="T18" s="579">
        <f t="shared" si="0"/>
        <v>0</v>
      </c>
      <c r="U18" s="579">
        <f t="shared" ref="U18:AD18" si="1">SUM(U16:U17)</f>
        <v>0</v>
      </c>
      <c r="V18" s="580">
        <f t="shared" si="1"/>
        <v>1407372.245134247</v>
      </c>
      <c r="W18" s="579">
        <f t="shared" si="1"/>
        <v>0</v>
      </c>
      <c r="X18" s="581">
        <f t="shared" si="1"/>
        <v>0</v>
      </c>
      <c r="Y18" s="579">
        <f>SUM(Y16:Y17)</f>
        <v>0</v>
      </c>
      <c r="Z18" s="579">
        <f t="shared" si="1"/>
        <v>0</v>
      </c>
      <c r="AA18" s="581">
        <f t="shared" si="1"/>
        <v>0</v>
      </c>
      <c r="AB18" s="581">
        <f t="shared" si="1"/>
        <v>0</v>
      </c>
      <c r="AC18" s="579">
        <f t="shared" si="1"/>
        <v>-145049576.61425999</v>
      </c>
      <c r="AD18" s="579">
        <f t="shared" si="1"/>
        <v>94570664.755740017</v>
      </c>
      <c r="AF18" s="271">
        <f>AD18-'Exh MCG-2 ROO Summary'!G9</f>
        <v>0</v>
      </c>
    </row>
    <row r="19" spans="1:33">
      <c r="A19" s="1211">
        <v>11</v>
      </c>
      <c r="B19" s="653"/>
      <c r="C19" s="575"/>
      <c r="D19" s="599"/>
      <c r="E19" s="83"/>
      <c r="F19" s="252"/>
    </row>
    <row r="20" spans="1:33">
      <c r="A20" s="1211">
        <v>12</v>
      </c>
      <c r="B20" s="650" t="s">
        <v>562</v>
      </c>
      <c r="C20" s="575"/>
      <c r="D20" s="599"/>
      <c r="E20" s="83"/>
      <c r="F20" s="252"/>
    </row>
    <row r="21" spans="1:33">
      <c r="A21" s="1211">
        <v>13</v>
      </c>
      <c r="B21" s="651" t="s">
        <v>563</v>
      </c>
      <c r="C21" s="577" t="s">
        <v>246</v>
      </c>
      <c r="D21" s="599">
        <v>298635.43</v>
      </c>
      <c r="E21" s="83">
        <v>0</v>
      </c>
      <c r="F21" s="252">
        <f t="shared" ref="F21:F27" si="2">SUM(D21:E21)</f>
        <v>298635.43</v>
      </c>
      <c r="O21" s="271">
        <f>LPC!C8</f>
        <v>360421.63</v>
      </c>
      <c r="AC21" s="440">
        <f t="shared" ref="AC21:AC27" si="3">SUM(H21:AB21)</f>
        <v>360421.63</v>
      </c>
      <c r="AD21" s="582">
        <f t="shared" ref="AD21:AD27" si="4">+F21+AC21</f>
        <v>659057.06000000006</v>
      </c>
    </row>
    <row r="22" spans="1:33">
      <c r="A22" s="1211">
        <v>14</v>
      </c>
      <c r="B22" s="654" t="s">
        <v>564</v>
      </c>
      <c r="C22" s="577" t="s">
        <v>565</v>
      </c>
      <c r="D22" s="599">
        <v>25108662.77</v>
      </c>
      <c r="E22" s="240">
        <v>0</v>
      </c>
      <c r="F22" s="252">
        <f t="shared" si="2"/>
        <v>25108662.77</v>
      </c>
      <c r="Y22" s="583">
        <f>'Pro Forma Plant Additions'!D22</f>
        <v>0</v>
      </c>
      <c r="AC22" s="440">
        <f t="shared" si="3"/>
        <v>0</v>
      </c>
      <c r="AD22" s="440">
        <f t="shared" si="4"/>
        <v>25108662.77</v>
      </c>
      <c r="AF22" s="440">
        <f>AD22-'Exh MCG-2 ROO Summary'!G10</f>
        <v>0</v>
      </c>
    </row>
    <row r="23" spans="1:33">
      <c r="A23" s="1211">
        <v>15</v>
      </c>
      <c r="B23" s="654" t="s">
        <v>566</v>
      </c>
      <c r="C23" s="577" t="s">
        <v>248</v>
      </c>
      <c r="D23" s="600">
        <v>0</v>
      </c>
      <c r="E23" s="83">
        <v>0</v>
      </c>
      <c r="F23" s="252">
        <f t="shared" si="2"/>
        <v>0</v>
      </c>
      <c r="AC23" s="440">
        <f t="shared" si="3"/>
        <v>0</v>
      </c>
      <c r="AD23" s="440">
        <f t="shared" si="4"/>
        <v>0</v>
      </c>
    </row>
    <row r="24" spans="1:33">
      <c r="A24" s="1211">
        <v>16</v>
      </c>
      <c r="B24" s="654" t="s">
        <v>567</v>
      </c>
      <c r="C24" s="577" t="s">
        <v>250</v>
      </c>
      <c r="D24" s="600">
        <v>0</v>
      </c>
      <c r="E24" s="83">
        <v>90033</v>
      </c>
      <c r="F24" s="252">
        <f t="shared" si="2"/>
        <v>90033</v>
      </c>
      <c r="AC24" s="440">
        <f t="shared" si="3"/>
        <v>0</v>
      </c>
      <c r="AD24" s="440">
        <f t="shared" si="4"/>
        <v>90033</v>
      </c>
    </row>
    <row r="25" spans="1:33">
      <c r="A25" s="1211">
        <v>17</v>
      </c>
      <c r="B25" s="654" t="s">
        <v>568</v>
      </c>
      <c r="C25" s="577" t="s">
        <v>251</v>
      </c>
      <c r="D25" s="599">
        <v>62386.95</v>
      </c>
      <c r="E25" s="83">
        <v>2970.45</v>
      </c>
      <c r="F25" s="252">
        <f t="shared" si="2"/>
        <v>65357.399999999994</v>
      </c>
      <c r="N25" s="271">
        <f>'Suppl Sch Adj'!L12</f>
        <v>2880261.2499999995</v>
      </c>
      <c r="AC25" s="440">
        <f t="shared" si="3"/>
        <v>2880261.2499999995</v>
      </c>
      <c r="AD25" s="440">
        <f t="shared" si="4"/>
        <v>2945618.6499999994</v>
      </c>
    </row>
    <row r="26" spans="1:33">
      <c r="A26" s="1211">
        <v>18</v>
      </c>
      <c r="B26" s="651" t="s">
        <v>569</v>
      </c>
      <c r="C26" s="577" t="s">
        <v>570</v>
      </c>
      <c r="D26" s="600">
        <v>0</v>
      </c>
      <c r="E26" s="240">
        <v>0</v>
      </c>
      <c r="F26" s="584">
        <f t="shared" si="2"/>
        <v>0</v>
      </c>
      <c r="AC26" s="440">
        <f t="shared" si="3"/>
        <v>0</v>
      </c>
      <c r="AD26" s="440">
        <f t="shared" si="4"/>
        <v>0</v>
      </c>
    </row>
    <row r="27" spans="1:33">
      <c r="A27" s="1211">
        <v>19</v>
      </c>
      <c r="B27" s="655">
        <v>4962</v>
      </c>
      <c r="C27" s="577" t="s">
        <v>253</v>
      </c>
      <c r="D27" s="600">
        <v>329323.59999999998</v>
      </c>
      <c r="E27" s="240">
        <v>0</v>
      </c>
      <c r="F27" s="584">
        <f t="shared" si="2"/>
        <v>329323.59999999998</v>
      </c>
      <c r="R27" s="1465">
        <v>1190099</v>
      </c>
      <c r="S27" s="1465">
        <v>-1190099</v>
      </c>
      <c r="AC27" s="440">
        <f t="shared" si="3"/>
        <v>0</v>
      </c>
      <c r="AD27" s="440">
        <f t="shared" si="4"/>
        <v>329323.59999999998</v>
      </c>
    </row>
    <row r="28" spans="1:33">
      <c r="A28" s="1211">
        <v>20</v>
      </c>
      <c r="B28" s="650" t="s">
        <v>571</v>
      </c>
      <c r="C28" s="575"/>
      <c r="D28" s="578">
        <f>SUM(D21:D27)</f>
        <v>25799008.75</v>
      </c>
      <c r="E28" s="656">
        <f>SUM(E21:E27)</f>
        <v>93003.45</v>
      </c>
      <c r="F28" s="656">
        <f>SUM(F21:F27)</f>
        <v>25892012.199999999</v>
      </c>
      <c r="H28" s="579">
        <f t="shared" ref="H28:AD28" si="5">SUM(H21:H27)</f>
        <v>0</v>
      </c>
      <c r="I28" s="579">
        <f t="shared" si="5"/>
        <v>0</v>
      </c>
      <c r="J28" s="579">
        <f t="shared" si="5"/>
        <v>0</v>
      </c>
      <c r="K28" s="579">
        <f t="shared" si="5"/>
        <v>0</v>
      </c>
      <c r="L28" s="579">
        <f t="shared" si="5"/>
        <v>0</v>
      </c>
      <c r="M28" s="579">
        <f t="shared" si="5"/>
        <v>0</v>
      </c>
      <c r="N28" s="579">
        <f t="shared" si="5"/>
        <v>2880261.2499999995</v>
      </c>
      <c r="O28" s="579">
        <f t="shared" si="5"/>
        <v>360421.63</v>
      </c>
      <c r="P28" s="579">
        <f t="shared" si="5"/>
        <v>0</v>
      </c>
      <c r="Q28" s="579">
        <f t="shared" si="5"/>
        <v>0</v>
      </c>
      <c r="R28" s="1466">
        <f t="shared" si="5"/>
        <v>1190099</v>
      </c>
      <c r="S28" s="1466">
        <f t="shared" si="5"/>
        <v>-1190099</v>
      </c>
      <c r="T28" s="579">
        <f t="shared" si="5"/>
        <v>0</v>
      </c>
      <c r="U28" s="579">
        <f t="shared" si="5"/>
        <v>0</v>
      </c>
      <c r="V28" s="579">
        <f t="shared" si="5"/>
        <v>0</v>
      </c>
      <c r="W28" s="579">
        <f t="shared" si="5"/>
        <v>0</v>
      </c>
      <c r="X28" s="579">
        <f t="shared" si="5"/>
        <v>0</v>
      </c>
      <c r="Y28" s="579">
        <f t="shared" si="5"/>
        <v>0</v>
      </c>
      <c r="Z28" s="579">
        <f t="shared" si="5"/>
        <v>0</v>
      </c>
      <c r="AA28" s="579">
        <f t="shared" si="5"/>
        <v>0</v>
      </c>
      <c r="AB28" s="579">
        <f t="shared" si="5"/>
        <v>0</v>
      </c>
      <c r="AC28" s="579">
        <f t="shared" si="5"/>
        <v>3240682.8799999994</v>
      </c>
      <c r="AD28" s="579">
        <f t="shared" si="5"/>
        <v>29132695.079999998</v>
      </c>
      <c r="AF28" s="271">
        <f>AD28-AD22</f>
        <v>4024032.3099999987</v>
      </c>
      <c r="AG28" s="271">
        <f>AF28-'Exh MCG-2 ROO Summary'!G11</f>
        <v>0</v>
      </c>
    </row>
    <row r="29" spans="1:33" ht="15.75" thickBot="1">
      <c r="A29" s="1211">
        <v>21</v>
      </c>
      <c r="B29" s="650" t="s">
        <v>572</v>
      </c>
      <c r="C29" s="575"/>
      <c r="D29" s="585">
        <f>D18+D28</f>
        <v>265419250.12</v>
      </c>
      <c r="E29" s="586">
        <f>E18+E28</f>
        <v>93003.45</v>
      </c>
      <c r="F29" s="587">
        <f>F18+F28</f>
        <v>265512253.56999999</v>
      </c>
      <c r="H29" s="587">
        <f t="shared" ref="H29:AD29" si="6">H18+H28</f>
        <v>-842800</v>
      </c>
      <c r="I29" s="587">
        <f t="shared" si="6"/>
        <v>0</v>
      </c>
      <c r="J29" s="587">
        <f t="shared" si="6"/>
        <v>1473456.6948657625</v>
      </c>
      <c r="K29" s="587">
        <f t="shared" si="6"/>
        <v>0</v>
      </c>
      <c r="L29" s="587">
        <f t="shared" si="6"/>
        <v>0</v>
      </c>
      <c r="M29" s="587">
        <f t="shared" si="6"/>
        <v>0</v>
      </c>
      <c r="N29" s="587">
        <f t="shared" ref="N29:S29" si="7">N18+N28</f>
        <v>-144207344.30425999</v>
      </c>
      <c r="O29" s="587">
        <f t="shared" si="7"/>
        <v>360421.63</v>
      </c>
      <c r="P29" s="587">
        <f t="shared" si="7"/>
        <v>0</v>
      </c>
      <c r="Q29" s="587">
        <f t="shared" si="7"/>
        <v>0</v>
      </c>
      <c r="R29" s="1467">
        <f t="shared" si="7"/>
        <v>1190099</v>
      </c>
      <c r="S29" s="1467">
        <f t="shared" si="7"/>
        <v>-1190099</v>
      </c>
      <c r="T29" s="587">
        <f t="shared" si="6"/>
        <v>0</v>
      </c>
      <c r="U29" s="587">
        <f t="shared" si="6"/>
        <v>0</v>
      </c>
      <c r="V29" s="588">
        <f>V18+V28</f>
        <v>1407372.245134247</v>
      </c>
      <c r="W29" s="587">
        <f t="shared" si="6"/>
        <v>0</v>
      </c>
      <c r="X29" s="589">
        <f>X18+X28</f>
        <v>0</v>
      </c>
      <c r="Y29" s="587">
        <f>Y18+Y28</f>
        <v>0</v>
      </c>
      <c r="Z29" s="587">
        <f>Z18+Z28</f>
        <v>0</v>
      </c>
      <c r="AA29" s="589">
        <f>AA18+AA28</f>
        <v>0</v>
      </c>
      <c r="AB29" s="589">
        <f t="shared" si="6"/>
        <v>0</v>
      </c>
      <c r="AC29" s="587">
        <f t="shared" si="6"/>
        <v>-141808893.73425999</v>
      </c>
      <c r="AD29" s="587">
        <f t="shared" si="6"/>
        <v>123703359.83574001</v>
      </c>
      <c r="AF29" s="271">
        <f>AD29-'Exh MCG-2 ROO Summary'!G12</f>
        <v>0</v>
      </c>
    </row>
    <row r="30" spans="1:33" ht="15.75" thickTop="1">
      <c r="A30" s="1211">
        <v>22</v>
      </c>
      <c r="B30" s="657" t="s">
        <v>70</v>
      </c>
      <c r="C30" s="575" t="s">
        <v>70</v>
      </c>
      <c r="D30" s="599"/>
      <c r="E30" s="83"/>
      <c r="F30" s="252"/>
    </row>
    <row r="31" spans="1:33">
      <c r="A31" s="1211">
        <v>23</v>
      </c>
      <c r="B31" s="650" t="s">
        <v>1199</v>
      </c>
      <c r="C31" s="575"/>
      <c r="D31" s="599"/>
      <c r="E31" s="83"/>
      <c r="F31" s="252"/>
    </row>
    <row r="32" spans="1:33">
      <c r="A32" s="1211">
        <v>24</v>
      </c>
      <c r="B32" s="651" t="s">
        <v>1200</v>
      </c>
      <c r="C32" s="577" t="s">
        <v>1201</v>
      </c>
      <c r="D32" s="599">
        <v>111720524.34</v>
      </c>
      <c r="E32" s="240">
        <v>0</v>
      </c>
      <c r="F32" s="252">
        <f t="shared" ref="F32:F37" si="8">SUM(D32:E32)</f>
        <v>111720524.34</v>
      </c>
      <c r="N32" s="271">
        <f>'Suppl Sch Adj'!L16</f>
        <v>-134273488.14999998</v>
      </c>
      <c r="AC32" s="440">
        <f t="shared" ref="AC32:AC37" si="9">SUM(H32:AB32)</f>
        <v>-134273488.14999998</v>
      </c>
      <c r="AD32" s="440">
        <f t="shared" ref="AD32:AD37" si="10">+F32+AC32</f>
        <v>-22552963.809999973</v>
      </c>
    </row>
    <row r="33" spans="1:32">
      <c r="A33" s="1211">
        <v>25</v>
      </c>
      <c r="B33" s="651" t="s">
        <v>1202</v>
      </c>
      <c r="C33" s="577" t="s">
        <v>1203</v>
      </c>
      <c r="D33" s="600">
        <v>0</v>
      </c>
      <c r="E33" s="240">
        <v>0</v>
      </c>
      <c r="F33" s="584">
        <f t="shared" si="8"/>
        <v>0</v>
      </c>
      <c r="AC33" s="440">
        <f t="shared" si="9"/>
        <v>0</v>
      </c>
      <c r="AD33" s="440">
        <f t="shared" si="10"/>
        <v>0</v>
      </c>
    </row>
    <row r="34" spans="1:32">
      <c r="A34" s="1211">
        <v>26</v>
      </c>
      <c r="B34" s="651" t="s">
        <v>1204</v>
      </c>
      <c r="C34" s="577" t="s">
        <v>1205</v>
      </c>
      <c r="D34" s="599">
        <v>22577070.400000006</v>
      </c>
      <c r="E34" s="240">
        <v>0</v>
      </c>
      <c r="F34" s="252">
        <f t="shared" si="8"/>
        <v>22577070.400000006</v>
      </c>
      <c r="AC34" s="440">
        <f t="shared" si="9"/>
        <v>0</v>
      </c>
      <c r="AD34" s="440">
        <f t="shared" si="10"/>
        <v>22577070.400000006</v>
      </c>
    </row>
    <row r="35" spans="1:32">
      <c r="A35" s="1211">
        <v>27</v>
      </c>
      <c r="B35" s="651" t="s">
        <v>1206</v>
      </c>
      <c r="C35" s="577" t="s">
        <v>1207</v>
      </c>
      <c r="D35" s="599">
        <v>4796021.5999999996</v>
      </c>
      <c r="E35" s="240">
        <v>0</v>
      </c>
      <c r="F35" s="252">
        <f t="shared" si="8"/>
        <v>4796021.5999999996</v>
      </c>
      <c r="AC35" s="440">
        <f t="shared" si="9"/>
        <v>0</v>
      </c>
      <c r="AD35" s="440">
        <f t="shared" si="10"/>
        <v>4796021.5999999996</v>
      </c>
    </row>
    <row r="36" spans="1:32">
      <c r="A36" s="1211">
        <v>28</v>
      </c>
      <c r="B36" s="651" t="s">
        <v>1208</v>
      </c>
      <c r="C36" s="577" t="s">
        <v>1209</v>
      </c>
      <c r="D36" s="599">
        <v>-4728431.5599999996</v>
      </c>
      <c r="E36" s="240">
        <v>0</v>
      </c>
      <c r="F36" s="252">
        <f t="shared" si="8"/>
        <v>-4728431.5599999996</v>
      </c>
      <c r="AC36" s="440">
        <f t="shared" si="9"/>
        <v>0</v>
      </c>
      <c r="AD36" s="440">
        <f t="shared" si="10"/>
        <v>-4728431.5599999996</v>
      </c>
    </row>
    <row r="37" spans="1:32">
      <c r="A37" s="1211">
        <v>29</v>
      </c>
      <c r="B37" s="651" t="s">
        <v>1210</v>
      </c>
      <c r="C37" s="577" t="s">
        <v>1211</v>
      </c>
      <c r="D37" s="599">
        <v>-91696.79</v>
      </c>
      <c r="E37" s="240">
        <v>0</v>
      </c>
      <c r="F37" s="252">
        <f t="shared" si="8"/>
        <v>-91696.79</v>
      </c>
      <c r="AC37" s="440">
        <f t="shared" si="9"/>
        <v>0</v>
      </c>
      <c r="AD37" s="440">
        <f t="shared" si="10"/>
        <v>-91696.79</v>
      </c>
    </row>
    <row r="38" spans="1:32">
      <c r="A38" s="1211">
        <v>30</v>
      </c>
      <c r="B38" s="650" t="s">
        <v>1212</v>
      </c>
      <c r="C38" s="575"/>
      <c r="D38" s="578">
        <f>SUM(D32:D37)</f>
        <v>134273487.99000001</v>
      </c>
      <c r="E38" s="652">
        <f>SUM(E32:E37)</f>
        <v>0</v>
      </c>
      <c r="F38" s="579">
        <f>SUM(F32:F37)</f>
        <v>134273487.99000001</v>
      </c>
      <c r="H38" s="579">
        <f t="shared" ref="H38:T38" si="11">SUM(H32:H37)</f>
        <v>0</v>
      </c>
      <c r="I38" s="579">
        <f t="shared" si="11"/>
        <v>0</v>
      </c>
      <c r="J38" s="579">
        <f t="shared" si="11"/>
        <v>0</v>
      </c>
      <c r="K38" s="579">
        <f t="shared" si="11"/>
        <v>0</v>
      </c>
      <c r="L38" s="579">
        <f t="shared" si="11"/>
        <v>0</v>
      </c>
      <c r="M38" s="579">
        <f t="shared" si="11"/>
        <v>0</v>
      </c>
      <c r="N38" s="579">
        <f t="shared" si="11"/>
        <v>-134273488.14999998</v>
      </c>
      <c r="O38" s="579">
        <f t="shared" si="11"/>
        <v>0</v>
      </c>
      <c r="P38" s="579">
        <f t="shared" si="11"/>
        <v>0</v>
      </c>
      <c r="Q38" s="579">
        <f t="shared" si="11"/>
        <v>0</v>
      </c>
      <c r="R38" s="579">
        <f t="shared" si="11"/>
        <v>0</v>
      </c>
      <c r="S38" s="579">
        <f t="shared" si="11"/>
        <v>0</v>
      </c>
      <c r="T38" s="579">
        <f t="shared" si="11"/>
        <v>0</v>
      </c>
      <c r="U38" s="579">
        <f t="shared" ref="U38:AD38" si="12">SUM(U32:U37)</f>
        <v>0</v>
      </c>
      <c r="V38" s="580">
        <f t="shared" si="12"/>
        <v>0</v>
      </c>
      <c r="W38" s="579">
        <f t="shared" si="12"/>
        <v>0</v>
      </c>
      <c r="X38" s="581">
        <f t="shared" si="12"/>
        <v>0</v>
      </c>
      <c r="Y38" s="579">
        <f>SUM(Y32:Y37)</f>
        <v>0</v>
      </c>
      <c r="Z38" s="579">
        <f t="shared" si="12"/>
        <v>0</v>
      </c>
      <c r="AA38" s="581">
        <f t="shared" si="12"/>
        <v>0</v>
      </c>
      <c r="AB38" s="581">
        <f t="shared" si="12"/>
        <v>0</v>
      </c>
      <c r="AC38" s="579">
        <f t="shared" si="12"/>
        <v>-134273488.14999998</v>
      </c>
      <c r="AD38" s="579">
        <f t="shared" si="12"/>
        <v>-0.15999996657774318</v>
      </c>
      <c r="AF38" s="271">
        <f>AD38-'Exh MCG-2 ROO Summary'!G15</f>
        <v>4.3655745685100555E-11</v>
      </c>
    </row>
    <row r="39" spans="1:32">
      <c r="A39" s="1211">
        <v>31</v>
      </c>
      <c r="B39" s="657"/>
      <c r="C39" s="575"/>
      <c r="D39" s="599"/>
      <c r="E39" s="83"/>
      <c r="F39" s="252"/>
    </row>
    <row r="40" spans="1:32">
      <c r="A40" s="1211">
        <v>32</v>
      </c>
      <c r="B40" s="650" t="s">
        <v>1213</v>
      </c>
      <c r="C40" s="575"/>
      <c r="D40" s="599"/>
      <c r="E40" s="83"/>
      <c r="F40" s="252"/>
    </row>
    <row r="41" spans="1:32">
      <c r="A41" s="1211">
        <v>33</v>
      </c>
      <c r="B41" s="651" t="s">
        <v>1214</v>
      </c>
      <c r="C41" s="577" t="s">
        <v>1215</v>
      </c>
      <c r="D41" s="600">
        <v>0</v>
      </c>
      <c r="E41" s="240">
        <v>0</v>
      </c>
      <c r="F41" s="584">
        <v>0</v>
      </c>
      <c r="AC41" s="440">
        <f t="shared" ref="AC41:AC51" si="13">SUM(H41:AB41)</f>
        <v>0</v>
      </c>
      <c r="AD41" s="440">
        <f t="shared" ref="AD41:AD51" si="14">+F41+AC41</f>
        <v>0</v>
      </c>
    </row>
    <row r="42" spans="1:32">
      <c r="A42" s="1211">
        <v>34</v>
      </c>
      <c r="B42" s="651" t="s">
        <v>1216</v>
      </c>
      <c r="C42" s="577" t="s">
        <v>1217</v>
      </c>
      <c r="D42" s="600">
        <v>0</v>
      </c>
      <c r="E42" s="240">
        <v>0</v>
      </c>
      <c r="F42" s="584">
        <v>0</v>
      </c>
      <c r="AC42" s="440">
        <f t="shared" si="13"/>
        <v>0</v>
      </c>
      <c r="AD42" s="440">
        <f t="shared" si="14"/>
        <v>0</v>
      </c>
    </row>
    <row r="43" spans="1:32">
      <c r="A43" s="1211">
        <v>35</v>
      </c>
      <c r="B43" s="651" t="s">
        <v>1218</v>
      </c>
      <c r="C43" s="577" t="s">
        <v>1219</v>
      </c>
      <c r="D43" s="600">
        <v>0</v>
      </c>
      <c r="E43" s="240">
        <v>0</v>
      </c>
      <c r="F43" s="584">
        <v>0</v>
      </c>
      <c r="AC43" s="440">
        <f t="shared" si="13"/>
        <v>0</v>
      </c>
      <c r="AD43" s="440">
        <f t="shared" si="14"/>
        <v>0</v>
      </c>
    </row>
    <row r="44" spans="1:32">
      <c r="A44" s="1211">
        <v>36</v>
      </c>
      <c r="B44" s="651" t="s">
        <v>1220</v>
      </c>
      <c r="C44" s="577" t="s">
        <v>1221</v>
      </c>
      <c r="D44" s="600">
        <v>0</v>
      </c>
      <c r="E44" s="240">
        <v>0</v>
      </c>
      <c r="F44" s="584">
        <v>0</v>
      </c>
      <c r="AC44" s="440">
        <f t="shared" si="13"/>
        <v>0</v>
      </c>
      <c r="AD44" s="440">
        <f t="shared" si="14"/>
        <v>0</v>
      </c>
    </row>
    <row r="45" spans="1:32">
      <c r="A45" s="1211">
        <v>37</v>
      </c>
      <c r="B45" s="651" t="s">
        <v>1222</v>
      </c>
      <c r="C45" s="577" t="s">
        <v>1223</v>
      </c>
      <c r="D45" s="600">
        <v>0</v>
      </c>
      <c r="E45" s="240">
        <v>0</v>
      </c>
      <c r="F45" s="584">
        <v>0</v>
      </c>
      <c r="AC45" s="440">
        <f t="shared" si="13"/>
        <v>0</v>
      </c>
      <c r="AD45" s="440">
        <f t="shared" si="14"/>
        <v>0</v>
      </c>
    </row>
    <row r="46" spans="1:32">
      <c r="A46" s="1211">
        <v>38</v>
      </c>
      <c r="B46" s="651" t="s">
        <v>1224</v>
      </c>
      <c r="C46" s="577" t="s">
        <v>1225</v>
      </c>
      <c r="D46" s="600">
        <v>0</v>
      </c>
      <c r="E46" s="240">
        <v>0</v>
      </c>
      <c r="F46" s="584">
        <v>0</v>
      </c>
      <c r="AC46" s="440">
        <f t="shared" si="13"/>
        <v>0</v>
      </c>
      <c r="AD46" s="440">
        <f t="shared" si="14"/>
        <v>0</v>
      </c>
    </row>
    <row r="47" spans="1:32">
      <c r="A47" s="1211">
        <v>39</v>
      </c>
      <c r="B47" s="651" t="s">
        <v>1226</v>
      </c>
      <c r="C47" s="577" t="s">
        <v>1227</v>
      </c>
      <c r="D47" s="658">
        <v>0</v>
      </c>
      <c r="E47" s="240">
        <v>0</v>
      </c>
      <c r="F47" s="584">
        <v>0</v>
      </c>
      <c r="AC47" s="440">
        <f t="shared" si="13"/>
        <v>0</v>
      </c>
      <c r="AD47" s="440">
        <f t="shared" si="14"/>
        <v>0</v>
      </c>
    </row>
    <row r="48" spans="1:32">
      <c r="A48" s="1211">
        <v>40</v>
      </c>
      <c r="B48" s="651" t="s">
        <v>1228</v>
      </c>
      <c r="C48" s="577" t="s">
        <v>1229</v>
      </c>
      <c r="D48" s="600">
        <v>0</v>
      </c>
      <c r="E48" s="240">
        <v>0</v>
      </c>
      <c r="F48" s="584">
        <v>0</v>
      </c>
      <c r="AC48" s="440">
        <f t="shared" si="13"/>
        <v>0</v>
      </c>
      <c r="AD48" s="440">
        <f t="shared" si="14"/>
        <v>0</v>
      </c>
    </row>
    <row r="49" spans="1:32">
      <c r="A49" s="1211">
        <v>41</v>
      </c>
      <c r="B49" s="651" t="s">
        <v>1230</v>
      </c>
      <c r="C49" s="577" t="s">
        <v>1231</v>
      </c>
      <c r="D49" s="600">
        <v>0</v>
      </c>
      <c r="E49" s="240">
        <v>0</v>
      </c>
      <c r="F49" s="584">
        <v>0</v>
      </c>
      <c r="AC49" s="440">
        <f t="shared" si="13"/>
        <v>0</v>
      </c>
      <c r="AD49" s="440">
        <f t="shared" si="14"/>
        <v>0</v>
      </c>
    </row>
    <row r="50" spans="1:32">
      <c r="A50" s="1211">
        <v>42</v>
      </c>
      <c r="B50" s="651" t="s">
        <v>1232</v>
      </c>
      <c r="C50" s="577" t="s">
        <v>1233</v>
      </c>
      <c r="D50" s="600">
        <v>0</v>
      </c>
      <c r="E50" s="240">
        <v>0</v>
      </c>
      <c r="F50" s="584">
        <v>0</v>
      </c>
      <c r="AC50" s="440">
        <f t="shared" si="13"/>
        <v>0</v>
      </c>
      <c r="AD50" s="440">
        <f t="shared" si="14"/>
        <v>0</v>
      </c>
    </row>
    <row r="51" spans="1:32">
      <c r="A51" s="1211">
        <v>43</v>
      </c>
      <c r="B51" s="651" t="s">
        <v>1234</v>
      </c>
      <c r="C51" s="577" t="s">
        <v>1235</v>
      </c>
      <c r="D51" s="600">
        <v>0</v>
      </c>
      <c r="E51" s="240">
        <v>0</v>
      </c>
      <c r="F51" s="584">
        <v>0</v>
      </c>
      <c r="AC51" s="440">
        <f t="shared" si="13"/>
        <v>0</v>
      </c>
      <c r="AD51" s="440">
        <f t="shared" si="14"/>
        <v>0</v>
      </c>
    </row>
    <row r="52" spans="1:32">
      <c r="A52" s="1211">
        <v>44</v>
      </c>
      <c r="B52" s="650" t="s">
        <v>1236</v>
      </c>
      <c r="C52" s="590"/>
      <c r="D52" s="591">
        <f>SUM(D41:D51)</f>
        <v>0</v>
      </c>
      <c r="E52" s="652">
        <f>SUM(E41:E51)</f>
        <v>0</v>
      </c>
      <c r="F52" s="580">
        <f>SUM(F41:F51)</f>
        <v>0</v>
      </c>
      <c r="H52" s="579">
        <f t="shared" ref="H52:T52" si="15">SUM(H41:H51)</f>
        <v>0</v>
      </c>
      <c r="I52" s="579">
        <f t="shared" si="15"/>
        <v>0</v>
      </c>
      <c r="J52" s="579">
        <f t="shared" si="15"/>
        <v>0</v>
      </c>
      <c r="K52" s="579">
        <f t="shared" si="15"/>
        <v>0</v>
      </c>
      <c r="L52" s="579">
        <f t="shared" si="15"/>
        <v>0</v>
      </c>
      <c r="M52" s="579">
        <f t="shared" si="15"/>
        <v>0</v>
      </c>
      <c r="N52" s="579">
        <f t="shared" si="15"/>
        <v>0</v>
      </c>
      <c r="O52" s="579">
        <f t="shared" si="15"/>
        <v>0</v>
      </c>
      <c r="P52" s="579">
        <f t="shared" si="15"/>
        <v>0</v>
      </c>
      <c r="Q52" s="579">
        <f t="shared" si="15"/>
        <v>0</v>
      </c>
      <c r="R52" s="579">
        <f t="shared" si="15"/>
        <v>0</v>
      </c>
      <c r="S52" s="579">
        <f t="shared" si="15"/>
        <v>0</v>
      </c>
      <c r="T52" s="579">
        <f t="shared" si="15"/>
        <v>0</v>
      </c>
      <c r="U52" s="579">
        <f t="shared" ref="U52:AD52" si="16">SUM(U41:U51)</f>
        <v>0</v>
      </c>
      <c r="V52" s="580">
        <f t="shared" si="16"/>
        <v>0</v>
      </c>
      <c r="W52" s="579">
        <f t="shared" si="16"/>
        <v>0</v>
      </c>
      <c r="X52" s="581">
        <f t="shared" si="16"/>
        <v>0</v>
      </c>
      <c r="Y52" s="579">
        <f>SUM(Y41:Y51)</f>
        <v>0</v>
      </c>
      <c r="Z52" s="579">
        <f t="shared" si="16"/>
        <v>0</v>
      </c>
      <c r="AA52" s="581">
        <f t="shared" si="16"/>
        <v>0</v>
      </c>
      <c r="AB52" s="581">
        <f t="shared" si="16"/>
        <v>0</v>
      </c>
      <c r="AC52" s="580">
        <f t="shared" si="16"/>
        <v>0</v>
      </c>
      <c r="AD52" s="580">
        <f t="shared" si="16"/>
        <v>0</v>
      </c>
    </row>
    <row r="53" spans="1:32">
      <c r="A53" s="1211">
        <v>45</v>
      </c>
      <c r="B53" s="657"/>
      <c r="C53" s="575"/>
      <c r="D53" s="599"/>
      <c r="E53" s="83"/>
      <c r="F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584"/>
      <c r="W53" s="252"/>
      <c r="X53" s="592"/>
      <c r="Y53" s="252"/>
      <c r="Z53" s="252"/>
      <c r="AA53" s="592"/>
      <c r="AB53" s="592"/>
      <c r="AC53" s="252"/>
      <c r="AD53" s="252"/>
    </row>
    <row r="54" spans="1:32">
      <c r="A54" s="1211">
        <v>46</v>
      </c>
      <c r="B54" s="1402" t="s">
        <v>1237</v>
      </c>
      <c r="C54" s="577" t="s">
        <v>680</v>
      </c>
      <c r="D54" s="659">
        <v>22359046.649999999</v>
      </c>
      <c r="E54" s="660">
        <v>0</v>
      </c>
      <c r="F54" s="661">
        <f>SUM(D54:E54)</f>
        <v>22359046.649999999</v>
      </c>
      <c r="H54" s="662">
        <f>+H29*(+'Exh MCG-4, Conversion Factor'!$C$11+'Exh MCG-4, Conversion Factor'!$C$12)</f>
        <v>-34150.256000000001</v>
      </c>
      <c r="I54" s="662">
        <f>+I29*(+'Exh MCG-4, Conversion Factor'!$C$11+'Exh MCG-4, Conversion Factor'!$C$12)</f>
        <v>0</v>
      </c>
      <c r="J54" s="662">
        <f>+J29*(+'Exh MCG-4, Conversion Factor'!$C$11+'Exh MCG-4, Conversion Factor'!$C$12)</f>
        <v>59704.465275960698</v>
      </c>
      <c r="K54" s="662">
        <f>+K29*(+'Exh MCG-4, Conversion Factor'!$C$11+'Exh MCG-4, Conversion Factor'!$C$12)</f>
        <v>0</v>
      </c>
      <c r="L54" s="662">
        <f>+L29*(+'Exh MCG-4, Conversion Factor'!$C$11+'Exh MCG-4, Conversion Factor'!$C$12)</f>
        <v>0</v>
      </c>
      <c r="M54" s="662">
        <f>+M29*(+'Exh MCG-4, Conversion Factor'!$C$11+'Exh MCG-4, Conversion Factor'!$C$12)</f>
        <v>0</v>
      </c>
      <c r="N54" s="662">
        <f>+N29*(+'Exh MCG-4, Conversion Factor'!$C$11+'Exh MCG-4, Conversion Factor'!$C$12)</f>
        <v>-5843281.5912086144</v>
      </c>
      <c r="O54" s="662">
        <f>+O29*(+'Exh MCG-4, Conversion Factor'!$C$11+'Exh MCG-4, Conversion Factor'!$C$12)</f>
        <v>14604.284447600001</v>
      </c>
      <c r="P54" s="662">
        <f>+P29*(+'Exh MCG-4, Conversion Factor'!$C$11+'Exh MCG-4, Conversion Factor'!$C$12)</f>
        <v>0</v>
      </c>
      <c r="Q54" s="662">
        <f>+Q29*(+'Exh MCG-4, Conversion Factor'!$C$11+'Exh MCG-4, Conversion Factor'!$C$12)</f>
        <v>0</v>
      </c>
      <c r="R54" s="1468">
        <f>+R29*(+'Exh MCG-4, Conversion Factor'!$C$11+'Exh MCG-4, Conversion Factor'!$C$12)</f>
        <v>48222.811480000004</v>
      </c>
      <c r="S54" s="1468">
        <f>+S29*(+'Exh MCG-4, Conversion Factor'!$C$11+'Exh MCG-4, Conversion Factor'!$C$12)</f>
        <v>-48222.811480000004</v>
      </c>
      <c r="T54" s="662">
        <f>+T29*(+'Exh MCG-4, Conversion Factor'!$C$11+'Exh MCG-4, Conversion Factor'!$C$12)</f>
        <v>0</v>
      </c>
      <c r="U54" s="662">
        <f>+U29*(+'Exh MCG-4, Conversion Factor'!$C$11+'Exh MCG-4, Conversion Factor'!$C$12)</f>
        <v>0</v>
      </c>
      <c r="V54" s="662">
        <f>+V29*(+'Exh MCG-4, Conversion Factor'!$C$11+'Exh MCG-4, Conversion Factor'!$C$12)</f>
        <v>57026.72337283969</v>
      </c>
      <c r="W54" s="662">
        <f>+W29*(+'Exh MCG-4, Conversion Factor'!$C$11+'Exh MCG-4, Conversion Factor'!$C$12)</f>
        <v>0</v>
      </c>
      <c r="X54" s="662">
        <f>+X29*(+'Exh MCG-4, Conversion Factor'!$C$11+'Exh MCG-4, Conversion Factor'!$C$12)</f>
        <v>0</v>
      </c>
      <c r="Y54" s="662">
        <f>+Y29*(+'Exh MCG-4, Conversion Factor'!$C$11+'Exh MCG-4, Conversion Factor'!$C$12)</f>
        <v>0</v>
      </c>
      <c r="Z54" s="662">
        <f>+Z29*(+'Exh MCG-4, Conversion Factor'!$C$11+'Exh MCG-4, Conversion Factor'!$C$12)</f>
        <v>0</v>
      </c>
      <c r="AA54" s="662">
        <f>+AA29*(+'Exh MCG-4, Conversion Factor'!$C$11+'Exh MCG-4, Conversion Factor'!$C$12)</f>
        <v>0</v>
      </c>
      <c r="AB54" s="662">
        <f>+AB29*(+'Exh MCG-4, Conversion Factor'!$C$11+'Exh MCG-4, Conversion Factor'!$C$12)</f>
        <v>0</v>
      </c>
      <c r="AC54" s="663">
        <f>SUM(H54:AB54)</f>
        <v>-5746096.374112214</v>
      </c>
      <c r="AD54" s="664">
        <f>+F54+AC54</f>
        <v>16612950.275887784</v>
      </c>
      <c r="AF54" s="440">
        <f>AD54-'Exh MCG-2 ROO Summary'!G16</f>
        <v>0</v>
      </c>
    </row>
    <row r="55" spans="1:32" ht="15.75" thickBot="1">
      <c r="A55" s="1211">
        <v>47</v>
      </c>
      <c r="B55" s="650" t="s">
        <v>1238</v>
      </c>
      <c r="C55" s="575"/>
      <c r="D55" s="585">
        <f>D29-D38-D54</f>
        <v>108786715.47999999</v>
      </c>
      <c r="E55" s="593">
        <f>E29-E38-E54</f>
        <v>93003.45</v>
      </c>
      <c r="F55" s="587">
        <f>F29-F38-F54</f>
        <v>108879718.92999998</v>
      </c>
      <c r="H55" s="587">
        <f t="shared" ref="H55:AD55" si="17">H29-H38-H54</f>
        <v>-808649.74399999995</v>
      </c>
      <c r="I55" s="587">
        <f t="shared" si="17"/>
        <v>0</v>
      </c>
      <c r="J55" s="587">
        <f t="shared" si="17"/>
        <v>1413752.2295898017</v>
      </c>
      <c r="K55" s="587">
        <f t="shared" si="17"/>
        <v>0</v>
      </c>
      <c r="L55" s="587">
        <f t="shared" si="17"/>
        <v>0</v>
      </c>
      <c r="M55" s="587">
        <f t="shared" si="17"/>
        <v>0</v>
      </c>
      <c r="N55" s="587">
        <f t="shared" ref="N55:S55" si="18">N29-N38-N54</f>
        <v>-4090574.5630513951</v>
      </c>
      <c r="O55" s="587">
        <f t="shared" si="18"/>
        <v>345817.34555239999</v>
      </c>
      <c r="P55" s="587">
        <f t="shared" si="18"/>
        <v>0</v>
      </c>
      <c r="Q55" s="587">
        <f t="shared" si="18"/>
        <v>0</v>
      </c>
      <c r="R55" s="1467">
        <f t="shared" si="18"/>
        <v>1141876.1885200001</v>
      </c>
      <c r="S55" s="1467">
        <f t="shared" si="18"/>
        <v>-1141876.1885200001</v>
      </c>
      <c r="T55" s="587">
        <f t="shared" si="17"/>
        <v>0</v>
      </c>
      <c r="U55" s="587">
        <f t="shared" si="17"/>
        <v>0</v>
      </c>
      <c r="V55" s="588">
        <f>V29-V38-V54</f>
        <v>1350345.5217614074</v>
      </c>
      <c r="W55" s="587">
        <f t="shared" si="17"/>
        <v>0</v>
      </c>
      <c r="X55" s="589">
        <f>X29-X38-X54</f>
        <v>0</v>
      </c>
      <c r="Y55" s="587">
        <f>Y29-Y38-Y54</f>
        <v>0</v>
      </c>
      <c r="Z55" s="587">
        <f>Z29-Z38-Z54</f>
        <v>0</v>
      </c>
      <c r="AA55" s="589">
        <f>AA29-AA38-AA54</f>
        <v>0</v>
      </c>
      <c r="AB55" s="589">
        <f t="shared" si="17"/>
        <v>0</v>
      </c>
      <c r="AC55" s="587">
        <f t="shared" si="17"/>
        <v>-1789309.2101478027</v>
      </c>
      <c r="AD55" s="587">
        <f t="shared" si="17"/>
        <v>107090409.71985219</v>
      </c>
    </row>
    <row r="56" spans="1:32" ht="15.75" thickTop="1">
      <c r="A56" s="1211">
        <v>48</v>
      </c>
      <c r="B56" s="657"/>
      <c r="C56" s="575"/>
      <c r="D56" s="599"/>
      <c r="E56" s="83"/>
      <c r="F56" s="252"/>
    </row>
    <row r="57" spans="1:32">
      <c r="A57" s="1211">
        <v>49</v>
      </c>
      <c r="B57" s="650" t="s">
        <v>1239</v>
      </c>
      <c r="C57" s="575"/>
      <c r="D57" s="599"/>
      <c r="E57" s="83"/>
      <c r="F57" s="252"/>
    </row>
    <row r="58" spans="1:32">
      <c r="A58" s="1211">
        <v>50</v>
      </c>
      <c r="B58" s="665">
        <v>813</v>
      </c>
      <c r="C58" s="577" t="s">
        <v>1240</v>
      </c>
      <c r="D58" s="600">
        <v>26.15</v>
      </c>
      <c r="E58" s="240">
        <v>321326.95</v>
      </c>
      <c r="F58" s="252">
        <f>SUM(D58:E58)</f>
        <v>321353.10000000003</v>
      </c>
      <c r="K58" s="461"/>
      <c r="N58" s="271">
        <f>'Suppl Sch Adj'!L18</f>
        <v>0</v>
      </c>
      <c r="W58" s="461">
        <f>+'Wage Adjustments'!Q19+'Wage Adjustments'!Q20</f>
        <v>4497.9232520000005</v>
      </c>
      <c r="AC58" s="440">
        <f>SUM(H58:AB58)</f>
        <v>4497.9232520000005</v>
      </c>
      <c r="AD58" s="440">
        <f>+F58+AC58</f>
        <v>325851.02325200004</v>
      </c>
      <c r="AF58" s="440">
        <f>AD58-'Exh MCG-2 ROO Summary'!G17</f>
        <v>0</v>
      </c>
    </row>
    <row r="59" spans="1:32">
      <c r="A59" s="1211">
        <v>51</v>
      </c>
      <c r="B59" s="665"/>
      <c r="C59" s="577"/>
      <c r="D59" s="600"/>
      <c r="E59" s="240"/>
      <c r="F59" s="252"/>
    </row>
    <row r="60" spans="1:32">
      <c r="A60" s="1211">
        <v>52</v>
      </c>
      <c r="B60" s="650" t="s">
        <v>1241</v>
      </c>
      <c r="C60" s="575"/>
      <c r="D60" s="599"/>
      <c r="E60" s="83"/>
      <c r="F60" s="252"/>
    </row>
    <row r="61" spans="1:32">
      <c r="A61" s="1211">
        <v>53</v>
      </c>
      <c r="B61" s="650" t="s">
        <v>1242</v>
      </c>
      <c r="C61" s="575"/>
      <c r="D61" s="599"/>
      <c r="E61" s="83"/>
      <c r="F61" s="252"/>
    </row>
    <row r="62" spans="1:32">
      <c r="A62" s="1211">
        <v>54</v>
      </c>
      <c r="B62" s="651" t="s">
        <v>1243</v>
      </c>
      <c r="C62" s="577" t="s">
        <v>1244</v>
      </c>
      <c r="D62" s="600">
        <v>2291479.0300000003</v>
      </c>
      <c r="E62" s="240">
        <v>1024466.5</v>
      </c>
      <c r="F62" s="252">
        <f t="shared" ref="F62:F72" si="19">SUM(D62:E62)</f>
        <v>3315945.5300000003</v>
      </c>
      <c r="K62" s="461">
        <f>+'Wage Adjustments'!P43</f>
        <v>0</v>
      </c>
      <c r="W62" s="461">
        <f>+'Wage Adjustments'!Q21+'Wage Adjustments'!Q43</f>
        <v>39740.889410000003</v>
      </c>
      <c r="X62" s="563">
        <f>'MAOP Deferral'!F18</f>
        <v>438114.83499999996</v>
      </c>
      <c r="AC62" s="440">
        <f t="shared" ref="AC62:AC72" si="20">SUM(H62:AB62)</f>
        <v>477855.72440999997</v>
      </c>
      <c r="AD62" s="440">
        <f t="shared" ref="AD62:AD72" si="21">+F62+AC62</f>
        <v>3793801.2544100001</v>
      </c>
    </row>
    <row r="63" spans="1:32">
      <c r="A63" s="1211">
        <v>55</v>
      </c>
      <c r="B63" s="651" t="s">
        <v>1245</v>
      </c>
      <c r="C63" s="577" t="s">
        <v>1246</v>
      </c>
      <c r="D63" s="600">
        <v>4209.2299999999987</v>
      </c>
      <c r="E63" s="240">
        <v>203151.25</v>
      </c>
      <c r="F63" s="252">
        <f t="shared" si="19"/>
        <v>207360.48</v>
      </c>
      <c r="K63" s="461">
        <f>+'Wage Adjustments'!P22+'Wage Adjustments'!P44</f>
        <v>26.6997</v>
      </c>
      <c r="W63" s="461">
        <f>+'Wage Adjustments'!Q22+'Wage Adjustments'!Q44</f>
        <v>5830.1286419999988</v>
      </c>
      <c r="AC63" s="440">
        <f t="shared" si="20"/>
        <v>5856.8283419999989</v>
      </c>
      <c r="AD63" s="440">
        <f t="shared" si="21"/>
        <v>213217.308342</v>
      </c>
    </row>
    <row r="64" spans="1:32">
      <c r="A64" s="1211">
        <v>56</v>
      </c>
      <c r="B64" s="654" t="s">
        <v>1247</v>
      </c>
      <c r="C64" s="577" t="s">
        <v>1248</v>
      </c>
      <c r="D64" s="600">
        <v>64723.520000000004</v>
      </c>
      <c r="E64" s="240">
        <v>17065.29</v>
      </c>
      <c r="F64" s="252">
        <f t="shared" si="19"/>
        <v>81788.81</v>
      </c>
      <c r="K64" s="461">
        <f>+'Wage Adjustments'!P45</f>
        <v>226.77029999999999</v>
      </c>
      <c r="W64" s="461">
        <f>+'Wage Adjustments'!Q45</f>
        <v>1467.1065089999997</v>
      </c>
      <c r="AC64" s="440">
        <f t="shared" si="20"/>
        <v>1693.8768089999996</v>
      </c>
      <c r="AD64" s="440">
        <f t="shared" si="21"/>
        <v>83482.686808999992</v>
      </c>
    </row>
    <row r="65" spans="1:32">
      <c r="A65" s="1211">
        <v>57</v>
      </c>
      <c r="B65" s="654" t="s">
        <v>1249</v>
      </c>
      <c r="C65" s="577" t="s">
        <v>1250</v>
      </c>
      <c r="D65" s="600">
        <v>3200320.5</v>
      </c>
      <c r="E65" s="240">
        <v>301125.05</v>
      </c>
      <c r="F65" s="252">
        <f t="shared" si="19"/>
        <v>3501445.55</v>
      </c>
      <c r="K65" s="461">
        <f>+'Wage Adjustments'!P46</f>
        <v>12212.013299999999</v>
      </c>
      <c r="W65" s="461">
        <f>+'Wage Adjustments'!Q23+'Wage Adjustments'!Q46</f>
        <v>68733.585909999994</v>
      </c>
      <c r="AC65" s="440">
        <f t="shared" si="20"/>
        <v>80945.599209999986</v>
      </c>
      <c r="AD65" s="440">
        <f t="shared" si="21"/>
        <v>3582391.1492099999</v>
      </c>
    </row>
    <row r="66" spans="1:32">
      <c r="A66" s="1211">
        <v>58</v>
      </c>
      <c r="B66" s="651" t="s">
        <v>1251</v>
      </c>
      <c r="C66" s="577" t="s">
        <v>1252</v>
      </c>
      <c r="D66" s="600">
        <v>147279.38999999998</v>
      </c>
      <c r="E66" s="240">
        <v>543846.26</v>
      </c>
      <c r="F66" s="252">
        <f t="shared" si="19"/>
        <v>691125.65</v>
      </c>
      <c r="K66" s="461">
        <f>+'Wage Adjustments'!P47</f>
        <v>1807.9346999999998</v>
      </c>
      <c r="W66" s="461">
        <f>+'Wage Adjustments'!Q47</f>
        <v>8844.7906409999996</v>
      </c>
      <c r="AC66" s="440">
        <f t="shared" si="20"/>
        <v>10652.725340999999</v>
      </c>
      <c r="AD66" s="440">
        <f t="shared" si="21"/>
        <v>701778.37534100004</v>
      </c>
    </row>
    <row r="67" spans="1:32">
      <c r="A67" s="1211">
        <v>59</v>
      </c>
      <c r="B67" s="651" t="s">
        <v>1253</v>
      </c>
      <c r="C67" s="577" t="s">
        <v>1254</v>
      </c>
      <c r="D67" s="600">
        <v>128343.48000000001</v>
      </c>
      <c r="E67" s="240">
        <v>290538.48</v>
      </c>
      <c r="F67" s="252">
        <f t="shared" si="19"/>
        <v>418881.95999999996</v>
      </c>
      <c r="K67" s="461">
        <f>+'Wage Adjustments'!P48</f>
        <v>1104.7058999999999</v>
      </c>
      <c r="W67" s="461">
        <f>+'Wage Adjustments'!Q48</f>
        <v>8060.5618770000001</v>
      </c>
      <c r="AC67" s="440">
        <f t="shared" si="20"/>
        <v>9165.2677770000009</v>
      </c>
      <c r="AD67" s="440">
        <f t="shared" si="21"/>
        <v>428047.22777699993</v>
      </c>
    </row>
    <row r="68" spans="1:32">
      <c r="A68" s="1211">
        <v>60</v>
      </c>
      <c r="B68" s="651" t="s">
        <v>1255</v>
      </c>
      <c r="C68" s="577" t="s">
        <v>1256</v>
      </c>
      <c r="D68" s="600">
        <v>1197685.19</v>
      </c>
      <c r="E68" s="240">
        <v>-1660158.87</v>
      </c>
      <c r="F68" s="252">
        <f t="shared" si="19"/>
        <v>-462473.68000000017</v>
      </c>
      <c r="K68" s="461">
        <f>+'Wage Adjustments'!P49</f>
        <v>6658.8092999999999</v>
      </c>
      <c r="W68" s="461">
        <f>+'Wage Adjustments'!Q24+'Wage Adjustments'!Q49</f>
        <v>25485.169972</v>
      </c>
      <c r="AC68" s="440">
        <f t="shared" si="20"/>
        <v>32143.979272</v>
      </c>
      <c r="AD68" s="440">
        <f t="shared" si="21"/>
        <v>-430329.70072800014</v>
      </c>
    </row>
    <row r="69" spans="1:32">
      <c r="A69" s="1211">
        <v>61</v>
      </c>
      <c r="B69" s="651" t="s">
        <v>1257</v>
      </c>
      <c r="C69" s="577" t="s">
        <v>1258</v>
      </c>
      <c r="D69" s="600">
        <v>461821.01</v>
      </c>
      <c r="E69" s="240">
        <v>354.29</v>
      </c>
      <c r="F69" s="252">
        <f t="shared" si="19"/>
        <v>462175.3</v>
      </c>
      <c r="K69" s="461">
        <f>+'Wage Adjustments'!P50</f>
        <v>3843.0509999999999</v>
      </c>
      <c r="W69" s="461">
        <f>+'Wage Adjustments'!Q50</f>
        <v>13295.47143</v>
      </c>
      <c r="AC69" s="440">
        <f t="shared" si="20"/>
        <v>17138.522430000001</v>
      </c>
      <c r="AD69" s="440">
        <f t="shared" si="21"/>
        <v>479313.82243</v>
      </c>
    </row>
    <row r="70" spans="1:32">
      <c r="A70" s="1211">
        <v>62</v>
      </c>
      <c r="B70" s="651" t="s">
        <v>1259</v>
      </c>
      <c r="C70" s="577" t="s">
        <v>1260</v>
      </c>
      <c r="D70" s="600">
        <v>4436495.4799999995</v>
      </c>
      <c r="E70" s="240">
        <v>832793.59</v>
      </c>
      <c r="F70" s="252">
        <f t="shared" si="19"/>
        <v>5269289.0699999994</v>
      </c>
      <c r="K70" s="461">
        <f>+'Wage Adjustments'!P51</f>
        <v>20339.030699999999</v>
      </c>
      <c r="N70" s="271">
        <f>'Suppl Sch Adj'!L19</f>
        <v>0</v>
      </c>
      <c r="W70" s="461">
        <f>+'Wage Adjustments'!Q25+'Wage Adjustments'!Q51</f>
        <v>90811.583295999997</v>
      </c>
      <c r="AC70" s="440">
        <f t="shared" si="20"/>
        <v>111150.613996</v>
      </c>
      <c r="AD70" s="440">
        <f t="shared" si="21"/>
        <v>5380439.6839959994</v>
      </c>
    </row>
    <row r="71" spans="1:32">
      <c r="A71" s="1211">
        <v>63</v>
      </c>
      <c r="B71" s="651" t="s">
        <v>1261</v>
      </c>
      <c r="C71" s="577" t="s">
        <v>1262</v>
      </c>
      <c r="D71" s="600">
        <v>129688.86</v>
      </c>
      <c r="E71" s="240">
        <v>16787.93</v>
      </c>
      <c r="F71" s="252">
        <f t="shared" si="19"/>
        <v>146476.79</v>
      </c>
      <c r="AC71" s="440">
        <f t="shared" si="20"/>
        <v>0</v>
      </c>
      <c r="AD71" s="440">
        <f t="shared" si="21"/>
        <v>146476.79</v>
      </c>
    </row>
    <row r="72" spans="1:32">
      <c r="A72" s="1211">
        <v>64</v>
      </c>
      <c r="B72" s="651" t="s">
        <v>1263</v>
      </c>
      <c r="C72" s="577" t="s">
        <v>1264</v>
      </c>
      <c r="D72" s="600">
        <v>0</v>
      </c>
      <c r="E72" s="240">
        <v>0</v>
      </c>
      <c r="F72" s="252">
        <f t="shared" si="19"/>
        <v>0</v>
      </c>
      <c r="AC72" s="440">
        <f t="shared" si="20"/>
        <v>0</v>
      </c>
      <c r="AD72" s="440">
        <f t="shared" si="21"/>
        <v>0</v>
      </c>
    </row>
    <row r="73" spans="1:32">
      <c r="A73" s="1211">
        <v>65</v>
      </c>
      <c r="B73" s="657"/>
      <c r="C73" s="594" t="s">
        <v>1265</v>
      </c>
      <c r="D73" s="578">
        <f>SUM(D62:D72)</f>
        <v>12062045.689999998</v>
      </c>
      <c r="E73" s="656">
        <f>SUM(E62:E72)</f>
        <v>1569969.7699999998</v>
      </c>
      <c r="F73" s="579">
        <f>SUM(F62:F72)</f>
        <v>13632015.459999999</v>
      </c>
      <c r="H73" s="579">
        <f t="shared" ref="H73:V73" si="22">SUM(H62:H72)</f>
        <v>0</v>
      </c>
      <c r="I73" s="579">
        <f t="shared" si="22"/>
        <v>0</v>
      </c>
      <c r="J73" s="579">
        <f t="shared" si="22"/>
        <v>0</v>
      </c>
      <c r="K73" s="595">
        <f t="shared" si="22"/>
        <v>46219.014899999995</v>
      </c>
      <c r="L73" s="579">
        <f t="shared" si="22"/>
        <v>0</v>
      </c>
      <c r="M73" s="579">
        <f t="shared" si="22"/>
        <v>0</v>
      </c>
      <c r="N73" s="579">
        <f t="shared" si="22"/>
        <v>0</v>
      </c>
      <c r="O73" s="579">
        <f t="shared" si="22"/>
        <v>0</v>
      </c>
      <c r="P73" s="579">
        <f t="shared" si="22"/>
        <v>0</v>
      </c>
      <c r="Q73" s="579">
        <f t="shared" si="22"/>
        <v>0</v>
      </c>
      <c r="R73" s="579">
        <f t="shared" si="22"/>
        <v>0</v>
      </c>
      <c r="S73" s="579">
        <f t="shared" si="22"/>
        <v>0</v>
      </c>
      <c r="T73" s="579">
        <f t="shared" si="22"/>
        <v>0</v>
      </c>
      <c r="U73" s="579">
        <f t="shared" si="22"/>
        <v>0</v>
      </c>
      <c r="V73" s="580">
        <f t="shared" si="22"/>
        <v>0</v>
      </c>
      <c r="W73" s="595">
        <f t="shared" ref="W73:AD73" si="23">SUM(W62:W72)</f>
        <v>262269.287687</v>
      </c>
      <c r="X73" s="581">
        <f>SUM(X62:X72)</f>
        <v>438114.83499999996</v>
      </c>
      <c r="Y73" s="579">
        <f>SUM(Y62:Y72)</f>
        <v>0</v>
      </c>
      <c r="Z73" s="579">
        <f>SUM(Z62:Z72)</f>
        <v>0</v>
      </c>
      <c r="AA73" s="581">
        <f>SUM(AA62:AA72)</f>
        <v>0</v>
      </c>
      <c r="AB73" s="581">
        <f t="shared" si="23"/>
        <v>0</v>
      </c>
      <c r="AC73" s="579">
        <f t="shared" si="23"/>
        <v>746603.13758700003</v>
      </c>
      <c r="AD73" s="579">
        <f t="shared" si="23"/>
        <v>14378618.597586999</v>
      </c>
      <c r="AF73" s="271"/>
    </row>
    <row r="74" spans="1:32">
      <c r="A74" s="1211">
        <v>66</v>
      </c>
      <c r="B74" s="657"/>
      <c r="C74" s="575"/>
      <c r="D74" s="599"/>
      <c r="E74" s="83"/>
      <c r="F74" s="252"/>
      <c r="AF74" s="271"/>
    </row>
    <row r="75" spans="1:32">
      <c r="A75" s="1211">
        <v>67</v>
      </c>
      <c r="B75" s="650" t="s">
        <v>1266</v>
      </c>
      <c r="C75" s="575"/>
      <c r="D75" s="599"/>
      <c r="E75" s="83"/>
      <c r="F75" s="252"/>
      <c r="AF75" s="271"/>
    </row>
    <row r="76" spans="1:32">
      <c r="A76" s="1211">
        <v>68</v>
      </c>
      <c r="B76" s="651" t="s">
        <v>1267</v>
      </c>
      <c r="C76" s="577" t="s">
        <v>1268</v>
      </c>
      <c r="D76" s="600">
        <v>930039.33</v>
      </c>
      <c r="E76" s="240">
        <v>224786.46</v>
      </c>
      <c r="F76" s="584">
        <f t="shared" ref="F76:F84" si="24">SUM(D76:E76)</f>
        <v>1154825.79</v>
      </c>
      <c r="K76" s="461"/>
      <c r="W76" s="461">
        <f>+'Wage Adjustments'!Q26</f>
        <v>30870.514414000001</v>
      </c>
      <c r="AC76" s="440">
        <f t="shared" ref="AC76:AC84" si="25">SUM(H76:AB76)</f>
        <v>30870.514414000001</v>
      </c>
      <c r="AD76" s="440">
        <f t="shared" ref="AD76:AD84" si="26">+F76+AC76</f>
        <v>1185696.3044140001</v>
      </c>
    </row>
    <row r="77" spans="1:32">
      <c r="A77" s="1211">
        <v>69</v>
      </c>
      <c r="B77" s="651" t="s">
        <v>1269</v>
      </c>
      <c r="C77" s="577" t="s">
        <v>1270</v>
      </c>
      <c r="D77" s="600">
        <v>11464.84</v>
      </c>
      <c r="E77" s="240">
        <v>0</v>
      </c>
      <c r="F77" s="252">
        <f t="shared" si="24"/>
        <v>11464.84</v>
      </c>
      <c r="K77" s="461"/>
      <c r="AC77" s="440">
        <f t="shared" si="25"/>
        <v>0</v>
      </c>
      <c r="AD77" s="440">
        <f t="shared" si="26"/>
        <v>11464.84</v>
      </c>
    </row>
    <row r="78" spans="1:32">
      <c r="A78" s="1211">
        <v>70</v>
      </c>
      <c r="B78" s="651" t="s">
        <v>1271</v>
      </c>
      <c r="C78" s="577" t="s">
        <v>1272</v>
      </c>
      <c r="D78" s="600">
        <v>2050686.4</v>
      </c>
      <c r="E78" s="240">
        <v>55456.15</v>
      </c>
      <c r="F78" s="252">
        <f t="shared" si="24"/>
        <v>2106142.5499999998</v>
      </c>
      <c r="K78" s="461">
        <f>+'Wage Adjustments'!P52</f>
        <v>2605.6448999999998</v>
      </c>
      <c r="W78" s="461">
        <f>+'Wage Adjustments'!Q27+'Wage Adjustments'!Q52+'Wage Adjustments'!Q28</f>
        <v>12674.852183000001</v>
      </c>
      <c r="AC78" s="440">
        <f t="shared" si="25"/>
        <v>15280.497083</v>
      </c>
      <c r="AD78" s="440">
        <f t="shared" si="26"/>
        <v>2121423.0470829997</v>
      </c>
    </row>
    <row r="79" spans="1:32">
      <c r="A79" s="1211">
        <v>71</v>
      </c>
      <c r="B79" s="654" t="s">
        <v>1273</v>
      </c>
      <c r="C79" s="577" t="s">
        <v>1248</v>
      </c>
      <c r="D79" s="600">
        <v>98005.85</v>
      </c>
      <c r="E79" s="240">
        <v>0</v>
      </c>
      <c r="F79" s="584">
        <f t="shared" si="24"/>
        <v>98005.85</v>
      </c>
      <c r="K79" s="461">
        <f>+'Wage Adjustments'!P53</f>
        <v>446.79269999999997</v>
      </c>
      <c r="W79" s="461">
        <f>+'Wage Adjustments'!Q53</f>
        <v>1453.4046809999998</v>
      </c>
      <c r="AC79" s="440">
        <f t="shared" si="25"/>
        <v>1900.1973809999997</v>
      </c>
      <c r="AD79" s="440">
        <f t="shared" si="26"/>
        <v>99906.047381000011</v>
      </c>
    </row>
    <row r="80" spans="1:32">
      <c r="A80" s="1211">
        <v>72</v>
      </c>
      <c r="B80" s="651" t="s">
        <v>1274</v>
      </c>
      <c r="C80" s="577" t="s">
        <v>1275</v>
      </c>
      <c r="D80" s="600">
        <v>82161.200000000026</v>
      </c>
      <c r="E80" s="83">
        <v>163162.93</v>
      </c>
      <c r="F80" s="252">
        <f t="shared" si="24"/>
        <v>245324.13</v>
      </c>
      <c r="K80" s="461">
        <f>+'Wage Adjustments'!P54</f>
        <v>855.39689999999996</v>
      </c>
      <c r="W80" s="461">
        <f>+'Wage Adjustments'!Q29+'Wage Adjustments'!Q54</f>
        <v>4152.9083069999997</v>
      </c>
      <c r="AC80" s="440">
        <f t="shared" si="25"/>
        <v>5008.3052069999994</v>
      </c>
      <c r="AD80" s="440">
        <f t="shared" si="26"/>
        <v>250332.435207</v>
      </c>
    </row>
    <row r="81" spans="1:32">
      <c r="A81" s="1211">
        <v>73</v>
      </c>
      <c r="B81" s="651" t="s">
        <v>1276</v>
      </c>
      <c r="C81" s="577" t="s">
        <v>1277</v>
      </c>
      <c r="D81" s="600">
        <v>27716.050000000003</v>
      </c>
      <c r="E81" s="83">
        <v>61456.74</v>
      </c>
      <c r="F81" s="252">
        <f t="shared" si="24"/>
        <v>89172.790000000008</v>
      </c>
      <c r="K81" s="461">
        <f>+'Wage Adjustments'!P55</f>
        <v>326.3082</v>
      </c>
      <c r="W81" s="461">
        <f>+'Wage Adjustments'!Q55</f>
        <v>1400.970546</v>
      </c>
      <c r="AC81" s="440">
        <f t="shared" si="25"/>
        <v>1727.278746</v>
      </c>
      <c r="AD81" s="440">
        <f t="shared" si="26"/>
        <v>90900.068746000004</v>
      </c>
    </row>
    <row r="82" spans="1:32">
      <c r="A82" s="1211">
        <v>74</v>
      </c>
      <c r="B82" s="651" t="s">
        <v>1278</v>
      </c>
      <c r="C82" s="577" t="s">
        <v>1279</v>
      </c>
      <c r="D82" s="600">
        <v>1104685.8400000001</v>
      </c>
      <c r="E82" s="83">
        <v>-14204.41</v>
      </c>
      <c r="F82" s="252">
        <f t="shared" si="24"/>
        <v>1090481.4300000002</v>
      </c>
      <c r="K82" s="461">
        <f>+'Wage Adjustments'!P30+'Wage Adjustments'!P56</f>
        <v>4697.3418000000001</v>
      </c>
      <c r="W82" s="461">
        <f>+'Wage Adjustments'!Q30+'Wage Adjustments'!Q56</f>
        <v>21799.193139999999</v>
      </c>
      <c r="AC82" s="440">
        <f t="shared" si="25"/>
        <v>26496.534939999998</v>
      </c>
      <c r="AD82" s="440">
        <f t="shared" si="26"/>
        <v>1116977.9649400001</v>
      </c>
    </row>
    <row r="83" spans="1:32">
      <c r="A83" s="1211">
        <v>75</v>
      </c>
      <c r="B83" s="651" t="s">
        <v>1280</v>
      </c>
      <c r="C83" s="577" t="s">
        <v>1281</v>
      </c>
      <c r="D83" s="600">
        <v>524923.21</v>
      </c>
      <c r="E83" s="83">
        <v>108085.26000000001</v>
      </c>
      <c r="F83" s="252">
        <f t="shared" si="24"/>
        <v>633008.47</v>
      </c>
      <c r="K83" s="461">
        <f>+'Wage Adjustments'!P57</f>
        <v>4101.5222999999996</v>
      </c>
      <c r="W83" s="461">
        <f>+'Wage Adjustments'!Q31+'Wage Adjustments'!Q57</f>
        <v>15289.16107</v>
      </c>
      <c r="AC83" s="440">
        <f t="shared" si="25"/>
        <v>19390.683369999999</v>
      </c>
      <c r="AD83" s="440">
        <f t="shared" si="26"/>
        <v>652399.15336999996</v>
      </c>
      <c r="AF83" s="271"/>
    </row>
    <row r="84" spans="1:32">
      <c r="A84" s="1211">
        <v>76</v>
      </c>
      <c r="B84" s="651" t="s">
        <v>1282</v>
      </c>
      <c r="C84" s="577" t="s">
        <v>1283</v>
      </c>
      <c r="D84" s="600">
        <v>1420915.3299999998</v>
      </c>
      <c r="E84" s="83">
        <v>41313.93</v>
      </c>
      <c r="F84" s="252">
        <f t="shared" si="24"/>
        <v>1462229.2599999998</v>
      </c>
      <c r="K84" s="461">
        <f>+'Wage Adjustments'!P58</f>
        <v>7707.0689999999995</v>
      </c>
      <c r="W84" s="461">
        <f>+'Wage Adjustments'!Q32+'Wage Adjustments'!Q58</f>
        <v>34608.638122999997</v>
      </c>
      <c r="AC84" s="440">
        <f t="shared" si="25"/>
        <v>42315.707123</v>
      </c>
      <c r="AD84" s="596">
        <f t="shared" si="26"/>
        <v>1504544.9671229997</v>
      </c>
    </row>
    <row r="85" spans="1:32">
      <c r="A85" s="1211">
        <v>77</v>
      </c>
      <c r="B85" s="657"/>
      <c r="C85" s="594" t="s">
        <v>1284</v>
      </c>
      <c r="D85" s="578">
        <f>SUM(D76:D84)</f>
        <v>6250598.0499999998</v>
      </c>
      <c r="E85" s="656">
        <f>SUM(E76:E84)</f>
        <v>640057.06000000006</v>
      </c>
      <c r="F85" s="579">
        <f>SUM(F76:F84)</f>
        <v>6890655.1099999994</v>
      </c>
      <c r="H85" s="579">
        <f t="shared" ref="H85:U85" si="27">SUM(H76:H84)</f>
        <v>0</v>
      </c>
      <c r="I85" s="579">
        <f t="shared" si="27"/>
        <v>0</v>
      </c>
      <c r="J85" s="579">
        <f t="shared" si="27"/>
        <v>0</v>
      </c>
      <c r="K85" s="595">
        <f>SUM(K76:K84)</f>
        <v>20740.075799999999</v>
      </c>
      <c r="L85" s="579">
        <f t="shared" si="27"/>
        <v>0</v>
      </c>
      <c r="M85" s="579">
        <f t="shared" si="27"/>
        <v>0</v>
      </c>
      <c r="N85" s="579">
        <f t="shared" ref="N85:S85" si="28">SUM(N76:N84)</f>
        <v>0</v>
      </c>
      <c r="O85" s="579">
        <f t="shared" si="28"/>
        <v>0</v>
      </c>
      <c r="P85" s="579">
        <f t="shared" si="28"/>
        <v>0</v>
      </c>
      <c r="Q85" s="579">
        <f t="shared" si="28"/>
        <v>0</v>
      </c>
      <c r="R85" s="579">
        <f t="shared" si="28"/>
        <v>0</v>
      </c>
      <c r="S85" s="579">
        <f t="shared" si="28"/>
        <v>0</v>
      </c>
      <c r="T85" s="579">
        <f t="shared" si="27"/>
        <v>0</v>
      </c>
      <c r="U85" s="579">
        <f t="shared" si="27"/>
        <v>0</v>
      </c>
      <c r="V85" s="580">
        <f>SUM(V76:V84)</f>
        <v>0</v>
      </c>
      <c r="W85" s="595">
        <f t="shared" ref="W85:AD85" si="29">SUM(W76:W84)</f>
        <v>122249.64246399999</v>
      </c>
      <c r="X85" s="581">
        <f>SUM(X76:X84)</f>
        <v>0</v>
      </c>
      <c r="Y85" s="579">
        <f>SUM(Y76:Y84)</f>
        <v>0</v>
      </c>
      <c r="Z85" s="579">
        <f>SUM(Z76:Z84)</f>
        <v>0</v>
      </c>
      <c r="AA85" s="581">
        <f>SUM(AA76:AA84)</f>
        <v>0</v>
      </c>
      <c r="AB85" s="581">
        <f t="shared" si="29"/>
        <v>0</v>
      </c>
      <c r="AC85" s="579">
        <f t="shared" si="29"/>
        <v>142989.718264</v>
      </c>
      <c r="AD85" s="579">
        <f t="shared" si="29"/>
        <v>7033644.8282639999</v>
      </c>
      <c r="AF85" s="116"/>
    </row>
    <row r="86" spans="1:32">
      <c r="A86" s="1211">
        <v>78</v>
      </c>
      <c r="B86" s="650" t="s">
        <v>1285</v>
      </c>
      <c r="C86" s="575"/>
      <c r="D86" s="659">
        <f>D73+D85</f>
        <v>18312643.739999998</v>
      </c>
      <c r="E86" s="666">
        <f>E73+E85</f>
        <v>2210026.83</v>
      </c>
      <c r="F86" s="661">
        <f>F73+F85</f>
        <v>20522670.57</v>
      </c>
      <c r="H86" s="661">
        <f t="shared" ref="H86:W86" si="30">H73+H85</f>
        <v>0</v>
      </c>
      <c r="I86" s="661">
        <f t="shared" si="30"/>
        <v>0</v>
      </c>
      <c r="J86" s="661">
        <f t="shared" si="30"/>
        <v>0</v>
      </c>
      <c r="K86" s="667">
        <f>K73+K85</f>
        <v>66959.090700000001</v>
      </c>
      <c r="L86" s="661">
        <f t="shared" si="30"/>
        <v>0</v>
      </c>
      <c r="M86" s="661">
        <f t="shared" si="30"/>
        <v>0</v>
      </c>
      <c r="N86" s="661">
        <f t="shared" si="30"/>
        <v>0</v>
      </c>
      <c r="O86" s="661">
        <f t="shared" si="30"/>
        <v>0</v>
      </c>
      <c r="P86" s="661">
        <f t="shared" si="30"/>
        <v>0</v>
      </c>
      <c r="Q86" s="661">
        <f t="shared" si="30"/>
        <v>0</v>
      </c>
      <c r="R86" s="661">
        <f>R73+R85</f>
        <v>0</v>
      </c>
      <c r="S86" s="661">
        <f>S73+S85</f>
        <v>0</v>
      </c>
      <c r="T86" s="661">
        <f t="shared" si="30"/>
        <v>0</v>
      </c>
      <c r="U86" s="661">
        <f t="shared" si="30"/>
        <v>0</v>
      </c>
      <c r="V86" s="662">
        <f t="shared" si="30"/>
        <v>0</v>
      </c>
      <c r="W86" s="667">
        <f t="shared" si="30"/>
        <v>384518.93015099998</v>
      </c>
      <c r="X86" s="668">
        <f t="shared" ref="X86:AD86" si="31">X73+X85</f>
        <v>438114.83499999996</v>
      </c>
      <c r="Y86" s="661">
        <f t="shared" si="31"/>
        <v>0</v>
      </c>
      <c r="Z86" s="661">
        <f t="shared" si="31"/>
        <v>0</v>
      </c>
      <c r="AA86" s="668">
        <f t="shared" si="31"/>
        <v>0</v>
      </c>
      <c r="AB86" s="668">
        <f t="shared" si="31"/>
        <v>0</v>
      </c>
      <c r="AC86" s="661">
        <f t="shared" si="31"/>
        <v>889592.85585100006</v>
      </c>
      <c r="AD86" s="661">
        <f t="shared" si="31"/>
        <v>21412263.425850999</v>
      </c>
      <c r="AF86" s="271">
        <f>AD86-'Exh MCG-2 ROO Summary'!G18</f>
        <v>0</v>
      </c>
    </row>
    <row r="87" spans="1:32">
      <c r="A87" s="1211">
        <v>79</v>
      </c>
      <c r="B87" s="657"/>
      <c r="C87" s="575"/>
      <c r="D87" s="599"/>
      <c r="E87" s="83"/>
      <c r="F87" s="252"/>
      <c r="AF87" s="271"/>
    </row>
    <row r="88" spans="1:32">
      <c r="A88" s="1211">
        <v>80</v>
      </c>
      <c r="B88" s="650" t="s">
        <v>1286</v>
      </c>
      <c r="C88" s="575"/>
      <c r="D88" s="599"/>
      <c r="E88" s="83"/>
      <c r="F88" s="252"/>
    </row>
    <row r="89" spans="1:32">
      <c r="A89" s="1211">
        <v>81</v>
      </c>
      <c r="B89" s="651" t="s">
        <v>1287</v>
      </c>
      <c r="C89" s="577" t="s">
        <v>1288</v>
      </c>
      <c r="D89" s="600">
        <v>-710.84000000000015</v>
      </c>
      <c r="E89" s="83">
        <v>112636.06</v>
      </c>
      <c r="F89" s="252">
        <f>SUM(D89:E89)</f>
        <v>111925.22</v>
      </c>
      <c r="W89" s="461">
        <f>+'Wage Adjustments'!Q33</f>
        <v>2450.4873349999998</v>
      </c>
      <c r="AC89" s="440">
        <f>SUM(H89:AB89)</f>
        <v>2450.4873349999998</v>
      </c>
      <c r="AD89" s="440">
        <f>+F89+AC89</f>
        <v>114375.707335</v>
      </c>
    </row>
    <row r="90" spans="1:32">
      <c r="A90" s="1211">
        <v>82</v>
      </c>
      <c r="B90" s="651" t="s">
        <v>1289</v>
      </c>
      <c r="C90" s="577" t="s">
        <v>1290</v>
      </c>
      <c r="D90" s="600">
        <v>437521.72</v>
      </c>
      <c r="E90" s="83">
        <v>163456.85</v>
      </c>
      <c r="F90" s="252">
        <f>SUM(D90:E90)</f>
        <v>600978.56999999995</v>
      </c>
      <c r="K90" s="461">
        <f>+'Wage Adjustments'!P59</f>
        <v>2443.6574999999998</v>
      </c>
      <c r="W90" s="461">
        <f>+'Wage Adjustments'!Q34+'Wage Adjustments'!Q59</f>
        <v>11747.387325999998</v>
      </c>
      <c r="AC90" s="440">
        <f>SUM(H90:AB90)</f>
        <v>14191.044825999998</v>
      </c>
      <c r="AD90" s="440">
        <f>+F90+AC90</f>
        <v>615169.61482599995</v>
      </c>
    </row>
    <row r="91" spans="1:32">
      <c r="A91" s="1211">
        <v>83</v>
      </c>
      <c r="B91" s="651" t="s">
        <v>1291</v>
      </c>
      <c r="C91" s="577" t="s">
        <v>1292</v>
      </c>
      <c r="D91" s="600">
        <v>426834.56</v>
      </c>
      <c r="E91" s="83">
        <v>3550453.03</v>
      </c>
      <c r="F91" s="252">
        <f>SUM(D91:E91)</f>
        <v>3977287.59</v>
      </c>
      <c r="K91" s="461">
        <f>+'Wage Adjustments'!P60</f>
        <v>436.37429999999995</v>
      </c>
      <c r="W91" s="461">
        <f>+'Wage Adjustments'!Q35+'Wage Adjustments'!Q60</f>
        <v>21686.376802999996</v>
      </c>
      <c r="AC91" s="440">
        <f>SUM(H91:AB91)</f>
        <v>22122.751102999995</v>
      </c>
      <c r="AD91" s="440">
        <f>+F91+AC91</f>
        <v>3999410.3411029996</v>
      </c>
    </row>
    <row r="92" spans="1:32">
      <c r="A92" s="1211">
        <v>84</v>
      </c>
      <c r="B92" s="651" t="s">
        <v>1293</v>
      </c>
      <c r="C92" s="577" t="s">
        <v>714</v>
      </c>
      <c r="D92" s="600">
        <v>972241.48</v>
      </c>
      <c r="E92" s="83">
        <v>11847.100000000002</v>
      </c>
      <c r="F92" s="252">
        <f>SUM(D92:E92)</f>
        <v>984088.58</v>
      </c>
      <c r="H92" s="299">
        <f>+H29*'Exh MCG-4, Conversion Factor'!$C$10</f>
        <v>-3123.7347582729872</v>
      </c>
      <c r="I92" s="299">
        <f>+I29*'Exh MCG-4, Conversion Factor'!$C$10</f>
        <v>0</v>
      </c>
      <c r="J92" s="299">
        <f>+J29*'Exh MCG-4, Conversion Factor'!$C$10</f>
        <v>5461.1863936428772</v>
      </c>
      <c r="K92" s="299">
        <f>+K29*'Exh MCG-4, Conversion Factor'!$C$10</f>
        <v>0</v>
      </c>
      <c r="L92" s="299">
        <f>+L29*'Exh MCG-4, Conversion Factor'!$C$10</f>
        <v>0</v>
      </c>
      <c r="M92" s="299">
        <f>+M29*'Exh MCG-4, Conversion Factor'!$C$10</f>
        <v>0</v>
      </c>
      <c r="N92" s="299">
        <f>+N29*'Exh MCG-4, Conversion Factor'!$C$10</f>
        <v>-534486.82226086489</v>
      </c>
      <c r="O92" s="299">
        <f>+O29*'Exh MCG-4, Conversion Factor'!$C$10</f>
        <v>1335.8585349601399</v>
      </c>
      <c r="P92" s="299">
        <f>+P29*'Exh MCG-4, Conversion Factor'!$C$10</f>
        <v>0</v>
      </c>
      <c r="Q92" s="299">
        <f>+Q29*'Exh MCG-4, Conversion Factor'!$C$10</f>
        <v>0</v>
      </c>
      <c r="R92" s="1469">
        <f>+R29*'Exh MCG-4, Conversion Factor'!$C$10</f>
        <v>4410.9558757545365</v>
      </c>
      <c r="S92" s="1469">
        <f>+S29*'Exh MCG-4, Conversion Factor'!$C$10</f>
        <v>-4410.9558757545365</v>
      </c>
      <c r="T92" s="299">
        <f>+T29*'Exh MCG-4, Conversion Factor'!$C$10</f>
        <v>0</v>
      </c>
      <c r="U92" s="299">
        <f>+U29*'Exh MCG-4, Conversion Factor'!$C$10</f>
        <v>0</v>
      </c>
      <c r="V92" s="299">
        <f>+V29*'Exh MCG-4, Conversion Factor'!$C$10</f>
        <v>5216.2524916404109</v>
      </c>
      <c r="W92" s="299">
        <f>+W29*'Exh MCG-4, Conversion Factor'!$C$10</f>
        <v>0</v>
      </c>
      <c r="X92" s="299">
        <f>+X29*'Exh MCG-4, Conversion Factor'!$C$10</f>
        <v>0</v>
      </c>
      <c r="Y92" s="299">
        <f>+Y29*'Exh MCG-4, Conversion Factor'!$C$10</f>
        <v>0</v>
      </c>
      <c r="Z92" s="299">
        <f>+Z29*'Exh MCG-4, Conversion Factor'!$C$10</f>
        <v>0</v>
      </c>
      <c r="AA92" s="299">
        <f>+AA29*'Exh MCG-4, Conversion Factor'!$C$10</f>
        <v>0</v>
      </c>
      <c r="AB92" s="299">
        <f>+AB29*'Exh MCG-4, Conversion Factor'!$C$10</f>
        <v>0</v>
      </c>
      <c r="AC92" s="440">
        <f>SUM(H92:AB92)</f>
        <v>-525597.25959889439</v>
      </c>
      <c r="AD92" s="440">
        <f>+F92+AC92</f>
        <v>458491.32040110556</v>
      </c>
    </row>
    <row r="93" spans="1:32">
      <c r="A93" s="1211">
        <v>85</v>
      </c>
      <c r="B93" s="651" t="s">
        <v>1294</v>
      </c>
      <c r="C93" s="577" t="s">
        <v>1295</v>
      </c>
      <c r="D93" s="600">
        <v>0</v>
      </c>
      <c r="E93" s="83">
        <v>1408.8600000000006</v>
      </c>
      <c r="F93" s="252">
        <f>SUM(D93:E93)</f>
        <v>1408.8600000000006</v>
      </c>
      <c r="R93" s="1465"/>
      <c r="S93" s="1465"/>
      <c r="AC93" s="440">
        <f>SUM(H93:AB93)</f>
        <v>0</v>
      </c>
      <c r="AD93" s="440">
        <f>+F93+AC93</f>
        <v>1408.8600000000006</v>
      </c>
    </row>
    <row r="94" spans="1:32">
      <c r="A94" s="1211">
        <v>86</v>
      </c>
      <c r="B94" s="650" t="s">
        <v>1296</v>
      </c>
      <c r="C94" s="575"/>
      <c r="D94" s="578">
        <f>SUM(D89:D93)</f>
        <v>1835886.92</v>
      </c>
      <c r="E94" s="656">
        <f>SUM(E89:E93)</f>
        <v>3839801.9</v>
      </c>
      <c r="F94" s="579">
        <f>SUM(F89:F93)</f>
        <v>5675688.8200000003</v>
      </c>
      <c r="H94" s="579">
        <f t="shared" ref="H94:AD94" si="32">SUM(H89:H93)</f>
        <v>-3123.7347582729872</v>
      </c>
      <c r="I94" s="579">
        <f t="shared" si="32"/>
        <v>0</v>
      </c>
      <c r="J94" s="579">
        <f t="shared" si="32"/>
        <v>5461.1863936428772</v>
      </c>
      <c r="K94" s="579">
        <f t="shared" si="32"/>
        <v>2880.0317999999997</v>
      </c>
      <c r="L94" s="579">
        <f t="shared" si="32"/>
        <v>0</v>
      </c>
      <c r="M94" s="579">
        <f t="shared" si="32"/>
        <v>0</v>
      </c>
      <c r="N94" s="579">
        <f t="shared" ref="N94:S94" si="33">SUM(N89:N93)</f>
        <v>-534486.82226086489</v>
      </c>
      <c r="O94" s="579">
        <f t="shared" si="33"/>
        <v>1335.8585349601399</v>
      </c>
      <c r="P94" s="579">
        <f t="shared" si="33"/>
        <v>0</v>
      </c>
      <c r="Q94" s="579">
        <f t="shared" si="33"/>
        <v>0</v>
      </c>
      <c r="R94" s="1466">
        <f t="shared" si="33"/>
        <v>4410.9558757545365</v>
      </c>
      <c r="S94" s="1466">
        <f t="shared" si="33"/>
        <v>-4410.9558757545365</v>
      </c>
      <c r="T94" s="579">
        <f t="shared" si="32"/>
        <v>0</v>
      </c>
      <c r="U94" s="579">
        <f t="shared" si="32"/>
        <v>0</v>
      </c>
      <c r="V94" s="580">
        <f>SUM(V89:V93)</f>
        <v>5216.2524916404109</v>
      </c>
      <c r="W94" s="595">
        <f t="shared" si="32"/>
        <v>35884.251463999994</v>
      </c>
      <c r="X94" s="581">
        <f>SUM(X89:X93)</f>
        <v>0</v>
      </c>
      <c r="Y94" s="579">
        <f>SUM(Y89:Y93)</f>
        <v>0</v>
      </c>
      <c r="Z94" s="579">
        <f>SUM(Z89:Z93)</f>
        <v>0</v>
      </c>
      <c r="AA94" s="581">
        <f>SUM(AA89:AA93)</f>
        <v>0</v>
      </c>
      <c r="AB94" s="581">
        <f t="shared" si="32"/>
        <v>0</v>
      </c>
      <c r="AC94" s="579">
        <f t="shared" si="32"/>
        <v>-486832.97633489443</v>
      </c>
      <c r="AD94" s="579">
        <f t="shared" si="32"/>
        <v>5188855.8436651053</v>
      </c>
      <c r="AF94" s="271">
        <f>AD94-'Exh MCG-2 ROO Summary'!G19</f>
        <v>0</v>
      </c>
    </row>
    <row r="95" spans="1:32">
      <c r="A95" s="1211">
        <v>87</v>
      </c>
      <c r="B95" s="657"/>
      <c r="C95" s="575"/>
      <c r="D95" s="599"/>
      <c r="E95" s="83"/>
      <c r="F95" s="252"/>
    </row>
    <row r="96" spans="1:32">
      <c r="A96" s="1211">
        <v>88</v>
      </c>
      <c r="B96" s="650" t="s">
        <v>1297</v>
      </c>
      <c r="C96" s="575"/>
      <c r="D96" s="599"/>
      <c r="E96" s="83"/>
      <c r="F96" s="252"/>
    </row>
    <row r="97" spans="1:32">
      <c r="A97" s="1211">
        <v>89</v>
      </c>
      <c r="B97" s="651" t="s">
        <v>1298</v>
      </c>
      <c r="C97" s="577" t="s">
        <v>1288</v>
      </c>
      <c r="D97" s="600">
        <v>0</v>
      </c>
      <c r="E97" s="83">
        <v>0</v>
      </c>
      <c r="F97" s="252">
        <f>SUM(D97:E97)</f>
        <v>0</v>
      </c>
      <c r="AC97" s="440">
        <f>SUM(H97:AB97)</f>
        <v>0</v>
      </c>
      <c r="AD97" s="440">
        <f>+F97+AC97</f>
        <v>0</v>
      </c>
    </row>
    <row r="98" spans="1:32">
      <c r="A98" s="1211">
        <v>90</v>
      </c>
      <c r="B98" s="651" t="s">
        <v>1299</v>
      </c>
      <c r="C98" s="577" t="s">
        <v>1300</v>
      </c>
      <c r="D98" s="600">
        <v>6143511.9100000001</v>
      </c>
      <c r="E98" s="83">
        <v>72155.839999999997</v>
      </c>
      <c r="F98" s="252">
        <f>SUM(D98:E98)</f>
        <v>6215667.75</v>
      </c>
      <c r="J98" s="597"/>
      <c r="K98" s="597"/>
      <c r="L98" s="597"/>
      <c r="M98" s="597"/>
      <c r="N98" s="597"/>
      <c r="O98" s="597"/>
      <c r="P98" s="299"/>
      <c r="Q98" s="299"/>
      <c r="R98" s="299"/>
      <c r="S98" s="299"/>
      <c r="T98" s="299"/>
      <c r="W98" s="461">
        <f>+'Wage Adjustments'!Q36</f>
        <v>18589.880510999999</v>
      </c>
      <c r="Z98" s="597"/>
      <c r="AC98" s="440">
        <f>SUM(H98:AB98)</f>
        <v>18589.880510999999</v>
      </c>
      <c r="AD98" s="440">
        <f>+F98+AC98</f>
        <v>6234257.6305109998</v>
      </c>
    </row>
    <row r="99" spans="1:32">
      <c r="A99" s="1211">
        <v>91</v>
      </c>
      <c r="B99" s="651" t="s">
        <v>1301</v>
      </c>
      <c r="C99" s="577" t="s">
        <v>1302</v>
      </c>
      <c r="D99" s="600">
        <v>27656.519999999997</v>
      </c>
      <c r="E99" s="83">
        <v>29713.550000000003</v>
      </c>
      <c r="F99" s="252">
        <f>SUM(D99:E99)</f>
        <v>57370.07</v>
      </c>
      <c r="AC99" s="440">
        <f>SUM(H99:AB99)</f>
        <v>0</v>
      </c>
      <c r="AD99" s="440">
        <f>+F99+AC99</f>
        <v>57370.07</v>
      </c>
    </row>
    <row r="100" spans="1:32">
      <c r="A100" s="1211">
        <v>92</v>
      </c>
      <c r="B100" s="651" t="s">
        <v>1303</v>
      </c>
      <c r="C100" s="577" t="s">
        <v>1304</v>
      </c>
      <c r="D100" s="600">
        <v>0</v>
      </c>
      <c r="E100" s="83">
        <v>151203.99</v>
      </c>
      <c r="F100" s="584">
        <f>SUM(D100:E100)</f>
        <v>151203.99</v>
      </c>
      <c r="N100" s="271">
        <f>'Suppl Sch Adj'!L21</f>
        <v>-6204365.5799999991</v>
      </c>
      <c r="W100" s="461">
        <f>+'Wage Adjustments'!Q37</f>
        <v>4317.1376719999998</v>
      </c>
      <c r="AC100" s="440">
        <f>SUM(H100:AB100)</f>
        <v>-6200048.4423279995</v>
      </c>
      <c r="AD100" s="440">
        <f>+F100+AC100</f>
        <v>-6048844.4523279993</v>
      </c>
    </row>
    <row r="101" spans="1:32">
      <c r="A101" s="1211">
        <v>93</v>
      </c>
      <c r="B101" s="650" t="s">
        <v>1305</v>
      </c>
      <c r="C101" s="575"/>
      <c r="D101" s="578">
        <f>SUM(D97:D100)</f>
        <v>6171168.4299999997</v>
      </c>
      <c r="E101" s="656">
        <f>SUM(E97:E100)</f>
        <v>253073.38</v>
      </c>
      <c r="F101" s="579">
        <f>SUM(F97:F100)</f>
        <v>6424241.8100000005</v>
      </c>
      <c r="H101" s="579">
        <f t="shared" ref="H101:AD101" si="34">SUM(H97:H100)</f>
        <v>0</v>
      </c>
      <c r="I101" s="579">
        <f t="shared" si="34"/>
        <v>0</v>
      </c>
      <c r="J101" s="579">
        <f t="shared" si="34"/>
        <v>0</v>
      </c>
      <c r="K101" s="579">
        <f t="shared" si="34"/>
        <v>0</v>
      </c>
      <c r="L101" s="579">
        <f t="shared" si="34"/>
        <v>0</v>
      </c>
      <c r="M101" s="579">
        <f t="shared" si="34"/>
        <v>0</v>
      </c>
      <c r="N101" s="579">
        <f t="shared" ref="N101:S101" si="35">SUM(N97:N100)</f>
        <v>-6204365.5799999991</v>
      </c>
      <c r="O101" s="579">
        <f t="shared" si="35"/>
        <v>0</v>
      </c>
      <c r="P101" s="579">
        <f t="shared" si="35"/>
        <v>0</v>
      </c>
      <c r="Q101" s="579">
        <f t="shared" si="35"/>
        <v>0</v>
      </c>
      <c r="R101" s="579">
        <f t="shared" si="35"/>
        <v>0</v>
      </c>
      <c r="S101" s="579">
        <f t="shared" si="35"/>
        <v>0</v>
      </c>
      <c r="T101" s="579">
        <f t="shared" si="34"/>
        <v>0</v>
      </c>
      <c r="U101" s="579">
        <f t="shared" si="34"/>
        <v>0</v>
      </c>
      <c r="V101" s="580">
        <f>SUM(V97:V100)</f>
        <v>0</v>
      </c>
      <c r="W101" s="579">
        <f t="shared" si="34"/>
        <v>22907.018183</v>
      </c>
      <c r="X101" s="581">
        <f>SUM(X97:X100)</f>
        <v>0</v>
      </c>
      <c r="Y101" s="579">
        <f>SUM(Y97:Y100)</f>
        <v>0</v>
      </c>
      <c r="Z101" s="579">
        <f>SUM(Z97:Z100)</f>
        <v>0</v>
      </c>
      <c r="AA101" s="581">
        <f>SUM(AA97:AA100)</f>
        <v>0</v>
      </c>
      <c r="AB101" s="581">
        <f t="shared" si="34"/>
        <v>0</v>
      </c>
      <c r="AC101" s="579">
        <f t="shared" si="34"/>
        <v>-6181458.5618169997</v>
      </c>
      <c r="AD101" s="579">
        <f t="shared" si="34"/>
        <v>242783.24818300083</v>
      </c>
      <c r="AF101" s="271">
        <f>AD101-'Exh MCG-2 ROO Summary'!G20</f>
        <v>-5.5297277867794037E-10</v>
      </c>
    </row>
    <row r="102" spans="1:32">
      <c r="A102" s="1211">
        <v>94</v>
      </c>
      <c r="B102" s="657"/>
      <c r="C102" s="575"/>
      <c r="D102" s="599"/>
      <c r="E102" s="83"/>
      <c r="F102" s="252"/>
    </row>
    <row r="103" spans="1:32">
      <c r="A103" s="1211">
        <v>95</v>
      </c>
      <c r="B103" s="650" t="s">
        <v>1306</v>
      </c>
      <c r="C103" s="575"/>
      <c r="D103" s="599"/>
      <c r="E103" s="83"/>
      <c r="F103" s="252"/>
    </row>
    <row r="104" spans="1:32">
      <c r="A104" s="1211">
        <v>96</v>
      </c>
      <c r="B104" s="651" t="s">
        <v>1307</v>
      </c>
      <c r="C104" s="577" t="s">
        <v>1288</v>
      </c>
      <c r="D104" s="600">
        <v>0</v>
      </c>
      <c r="E104" s="240">
        <v>0</v>
      </c>
      <c r="F104" s="584">
        <f>SUM(D104:E104)</f>
        <v>0</v>
      </c>
      <c r="AC104" s="440">
        <f>SUM(H104:AB104)</f>
        <v>0</v>
      </c>
      <c r="AD104" s="440">
        <f>+F104+AC104</f>
        <v>0</v>
      </c>
    </row>
    <row r="105" spans="1:32">
      <c r="A105" s="1211">
        <v>97</v>
      </c>
      <c r="B105" s="651" t="s">
        <v>1308</v>
      </c>
      <c r="C105" s="577" t="s">
        <v>1309</v>
      </c>
      <c r="D105" s="600">
        <v>0</v>
      </c>
      <c r="E105" s="240">
        <v>19496.009999999998</v>
      </c>
      <c r="F105" s="584">
        <f>SUM(D105:E105)</f>
        <v>19496.009999999998</v>
      </c>
      <c r="W105" s="461"/>
      <c r="AC105" s="440">
        <f>SUM(H105:AB105)</f>
        <v>0</v>
      </c>
      <c r="AD105" s="440">
        <f>+F105+AC105</f>
        <v>19496.009999999998</v>
      </c>
    </row>
    <row r="106" spans="1:32">
      <c r="A106" s="1211">
        <v>98</v>
      </c>
      <c r="B106" s="651" t="s">
        <v>1310</v>
      </c>
      <c r="C106" s="577" t="s">
        <v>1311</v>
      </c>
      <c r="D106" s="600">
        <v>350</v>
      </c>
      <c r="E106" s="240">
        <v>0</v>
      </c>
      <c r="F106" s="584">
        <f>SUM(D106:E106)</f>
        <v>350</v>
      </c>
      <c r="I106" s="271">
        <f>-'Advertising Adj'!E19-'Advertising Adj'!F19</f>
        <v>-350</v>
      </c>
      <c r="AC106" s="440">
        <f>SUM(H106:AB106)</f>
        <v>-350</v>
      </c>
      <c r="AD106" s="440">
        <f>+F106+AC106</f>
        <v>0</v>
      </c>
    </row>
    <row r="107" spans="1:32">
      <c r="A107" s="1211">
        <v>99</v>
      </c>
      <c r="B107" s="651" t="s">
        <v>1312</v>
      </c>
      <c r="C107" s="577" t="s">
        <v>1313</v>
      </c>
      <c r="D107" s="600">
        <v>0</v>
      </c>
      <c r="E107" s="240">
        <v>0</v>
      </c>
      <c r="F107" s="584">
        <f>SUM(D107:E107)</f>
        <v>0</v>
      </c>
      <c r="N107" s="271">
        <f>'Suppl Sch Adj'!L22</f>
        <v>0</v>
      </c>
      <c r="AC107" s="440">
        <f>SUM(H107:AB107)</f>
        <v>0</v>
      </c>
      <c r="AD107" s="440">
        <f>+F107+AC107</f>
        <v>0</v>
      </c>
    </row>
    <row r="108" spans="1:32">
      <c r="A108" s="1211">
        <v>100</v>
      </c>
      <c r="B108" s="650" t="s">
        <v>1314</v>
      </c>
      <c r="C108" s="575"/>
      <c r="D108" s="591">
        <f>SUM(D104:D107)</f>
        <v>350</v>
      </c>
      <c r="E108" s="652">
        <f>SUM(E104:E107)</f>
        <v>19496.009999999998</v>
      </c>
      <c r="F108" s="580">
        <f>SUM(F104:F107)</f>
        <v>19846.009999999998</v>
      </c>
      <c r="H108" s="579">
        <f t="shared" ref="H108:T108" si="36">SUM(H104:H107)</f>
        <v>0</v>
      </c>
      <c r="I108" s="579">
        <f t="shared" si="36"/>
        <v>-350</v>
      </c>
      <c r="J108" s="579">
        <f t="shared" si="36"/>
        <v>0</v>
      </c>
      <c r="K108" s="579">
        <f t="shared" si="36"/>
        <v>0</v>
      </c>
      <c r="L108" s="579">
        <f t="shared" si="36"/>
        <v>0</v>
      </c>
      <c r="M108" s="579">
        <f t="shared" si="36"/>
        <v>0</v>
      </c>
      <c r="N108" s="579">
        <f t="shared" si="36"/>
        <v>0</v>
      </c>
      <c r="O108" s="579">
        <f t="shared" si="36"/>
        <v>0</v>
      </c>
      <c r="P108" s="579">
        <f t="shared" si="36"/>
        <v>0</v>
      </c>
      <c r="Q108" s="579">
        <f t="shared" si="36"/>
        <v>0</v>
      </c>
      <c r="R108" s="579">
        <f t="shared" si="36"/>
        <v>0</v>
      </c>
      <c r="S108" s="579">
        <f t="shared" si="36"/>
        <v>0</v>
      </c>
      <c r="T108" s="579">
        <f t="shared" si="36"/>
        <v>0</v>
      </c>
      <c r="U108" s="579">
        <f t="shared" ref="U108:AD108" si="37">SUM(U104:U107)</f>
        <v>0</v>
      </c>
      <c r="V108" s="580">
        <f t="shared" si="37"/>
        <v>0</v>
      </c>
      <c r="W108" s="579">
        <f t="shared" si="37"/>
        <v>0</v>
      </c>
      <c r="X108" s="581">
        <f t="shared" si="37"/>
        <v>0</v>
      </c>
      <c r="Y108" s="579">
        <f>SUM(Y104:Y107)</f>
        <v>0</v>
      </c>
      <c r="Z108" s="579">
        <f t="shared" si="37"/>
        <v>0</v>
      </c>
      <c r="AA108" s="581">
        <f t="shared" si="37"/>
        <v>0</v>
      </c>
      <c r="AB108" s="581">
        <f t="shared" si="37"/>
        <v>0</v>
      </c>
      <c r="AC108" s="580">
        <f t="shared" si="37"/>
        <v>-350</v>
      </c>
      <c r="AD108" s="580">
        <f t="shared" si="37"/>
        <v>19496.009999999998</v>
      </c>
      <c r="AF108" s="299">
        <f>AD108-'Exh MCG-2 ROO Summary'!G21</f>
        <v>0</v>
      </c>
    </row>
    <row r="109" spans="1:32">
      <c r="A109" s="1211">
        <v>101</v>
      </c>
      <c r="B109" s="657"/>
      <c r="C109" s="575"/>
      <c r="D109" s="599"/>
      <c r="E109" s="83"/>
      <c r="F109" s="252"/>
    </row>
    <row r="110" spans="1:32">
      <c r="A110" s="1211">
        <v>102</v>
      </c>
      <c r="B110" s="650" t="s">
        <v>1315</v>
      </c>
      <c r="C110" s="575"/>
      <c r="D110" s="599"/>
      <c r="E110" s="83"/>
      <c r="F110" s="252"/>
    </row>
    <row r="111" spans="1:32">
      <c r="A111" s="1211">
        <v>103</v>
      </c>
      <c r="B111" s="651" t="s">
        <v>1316</v>
      </c>
      <c r="C111" s="577" t="s">
        <v>1317</v>
      </c>
      <c r="D111" s="599">
        <v>0</v>
      </c>
      <c r="E111" s="83">
        <v>7214802.1699999999</v>
      </c>
      <c r="F111" s="252">
        <f t="shared" ref="F111:F121" si="38">SUM(D111:E111)</f>
        <v>7214802.1699999999</v>
      </c>
      <c r="K111" s="461">
        <f>+'Wage Adjustments'!P61</f>
        <v>19.884900000000002</v>
      </c>
      <c r="W111" s="461">
        <f>+'Wage Adjustments'!Q39+'Wage Adjustments'!Q61+'Wage Adjustments'!Q110</f>
        <v>263567.463735</v>
      </c>
      <c r="AC111" s="440">
        <f t="shared" ref="AC111:AC121" si="39">SUM(H111:AB111)</f>
        <v>263587.348635</v>
      </c>
      <c r="AD111" s="440">
        <f t="shared" ref="AD111:AD121" si="40">+F111+AC111</f>
        <v>7478389.5186350001</v>
      </c>
    </row>
    <row r="112" spans="1:32">
      <c r="A112" s="1211">
        <v>104</v>
      </c>
      <c r="B112" s="651" t="s">
        <v>1318</v>
      </c>
      <c r="C112" s="577" t="s">
        <v>1319</v>
      </c>
      <c r="D112" s="599">
        <v>245135.03</v>
      </c>
      <c r="E112" s="83">
        <v>3658890.76</v>
      </c>
      <c r="F112" s="252">
        <f t="shared" si="38"/>
        <v>3904025.7899999996</v>
      </c>
      <c r="K112" s="461"/>
      <c r="W112" s="461"/>
      <c r="AC112" s="440">
        <f t="shared" si="39"/>
        <v>0</v>
      </c>
      <c r="AD112" s="440">
        <f t="shared" si="40"/>
        <v>3904025.7899999996</v>
      </c>
    </row>
    <row r="113" spans="1:32">
      <c r="A113" s="1211">
        <v>105</v>
      </c>
      <c r="B113" s="651" t="s">
        <v>1320</v>
      </c>
      <c r="C113" s="577" t="s">
        <v>1321</v>
      </c>
      <c r="D113" s="599">
        <v>59953.59</v>
      </c>
      <c r="E113" s="83">
        <v>642052.5</v>
      </c>
      <c r="F113" s="252">
        <f t="shared" si="38"/>
        <v>702006.09</v>
      </c>
      <c r="AC113" s="440">
        <f t="shared" si="39"/>
        <v>0</v>
      </c>
      <c r="AD113" s="440">
        <f t="shared" si="40"/>
        <v>702006.09</v>
      </c>
    </row>
    <row r="114" spans="1:32">
      <c r="A114" s="1211">
        <v>106</v>
      </c>
      <c r="B114" s="651" t="s">
        <v>1322</v>
      </c>
      <c r="C114" s="577" t="s">
        <v>1323</v>
      </c>
      <c r="D114" s="600">
        <v>0</v>
      </c>
      <c r="E114" s="83">
        <v>69750.240000000005</v>
      </c>
      <c r="F114" s="252">
        <f t="shared" si="38"/>
        <v>69750.240000000005</v>
      </c>
      <c r="AC114" s="440">
        <f t="shared" si="39"/>
        <v>0</v>
      </c>
      <c r="AD114" s="440">
        <f t="shared" si="40"/>
        <v>69750.240000000005</v>
      </c>
    </row>
    <row r="115" spans="1:32">
      <c r="A115" s="1211">
        <v>107</v>
      </c>
      <c r="B115" s="651" t="s">
        <v>1324</v>
      </c>
      <c r="C115" s="577" t="s">
        <v>1325</v>
      </c>
      <c r="D115" s="599">
        <v>259085.03</v>
      </c>
      <c r="E115" s="83">
        <v>910817.94</v>
      </c>
      <c r="F115" s="252">
        <f t="shared" si="38"/>
        <v>1169902.97</v>
      </c>
      <c r="M115" s="1372">
        <f>-'D&amp;O Adjustment'!C14</f>
        <v>-184098.245</v>
      </c>
      <c r="AC115" s="440">
        <f t="shared" si="39"/>
        <v>-184098.245</v>
      </c>
      <c r="AD115" s="440">
        <f t="shared" si="40"/>
        <v>985804.72499999998</v>
      </c>
    </row>
    <row r="116" spans="1:32">
      <c r="A116" s="1211">
        <v>108</v>
      </c>
      <c r="B116" s="651" t="s">
        <v>1326</v>
      </c>
      <c r="C116" s="577" t="s">
        <v>1327</v>
      </c>
      <c r="D116" s="599">
        <v>2845556.6</v>
      </c>
      <c r="E116" s="83">
        <v>1629526.09</v>
      </c>
      <c r="F116" s="252">
        <f t="shared" si="38"/>
        <v>4475082.6900000004</v>
      </c>
      <c r="K116" s="461">
        <v>0</v>
      </c>
      <c r="L116" s="271">
        <f>+'Incentives Adj'!C41</f>
        <v>-1589503.44</v>
      </c>
      <c r="W116" s="461">
        <f>+'Wage Adjustments'!Q40</f>
        <v>0</v>
      </c>
      <c r="AC116" s="440">
        <f t="shared" si="39"/>
        <v>-1589503.44</v>
      </c>
      <c r="AD116" s="440">
        <f t="shared" si="40"/>
        <v>2885579.2500000005</v>
      </c>
    </row>
    <row r="117" spans="1:32">
      <c r="A117" s="1211">
        <v>109</v>
      </c>
      <c r="B117" s="651" t="s">
        <v>1328</v>
      </c>
      <c r="C117" s="577" t="s">
        <v>1329</v>
      </c>
      <c r="D117" s="600">
        <v>135891.75</v>
      </c>
      <c r="E117" s="83">
        <v>0</v>
      </c>
      <c r="F117" s="584">
        <f t="shared" si="38"/>
        <v>135891.75</v>
      </c>
      <c r="AC117" s="440">
        <f t="shared" si="39"/>
        <v>0</v>
      </c>
      <c r="AD117" s="440">
        <f t="shared" si="40"/>
        <v>135891.75</v>
      </c>
    </row>
    <row r="118" spans="1:32">
      <c r="A118" s="1211">
        <v>110</v>
      </c>
      <c r="B118" s="651" t="s">
        <v>1330</v>
      </c>
      <c r="C118" s="577" t="s">
        <v>1331</v>
      </c>
      <c r="D118" s="599">
        <v>1080</v>
      </c>
      <c r="E118" s="83">
        <v>135106.23000000001</v>
      </c>
      <c r="F118" s="584">
        <f t="shared" si="38"/>
        <v>136186.23000000001</v>
      </c>
      <c r="I118" s="271">
        <f>-'Advertising Adj'!F91-'Advertising Adj'!E91</f>
        <v>-136185.97999999986</v>
      </c>
      <c r="AC118" s="440">
        <f t="shared" si="39"/>
        <v>-136185.97999999986</v>
      </c>
      <c r="AD118" s="440">
        <f t="shared" si="40"/>
        <v>0.25000000014551915</v>
      </c>
    </row>
    <row r="119" spans="1:32">
      <c r="A119" s="1211">
        <v>111</v>
      </c>
      <c r="B119" s="651" t="s">
        <v>1332</v>
      </c>
      <c r="C119" s="577" t="s">
        <v>1333</v>
      </c>
      <c r="D119" s="600">
        <v>7829.6100000000124</v>
      </c>
      <c r="E119" s="83">
        <v>393605.44</v>
      </c>
      <c r="F119" s="252">
        <f t="shared" si="38"/>
        <v>401435.05</v>
      </c>
      <c r="N119" s="271">
        <f>'Suppl Sch Adj'!L23</f>
        <v>0</v>
      </c>
      <c r="AC119" s="440">
        <f t="shared" si="39"/>
        <v>0</v>
      </c>
      <c r="AD119" s="440">
        <f t="shared" si="40"/>
        <v>401435.05</v>
      </c>
    </row>
    <row r="120" spans="1:32">
      <c r="A120" s="1211">
        <v>112</v>
      </c>
      <c r="B120" s="651" t="s">
        <v>1334</v>
      </c>
      <c r="C120" s="577" t="s">
        <v>1262</v>
      </c>
      <c r="D120" s="599">
        <v>247.74</v>
      </c>
      <c r="E120" s="83">
        <v>1037037.37</v>
      </c>
      <c r="F120" s="252">
        <f t="shared" si="38"/>
        <v>1037285.11</v>
      </c>
      <c r="AC120" s="440">
        <f t="shared" si="39"/>
        <v>0</v>
      </c>
      <c r="AD120" s="440">
        <f t="shared" si="40"/>
        <v>1037285.11</v>
      </c>
    </row>
    <row r="121" spans="1:32">
      <c r="A121" s="1211">
        <v>113</v>
      </c>
      <c r="B121" s="651" t="s">
        <v>1335</v>
      </c>
      <c r="C121" s="577" t="s">
        <v>1336</v>
      </c>
      <c r="D121" s="659">
        <v>63533.72</v>
      </c>
      <c r="E121" s="666">
        <v>1303.67</v>
      </c>
      <c r="F121" s="661">
        <f t="shared" si="38"/>
        <v>64837.39</v>
      </c>
      <c r="K121" s="461">
        <f>+'Wage Adjustments'!P62</f>
        <v>49.790399999999998</v>
      </c>
      <c r="W121" s="461">
        <f>+'Wage Adjustments'!Q62</f>
        <v>112.463112</v>
      </c>
      <c r="AC121" s="440">
        <f t="shared" si="39"/>
        <v>162.253512</v>
      </c>
      <c r="AD121" s="440">
        <f t="shared" si="40"/>
        <v>64999.643512000002</v>
      </c>
    </row>
    <row r="122" spans="1:32">
      <c r="A122" s="1211">
        <v>114</v>
      </c>
      <c r="B122" s="657"/>
      <c r="C122" s="575"/>
      <c r="D122" s="599">
        <f>SUM(D111:D121)</f>
        <v>3618313.0700000003</v>
      </c>
      <c r="E122" s="83">
        <f>SUM(E111:E121)</f>
        <v>15692892.409999998</v>
      </c>
      <c r="F122" s="252">
        <f>SUM(F111:F121)</f>
        <v>19311205.48</v>
      </c>
      <c r="H122" s="252">
        <f t="shared" ref="H122:T122" si="41">SUM(H111:H121)</f>
        <v>0</v>
      </c>
      <c r="I122" s="252">
        <f t="shared" si="41"/>
        <v>-136185.97999999986</v>
      </c>
      <c r="J122" s="252">
        <f t="shared" si="41"/>
        <v>0</v>
      </c>
      <c r="K122" s="598">
        <f t="shared" si="41"/>
        <v>69.675299999999993</v>
      </c>
      <c r="L122" s="252">
        <f t="shared" si="41"/>
        <v>-1589503.44</v>
      </c>
      <c r="M122" s="252">
        <f t="shared" si="41"/>
        <v>-184098.245</v>
      </c>
      <c r="N122" s="252">
        <f t="shared" si="41"/>
        <v>0</v>
      </c>
      <c r="O122" s="252">
        <f t="shared" si="41"/>
        <v>0</v>
      </c>
      <c r="P122" s="252">
        <f t="shared" si="41"/>
        <v>0</v>
      </c>
      <c r="Q122" s="252">
        <f t="shared" si="41"/>
        <v>0</v>
      </c>
      <c r="R122" s="252">
        <f t="shared" si="41"/>
        <v>0</v>
      </c>
      <c r="S122" s="252">
        <f t="shared" si="41"/>
        <v>0</v>
      </c>
      <c r="T122" s="252">
        <f t="shared" si="41"/>
        <v>0</v>
      </c>
      <c r="U122" s="252">
        <f t="shared" ref="U122:AD122" si="42">SUM(U111:U121)</f>
        <v>0</v>
      </c>
      <c r="V122" s="584">
        <f t="shared" si="42"/>
        <v>0</v>
      </c>
      <c r="W122" s="252">
        <f t="shared" si="42"/>
        <v>263679.92684700002</v>
      </c>
      <c r="X122" s="252">
        <f t="shared" si="42"/>
        <v>0</v>
      </c>
      <c r="Y122" s="252">
        <f>SUM(Y111:Y121)</f>
        <v>0</v>
      </c>
      <c r="Z122" s="252">
        <f t="shared" si="42"/>
        <v>0</v>
      </c>
      <c r="AA122" s="252">
        <f t="shared" si="42"/>
        <v>0</v>
      </c>
      <c r="AB122" s="252">
        <f t="shared" si="42"/>
        <v>0</v>
      </c>
      <c r="AC122" s="252">
        <f t="shared" si="42"/>
        <v>-1646038.0628529999</v>
      </c>
      <c r="AD122" s="252">
        <f t="shared" si="42"/>
        <v>17665167.417146999</v>
      </c>
    </row>
    <row r="123" spans="1:32">
      <c r="A123" s="1211">
        <v>115</v>
      </c>
      <c r="B123" s="651" t="s">
        <v>1337</v>
      </c>
      <c r="C123" s="577" t="s">
        <v>1338</v>
      </c>
      <c r="D123" s="599"/>
      <c r="E123" s="83"/>
      <c r="F123" s="252">
        <f>SUM(D123:E123)</f>
        <v>0</v>
      </c>
      <c r="AC123" s="440">
        <f>SUM(H123:AB123)</f>
        <v>0</v>
      </c>
      <c r="AD123" s="440">
        <f>+F123+AC123</f>
        <v>0</v>
      </c>
    </row>
    <row r="124" spans="1:32">
      <c r="A124" s="1211">
        <v>116</v>
      </c>
      <c r="B124" s="650" t="s">
        <v>1339</v>
      </c>
      <c r="C124" s="575"/>
      <c r="D124" s="578">
        <f>D122+D123</f>
        <v>3618313.0700000003</v>
      </c>
      <c r="E124" s="656">
        <f>E122+E123</f>
        <v>15692892.409999998</v>
      </c>
      <c r="F124" s="579">
        <f>F122+F123</f>
        <v>19311205.48</v>
      </c>
      <c r="H124" s="579">
        <f t="shared" ref="H124:T124" si="43">H122+H123</f>
        <v>0</v>
      </c>
      <c r="I124" s="579">
        <f t="shared" si="43"/>
        <v>-136185.97999999986</v>
      </c>
      <c r="J124" s="579">
        <f t="shared" si="43"/>
        <v>0</v>
      </c>
      <c r="K124" s="579">
        <f t="shared" si="43"/>
        <v>69.675299999999993</v>
      </c>
      <c r="L124" s="579">
        <f t="shared" si="43"/>
        <v>-1589503.44</v>
      </c>
      <c r="M124" s="579">
        <f t="shared" si="43"/>
        <v>-184098.245</v>
      </c>
      <c r="N124" s="579">
        <f t="shared" si="43"/>
        <v>0</v>
      </c>
      <c r="O124" s="579">
        <f t="shared" si="43"/>
        <v>0</v>
      </c>
      <c r="P124" s="579">
        <f t="shared" si="43"/>
        <v>0</v>
      </c>
      <c r="Q124" s="579">
        <f t="shared" si="43"/>
        <v>0</v>
      </c>
      <c r="R124" s="579">
        <f t="shared" si="43"/>
        <v>0</v>
      </c>
      <c r="S124" s="579">
        <f t="shared" si="43"/>
        <v>0</v>
      </c>
      <c r="T124" s="579">
        <f t="shared" si="43"/>
        <v>0</v>
      </c>
      <c r="U124" s="579">
        <f t="shared" ref="U124:AD124" si="44">U122+U123</f>
        <v>0</v>
      </c>
      <c r="V124" s="580">
        <f t="shared" si="44"/>
        <v>0</v>
      </c>
      <c r="W124" s="579">
        <f t="shared" si="44"/>
        <v>263679.92684700002</v>
      </c>
      <c r="X124" s="579">
        <f t="shared" si="44"/>
        <v>0</v>
      </c>
      <c r="Y124" s="579">
        <f>Y122+Y123</f>
        <v>0</v>
      </c>
      <c r="Z124" s="579">
        <f t="shared" si="44"/>
        <v>0</v>
      </c>
      <c r="AA124" s="579">
        <f t="shared" si="44"/>
        <v>0</v>
      </c>
      <c r="AB124" s="579">
        <f t="shared" si="44"/>
        <v>0</v>
      </c>
      <c r="AC124" s="579">
        <f t="shared" si="44"/>
        <v>-1646038.0628529999</v>
      </c>
      <c r="AD124" s="579">
        <f t="shared" si="44"/>
        <v>17665167.417146999</v>
      </c>
      <c r="AF124" s="271">
        <f>AD124-'Exh MCG-2 ROO Summary'!G22</f>
        <v>0</v>
      </c>
    </row>
    <row r="125" spans="1:32">
      <c r="A125" s="1211">
        <v>117</v>
      </c>
      <c r="B125" s="657"/>
      <c r="C125" s="575"/>
      <c r="D125" s="599"/>
      <c r="E125" s="83"/>
      <c r="F125" s="252"/>
    </row>
    <row r="126" spans="1:32" ht="15.75" thickBot="1">
      <c r="A126" s="1211">
        <v>118</v>
      </c>
      <c r="B126" s="1511" t="s">
        <v>1340</v>
      </c>
      <c r="C126" s="1512"/>
      <c r="D126" s="585">
        <f>D86+D94+D101+D108+D124+D58</f>
        <v>29938388.309999995</v>
      </c>
      <c r="E126" s="586">
        <f>E86+E94+E101+E108+E124+E58</f>
        <v>22336617.479999997</v>
      </c>
      <c r="F126" s="587">
        <f>F86+F94+F101+F108+F124+F58</f>
        <v>52275005.790000007</v>
      </c>
      <c r="H126" s="587">
        <f>H86+H94+H101+H108+H124+H58</f>
        <v>-3123.7347582729872</v>
      </c>
      <c r="I126" s="587">
        <f>I86+I94+I101+I108+I124+I58</f>
        <v>-136535.97999999986</v>
      </c>
      <c r="J126" s="587">
        <f>J86+J94+J101+J108+J124+J58</f>
        <v>5461.1863936428772</v>
      </c>
      <c r="K126" s="587">
        <f>K86+K94+K101+K108+K124+K58</f>
        <v>69908.7978</v>
      </c>
      <c r="L126" s="587">
        <f>L86+L94+L101+L108+L124+L58</f>
        <v>-1589503.44</v>
      </c>
      <c r="M126" s="587">
        <f t="shared" ref="M126:T126" si="45">M86+M94+M101+M108+M124+M58</f>
        <v>-184098.245</v>
      </c>
      <c r="N126" s="587">
        <f t="shared" si="45"/>
        <v>-6738852.4022608642</v>
      </c>
      <c r="O126" s="587">
        <f t="shared" si="45"/>
        <v>1335.8585349601399</v>
      </c>
      <c r="P126" s="587">
        <f t="shared" si="45"/>
        <v>0</v>
      </c>
      <c r="Q126" s="587">
        <f t="shared" si="45"/>
        <v>0</v>
      </c>
      <c r="R126" s="1467">
        <f>R86+R94+R101+R108+R124+R58</f>
        <v>4410.9558757545365</v>
      </c>
      <c r="S126" s="1467">
        <f>S86+S94+S101+S108+S124+S58</f>
        <v>-4410.9558757545365</v>
      </c>
      <c r="T126" s="587">
        <f t="shared" si="45"/>
        <v>0</v>
      </c>
      <c r="U126" s="587">
        <f t="shared" ref="U126:AD126" si="46">U86+U94+U101+U108+U124+U58</f>
        <v>0</v>
      </c>
      <c r="V126" s="587">
        <f t="shared" si="46"/>
        <v>5216.2524916404109</v>
      </c>
      <c r="W126" s="587">
        <f t="shared" si="46"/>
        <v>711488.04989699996</v>
      </c>
      <c r="X126" s="587">
        <f t="shared" si="46"/>
        <v>438114.83499999996</v>
      </c>
      <c r="Y126" s="587">
        <f>Y86+Y94+Y101+Y108+Y124+Y58</f>
        <v>0</v>
      </c>
      <c r="Z126" s="587">
        <f t="shared" si="46"/>
        <v>0</v>
      </c>
      <c r="AA126" s="587">
        <f t="shared" si="46"/>
        <v>0</v>
      </c>
      <c r="AB126" s="587">
        <f t="shared" si="46"/>
        <v>0</v>
      </c>
      <c r="AC126" s="587">
        <f t="shared" si="46"/>
        <v>-7420588.8219018942</v>
      </c>
      <c r="AD126" s="587">
        <f t="shared" si="46"/>
        <v>44854416.968098111</v>
      </c>
    </row>
    <row r="127" spans="1:32" ht="15.75" thickTop="1">
      <c r="A127" s="1211">
        <v>119</v>
      </c>
      <c r="B127" s="657"/>
      <c r="C127" s="575"/>
      <c r="D127" s="599"/>
      <c r="E127" s="83"/>
      <c r="F127" s="252"/>
    </row>
    <row r="128" spans="1:32">
      <c r="A128" s="1211">
        <v>120</v>
      </c>
      <c r="B128" s="650" t="s">
        <v>1341</v>
      </c>
      <c r="C128" s="575"/>
      <c r="D128" s="599"/>
      <c r="E128" s="83"/>
      <c r="F128" s="252"/>
    </row>
    <row r="129" spans="1:32">
      <c r="A129" s="1211">
        <v>121</v>
      </c>
      <c r="B129" s="651" t="s">
        <v>1342</v>
      </c>
      <c r="C129" s="577" t="s">
        <v>1343</v>
      </c>
      <c r="D129" s="599">
        <v>0</v>
      </c>
      <c r="E129" s="83">
        <v>26511110.390000001</v>
      </c>
      <c r="F129" s="252">
        <f t="shared" ref="F129:F135" si="47">SUM(D129:E129)</f>
        <v>26511110.390000001</v>
      </c>
      <c r="J129" s="1372">
        <f>'EOP Depn Exp Adj'!E57</f>
        <v>0</v>
      </c>
      <c r="N129" s="271">
        <f>'Suppl Sch Adj'!L24</f>
        <v>0</v>
      </c>
      <c r="P129" s="271">
        <f>-'FP-319072 &amp; FP-319209'!D14</f>
        <v>-52136.398848000004</v>
      </c>
      <c r="Q129" s="1372">
        <f>IF($Q$10="On", 'Rate Base'!H14, 0)</f>
        <v>6998.8809799999999</v>
      </c>
      <c r="Y129" s="271">
        <f>+'Pro Forma Plant Additions'!D14</f>
        <v>0</v>
      </c>
      <c r="Z129" s="271">
        <f>'R&amp;R Adjustment'!C19</f>
        <v>0</v>
      </c>
      <c r="AC129" s="440">
        <f t="shared" ref="AC129:AC135" si="48">SUM(H129:AB129)</f>
        <v>-45137.517868000003</v>
      </c>
      <c r="AD129" s="440">
        <f t="shared" ref="AD129:AD135" si="49">+F129+AC129</f>
        <v>26465972.872132</v>
      </c>
    </row>
    <row r="130" spans="1:32">
      <c r="A130" s="1211">
        <v>122</v>
      </c>
      <c r="B130" s="657"/>
      <c r="C130" s="577" t="s">
        <v>1344</v>
      </c>
      <c r="D130" s="599">
        <v>0</v>
      </c>
      <c r="E130" s="83">
        <v>0</v>
      </c>
      <c r="F130" s="584">
        <f t="shared" si="47"/>
        <v>0</v>
      </c>
      <c r="AC130" s="440">
        <f t="shared" si="48"/>
        <v>0</v>
      </c>
      <c r="AD130" s="440">
        <f t="shared" si="49"/>
        <v>0</v>
      </c>
    </row>
    <row r="131" spans="1:32">
      <c r="A131" s="1211">
        <v>123</v>
      </c>
      <c r="B131" s="657"/>
      <c r="C131" s="577" t="s">
        <v>1345</v>
      </c>
      <c r="D131" s="599">
        <v>0</v>
      </c>
      <c r="E131" s="83">
        <v>0</v>
      </c>
      <c r="F131" s="584">
        <f t="shared" si="47"/>
        <v>0</v>
      </c>
      <c r="AC131" s="440">
        <f t="shared" si="48"/>
        <v>0</v>
      </c>
      <c r="AD131" s="440">
        <f t="shared" si="49"/>
        <v>0</v>
      </c>
    </row>
    <row r="132" spans="1:32">
      <c r="A132" s="1211">
        <v>124</v>
      </c>
      <c r="B132" s="657"/>
      <c r="C132" s="577" t="s">
        <v>1346</v>
      </c>
      <c r="D132" s="600">
        <v>0</v>
      </c>
      <c r="E132" s="83">
        <v>0</v>
      </c>
      <c r="F132" s="252">
        <f t="shared" si="47"/>
        <v>0</v>
      </c>
      <c r="AC132" s="440">
        <f t="shared" si="48"/>
        <v>0</v>
      </c>
      <c r="AD132" s="440">
        <f t="shared" si="49"/>
        <v>0</v>
      </c>
    </row>
    <row r="133" spans="1:32">
      <c r="A133" s="1211">
        <v>125</v>
      </c>
      <c r="B133" s="657"/>
      <c r="C133" s="577" t="s">
        <v>1347</v>
      </c>
      <c r="D133" s="599">
        <v>0</v>
      </c>
      <c r="E133" s="83">
        <v>0</v>
      </c>
      <c r="F133" s="584">
        <f t="shared" si="47"/>
        <v>0</v>
      </c>
      <c r="AC133" s="440">
        <f t="shared" si="48"/>
        <v>0</v>
      </c>
      <c r="AD133" s="440">
        <f t="shared" si="49"/>
        <v>0</v>
      </c>
    </row>
    <row r="134" spans="1:32">
      <c r="A134" s="1211">
        <v>126</v>
      </c>
      <c r="B134" s="657"/>
      <c r="C134" s="577" t="s">
        <v>1348</v>
      </c>
      <c r="D134" s="599">
        <v>0</v>
      </c>
      <c r="E134" s="83">
        <v>0</v>
      </c>
      <c r="F134" s="584">
        <f t="shared" si="47"/>
        <v>0</v>
      </c>
      <c r="AC134" s="440">
        <f t="shared" si="48"/>
        <v>0</v>
      </c>
      <c r="AD134" s="440">
        <f t="shared" si="49"/>
        <v>0</v>
      </c>
    </row>
    <row r="135" spans="1:32">
      <c r="A135" s="1211">
        <v>127</v>
      </c>
      <c r="B135" s="651" t="s">
        <v>1349</v>
      </c>
      <c r="C135" s="577" t="s">
        <v>1350</v>
      </c>
      <c r="D135" s="599">
        <v>0</v>
      </c>
      <c r="E135" s="83">
        <v>0</v>
      </c>
      <c r="F135" s="584">
        <f t="shared" si="47"/>
        <v>0</v>
      </c>
      <c r="AC135" s="440">
        <f t="shared" si="48"/>
        <v>0</v>
      </c>
      <c r="AD135" s="440">
        <f t="shared" si="49"/>
        <v>0</v>
      </c>
    </row>
    <row r="136" spans="1:32">
      <c r="A136" s="1211">
        <v>128</v>
      </c>
      <c r="B136" s="650" t="s">
        <v>1351</v>
      </c>
      <c r="C136" s="575"/>
      <c r="D136" s="578">
        <f>SUM(D129:D135)</f>
        <v>0</v>
      </c>
      <c r="E136" s="656">
        <f>SUM(E129:E135)</f>
        <v>26511110.390000001</v>
      </c>
      <c r="F136" s="656">
        <f>SUM(F129:F135)</f>
        <v>26511110.390000001</v>
      </c>
      <c r="H136" s="579">
        <f t="shared" ref="H136:T136" si="50">SUM(H129:H135)</f>
        <v>0</v>
      </c>
      <c r="I136" s="579">
        <f t="shared" si="50"/>
        <v>0</v>
      </c>
      <c r="J136" s="579">
        <f t="shared" si="50"/>
        <v>0</v>
      </c>
      <c r="K136" s="579">
        <f t="shared" si="50"/>
        <v>0</v>
      </c>
      <c r="L136" s="579">
        <f t="shared" si="50"/>
        <v>0</v>
      </c>
      <c r="M136" s="579">
        <f t="shared" si="50"/>
        <v>0</v>
      </c>
      <c r="N136" s="579">
        <f t="shared" si="50"/>
        <v>0</v>
      </c>
      <c r="O136" s="579">
        <f t="shared" si="50"/>
        <v>0</v>
      </c>
      <c r="P136" s="579">
        <f t="shared" si="50"/>
        <v>-52136.398848000004</v>
      </c>
      <c r="Q136" s="579">
        <f t="shared" si="50"/>
        <v>6998.8809799999999</v>
      </c>
      <c r="R136" s="579">
        <f t="shared" si="50"/>
        <v>0</v>
      </c>
      <c r="S136" s="579">
        <f t="shared" si="50"/>
        <v>0</v>
      </c>
      <c r="T136" s="579">
        <f t="shared" si="50"/>
        <v>0</v>
      </c>
      <c r="U136" s="579">
        <f t="shared" ref="U136:AD136" si="51">SUM(U129:U135)</f>
        <v>0</v>
      </c>
      <c r="V136" s="580">
        <f t="shared" si="51"/>
        <v>0</v>
      </c>
      <c r="W136" s="579">
        <f t="shared" si="51"/>
        <v>0</v>
      </c>
      <c r="X136" s="581">
        <f t="shared" si="51"/>
        <v>0</v>
      </c>
      <c r="Y136" s="579">
        <f>SUM(Y129:Y135)</f>
        <v>0</v>
      </c>
      <c r="Z136" s="579">
        <f t="shared" si="51"/>
        <v>0</v>
      </c>
      <c r="AA136" s="581">
        <f t="shared" si="51"/>
        <v>0</v>
      </c>
      <c r="AB136" s="581">
        <f t="shared" si="51"/>
        <v>0</v>
      </c>
      <c r="AC136" s="579">
        <f t="shared" si="51"/>
        <v>-45137.517868000003</v>
      </c>
      <c r="AD136" s="579">
        <f t="shared" si="51"/>
        <v>26465972.872132</v>
      </c>
      <c r="AF136" s="271">
        <f>AD136-'Exh MCG-2 ROO Summary'!G23</f>
        <v>0</v>
      </c>
    </row>
    <row r="137" spans="1:32">
      <c r="A137" s="1211">
        <v>129</v>
      </c>
      <c r="B137" s="657"/>
      <c r="C137" s="575"/>
      <c r="D137" s="599"/>
      <c r="E137" s="83"/>
      <c r="F137" s="252"/>
    </row>
    <row r="138" spans="1:32">
      <c r="A138" s="1211">
        <v>130</v>
      </c>
      <c r="B138" s="654" t="s">
        <v>1352</v>
      </c>
      <c r="C138" s="575" t="s">
        <v>688</v>
      </c>
      <c r="D138" s="600">
        <v>0</v>
      </c>
      <c r="E138" s="240">
        <v>0</v>
      </c>
      <c r="F138" s="584">
        <f>SUM(D138:E138)</f>
        <v>0</v>
      </c>
      <c r="N138" s="271">
        <f>'Suppl Sch Adj'!L25</f>
        <v>0</v>
      </c>
      <c r="AC138" s="440">
        <f>SUM(H138:AB138)</f>
        <v>0</v>
      </c>
      <c r="AD138" s="440">
        <f>+F138+AC138</f>
        <v>0</v>
      </c>
    </row>
    <row r="139" spans="1:32">
      <c r="A139" s="1211">
        <v>131</v>
      </c>
      <c r="B139" s="657"/>
      <c r="C139" s="575"/>
      <c r="D139" s="599"/>
      <c r="E139" s="83"/>
      <c r="F139" s="252"/>
      <c r="AC139" s="440"/>
      <c r="AD139" s="440"/>
    </row>
    <row r="140" spans="1:32">
      <c r="A140" s="1211">
        <v>132</v>
      </c>
      <c r="B140" s="650" t="s">
        <v>1353</v>
      </c>
      <c r="C140" s="575"/>
      <c r="D140" s="599"/>
      <c r="E140" s="83"/>
      <c r="F140" s="252"/>
    </row>
    <row r="141" spans="1:32">
      <c r="A141" s="1211">
        <v>133</v>
      </c>
      <c r="B141" s="1402" t="s">
        <v>1354</v>
      </c>
      <c r="C141" s="577" t="s">
        <v>1355</v>
      </c>
      <c r="D141" s="659">
        <v>3401787.56</v>
      </c>
      <c r="E141" s="666">
        <v>978014.3</v>
      </c>
      <c r="F141" s="661">
        <f>SUM(D141:E141)</f>
        <v>4379801.8600000003</v>
      </c>
      <c r="K141" s="461">
        <f>+'Wage Adjustments'!P16</f>
        <v>5348.0230316999996</v>
      </c>
      <c r="N141" s="271">
        <f>'Suppl Sch Adj'!L26</f>
        <v>2852639.5100000002</v>
      </c>
      <c r="W141" s="271">
        <f>+'Wage Adjustments'!Q16</f>
        <v>54428.835817120496</v>
      </c>
      <c r="Y141" s="271">
        <f>+'Pro Forma Plant Additions'!D12</f>
        <v>0</v>
      </c>
      <c r="AC141" s="440">
        <f>SUM(H141:AB141)</f>
        <v>2912416.3688488207</v>
      </c>
      <c r="AD141" s="440">
        <f>+F141+AC141</f>
        <v>7292218.2288488206</v>
      </c>
      <c r="AF141" s="440">
        <f>AD141-'Exh MCG-2 ROO Summary'!G25</f>
        <v>0</v>
      </c>
    </row>
    <row r="142" spans="1:32">
      <c r="A142" s="1211">
        <v>134</v>
      </c>
      <c r="B142" s="657"/>
      <c r="C142" s="575"/>
      <c r="D142" s="599"/>
      <c r="E142" s="83"/>
      <c r="F142" s="252"/>
    </row>
    <row r="143" spans="1:32">
      <c r="A143" s="1211">
        <v>135</v>
      </c>
      <c r="B143" s="650" t="s">
        <v>1356</v>
      </c>
      <c r="C143" s="575"/>
      <c r="D143" s="599"/>
      <c r="E143" s="83"/>
      <c r="F143" s="252"/>
    </row>
    <row r="144" spans="1:32">
      <c r="A144" s="1211">
        <v>136</v>
      </c>
      <c r="B144" s="651" t="s">
        <v>1357</v>
      </c>
      <c r="C144" s="577" t="s">
        <v>1358</v>
      </c>
      <c r="D144" s="600">
        <v>5466343.1400000006</v>
      </c>
      <c r="E144" s="240">
        <v>0</v>
      </c>
      <c r="F144" s="584">
        <f>+D144</f>
        <v>5466343.1400000006</v>
      </c>
      <c r="H144" s="271">
        <f>(+H55-SUM(H126,H136,H141))*'Exh MCG-4, Conversion Factor'!$C$33</f>
        <v>-169160.46194076265</v>
      </c>
      <c r="I144" s="271">
        <f>(+I55-SUM(I126,I136,I141))*'Exh MCG-4, Conversion Factor'!$C$33</f>
        <v>28672.555799999969</v>
      </c>
      <c r="J144" s="271">
        <f>(+J55-SUM(J126,J136,J141))*'Exh MCG-4, Conversion Factor'!$C$33</f>
        <v>295741.11907119339</v>
      </c>
      <c r="K144" s="271">
        <f>(+K55-SUM(K126,K136,K141))*'Exh MCG-4, Conversion Factor'!$C$33</f>
        <v>-15803.932374656999</v>
      </c>
      <c r="L144" s="271">
        <f>(+L55-SUM(L126,L136,L141))*'Exh MCG-4, Conversion Factor'!$C$33</f>
        <v>333795.72239999997</v>
      </c>
      <c r="M144" s="271">
        <f>(+M55-SUM(M126,M136,M141))*'Exh MCG-4, Conversion Factor'!$C$33</f>
        <v>38660.631450000001</v>
      </c>
      <c r="N144" s="271">
        <f>(+N55-SUM(N126,N136,N141))*'Exh MCG-4, Conversion Factor'!$C$33</f>
        <v>-42915.950866011553</v>
      </c>
      <c r="O144" s="271">
        <f>(+O55-SUM(O126,O136,O141))*'Exh MCG-4, Conversion Factor'!$C$33</f>
        <v>72341.112273662366</v>
      </c>
      <c r="P144" s="271">
        <f>(+P55-SUM(P126,P136,P141))*'Exh MCG-4, Conversion Factor'!$C$33</f>
        <v>10948.643758080001</v>
      </c>
      <c r="Q144" s="271">
        <f>(+Q55-SUM(Q126,Q136,Q141))*'Exh MCG-4, Conversion Factor'!$C$33</f>
        <v>-1469.7650057999999</v>
      </c>
      <c r="R144" s="1465">
        <f>(+R55-SUM(R126,R136,R141))*'Exh MCG-4, Conversion Factor'!$C$33</f>
        <v>238867.69885529156</v>
      </c>
      <c r="S144" s="1465">
        <f>(+S55-SUM(S126,S136,S141))*'Exh MCG-4, Conversion Factor'!$C$33</f>
        <v>-238867.69885529156</v>
      </c>
      <c r="T144" s="271">
        <f>(+T55-SUM(T126,T136,T141))*'Exh MCG-4, Conversion Factor'!$C$33</f>
        <v>0</v>
      </c>
      <c r="U144" s="271">
        <f>+'Interest Sync Adj'!H10</f>
        <v>67587.17921305116</v>
      </c>
      <c r="V144" s="271">
        <f>(+V55-SUM(V126,V136,V141))*'Exh MCG-4, Conversion Factor'!$C$33</f>
        <v>282477.14654665109</v>
      </c>
      <c r="W144" s="271">
        <f>(+W55-SUM(W126,W136,W141))*'Exh MCG-4, Conversion Factor'!$C$33</f>
        <v>-160842.54599996528</v>
      </c>
      <c r="X144" s="271">
        <f>(+X55-SUM(X126,X136,X141))*'Exh MCG-4, Conversion Factor'!$C$33</f>
        <v>-92004.115349999993</v>
      </c>
      <c r="Y144" s="271">
        <f>(+Y55-SUM(Y126,Y136,Y141))*'Exh MCG-4, Conversion Factor'!$C$33</f>
        <v>0</v>
      </c>
      <c r="Z144" s="271">
        <f>(+Z55-SUM(Z126,Z136,Z141))*'Exh MCG-4, Conversion Factor'!$C$33</f>
        <v>0</v>
      </c>
      <c r="AA144" s="271">
        <f>(+AA55-SUM(AA126,AA136,AA141))*'Exh MCG-4, Conversion Factor'!$C$33</f>
        <v>0</v>
      </c>
      <c r="AB144" s="271">
        <f>(+AB55-SUM(AB126,AB136,AB141))*'Exh MCG-4, Conversion Factor'!$C$33</f>
        <v>0</v>
      </c>
      <c r="AC144" s="440">
        <f t="shared" ref="AC144:AC149" si="52">SUM(H144:AB144)</f>
        <v>648027.33897544164</v>
      </c>
      <c r="AD144" s="440">
        <f t="shared" ref="AD144:AD149" si="53">+F144+AC144</f>
        <v>6114370.4789754422</v>
      </c>
    </row>
    <row r="145" spans="1:33">
      <c r="A145" s="1211">
        <v>137</v>
      </c>
      <c r="B145" s="651" t="s">
        <v>1357</v>
      </c>
      <c r="C145" s="577" t="s">
        <v>1359</v>
      </c>
      <c r="D145" s="600">
        <v>0</v>
      </c>
      <c r="E145" s="240">
        <v>0</v>
      </c>
      <c r="F145" s="584">
        <f>SUM(D145:E145)</f>
        <v>0</v>
      </c>
      <c r="AC145" s="440">
        <f t="shared" si="52"/>
        <v>0</v>
      </c>
      <c r="AD145" s="440">
        <f t="shared" si="53"/>
        <v>0</v>
      </c>
    </row>
    <row r="146" spans="1:33">
      <c r="A146" s="1211">
        <v>138</v>
      </c>
      <c r="B146" s="651" t="s">
        <v>1360</v>
      </c>
      <c r="C146" s="577" t="s">
        <v>1361</v>
      </c>
      <c r="D146" s="600">
        <v>9612418.3699999973</v>
      </c>
      <c r="E146" s="240">
        <v>0</v>
      </c>
      <c r="F146" s="584">
        <f>SUM(D146:E146)</f>
        <v>9612418.3699999973</v>
      </c>
      <c r="AC146" s="440">
        <f t="shared" si="52"/>
        <v>0</v>
      </c>
      <c r="AD146" s="440">
        <f t="shared" si="53"/>
        <v>9612418.3699999973</v>
      </c>
    </row>
    <row r="147" spans="1:33">
      <c r="A147" s="1211">
        <v>139</v>
      </c>
      <c r="B147" s="651" t="s">
        <v>1360</v>
      </c>
      <c r="C147" s="577" t="s">
        <v>1362</v>
      </c>
      <c r="D147" s="600">
        <v>0</v>
      </c>
      <c r="E147" s="240">
        <v>0</v>
      </c>
      <c r="F147" s="584">
        <f>SUM(D147:E147)</f>
        <v>0</v>
      </c>
      <c r="AC147" s="440">
        <f t="shared" si="52"/>
        <v>0</v>
      </c>
      <c r="AD147" s="440">
        <f t="shared" si="53"/>
        <v>0</v>
      </c>
    </row>
    <row r="148" spans="1:33">
      <c r="A148" s="1211">
        <v>140</v>
      </c>
      <c r="B148" s="651" t="s">
        <v>1363</v>
      </c>
      <c r="C148" s="577" t="s">
        <v>1364</v>
      </c>
      <c r="D148" s="600">
        <v>-14016587.960000001</v>
      </c>
      <c r="E148" s="240">
        <v>0</v>
      </c>
      <c r="F148" s="584">
        <f>SUM(D148:E148)</f>
        <v>-14016587.960000001</v>
      </c>
      <c r="AC148" s="440">
        <f t="shared" si="52"/>
        <v>0</v>
      </c>
      <c r="AD148" s="440">
        <f t="shared" si="53"/>
        <v>-14016587.960000001</v>
      </c>
    </row>
    <row r="149" spans="1:33">
      <c r="A149" s="1211">
        <v>141</v>
      </c>
      <c r="B149" s="651" t="s">
        <v>1365</v>
      </c>
      <c r="C149" s="577" t="s">
        <v>1366</v>
      </c>
      <c r="D149" s="600">
        <v>0</v>
      </c>
      <c r="E149" s="240">
        <v>-32287.32</v>
      </c>
      <c r="F149" s="584">
        <f>SUM(D149:E149)</f>
        <v>-32287.32</v>
      </c>
      <c r="AC149" s="440">
        <f t="shared" si="52"/>
        <v>0</v>
      </c>
      <c r="AD149" s="440">
        <f t="shared" si="53"/>
        <v>-32287.32</v>
      </c>
    </row>
    <row r="150" spans="1:33">
      <c r="A150" s="1211">
        <v>142</v>
      </c>
      <c r="B150" s="650" t="s">
        <v>1367</v>
      </c>
      <c r="C150" s="575"/>
      <c r="D150" s="578">
        <f>SUM(D144:D149)</f>
        <v>1062173.549999997</v>
      </c>
      <c r="E150" s="656">
        <f>SUM(E144:E149)</f>
        <v>-32287.32</v>
      </c>
      <c r="F150" s="579">
        <f>SUM(F144:F149)</f>
        <v>1029886.2299999971</v>
      </c>
      <c r="H150" s="579">
        <f t="shared" ref="H150:W150" si="54">SUM(H144:H149)</f>
        <v>-169160.46194076265</v>
      </c>
      <c r="I150" s="579">
        <f t="shared" si="54"/>
        <v>28672.555799999969</v>
      </c>
      <c r="J150" s="579">
        <f t="shared" si="54"/>
        <v>295741.11907119339</v>
      </c>
      <c r="K150" s="579">
        <f t="shared" si="54"/>
        <v>-15803.932374656999</v>
      </c>
      <c r="L150" s="579">
        <f t="shared" si="54"/>
        <v>333795.72239999997</v>
      </c>
      <c r="M150" s="579">
        <f t="shared" si="54"/>
        <v>38660.631450000001</v>
      </c>
      <c r="N150" s="579">
        <f t="shared" si="54"/>
        <v>-42915.950866011553</v>
      </c>
      <c r="O150" s="579">
        <f t="shared" si="54"/>
        <v>72341.112273662366</v>
      </c>
      <c r="P150" s="579">
        <f t="shared" si="54"/>
        <v>10948.643758080001</v>
      </c>
      <c r="Q150" s="579">
        <f t="shared" si="54"/>
        <v>-1469.7650057999999</v>
      </c>
      <c r="R150" s="1466">
        <f t="shared" si="54"/>
        <v>238867.69885529156</v>
      </c>
      <c r="S150" s="1466">
        <f t="shared" si="54"/>
        <v>-238867.69885529156</v>
      </c>
      <c r="T150" s="579">
        <f t="shared" si="54"/>
        <v>0</v>
      </c>
      <c r="U150" s="579">
        <f t="shared" si="54"/>
        <v>67587.17921305116</v>
      </c>
      <c r="V150" s="579">
        <f t="shared" si="54"/>
        <v>282477.14654665109</v>
      </c>
      <c r="W150" s="579">
        <f t="shared" si="54"/>
        <v>-160842.54599996528</v>
      </c>
      <c r="X150" s="579">
        <f t="shared" ref="X150:AD150" si="55">SUM(X144:X149)</f>
        <v>-92004.115349999993</v>
      </c>
      <c r="Y150" s="579">
        <f>SUM(Y144:Y149)</f>
        <v>0</v>
      </c>
      <c r="Z150" s="579">
        <f t="shared" si="55"/>
        <v>0</v>
      </c>
      <c r="AA150" s="579">
        <f t="shared" si="55"/>
        <v>0</v>
      </c>
      <c r="AB150" s="579">
        <f t="shared" si="55"/>
        <v>0</v>
      </c>
      <c r="AC150" s="579">
        <f t="shared" si="55"/>
        <v>648027.33897544164</v>
      </c>
      <c r="AD150" s="579">
        <f t="shared" si="55"/>
        <v>1677913.5689754377</v>
      </c>
      <c r="AF150" s="271">
        <f>AD150-'Exh MCG-2 ROO Summary'!G26</f>
        <v>0</v>
      </c>
    </row>
    <row r="151" spans="1:33">
      <c r="A151" s="1211">
        <v>143</v>
      </c>
      <c r="B151" s="650" t="s">
        <v>1368</v>
      </c>
      <c r="C151" s="575"/>
      <c r="D151" s="252">
        <f>D126+D136+D138+D141+D150</f>
        <v>34402349.419999987</v>
      </c>
      <c r="E151" s="252">
        <f>E126+E136+E138+E141+E150</f>
        <v>49793454.849999994</v>
      </c>
      <c r="F151" s="252">
        <f>F126+F136+F138+F141+F150</f>
        <v>84195804.270000011</v>
      </c>
      <c r="H151" s="252">
        <f t="shared" ref="H151:U151" si="56">H86+H94+H101+H108+H124+H136+H138+H141+H150+H58+H54+H38+H52</f>
        <v>-206434.45269903564</v>
      </c>
      <c r="I151" s="252">
        <f t="shared" si="56"/>
        <v>-107863.42419999989</v>
      </c>
      <c r="J151" s="252">
        <f t="shared" si="56"/>
        <v>360906.77074079693</v>
      </c>
      <c r="K151" s="252">
        <f t="shared" si="56"/>
        <v>59452.888457042995</v>
      </c>
      <c r="L151" s="252">
        <f t="shared" si="56"/>
        <v>-1255707.7176000001</v>
      </c>
      <c r="M151" s="252">
        <f t="shared" si="56"/>
        <v>-145437.61355000001</v>
      </c>
      <c r="N151" s="252">
        <f t="shared" si="56"/>
        <v>-144045898.58433548</v>
      </c>
      <c r="O151" s="252">
        <f t="shared" si="56"/>
        <v>88281.255256222503</v>
      </c>
      <c r="P151" s="252">
        <f t="shared" si="56"/>
        <v>-41187.75508992</v>
      </c>
      <c r="Q151" s="252">
        <f t="shared" si="56"/>
        <v>5529.1159742</v>
      </c>
      <c r="R151" s="1470">
        <f t="shared" si="56"/>
        <v>291501.46621104609</v>
      </c>
      <c r="S151" s="1470">
        <f>S86+S94+S101+S108+S124+S136+S138+S141+S150+S58+S54+S38+S52</f>
        <v>-291501.46621104609</v>
      </c>
      <c r="T151" s="252">
        <f t="shared" si="56"/>
        <v>0</v>
      </c>
      <c r="U151" s="252">
        <f t="shared" si="56"/>
        <v>67587.17921305116</v>
      </c>
      <c r="V151" s="252">
        <f t="shared" ref="V151:AA151" si="57">V86+V94+V101+V108+V124+V136+V138+V141+V150+V58+V54+V38+V52</f>
        <v>344720.12241113116</v>
      </c>
      <c r="W151" s="598">
        <f t="shared" si="57"/>
        <v>605074.33971415518</v>
      </c>
      <c r="X151" s="252">
        <f t="shared" si="57"/>
        <v>346110.71964999998</v>
      </c>
      <c r="Y151" s="252">
        <f t="shared" si="57"/>
        <v>0</v>
      </c>
      <c r="Z151" s="252">
        <f t="shared" si="57"/>
        <v>0</v>
      </c>
      <c r="AA151" s="252">
        <f t="shared" si="57"/>
        <v>0</v>
      </c>
      <c r="AB151" s="252">
        <f>AB86+AB94+AB101+AB108+AB124+AB136+AB138+AB141+AB150+AB58+AB54+AB38+AB52</f>
        <v>0</v>
      </c>
      <c r="AC151" s="252">
        <f>AC86+AC94+AC101+AC108+AC124+AC136+AC138+AC141+AC150+AC58+AC54+AC38+AC52</f>
        <v>-143924867.15605783</v>
      </c>
      <c r="AD151" s="252">
        <f>AD86+AD94+AD101+AD108+AD124+AD136+AD138+AD141+AD150+AD58+AD54+AD38+AD52</f>
        <v>96903471.753942177</v>
      </c>
      <c r="AF151" s="271">
        <f>AC151-'Exh MCG-2 ROO Summary'!F27</f>
        <v>-145288359.51704618</v>
      </c>
      <c r="AG151" s="271">
        <f>AD151-'Exh MCG-2 ROO Summary'!G27</f>
        <v>0</v>
      </c>
    </row>
    <row r="152" spans="1:33" ht="15.75" thickBot="1">
      <c r="A152" s="1211">
        <v>144</v>
      </c>
      <c r="B152" s="650" t="s">
        <v>1369</v>
      </c>
      <c r="C152" s="575"/>
      <c r="D152" s="601">
        <f>+D55-D151</f>
        <v>74384366.060000002</v>
      </c>
      <c r="E152" s="601">
        <f>+E55-E151</f>
        <v>-49700451.399999991</v>
      </c>
      <c r="F152" s="601">
        <f>+F55-F151</f>
        <v>24683914.659999967</v>
      </c>
      <c r="H152" s="601">
        <f t="shared" ref="H152:U152" si="58">H29-H151</f>
        <v>-636365.54730096436</v>
      </c>
      <c r="I152" s="601">
        <f t="shared" si="58"/>
        <v>107863.42419999989</v>
      </c>
      <c r="J152" s="601">
        <f t="shared" si="58"/>
        <v>1112549.9241249654</v>
      </c>
      <c r="K152" s="601">
        <f t="shared" si="58"/>
        <v>-59452.888457042995</v>
      </c>
      <c r="L152" s="601">
        <f t="shared" si="58"/>
        <v>1255707.7176000001</v>
      </c>
      <c r="M152" s="601">
        <f t="shared" si="58"/>
        <v>145437.61355000001</v>
      </c>
      <c r="N152" s="601">
        <f t="shared" si="58"/>
        <v>-161445.71992450953</v>
      </c>
      <c r="O152" s="601">
        <f t="shared" si="58"/>
        <v>272140.3747437775</v>
      </c>
      <c r="P152" s="601">
        <f t="shared" si="58"/>
        <v>41187.75508992</v>
      </c>
      <c r="Q152" s="601">
        <f t="shared" si="58"/>
        <v>-5529.1159742</v>
      </c>
      <c r="R152" s="1471">
        <f t="shared" si="58"/>
        <v>898597.53378895391</v>
      </c>
      <c r="S152" s="1471">
        <f>S29-S151</f>
        <v>-898597.53378895391</v>
      </c>
      <c r="T152" s="601">
        <f t="shared" si="58"/>
        <v>0</v>
      </c>
      <c r="U152" s="601">
        <f t="shared" si="58"/>
        <v>-67587.17921305116</v>
      </c>
      <c r="V152" s="601">
        <f t="shared" ref="V152:AA152" si="59">V29-V151</f>
        <v>1062652.1227231158</v>
      </c>
      <c r="W152" s="601">
        <f t="shared" si="59"/>
        <v>-605074.33971415518</v>
      </c>
      <c r="X152" s="601">
        <f t="shared" si="59"/>
        <v>-346110.71964999998</v>
      </c>
      <c r="Y152" s="601">
        <f t="shared" si="59"/>
        <v>0</v>
      </c>
      <c r="Z152" s="601">
        <f t="shared" si="59"/>
        <v>0</v>
      </c>
      <c r="AA152" s="601">
        <f t="shared" si="59"/>
        <v>0</v>
      </c>
      <c r="AB152" s="601">
        <f>AB29-AB151</f>
        <v>0</v>
      </c>
      <c r="AC152" s="601">
        <f>AC29-AC151</f>
        <v>2115973.4217978418</v>
      </c>
      <c r="AD152" s="601">
        <f>AD29-AD151</f>
        <v>26799888.081797838</v>
      </c>
      <c r="AF152" s="271">
        <f>AC152-'Exh MCG-2 ROO Summary'!F29</f>
        <v>2072093.5376519321</v>
      </c>
      <c r="AG152" s="271">
        <f>AD152-'Exh MCG-2 ROO Summary'!G29</f>
        <v>0</v>
      </c>
    </row>
    <row r="153" spans="1:33" ht="15.75" thickTop="1">
      <c r="A153" s="1211">
        <v>145</v>
      </c>
      <c r="B153" s="657"/>
      <c r="C153" s="575"/>
      <c r="D153" s="599"/>
      <c r="E153" s="83"/>
      <c r="F153" s="252"/>
      <c r="AD153" s="602"/>
    </row>
    <row r="154" spans="1:33">
      <c r="A154" s="1211">
        <v>146</v>
      </c>
      <c r="B154" s="650" t="s">
        <v>1370</v>
      </c>
      <c r="C154" s="575"/>
      <c r="D154" s="599"/>
      <c r="E154" s="83"/>
      <c r="F154" s="252"/>
      <c r="V154" s="271"/>
      <c r="X154" s="271"/>
      <c r="AA154" s="271"/>
      <c r="AB154" s="271"/>
    </row>
    <row r="155" spans="1:33">
      <c r="A155" s="1211">
        <v>147</v>
      </c>
      <c r="B155" s="651" t="s">
        <v>1371</v>
      </c>
      <c r="C155" s="577" t="s">
        <v>1372</v>
      </c>
      <c r="D155" s="600">
        <v>0</v>
      </c>
      <c r="E155" s="83">
        <v>12257932.310000001</v>
      </c>
      <c r="F155" s="252">
        <f t="shared" ref="F155:F160" si="60">SUM(D155:E155)</f>
        <v>12257932.310000001</v>
      </c>
    </row>
    <row r="156" spans="1:33">
      <c r="A156" s="1211">
        <v>148</v>
      </c>
      <c r="B156" s="651" t="s">
        <v>1373</v>
      </c>
      <c r="C156" s="577" t="s">
        <v>1374</v>
      </c>
      <c r="D156" s="600">
        <v>0</v>
      </c>
      <c r="E156" s="83">
        <v>162513.79999999999</v>
      </c>
      <c r="F156" s="252">
        <f t="shared" si="60"/>
        <v>162513.79999999999</v>
      </c>
    </row>
    <row r="157" spans="1:33">
      <c r="A157" s="1211">
        <v>149</v>
      </c>
      <c r="B157" s="651" t="s">
        <v>1375</v>
      </c>
      <c r="C157" s="577" t="s">
        <v>1376</v>
      </c>
      <c r="D157" s="600">
        <v>0</v>
      </c>
      <c r="E157" s="83">
        <v>33900.879999999997</v>
      </c>
      <c r="F157" s="252">
        <f t="shared" si="60"/>
        <v>33900.879999999997</v>
      </c>
    </row>
    <row r="158" spans="1:33">
      <c r="A158" s="1211">
        <v>150</v>
      </c>
      <c r="B158" s="651" t="s">
        <v>1377</v>
      </c>
      <c r="C158" s="577" t="s">
        <v>1378</v>
      </c>
      <c r="D158" s="599">
        <v>9422.17</v>
      </c>
      <c r="E158" s="240">
        <v>30790.53</v>
      </c>
      <c r="F158" s="252">
        <f t="shared" si="60"/>
        <v>40212.699999999997</v>
      </c>
    </row>
    <row r="159" spans="1:33">
      <c r="A159" s="1211">
        <v>151</v>
      </c>
      <c r="B159" s="651" t="s">
        <v>1379</v>
      </c>
      <c r="C159" s="577" t="s">
        <v>1380</v>
      </c>
      <c r="D159" s="600">
        <v>0</v>
      </c>
      <c r="E159" s="83">
        <v>-1.0000000009313226E-2</v>
      </c>
      <c r="F159" s="252">
        <f t="shared" si="60"/>
        <v>-1.0000000009313226E-2</v>
      </c>
    </row>
    <row r="160" spans="1:33">
      <c r="A160" s="1211">
        <v>152</v>
      </c>
      <c r="B160" s="651" t="s">
        <v>1381</v>
      </c>
      <c r="C160" s="577" t="s">
        <v>1382</v>
      </c>
      <c r="D160" s="599">
        <v>-702705.75</v>
      </c>
      <c r="E160" s="240">
        <v>-24878.810000000005</v>
      </c>
      <c r="F160" s="252">
        <f t="shared" si="60"/>
        <v>-727584.56</v>
      </c>
    </row>
    <row r="161" spans="1:30">
      <c r="A161" s="1211">
        <v>153</v>
      </c>
      <c r="B161" s="650" t="s">
        <v>1383</v>
      </c>
      <c r="C161" s="575"/>
      <c r="D161" s="578">
        <f>SUM(D155:D160)</f>
        <v>-693283.58</v>
      </c>
      <c r="E161" s="656">
        <f>SUM(E155:E160)</f>
        <v>12460258.700000001</v>
      </c>
      <c r="F161" s="579">
        <f>SUM(F155:F160)</f>
        <v>11766975.120000001</v>
      </c>
    </row>
    <row r="162" spans="1:30">
      <c r="A162" s="1211">
        <v>154</v>
      </c>
      <c r="B162" s="657"/>
      <c r="C162" s="575"/>
      <c r="D162" s="599"/>
      <c r="E162" s="83"/>
      <c r="F162" s="252"/>
      <c r="H162" s="271">
        <f>H152-'Exh MCG-5, Summary of Adj'!C28</f>
        <v>0</v>
      </c>
      <c r="I162" s="271">
        <f>I152-'Exh MCG-5, Summary of Adj'!D28</f>
        <v>0</v>
      </c>
      <c r="J162" s="271">
        <f>J152-'Exh MCG-5, Summary of Adj'!E28</f>
        <v>0</v>
      </c>
      <c r="K162" s="271">
        <f>K152-'Exh MCG-5, Summary of Adj'!F28</f>
        <v>0</v>
      </c>
      <c r="L162" s="271">
        <f>L152-'Exh MCG-5, Summary of Adj'!G28</f>
        <v>0</v>
      </c>
      <c r="M162" s="271">
        <f>M152-'Exh MCG-5, Summary of Adj'!H28</f>
        <v>0</v>
      </c>
      <c r="N162" s="271">
        <f>N152-'Exh MCG-5, Summary of Adj'!I28</f>
        <v>0</v>
      </c>
      <c r="O162" s="271">
        <f>O152-'Exh MCG-5, Summary of Adj'!J28</f>
        <v>0</v>
      </c>
      <c r="P162" s="271">
        <f>P152-'Exh MCG-5, Summary of Adj'!K28</f>
        <v>0</v>
      </c>
      <c r="Q162" s="271">
        <f>Q152-'Exh MCG-5, Summary of Adj'!L28</f>
        <v>0</v>
      </c>
      <c r="T162" s="271">
        <f>T152-'Exh MCG-5, Summary of Adj'!O28</f>
        <v>0</v>
      </c>
      <c r="U162" s="271">
        <f>U152-'Exh MCG-5, Summary of Adj'!R28</f>
        <v>0</v>
      </c>
      <c r="V162" s="271">
        <f>V152-'Exh MCG-5, Summary of Adj'!S28</f>
        <v>0</v>
      </c>
      <c r="W162" s="271">
        <f>W152-'Exh MCG-5, Summary of Adj'!T28</f>
        <v>0</v>
      </c>
      <c r="X162" s="271">
        <f>X152-'Exh MCG-5, Summary of Adj'!U28</f>
        <v>0</v>
      </c>
      <c r="Y162" s="271">
        <f>Y152-'Exh MCG-5, Summary of Adj'!V28</f>
        <v>0</v>
      </c>
      <c r="Z162" s="271">
        <f>Z152-'Exh MCG-5, Summary of Adj'!W28</f>
        <v>0</v>
      </c>
      <c r="AA162" s="271">
        <f>AA152-'Exh MCG-5, Summary of Adj'!X28</f>
        <v>0</v>
      </c>
      <c r="AB162" s="271">
        <f>AB152-'Exh MCG-5, Summary of Adj'!Y28</f>
        <v>0</v>
      </c>
      <c r="AC162" s="271">
        <f>AC152-('Exh MCG-5, Summary of Adj'!P28+'Exh MCG-5, Summary of Adj'!Z28)</f>
        <v>-1.3504177331924438E-8</v>
      </c>
      <c r="AD162" s="113" t="s">
        <v>322</v>
      </c>
    </row>
    <row r="163" spans="1:30">
      <c r="A163" s="1211">
        <v>155</v>
      </c>
      <c r="B163" s="650" t="s">
        <v>1384</v>
      </c>
      <c r="C163" s="575"/>
      <c r="D163" s="599"/>
      <c r="E163" s="83"/>
      <c r="F163" s="252"/>
    </row>
    <row r="164" spans="1:30">
      <c r="A164" s="1211">
        <v>156</v>
      </c>
      <c r="B164" s="651" t="s">
        <v>1385</v>
      </c>
      <c r="C164" s="577" t="s">
        <v>1386</v>
      </c>
      <c r="D164" s="600">
        <v>0</v>
      </c>
      <c r="E164" s="240">
        <v>0</v>
      </c>
      <c r="F164" s="584">
        <f t="shared" ref="F164:F173" si="61">SUM(D164:E164)</f>
        <v>0</v>
      </c>
    </row>
    <row r="165" spans="1:30">
      <c r="A165" s="1211">
        <v>157</v>
      </c>
      <c r="B165" s="651" t="s">
        <v>1387</v>
      </c>
      <c r="C165" s="577" t="s">
        <v>1388</v>
      </c>
      <c r="D165" s="600">
        <v>0</v>
      </c>
      <c r="E165" s="240">
        <v>0</v>
      </c>
      <c r="F165" s="584">
        <f t="shared" si="61"/>
        <v>0</v>
      </c>
    </row>
    <row r="166" spans="1:30">
      <c r="A166" s="1211">
        <v>158</v>
      </c>
      <c r="B166" s="651" t="s">
        <v>1389</v>
      </c>
      <c r="C166" s="577" t="s">
        <v>1390</v>
      </c>
      <c r="D166" s="600">
        <v>0</v>
      </c>
      <c r="E166" s="240">
        <v>4447.13</v>
      </c>
      <c r="F166" s="252">
        <f t="shared" si="61"/>
        <v>4447.13</v>
      </c>
    </row>
    <row r="167" spans="1:30">
      <c r="A167" s="1211">
        <v>159</v>
      </c>
      <c r="B167" s="651" t="s">
        <v>1391</v>
      </c>
      <c r="C167" s="577" t="s">
        <v>1392</v>
      </c>
      <c r="D167" s="600">
        <v>0</v>
      </c>
      <c r="E167" s="240">
        <v>0</v>
      </c>
      <c r="F167" s="584">
        <f t="shared" si="61"/>
        <v>0</v>
      </c>
    </row>
    <row r="168" spans="1:30">
      <c r="A168" s="1211">
        <v>160</v>
      </c>
      <c r="B168" s="651" t="s">
        <v>1393</v>
      </c>
      <c r="C168" s="577" t="s">
        <v>1394</v>
      </c>
      <c r="D168" s="600">
        <v>0</v>
      </c>
      <c r="E168" s="240">
        <v>0</v>
      </c>
      <c r="F168" s="584">
        <f t="shared" si="61"/>
        <v>0</v>
      </c>
    </row>
    <row r="169" spans="1:30">
      <c r="A169" s="1211">
        <v>161</v>
      </c>
      <c r="B169" s="651" t="s">
        <v>1395</v>
      </c>
      <c r="C169" s="577" t="s">
        <v>1396</v>
      </c>
      <c r="D169" s="600">
        <v>3420840.86</v>
      </c>
      <c r="E169" s="240">
        <v>6990.4000000000015</v>
      </c>
      <c r="F169" s="252">
        <f t="shared" si="61"/>
        <v>3427831.26</v>
      </c>
    </row>
    <row r="170" spans="1:30">
      <c r="A170" s="1211">
        <v>162</v>
      </c>
      <c r="B170" s="651" t="s">
        <v>1397</v>
      </c>
      <c r="C170" s="577" t="s">
        <v>1398</v>
      </c>
      <c r="D170" s="600">
        <v>26671.34</v>
      </c>
      <c r="E170" s="240">
        <v>1175.3899999999999</v>
      </c>
      <c r="F170" s="584">
        <f t="shared" si="61"/>
        <v>27846.73</v>
      </c>
      <c r="I170" s="452"/>
    </row>
    <row r="171" spans="1:30">
      <c r="A171" s="1211">
        <v>163</v>
      </c>
      <c r="B171" s="669">
        <v>408.2</v>
      </c>
      <c r="C171" s="577" t="s">
        <v>1399</v>
      </c>
      <c r="D171" s="600">
        <v>-1116.98</v>
      </c>
      <c r="E171" s="240">
        <v>0</v>
      </c>
      <c r="F171" s="584">
        <f t="shared" si="61"/>
        <v>-1116.98</v>
      </c>
      <c r="I171" s="452"/>
    </row>
    <row r="172" spans="1:30">
      <c r="A172" s="1211">
        <v>164</v>
      </c>
      <c r="B172" s="651" t="s">
        <v>1400</v>
      </c>
      <c r="C172" s="577" t="s">
        <v>1401</v>
      </c>
      <c r="D172" s="600">
        <v>0</v>
      </c>
      <c r="E172" s="240">
        <v>4795.09</v>
      </c>
      <c r="F172" s="252">
        <f t="shared" si="61"/>
        <v>4795.09</v>
      </c>
    </row>
    <row r="173" spans="1:30">
      <c r="A173" s="1211">
        <v>165</v>
      </c>
      <c r="B173" s="651" t="s">
        <v>1402</v>
      </c>
      <c r="C173" s="577" t="s">
        <v>1403</v>
      </c>
      <c r="D173" s="600">
        <v>0</v>
      </c>
      <c r="E173" s="240">
        <v>0</v>
      </c>
      <c r="F173" s="252">
        <f t="shared" si="61"/>
        <v>0</v>
      </c>
    </row>
    <row r="174" spans="1:30">
      <c r="A174" s="1211">
        <v>166</v>
      </c>
      <c r="B174" s="650" t="s">
        <v>1404</v>
      </c>
      <c r="C174" s="575"/>
      <c r="D174" s="578">
        <f>SUM(D164:D173)</f>
        <v>3446395.2199999997</v>
      </c>
      <c r="E174" s="656">
        <f>SUM(E164:E173)</f>
        <v>17408.010000000002</v>
      </c>
      <c r="F174" s="579">
        <f>SUM(F164:F173)</f>
        <v>3463803.2299999995</v>
      </c>
    </row>
    <row r="175" spans="1:30">
      <c r="A175" s="1211">
        <v>167</v>
      </c>
      <c r="B175" s="657"/>
      <c r="C175" s="575"/>
      <c r="D175" s="599"/>
      <c r="E175" s="83"/>
      <c r="F175" s="252"/>
    </row>
    <row r="176" spans="1:30">
      <c r="A176" s="1211">
        <v>168</v>
      </c>
      <c r="B176" s="650" t="s">
        <v>1405</v>
      </c>
      <c r="C176" s="575"/>
      <c r="D176" s="599"/>
      <c r="E176" s="83"/>
      <c r="F176" s="252"/>
    </row>
    <row r="177" spans="1:6">
      <c r="A177" s="1211">
        <v>169</v>
      </c>
      <c r="B177" s="651" t="s">
        <v>1406</v>
      </c>
      <c r="C177" s="577" t="s">
        <v>1407</v>
      </c>
      <c r="D177" s="599">
        <v>1216827.98</v>
      </c>
      <c r="E177" s="83">
        <v>0</v>
      </c>
      <c r="F177" s="252">
        <f t="shared" ref="F177:F186" si="62">SUM(D177:E177)</f>
        <v>1216827.98</v>
      </c>
    </row>
    <row r="178" spans="1:6">
      <c r="A178" s="1211">
        <v>170</v>
      </c>
      <c r="B178" s="651" t="s">
        <v>1406</v>
      </c>
      <c r="C178" s="577" t="s">
        <v>1408</v>
      </c>
      <c r="D178" s="600">
        <v>0</v>
      </c>
      <c r="E178" s="83">
        <v>0</v>
      </c>
      <c r="F178" s="584">
        <f t="shared" si="62"/>
        <v>0</v>
      </c>
    </row>
    <row r="179" spans="1:6">
      <c r="A179" s="1211">
        <v>171</v>
      </c>
      <c r="B179" s="651" t="s">
        <v>1409</v>
      </c>
      <c r="C179" s="577" t="s">
        <v>1410</v>
      </c>
      <c r="D179" s="600">
        <v>887871.47</v>
      </c>
      <c r="E179" s="83">
        <v>0</v>
      </c>
      <c r="F179" s="584">
        <f t="shared" si="62"/>
        <v>887871.47</v>
      </c>
    </row>
    <row r="180" spans="1:6">
      <c r="A180" s="1211">
        <v>172</v>
      </c>
      <c r="B180" s="651" t="s">
        <v>1411</v>
      </c>
      <c r="C180" s="577" t="s">
        <v>1412</v>
      </c>
      <c r="D180" s="600">
        <v>-511856.07</v>
      </c>
      <c r="E180" s="83">
        <v>0</v>
      </c>
      <c r="F180" s="584">
        <f t="shared" si="62"/>
        <v>-511856.07</v>
      </c>
    </row>
    <row r="181" spans="1:6">
      <c r="A181" s="1211">
        <v>173</v>
      </c>
      <c r="B181" s="651" t="s">
        <v>1413</v>
      </c>
      <c r="C181" s="577" t="s">
        <v>1414</v>
      </c>
      <c r="D181" s="600">
        <v>0</v>
      </c>
      <c r="E181" s="83">
        <v>0</v>
      </c>
      <c r="F181" s="584">
        <f t="shared" si="62"/>
        <v>0</v>
      </c>
    </row>
    <row r="182" spans="1:6">
      <c r="A182" s="1211">
        <v>174</v>
      </c>
      <c r="B182" s="651" t="s">
        <v>1415</v>
      </c>
      <c r="C182" s="577" t="s">
        <v>1416</v>
      </c>
      <c r="D182" s="599">
        <v>14070</v>
      </c>
      <c r="E182" s="83">
        <v>82022.37</v>
      </c>
      <c r="F182" s="252">
        <f t="shared" si="62"/>
        <v>96092.37</v>
      </c>
    </row>
    <row r="183" spans="1:6">
      <c r="A183" s="1211">
        <v>175</v>
      </c>
      <c r="B183" s="651" t="s">
        <v>1417</v>
      </c>
      <c r="C183" s="577" t="s">
        <v>1418</v>
      </c>
      <c r="D183" s="600">
        <v>0</v>
      </c>
      <c r="E183" s="83">
        <v>-4830583.66</v>
      </c>
      <c r="F183" s="584">
        <f t="shared" si="62"/>
        <v>-4830583.66</v>
      </c>
    </row>
    <row r="184" spans="1:6">
      <c r="A184" s="1211">
        <v>176</v>
      </c>
      <c r="B184" s="651" t="s">
        <v>1419</v>
      </c>
      <c r="C184" s="577" t="s">
        <v>1420</v>
      </c>
      <c r="D184" s="600">
        <v>0</v>
      </c>
      <c r="E184" s="83">
        <v>41.24</v>
      </c>
      <c r="F184" s="584">
        <f t="shared" si="62"/>
        <v>41.24</v>
      </c>
    </row>
    <row r="185" spans="1:6">
      <c r="A185" s="1211">
        <v>177</v>
      </c>
      <c r="B185" s="651" t="s">
        <v>1421</v>
      </c>
      <c r="C185" s="577" t="s">
        <v>1422</v>
      </c>
      <c r="D185" s="599">
        <v>238.06</v>
      </c>
      <c r="E185" s="83">
        <v>202595.45</v>
      </c>
      <c r="F185" s="252">
        <f t="shared" si="62"/>
        <v>202833.51</v>
      </c>
    </row>
    <row r="186" spans="1:6">
      <c r="A186" s="1211">
        <v>178</v>
      </c>
      <c r="B186" s="651" t="s">
        <v>1423</v>
      </c>
      <c r="C186" s="577" t="s">
        <v>1424</v>
      </c>
      <c r="D186" s="600">
        <v>0</v>
      </c>
      <c r="E186" s="83">
        <v>0</v>
      </c>
      <c r="F186" s="584">
        <f t="shared" si="62"/>
        <v>0</v>
      </c>
    </row>
    <row r="187" spans="1:6">
      <c r="A187" s="1211">
        <v>179</v>
      </c>
      <c r="B187" s="650" t="s">
        <v>1425</v>
      </c>
      <c r="C187" s="575"/>
      <c r="D187" s="578">
        <f>SUM(D177:D186)</f>
        <v>1607151.4400000002</v>
      </c>
      <c r="E187" s="656">
        <f>SUM(E177:E186)</f>
        <v>-4545924.5999999996</v>
      </c>
      <c r="F187" s="579">
        <f>SUM(F177:F186)</f>
        <v>-2938773.16</v>
      </c>
    </row>
    <row r="188" spans="1:6" ht="15.75" thickBot="1">
      <c r="A188" s="1211">
        <v>180</v>
      </c>
      <c r="B188" s="670" t="s">
        <v>1426</v>
      </c>
      <c r="C188" s="671"/>
      <c r="D188" s="603">
        <f>D152-D161+D174-D187</f>
        <v>76916893.420000002</v>
      </c>
      <c r="E188" s="604">
        <f>E152-E161+E174-E187</f>
        <v>-57597377.489999995</v>
      </c>
      <c r="F188" s="605">
        <f>F152-F161+F174-F187</f>
        <v>19319515.929999966</v>
      </c>
    </row>
    <row r="189" spans="1:6" ht="15.75" thickTop="1">
      <c r="A189" s="1211"/>
    </row>
  </sheetData>
  <mergeCells count="5">
    <mergeCell ref="B14:C14"/>
    <mergeCell ref="B126:C126"/>
    <mergeCell ref="B12:C13"/>
    <mergeCell ref="D12:F12"/>
    <mergeCell ref="D13:F13"/>
  </mergeCells>
  <phoneticPr fontId="124" type="noConversion"/>
  <dataValidations count="1">
    <dataValidation type="list" allowBlank="1" showInputMessage="1" showErrorMessage="1" sqref="Q10 J10 M10" xr:uid="{274613E8-5DA3-426F-A351-7AEC148FEBB1}">
      <formula1>"On, Off"</formula1>
    </dataValidation>
  </dataValidations>
  <printOptions horizontalCentered="1"/>
  <pageMargins left="0.31" right="0.3" top="1" bottom="1" header="0.5" footer="0.5"/>
  <pageSetup scale="34" fitToHeight="0" orientation="landscape" r:id="rId1"/>
  <headerFooter scaleWithDoc="0" alignWithMargins="0">
    <oddHeader>&amp;RPage &amp;P of &amp;N</oddHeader>
    <oddFooter>&amp;LElectronic Tab Name: &amp;A</oddFooter>
  </headerFooter>
  <rowBreaks count="1" manualBreakCount="1">
    <brk id="159" max="27" man="1"/>
  </rowBreaks>
  <colBreaks count="2" manualBreakCount="2">
    <brk id="7" max="1048575" man="1"/>
    <brk id="30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9FFC0-0EE9-4684-823A-27738936012D}">
  <sheetPr codeName="Sheet32">
    <tabColor theme="7" tint="0.79998168889431442"/>
    <pageSetUpPr fitToPage="1"/>
  </sheetPr>
  <dimension ref="A2:J34"/>
  <sheetViews>
    <sheetView view="pageBreakPreview" zoomScale="80" zoomScaleNormal="100" zoomScaleSheetLayoutView="80" workbookViewId="0">
      <selection activeCell="F29" sqref="F29"/>
    </sheetView>
  </sheetViews>
  <sheetFormatPr defaultColWidth="9.140625" defaultRowHeight="15.75"/>
  <cols>
    <col min="1" max="1" width="9.42578125" style="982" bestFit="1" customWidth="1"/>
    <col min="2" max="2" width="68" style="982" bestFit="1" customWidth="1"/>
    <col min="3" max="3" width="3.42578125" style="982" customWidth="1"/>
    <col min="4" max="4" width="14.5703125" style="982" bestFit="1" customWidth="1"/>
    <col min="5" max="5" width="4" style="982" customWidth="1"/>
    <col min="6" max="6" width="13.7109375" style="983" bestFit="1" customWidth="1"/>
    <col min="7" max="7" width="9.140625" style="982"/>
    <col min="8" max="8" width="8.140625" style="982" bestFit="1" customWidth="1"/>
    <col min="9" max="16384" width="9.140625" style="982"/>
  </cols>
  <sheetData>
    <row r="2" spans="1:10">
      <c r="A2" s="1522" t="s">
        <v>348</v>
      </c>
      <c r="B2" s="1522"/>
      <c r="C2" s="1522"/>
      <c r="D2" s="1522"/>
      <c r="E2" s="1522"/>
      <c r="F2" s="1522"/>
      <c r="G2" s="984"/>
      <c r="H2" s="984"/>
    </row>
    <row r="3" spans="1:10">
      <c r="A3" s="1522" t="s">
        <v>349</v>
      </c>
      <c r="B3" s="1522"/>
      <c r="C3" s="1522"/>
      <c r="D3" s="1522"/>
      <c r="E3" s="1522"/>
      <c r="F3" s="1522"/>
      <c r="G3" s="984"/>
      <c r="H3" s="984"/>
    </row>
    <row r="4" spans="1:10">
      <c r="A4" s="1522" t="s">
        <v>1108</v>
      </c>
      <c r="B4" s="1522"/>
      <c r="C4" s="1522"/>
      <c r="D4" s="1522"/>
      <c r="E4" s="1522"/>
      <c r="F4" s="1522"/>
      <c r="G4" s="984"/>
      <c r="H4" s="984"/>
    </row>
    <row r="5" spans="1:10">
      <c r="A5" s="1522" t="s">
        <v>351</v>
      </c>
      <c r="B5" s="1522"/>
      <c r="C5" s="1522"/>
      <c r="D5" s="1522"/>
      <c r="E5" s="1522"/>
      <c r="F5" s="1522"/>
      <c r="G5" s="984"/>
      <c r="H5" s="984"/>
    </row>
    <row r="6" spans="1:10">
      <c r="A6" s="1522" t="s">
        <v>352</v>
      </c>
      <c r="B6" s="1522"/>
      <c r="C6" s="1522"/>
      <c r="D6" s="1522"/>
      <c r="E6" s="1522"/>
      <c r="F6" s="1522"/>
      <c r="G6" s="984"/>
      <c r="H6" s="984"/>
    </row>
    <row r="7" spans="1:10">
      <c r="B7" s="1216"/>
      <c r="C7" s="1216"/>
      <c r="D7" s="1216"/>
      <c r="E7" s="1216"/>
      <c r="F7" s="1216"/>
      <c r="G7" s="984"/>
      <c r="H7" s="984"/>
    </row>
    <row r="8" spans="1:10">
      <c r="B8" s="985" t="s">
        <v>353</v>
      </c>
      <c r="C8" s="985"/>
      <c r="D8" s="985" t="s">
        <v>3</v>
      </c>
      <c r="E8" s="985"/>
      <c r="F8" s="983" t="s">
        <v>4</v>
      </c>
    </row>
    <row r="9" spans="1:10">
      <c r="B9" s="986"/>
      <c r="C9" s="986"/>
      <c r="D9" s="986"/>
      <c r="E9" s="986"/>
      <c r="F9" s="987"/>
    </row>
    <row r="10" spans="1:10">
      <c r="A10" s="988" t="s">
        <v>354</v>
      </c>
      <c r="B10" s="989" t="s">
        <v>355</v>
      </c>
      <c r="D10" s="989" t="s">
        <v>356</v>
      </c>
      <c r="E10" s="989"/>
      <c r="F10" s="990" t="s">
        <v>357</v>
      </c>
      <c r="G10" s="989"/>
    </row>
    <row r="11" spans="1:10">
      <c r="A11" s="988"/>
      <c r="B11" s="985" t="s">
        <v>358</v>
      </c>
      <c r="D11" s="989"/>
      <c r="E11" s="989"/>
      <c r="F11" s="990"/>
      <c r="G11" s="989"/>
    </row>
    <row r="12" spans="1:10">
      <c r="A12" s="985">
        <v>1</v>
      </c>
      <c r="B12" s="982" t="s">
        <v>351</v>
      </c>
      <c r="D12" s="982" t="s">
        <v>1108</v>
      </c>
      <c r="F12" s="983">
        <v>1</v>
      </c>
    </row>
    <row r="13" spans="1:10">
      <c r="A13" s="985">
        <f>A12+1</f>
        <v>2</v>
      </c>
      <c r="B13" s="982" t="s">
        <v>1109</v>
      </c>
      <c r="D13" s="982" t="s">
        <v>1110</v>
      </c>
      <c r="F13" s="991" t="s">
        <v>1111</v>
      </c>
    </row>
    <row r="14" spans="1:10">
      <c r="A14" s="985">
        <f t="shared" ref="A14:A30" si="0">A13+1</f>
        <v>3</v>
      </c>
      <c r="B14" s="982" t="s">
        <v>693</v>
      </c>
      <c r="D14" s="982" t="s">
        <v>1112</v>
      </c>
      <c r="F14" s="983">
        <v>8</v>
      </c>
    </row>
    <row r="15" spans="1:10">
      <c r="A15" s="985">
        <f t="shared" si="0"/>
        <v>4</v>
      </c>
      <c r="B15" s="996" t="s">
        <v>1113</v>
      </c>
      <c r="D15" s="982" t="s">
        <v>1114</v>
      </c>
      <c r="F15" s="983">
        <v>9</v>
      </c>
      <c r="G15" s="992"/>
      <c r="H15" s="993"/>
    </row>
    <row r="16" spans="1:10">
      <c r="A16" s="985">
        <f t="shared" si="0"/>
        <v>5</v>
      </c>
      <c r="B16" s="982" t="s">
        <v>1115</v>
      </c>
      <c r="C16" s="994"/>
      <c r="D16" s="982" t="s">
        <v>1116</v>
      </c>
      <c r="E16" s="994"/>
      <c r="F16" s="983" t="s">
        <v>1117</v>
      </c>
      <c r="G16" s="995"/>
      <c r="H16" s="994"/>
      <c r="I16" s="994"/>
      <c r="J16" s="994"/>
    </row>
    <row r="17" spans="1:8">
      <c r="A17" s="985">
        <f t="shared" si="0"/>
        <v>6</v>
      </c>
      <c r="B17" s="994" t="s">
        <v>1118</v>
      </c>
      <c r="D17" s="982" t="s">
        <v>1119</v>
      </c>
      <c r="F17" s="983">
        <v>20</v>
      </c>
    </row>
    <row r="18" spans="1:8">
      <c r="A18" s="985">
        <f t="shared" si="0"/>
        <v>7</v>
      </c>
      <c r="B18" s="994" t="s">
        <v>1120</v>
      </c>
      <c r="D18" s="982" t="s">
        <v>1121</v>
      </c>
      <c r="F18" s="983">
        <v>21</v>
      </c>
    </row>
    <row r="19" spans="1:8">
      <c r="A19" s="985">
        <v>8</v>
      </c>
      <c r="B19" s="982" t="s">
        <v>1122</v>
      </c>
      <c r="D19" s="982" t="s">
        <v>1123</v>
      </c>
      <c r="F19" s="983" t="s">
        <v>1124</v>
      </c>
      <c r="H19" s="993"/>
    </row>
    <row r="20" spans="1:8">
      <c r="A20" s="985">
        <f t="shared" si="0"/>
        <v>9</v>
      </c>
      <c r="B20" s="982" t="s">
        <v>1125</v>
      </c>
      <c r="D20" s="982" t="s">
        <v>1126</v>
      </c>
      <c r="F20" s="983">
        <v>24</v>
      </c>
    </row>
    <row r="21" spans="1:8">
      <c r="A21" s="985">
        <f t="shared" si="0"/>
        <v>10</v>
      </c>
      <c r="B21" s="982" t="s">
        <v>1127</v>
      </c>
      <c r="D21" s="982" t="s">
        <v>1128</v>
      </c>
      <c r="F21" s="983" t="s">
        <v>1129</v>
      </c>
    </row>
    <row r="22" spans="1:8">
      <c r="A22" s="985">
        <f t="shared" si="0"/>
        <v>11</v>
      </c>
      <c r="B22" s="982" t="s">
        <v>3244</v>
      </c>
      <c r="D22" s="982" t="s">
        <v>1130</v>
      </c>
      <c r="F22" s="983">
        <v>27</v>
      </c>
    </row>
    <row r="23" spans="1:8">
      <c r="A23" s="985">
        <f t="shared" si="0"/>
        <v>12</v>
      </c>
      <c r="B23" s="982" t="s">
        <v>1131</v>
      </c>
      <c r="D23" s="982" t="s">
        <v>1132</v>
      </c>
      <c r="F23" s="983">
        <v>28</v>
      </c>
    </row>
    <row r="24" spans="1:8">
      <c r="A24" s="985">
        <f t="shared" si="0"/>
        <v>13</v>
      </c>
      <c r="B24" s="982" t="s">
        <v>1133</v>
      </c>
      <c r="D24" s="982" t="s">
        <v>1134</v>
      </c>
      <c r="F24" s="983" t="s">
        <v>1135</v>
      </c>
    </row>
    <row r="25" spans="1:8">
      <c r="A25" s="985">
        <f t="shared" si="0"/>
        <v>14</v>
      </c>
      <c r="B25" s="982" t="s">
        <v>1136</v>
      </c>
      <c r="D25" s="982" t="s">
        <v>1137</v>
      </c>
      <c r="F25" s="983">
        <v>31</v>
      </c>
    </row>
    <row r="26" spans="1:8">
      <c r="A26" s="985">
        <f t="shared" si="0"/>
        <v>15</v>
      </c>
      <c r="B26" s="982" t="s">
        <v>1138</v>
      </c>
      <c r="D26" s="982" t="s">
        <v>1139</v>
      </c>
      <c r="F26" s="983">
        <v>32</v>
      </c>
    </row>
    <row r="27" spans="1:8">
      <c r="A27" s="985">
        <f t="shared" si="0"/>
        <v>16</v>
      </c>
      <c r="B27" s="982" t="s">
        <v>1140</v>
      </c>
      <c r="D27" s="982" t="s">
        <v>1141</v>
      </c>
      <c r="F27" s="983">
        <v>33</v>
      </c>
    </row>
    <row r="28" spans="1:8">
      <c r="A28" s="985">
        <f t="shared" si="0"/>
        <v>17</v>
      </c>
      <c r="B28" s="982" t="s">
        <v>1142</v>
      </c>
      <c r="D28" s="982" t="s">
        <v>1143</v>
      </c>
      <c r="F28" s="983" t="s">
        <v>1144</v>
      </c>
    </row>
    <row r="29" spans="1:8">
      <c r="A29" s="985">
        <f t="shared" si="0"/>
        <v>18</v>
      </c>
      <c r="B29" s="982" t="s">
        <v>3245</v>
      </c>
      <c r="D29" s="982" t="s">
        <v>3246</v>
      </c>
      <c r="F29" s="985">
        <v>54</v>
      </c>
    </row>
    <row r="30" spans="1:8">
      <c r="A30" s="985">
        <f t="shared" si="0"/>
        <v>19</v>
      </c>
      <c r="B30" s="982" t="s">
        <v>2943</v>
      </c>
      <c r="D30" s="982" t="s">
        <v>3247</v>
      </c>
      <c r="F30" s="983">
        <v>55</v>
      </c>
    </row>
    <row r="31" spans="1:8">
      <c r="A31" s="985"/>
    </row>
    <row r="32" spans="1:8">
      <c r="A32" s="985"/>
    </row>
    <row r="33" spans="1:4">
      <c r="A33" s="985"/>
      <c r="D33" s="993"/>
    </row>
    <row r="34" spans="1:4">
      <c r="D34" s="993"/>
    </row>
  </sheetData>
  <mergeCells count="5">
    <mergeCell ref="A2:F2"/>
    <mergeCell ref="A3:F3"/>
    <mergeCell ref="A4:F4"/>
    <mergeCell ref="A5:F5"/>
    <mergeCell ref="A6:F6"/>
  </mergeCells>
  <phoneticPr fontId="124" type="noConversion"/>
  <printOptions horizontalCentered="1"/>
  <pageMargins left="0.31" right="0.3" top="1" bottom="1" header="0.5" footer="0.5"/>
  <pageSetup scale="88" fitToHeight="0" orientation="portrait" r:id="rId1"/>
  <headerFooter scaleWithDoc="0" alignWithMargins="0">
    <oddHeader>&amp;RPage &amp;P of &amp;N</oddHeader>
    <oddFooter>&amp;LElectronic Tab Name: &amp;A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theme="7" tint="0.79998168889431442"/>
    <pageSetUpPr fitToPage="1"/>
  </sheetPr>
  <dimension ref="A1:J19"/>
  <sheetViews>
    <sheetView view="pageBreakPreview" zoomScale="80" zoomScaleNormal="100" zoomScaleSheetLayoutView="80" workbookViewId="0">
      <selection activeCell="D10" sqref="D10"/>
    </sheetView>
  </sheetViews>
  <sheetFormatPr defaultColWidth="9.140625" defaultRowHeight="15"/>
  <cols>
    <col min="1" max="1" width="5.28515625" style="113" customWidth="1"/>
    <col min="2" max="2" width="40.7109375" style="113" bestFit="1" customWidth="1"/>
    <col min="3" max="3" width="18" style="113" customWidth="1"/>
    <col min="4" max="4" width="17" style="113" customWidth="1"/>
    <col min="5" max="5" width="9.140625" style="113"/>
    <col min="6" max="6" width="17" style="113" bestFit="1" customWidth="1"/>
    <col min="7" max="7" width="9.140625" style="113"/>
    <col min="8" max="8" width="17" style="113" bestFit="1" customWidth="1"/>
    <col min="9" max="9" width="21.7109375" style="113" bestFit="1" customWidth="1"/>
    <col min="10" max="16384" width="9.140625" style="113"/>
  </cols>
  <sheetData>
    <row r="1" spans="1:10">
      <c r="A1" s="1505" t="str">
        <f>Company</f>
        <v>Cascade Natural Gas Corp.</v>
      </c>
      <c r="B1" s="1505"/>
      <c r="C1" s="1505"/>
      <c r="D1" s="1505"/>
    </row>
    <row r="2" spans="1:10">
      <c r="A2" s="1505" t="str">
        <f>Title1</f>
        <v>Washington Jurisdiction</v>
      </c>
      <c r="B2" s="1505"/>
      <c r="C2" s="1505"/>
      <c r="D2" s="1505"/>
    </row>
    <row r="3" spans="1:10">
      <c r="A3" s="1505" t="str">
        <f>Title2</f>
        <v>Twelve-Months ended December 31, 2020</v>
      </c>
      <c r="B3" s="1505"/>
      <c r="C3" s="1505"/>
      <c r="D3" s="1505"/>
    </row>
    <row r="4" spans="1:10">
      <c r="A4" s="1505" t="str">
        <f>Title8</f>
        <v>UG-21____</v>
      </c>
      <c r="B4" s="1505"/>
      <c r="C4" s="1505"/>
      <c r="D4" s="1505"/>
    </row>
    <row r="5" spans="1:10">
      <c r="A5" s="1505" t="s">
        <v>1112</v>
      </c>
      <c r="B5" s="1505"/>
      <c r="C5" s="1505"/>
      <c r="D5" s="1505"/>
    </row>
    <row r="6" spans="1:10">
      <c r="A6" s="1505" t="s">
        <v>693</v>
      </c>
      <c r="B6" s="1505"/>
      <c r="C6" s="1505"/>
      <c r="D6" s="1505"/>
    </row>
    <row r="8" spans="1:10" ht="30">
      <c r="A8" s="334" t="s">
        <v>8</v>
      </c>
      <c r="B8" s="334" t="s">
        <v>9</v>
      </c>
      <c r="C8" s="334" t="s">
        <v>1427</v>
      </c>
      <c r="D8" s="334" t="s">
        <v>1428</v>
      </c>
      <c r="F8" s="451"/>
    </row>
    <row r="9" spans="1:10">
      <c r="A9" s="121"/>
      <c r="B9" s="121" t="s">
        <v>2</v>
      </c>
      <c r="C9" s="121" t="s">
        <v>3</v>
      </c>
      <c r="D9" s="121" t="s">
        <v>5</v>
      </c>
      <c r="F9" s="451"/>
      <c r="I9" s="113" t="s">
        <v>3251</v>
      </c>
    </row>
    <row r="10" spans="1:10">
      <c r="A10" s="1209">
        <v>1</v>
      </c>
      <c r="B10" s="113" t="s">
        <v>1429</v>
      </c>
      <c r="C10" s="271">
        <f>'Plt-Accum Depn'!AE176</f>
        <v>891749970.75164235</v>
      </c>
      <c r="D10" s="271">
        <f>'Plt-Accum Depn'!AC176</f>
        <v>956471579.13737798</v>
      </c>
      <c r="F10" s="342"/>
      <c r="H10" s="271">
        <v>384553.90936994553</v>
      </c>
      <c r="I10" s="113" t="s">
        <v>3254</v>
      </c>
    </row>
    <row r="11" spans="1:10">
      <c r="A11" s="1209">
        <v>2</v>
      </c>
      <c r="B11" s="113" t="s">
        <v>1430</v>
      </c>
      <c r="C11" s="624">
        <f>-'Plt-Accum Depn'!AE184</f>
        <v>-403973528.56041664</v>
      </c>
      <c r="D11" s="624">
        <f>-'Plt-Accum Depn'!AC182</f>
        <v>-415108295.39683789</v>
      </c>
      <c r="F11" s="342"/>
      <c r="H11" s="271">
        <v>-412100.99992406368</v>
      </c>
      <c r="I11" s="113" t="s">
        <v>3256</v>
      </c>
      <c r="J11" s="271"/>
    </row>
    <row r="12" spans="1:10">
      <c r="A12" s="1209">
        <v>3</v>
      </c>
      <c r="B12" s="449" t="s">
        <v>1431</v>
      </c>
      <c r="C12" s="313">
        <f>+C10+C11</f>
        <v>487776442.19122571</v>
      </c>
      <c r="D12" s="313">
        <f>+D10+D11</f>
        <v>541363283.74054003</v>
      </c>
      <c r="H12" s="271">
        <f>SUM(H10:H11)</f>
        <v>-27547.090554118156</v>
      </c>
      <c r="I12" s="113" t="s">
        <v>3255</v>
      </c>
    </row>
    <row r="13" spans="1:10">
      <c r="A13" s="1209">
        <v>4</v>
      </c>
      <c r="B13" s="113" t="s">
        <v>1432</v>
      </c>
      <c r="C13" s="313">
        <f>+'CAC-Def Tax'!AX24</f>
        <v>-3317763.3104166677</v>
      </c>
      <c r="D13" s="313">
        <f>+'CAC-Def Tax'!AU24</f>
        <v>-3032533.5500000003</v>
      </c>
    </row>
    <row r="14" spans="1:10">
      <c r="A14" s="1209">
        <v>5</v>
      </c>
      <c r="B14" s="113" t="s">
        <v>1433</v>
      </c>
      <c r="C14" s="313">
        <f>+'CAC-Def Tax'!AX44</f>
        <v>-77188638.140416712</v>
      </c>
      <c r="D14" s="313">
        <f>+'CAC-Def Tax'!AU44</f>
        <v>-77533346.280000106</v>
      </c>
      <c r="H14" s="271">
        <v>6998.8809799999999</v>
      </c>
      <c r="I14" s="1207" t="s">
        <v>3253</v>
      </c>
    </row>
    <row r="15" spans="1:10">
      <c r="A15" s="1209">
        <v>6</v>
      </c>
      <c r="B15" s="113" t="s">
        <v>1434</v>
      </c>
      <c r="C15" s="672">
        <f>+' Working Capital (AMA)'!Y745</f>
        <v>13038375.998352319</v>
      </c>
      <c r="D15" s="672">
        <f>+C15</f>
        <v>13038375.998352319</v>
      </c>
    </row>
    <row r="16" spans="1:10" ht="15.75" thickBot="1">
      <c r="A16" s="1209">
        <v>7</v>
      </c>
      <c r="B16" s="561" t="s">
        <v>1435</v>
      </c>
      <c r="C16" s="562">
        <f>+C12+C13+C14+C15</f>
        <v>420308416.73874462</v>
      </c>
      <c r="D16" s="562">
        <f>+D12+D13+D14+D15</f>
        <v>473835779.90889227</v>
      </c>
    </row>
    <row r="17" spans="1:4" ht="15.75" thickTop="1">
      <c r="A17" s="1209"/>
    </row>
    <row r="19" spans="1:4">
      <c r="B19" s="113" t="s">
        <v>322</v>
      </c>
      <c r="C19" s="271">
        <f>C11+'Plt-Accum Depn'!AE182+'Plt-Accum Depn'!AE185</f>
        <v>-2.9802322387695313E-8</v>
      </c>
      <c r="D19" s="271"/>
    </row>
  </sheetData>
  <mergeCells count="6">
    <mergeCell ref="A1:D1"/>
    <mergeCell ref="A4:D4"/>
    <mergeCell ref="A5:D5"/>
    <mergeCell ref="A6:D6"/>
    <mergeCell ref="A3:D3"/>
    <mergeCell ref="A2:D2"/>
  </mergeCells>
  <printOptions horizontalCentered="1"/>
  <pageMargins left="0.31" right="0.3" top="1" bottom="1" header="0.5" footer="0.5"/>
  <pageSetup fitToHeight="0" orientation="portrait" r:id="rId1"/>
  <headerFooter scaleWithDoc="0" alignWithMargins="0">
    <oddHeader>&amp;RPage &amp;P of &amp;N</oddHeader>
    <oddFooter>&amp;LElectronic Tab Name: &amp;A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ED391-246D-47F3-97E5-15484B75B83C}">
  <sheetPr codeName="Sheet13">
    <tabColor theme="7" tint="0.79998168889431442"/>
    <pageSetUpPr fitToPage="1"/>
  </sheetPr>
  <dimension ref="A1:DJ72"/>
  <sheetViews>
    <sheetView view="pageBreakPreview" zoomScale="90" zoomScaleNormal="90" zoomScaleSheetLayoutView="90" workbookViewId="0">
      <pane xSplit="2" ySplit="7" topLeftCell="C8" activePane="bottomRight" state="frozen"/>
      <selection pane="topRight" activeCell="A4" sqref="A4:G4"/>
      <selection pane="bottomLeft" activeCell="A4" sqref="A4:G4"/>
      <selection pane="bottomRight" activeCell="C10" sqref="C10:K10"/>
    </sheetView>
  </sheetViews>
  <sheetFormatPr defaultColWidth="9.140625" defaultRowHeight="15"/>
  <cols>
    <col min="1" max="1" width="6" style="113" customWidth="1"/>
    <col min="2" max="2" width="60.140625" style="113" bestFit="1" customWidth="1"/>
    <col min="3" max="3" width="14.5703125" style="113" customWidth="1"/>
    <col min="4" max="4" width="13.85546875" style="113" bestFit="1" customWidth="1"/>
    <col min="5" max="5" width="15.7109375" style="113" bestFit="1" customWidth="1"/>
    <col min="6" max="6" width="17.28515625" style="113" bestFit="1" customWidth="1"/>
    <col min="7" max="7" width="18.5703125" style="113" bestFit="1" customWidth="1"/>
    <col min="8" max="8" width="16.28515625" style="113" customWidth="1"/>
    <col min="9" max="11" width="13.5703125" style="113" customWidth="1"/>
    <col min="12" max="12" width="19" style="113" bestFit="1" customWidth="1"/>
    <col min="13" max="13" width="2.140625" style="113" customWidth="1"/>
    <col min="14" max="14" width="13.7109375" style="113" customWidth="1"/>
    <col min="15" max="15" width="3.85546875" style="113" customWidth="1"/>
    <col min="16" max="16" width="17.5703125" style="113" bestFit="1" customWidth="1"/>
    <col min="17" max="17" width="9.140625" style="113"/>
    <col min="18" max="18" width="13.28515625" style="113" bestFit="1" customWidth="1"/>
    <col min="19" max="20" width="14.28515625" style="113" bestFit="1" customWidth="1"/>
    <col min="21" max="21" width="13.28515625" style="113" bestFit="1" customWidth="1"/>
    <col min="22" max="22" width="16.28515625" style="113" bestFit="1" customWidth="1"/>
    <col min="23" max="16384" width="9.140625" style="113"/>
  </cols>
  <sheetData>
    <row r="1" spans="1:14">
      <c r="A1" s="209" t="str">
        <f>Company</f>
        <v>Cascade Natural Gas Corp.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</row>
    <row r="2" spans="1:14">
      <c r="A2" s="209" t="str">
        <f>Title1</f>
        <v>Washington Jurisdiction</v>
      </c>
      <c r="B2" s="209"/>
      <c r="C2" s="209"/>
      <c r="D2" s="209"/>
      <c r="E2" s="209"/>
      <c r="F2" s="287">
        <v>2901494.02</v>
      </c>
      <c r="G2" s="287">
        <v>3482361.94</v>
      </c>
      <c r="H2" s="287">
        <f>F2-G2</f>
        <v>-580867.91999999993</v>
      </c>
      <c r="I2" s="209"/>
      <c r="J2" s="209"/>
      <c r="K2" s="209"/>
      <c r="L2" s="209"/>
      <c r="M2" s="209"/>
    </row>
    <row r="3" spans="1:14">
      <c r="A3" s="209" t="str">
        <f>Title2</f>
        <v>Twelve-Months ended December 31, 2020</v>
      </c>
      <c r="B3" s="209"/>
      <c r="C3" s="209"/>
      <c r="D3" s="209"/>
      <c r="E3" s="608"/>
      <c r="F3" s="287"/>
      <c r="G3" s="209"/>
      <c r="H3" s="209"/>
      <c r="I3" s="209"/>
      <c r="J3" s="209"/>
      <c r="K3" s="209"/>
      <c r="L3" s="209"/>
      <c r="M3" s="209"/>
    </row>
    <row r="4" spans="1:14">
      <c r="A4" s="209" t="s">
        <v>1113</v>
      </c>
      <c r="B4" s="608"/>
      <c r="C4" s="608"/>
      <c r="D4" s="608"/>
      <c r="E4" s="608" t="s">
        <v>3288</v>
      </c>
      <c r="F4" s="287">
        <f>(628357*0.43466+1936947*0.43204)</f>
        <v>1109960.2355</v>
      </c>
      <c r="G4" s="287">
        <f>+((628357+1936947)*0.14931)</f>
        <v>383025.54024</v>
      </c>
      <c r="H4" s="1438">
        <f>SUM(F4:G4)</f>
        <v>1492985.77574</v>
      </c>
      <c r="I4" s="608"/>
      <c r="J4" s="608"/>
      <c r="K4" s="608"/>
      <c r="L4" s="608"/>
      <c r="M4" s="608"/>
    </row>
    <row r="5" spans="1:14">
      <c r="A5" s="209" t="s">
        <v>1114</v>
      </c>
      <c r="B5" s="209"/>
      <c r="C5" s="209"/>
      <c r="D5" s="209"/>
      <c r="E5" s="608"/>
      <c r="F5" s="1438"/>
      <c r="G5" s="608"/>
      <c r="H5" s="608"/>
      <c r="I5" s="608"/>
      <c r="J5" s="608"/>
      <c r="K5" s="608"/>
      <c r="L5" s="608"/>
      <c r="M5" s="608"/>
    </row>
    <row r="6" spans="1:14">
      <c r="A6" s="209"/>
      <c r="B6" s="608"/>
      <c r="C6" s="1523" t="s">
        <v>1436</v>
      </c>
      <c r="D6" s="1523"/>
      <c r="E6" s="1524"/>
      <c r="F6" s="1525" t="s">
        <v>1437</v>
      </c>
      <c r="G6" s="1523"/>
      <c r="H6" s="1218" t="s">
        <v>1438</v>
      </c>
      <c r="I6" s="1526" t="s">
        <v>1439</v>
      </c>
      <c r="J6" s="1527"/>
      <c r="K6" s="1527"/>
      <c r="L6" s="1528"/>
      <c r="M6" s="608"/>
    </row>
    <row r="7" spans="1:14" ht="60">
      <c r="A7" s="276" t="s">
        <v>8</v>
      </c>
      <c r="B7" s="1217" t="s">
        <v>9</v>
      </c>
      <c r="C7" s="276" t="s">
        <v>1440</v>
      </c>
      <c r="D7" s="276" t="s">
        <v>1441</v>
      </c>
      <c r="E7" s="905" t="s">
        <v>139</v>
      </c>
      <c r="F7" s="906" t="s">
        <v>3236</v>
      </c>
      <c r="G7" s="276" t="s">
        <v>132</v>
      </c>
      <c r="H7" s="965" t="s">
        <v>136</v>
      </c>
      <c r="I7" s="942" t="s">
        <v>133</v>
      </c>
      <c r="J7" s="942" t="s">
        <v>135</v>
      </c>
      <c r="K7" s="942" t="s">
        <v>134</v>
      </c>
      <c r="L7" s="277" t="s">
        <v>1442</v>
      </c>
      <c r="M7" s="278"/>
      <c r="N7" s="113" t="s">
        <v>255</v>
      </c>
    </row>
    <row r="8" spans="1:14">
      <c r="A8" s="276"/>
      <c r="B8" s="1217"/>
      <c r="C8" s="280" t="s">
        <v>1443</v>
      </c>
      <c r="D8" s="280" t="s">
        <v>1444</v>
      </c>
      <c r="E8" s="1217" t="s">
        <v>1445</v>
      </c>
      <c r="F8" s="280"/>
      <c r="G8" s="280"/>
      <c r="H8" s="280" t="s">
        <v>1446</v>
      </c>
      <c r="I8" s="280" t="s">
        <v>1447</v>
      </c>
      <c r="J8" s="280" t="s">
        <v>1448</v>
      </c>
      <c r="K8" s="280" t="s">
        <v>1449</v>
      </c>
      <c r="L8" s="281"/>
      <c r="M8" s="278"/>
    </row>
    <row r="9" spans="1:14">
      <c r="A9" s="284">
        <v>1</v>
      </c>
      <c r="B9" s="264" t="s">
        <v>673</v>
      </c>
      <c r="C9" s="285"/>
      <c r="D9" s="285"/>
      <c r="E9" s="285"/>
      <c r="F9" s="285"/>
      <c r="G9" s="285"/>
      <c r="H9" s="285"/>
      <c r="I9" s="285"/>
      <c r="J9" s="285"/>
      <c r="K9" s="285"/>
      <c r="L9" s="285"/>
      <c r="M9" s="285"/>
    </row>
    <row r="10" spans="1:14">
      <c r="A10" s="284">
        <v>2</v>
      </c>
      <c r="B10" s="257" t="s">
        <v>674</v>
      </c>
      <c r="C10" s="287">
        <v>0</v>
      </c>
      <c r="D10" s="287">
        <v>0</v>
      </c>
      <c r="E10" s="287">
        <v>0</v>
      </c>
      <c r="F10" s="287">
        <f>-'Exh IDM-2, Proof of Revenue'!E528+(628357*0.43466+1936947*0.43204)</f>
        <v>-106759086.4545</v>
      </c>
      <c r="G10" s="287">
        <f>-'Exh IDM-2, Proof of Revenue'!E529+((628357+1936947)*0.14931)</f>
        <v>-33793605.279759996</v>
      </c>
      <c r="H10" s="287">
        <f>-'Exh IDM-2, Proof of Revenue'!E530</f>
        <v>-6534913.8199999966</v>
      </c>
      <c r="I10" s="287">
        <f>-'Exh IDM-2, Proof of Revenue'!E531+887575.52</f>
        <v>0</v>
      </c>
      <c r="J10" s="287">
        <f>-'Exh IDM-2, Proof of Revenue'!E532+412122.32</f>
        <v>0</v>
      </c>
      <c r="K10" s="287">
        <f>-'Exh IDM-2, Proof of Revenue'!E533+2264943.3</f>
        <v>0</v>
      </c>
      <c r="L10" s="288">
        <f t="shared" ref="L10:L30" si="0">SUM(C10:K10)</f>
        <v>-147087605.55425999</v>
      </c>
      <c r="M10" s="287"/>
    </row>
    <row r="11" spans="1:14">
      <c r="A11" s="284">
        <v>3</v>
      </c>
      <c r="B11" s="257" t="s">
        <v>675</v>
      </c>
      <c r="C11" s="290"/>
      <c r="D11" s="290"/>
      <c r="E11" s="290"/>
      <c r="F11" s="290"/>
      <c r="G11" s="290"/>
      <c r="H11" s="290"/>
      <c r="I11" s="290"/>
      <c r="J11" s="290"/>
      <c r="K11" s="290"/>
      <c r="L11" s="288">
        <f t="shared" si="0"/>
        <v>0</v>
      </c>
      <c r="M11" s="290"/>
    </row>
    <row r="12" spans="1:14">
      <c r="A12" s="291">
        <v>4</v>
      </c>
      <c r="B12" s="257" t="s">
        <v>676</v>
      </c>
      <c r="C12" s="292">
        <f>-'Exh IDM-2, Proof of Revenue'!E525</f>
        <v>2070343.4299999995</v>
      </c>
      <c r="D12" s="292">
        <f>-'Exh IDM-2, Proof of Revenue'!E526</f>
        <v>810503.5</v>
      </c>
      <c r="E12" s="292">
        <f>-'Exh IDM-2, Proof of Revenue'!E527</f>
        <v>-585.68000000000006</v>
      </c>
      <c r="F12" s="292">
        <v>0</v>
      </c>
      <c r="G12" s="292">
        <v>0</v>
      </c>
      <c r="H12" s="292">
        <v>0</v>
      </c>
      <c r="I12" s="292">
        <v>0</v>
      </c>
      <c r="J12" s="292">
        <v>0</v>
      </c>
      <c r="K12" s="292">
        <v>0</v>
      </c>
      <c r="L12" s="945">
        <f t="shared" si="0"/>
        <v>2880261.2499999995</v>
      </c>
      <c r="M12" s="290"/>
    </row>
    <row r="13" spans="1:14">
      <c r="A13" s="284">
        <v>5</v>
      </c>
      <c r="B13" s="266" t="s">
        <v>677</v>
      </c>
      <c r="C13" s="287">
        <f>SUM(C10:C12)</f>
        <v>2070343.4299999995</v>
      </c>
      <c r="D13" s="287">
        <f t="shared" ref="D13:K13" si="1">SUM(D10:D12)</f>
        <v>810503.5</v>
      </c>
      <c r="E13" s="287">
        <f t="shared" si="1"/>
        <v>-585.68000000000006</v>
      </c>
      <c r="F13" s="287">
        <f t="shared" si="1"/>
        <v>-106759086.4545</v>
      </c>
      <c r="G13" s="287">
        <f t="shared" si="1"/>
        <v>-33793605.279759996</v>
      </c>
      <c r="H13" s="287">
        <f t="shared" si="1"/>
        <v>-6534913.8199999966</v>
      </c>
      <c r="I13" s="287">
        <f t="shared" si="1"/>
        <v>0</v>
      </c>
      <c r="J13" s="287">
        <f t="shared" si="1"/>
        <v>0</v>
      </c>
      <c r="K13" s="287">
        <f t="shared" si="1"/>
        <v>0</v>
      </c>
      <c r="L13" s="294">
        <f t="shared" si="0"/>
        <v>-144207344.30425999</v>
      </c>
      <c r="M13" s="287"/>
      <c r="N13" s="271"/>
    </row>
    <row r="14" spans="1:14">
      <c r="A14" s="284">
        <v>6</v>
      </c>
      <c r="B14" s="257"/>
      <c r="C14" s="294"/>
      <c r="D14" s="294"/>
      <c r="E14" s="294"/>
      <c r="F14" s="294"/>
      <c r="G14" s="294"/>
      <c r="H14" s="294"/>
      <c r="I14" s="294"/>
      <c r="J14" s="294"/>
      <c r="K14" s="294"/>
      <c r="L14" s="294">
        <f t="shared" si="0"/>
        <v>0</v>
      </c>
      <c r="M14" s="287"/>
    </row>
    <row r="15" spans="1:14">
      <c r="A15" s="284">
        <v>7</v>
      </c>
      <c r="B15" s="264" t="s">
        <v>678</v>
      </c>
      <c r="C15" s="294"/>
      <c r="D15" s="294"/>
      <c r="E15" s="294"/>
      <c r="F15" s="294"/>
      <c r="G15" s="294"/>
      <c r="H15" s="294"/>
      <c r="I15" s="294"/>
      <c r="J15" s="294"/>
      <c r="K15" s="294"/>
      <c r="L15" s="294">
        <f t="shared" si="0"/>
        <v>0</v>
      </c>
      <c r="M15" s="287"/>
    </row>
    <row r="16" spans="1:14">
      <c r="A16" s="284">
        <v>8</v>
      </c>
      <c r="B16" s="267" t="s">
        <v>679</v>
      </c>
      <c r="C16" s="287">
        <v>0</v>
      </c>
      <c r="D16" s="287">
        <v>0</v>
      </c>
      <c r="E16" s="287">
        <v>0</v>
      </c>
      <c r="F16" s="287">
        <f>F58</f>
        <v>-101784249.14999999</v>
      </c>
      <c r="G16" s="287">
        <f>G58</f>
        <v>-32489239</v>
      </c>
      <c r="H16" s="287">
        <v>0</v>
      </c>
      <c r="I16" s="287">
        <v>0</v>
      </c>
      <c r="J16" s="287">
        <v>0</v>
      </c>
      <c r="K16" s="287">
        <v>0</v>
      </c>
      <c r="L16" s="294">
        <f t="shared" si="0"/>
        <v>-134273488.14999998</v>
      </c>
      <c r="M16" s="290"/>
    </row>
    <row r="17" spans="1:22">
      <c r="A17" s="284">
        <v>9</v>
      </c>
      <c r="B17" s="267" t="s">
        <v>680</v>
      </c>
      <c r="C17" s="287">
        <f>+C13*('Exh MCG-4, Conversion Factor'!$F$11+'Exh MCG-4, Conversion Factor'!$F$12)</f>
        <v>83890.315783599974</v>
      </c>
      <c r="D17" s="287">
        <f>+D13*('Exh MCG-4, Conversion Factor'!$F$11+'Exh MCG-4, Conversion Factor'!$F$12)</f>
        <v>32841.601820000003</v>
      </c>
      <c r="E17" s="287">
        <f>+E13*('Exh MCG-4, Conversion Factor'!$F$11+'Exh MCG-4, Conversion Factor'!$F$12)</f>
        <v>-23.731753600000001</v>
      </c>
      <c r="F17" s="287">
        <f>+F13*('Exh MCG-4, Conversion Factor'!$F$11+'Exh MCG-4, Conversion Factor'!$F$12)</f>
        <v>-4325878.1831363402</v>
      </c>
      <c r="G17" s="287">
        <f>+G13*('Exh MCG-4, Conversion Factor'!$F$11+'Exh MCG-4, Conversion Factor'!$F$12)</f>
        <v>-1369316.8859358751</v>
      </c>
      <c r="H17" s="287">
        <f>+H13*('Exh MCG-4, Conversion Factor'!$F$11+'Exh MCG-4, Conversion Factor'!$F$12)</f>
        <v>-264794.70798639988</v>
      </c>
      <c r="I17" s="287">
        <f>+I13*('Exh MCG-4, Conversion Factor'!$F$11+'Exh MCG-4, Conversion Factor'!$F$12)</f>
        <v>0</v>
      </c>
      <c r="J17" s="287">
        <f>+J13*('Exh MCG-4, Conversion Factor'!$F$11+'Exh MCG-4, Conversion Factor'!$F$12)</f>
        <v>0</v>
      </c>
      <c r="K17" s="287">
        <f>+K13*('Exh MCG-4, Conversion Factor'!$F$11+'Exh MCG-4, Conversion Factor'!$F$12)</f>
        <v>0</v>
      </c>
      <c r="L17" s="294">
        <f t="shared" si="0"/>
        <v>-5843281.5912086144</v>
      </c>
      <c r="M17" s="290"/>
    </row>
    <row r="18" spans="1:22">
      <c r="A18" s="284">
        <v>10</v>
      </c>
      <c r="B18" s="267" t="s">
        <v>681</v>
      </c>
      <c r="C18" s="287">
        <v>0</v>
      </c>
      <c r="D18" s="287">
        <v>0</v>
      </c>
      <c r="E18" s="287">
        <v>0</v>
      </c>
      <c r="F18" s="287">
        <v>0</v>
      </c>
      <c r="G18" s="287">
        <v>0</v>
      </c>
      <c r="H18" s="287">
        <v>0</v>
      </c>
      <c r="I18" s="287">
        <v>0</v>
      </c>
      <c r="J18" s="287">
        <v>0</v>
      </c>
      <c r="K18" s="287">
        <v>0</v>
      </c>
      <c r="L18" s="294">
        <f t="shared" si="0"/>
        <v>0</v>
      </c>
      <c r="M18" s="290"/>
    </row>
    <row r="19" spans="1:22">
      <c r="A19" s="284">
        <v>11</v>
      </c>
      <c r="B19" s="267" t="s">
        <v>682</v>
      </c>
      <c r="C19" s="287">
        <v>0</v>
      </c>
      <c r="D19" s="287">
        <v>0</v>
      </c>
      <c r="E19" s="287">
        <v>0</v>
      </c>
      <c r="F19" s="287">
        <v>0</v>
      </c>
      <c r="G19" s="287">
        <v>0</v>
      </c>
      <c r="H19" s="287">
        <v>0</v>
      </c>
      <c r="I19" s="287">
        <v>0</v>
      </c>
      <c r="J19" s="287">
        <v>0</v>
      </c>
      <c r="K19" s="287">
        <v>0</v>
      </c>
      <c r="L19" s="294">
        <f t="shared" si="0"/>
        <v>0</v>
      </c>
      <c r="M19" s="290"/>
    </row>
    <row r="20" spans="1:22">
      <c r="A20" s="284">
        <v>12</v>
      </c>
      <c r="B20" s="267" t="s">
        <v>683</v>
      </c>
      <c r="C20" s="287">
        <f>+C13*'Exh MCG-4, Conversion Factor'!$F$10</f>
        <v>6418.0646329999981</v>
      </c>
      <c r="D20" s="287">
        <f>+D13*'Exh MCG-4, Conversion Factor'!$F$10</f>
        <v>2512.5608499999998</v>
      </c>
      <c r="E20" s="287">
        <f>+E13*'Exh MCG-4, Conversion Factor'!$F$10</f>
        <v>-1.8156080000000001</v>
      </c>
      <c r="F20" s="287">
        <f>+F13*'Exh MCG-4, Conversion Factor'!$F$10</f>
        <v>-330953.16800895002</v>
      </c>
      <c r="G20" s="287">
        <f>+G13*'Exh MCG-4, Conversion Factor'!$F$10</f>
        <v>-104760.17636725599</v>
      </c>
      <c r="H20" s="287">
        <f>+H13*'Exh MCG-4, Conversion Factor'!$F$10</f>
        <v>-20258.23284199999</v>
      </c>
      <c r="I20" s="287">
        <f>+I13*'Exh MCG-4, Conversion Factor'!$F$10</f>
        <v>0</v>
      </c>
      <c r="J20" s="287">
        <f>+J13*'Exh MCG-4, Conversion Factor'!$F$10</f>
        <v>0</v>
      </c>
      <c r="K20" s="287">
        <f>+K13*'Exh MCG-4, Conversion Factor'!$F$10</f>
        <v>0</v>
      </c>
      <c r="L20" s="294">
        <f>SUM(C20:K20)</f>
        <v>-447042.76734320598</v>
      </c>
      <c r="M20" s="290" t="s">
        <v>3257</v>
      </c>
    </row>
    <row r="21" spans="1:22">
      <c r="A21" s="284">
        <v>13</v>
      </c>
      <c r="B21" s="267" t="s">
        <v>684</v>
      </c>
      <c r="C21" s="287">
        <v>0</v>
      </c>
      <c r="D21" s="287">
        <v>0</v>
      </c>
      <c r="E21" s="287">
        <v>0</v>
      </c>
      <c r="F21" s="287">
        <v>0</v>
      </c>
      <c r="G21" s="287">
        <v>0</v>
      </c>
      <c r="H21" s="287">
        <f>-H66</f>
        <v>-6204365.5799999991</v>
      </c>
      <c r="I21" s="287">
        <v>0</v>
      </c>
      <c r="J21" s="287">
        <v>0</v>
      </c>
      <c r="K21" s="287">
        <v>0</v>
      </c>
      <c r="L21" s="294">
        <f t="shared" si="0"/>
        <v>-6204365.5799999991</v>
      </c>
      <c r="M21" s="290"/>
      <c r="N21" s="286"/>
      <c r="P21" s="289"/>
      <c r="R21" s="286"/>
      <c r="S21" s="286"/>
      <c r="T21" s="286"/>
      <c r="U21" s="286"/>
      <c r="V21" s="286"/>
    </row>
    <row r="22" spans="1:22">
      <c r="A22" s="284">
        <v>14</v>
      </c>
      <c r="B22" s="267" t="s">
        <v>685</v>
      </c>
      <c r="C22" s="287">
        <v>0</v>
      </c>
      <c r="D22" s="287">
        <v>0</v>
      </c>
      <c r="E22" s="287">
        <v>0</v>
      </c>
      <c r="F22" s="287">
        <v>0</v>
      </c>
      <c r="G22" s="287">
        <v>0</v>
      </c>
      <c r="H22" s="287">
        <v>0</v>
      </c>
      <c r="I22" s="287">
        <v>0</v>
      </c>
      <c r="J22" s="287">
        <v>0</v>
      </c>
      <c r="K22" s="287">
        <v>0</v>
      </c>
      <c r="L22" s="294">
        <f t="shared" si="0"/>
        <v>0</v>
      </c>
      <c r="M22" s="290"/>
      <c r="N22" s="289"/>
      <c r="R22" s="295"/>
      <c r="S22" s="295"/>
      <c r="T22" s="295"/>
      <c r="U22" s="295"/>
      <c r="V22" s="295"/>
    </row>
    <row r="23" spans="1:22">
      <c r="A23" s="284">
        <v>15</v>
      </c>
      <c r="B23" s="267" t="s">
        <v>686</v>
      </c>
      <c r="C23" s="287">
        <v>0</v>
      </c>
      <c r="D23" s="287">
        <v>0</v>
      </c>
      <c r="E23" s="287">
        <v>0</v>
      </c>
      <c r="F23" s="287">
        <v>0</v>
      </c>
      <c r="G23" s="287">
        <v>0</v>
      </c>
      <c r="H23" s="287">
        <v>0</v>
      </c>
      <c r="I23" s="287">
        <v>0</v>
      </c>
      <c r="J23" s="287">
        <v>0</v>
      </c>
      <c r="K23" s="287">
        <v>0</v>
      </c>
      <c r="L23" s="294">
        <f t="shared" si="0"/>
        <v>0</v>
      </c>
      <c r="M23" s="290"/>
      <c r="N23" s="289"/>
      <c r="R23" s="295"/>
      <c r="S23" s="295"/>
      <c r="T23" s="295"/>
      <c r="U23" s="295"/>
      <c r="V23" s="295"/>
    </row>
    <row r="24" spans="1:22">
      <c r="A24" s="284">
        <v>16</v>
      </c>
      <c r="B24" s="267" t="s">
        <v>687</v>
      </c>
      <c r="C24" s="287">
        <v>0</v>
      </c>
      <c r="D24" s="287">
        <v>0</v>
      </c>
      <c r="E24" s="287">
        <v>0</v>
      </c>
      <c r="F24" s="287">
        <v>0</v>
      </c>
      <c r="G24" s="287">
        <v>0</v>
      </c>
      <c r="H24" s="287">
        <v>0</v>
      </c>
      <c r="I24" s="287">
        <v>0</v>
      </c>
      <c r="J24" s="287">
        <v>0</v>
      </c>
      <c r="K24" s="287">
        <f>-K34</f>
        <v>0</v>
      </c>
      <c r="L24" s="294">
        <f t="shared" si="0"/>
        <v>0</v>
      </c>
      <c r="M24" s="290"/>
      <c r="N24" s="289"/>
      <c r="R24" s="295"/>
      <c r="S24" s="295"/>
      <c r="T24" s="296"/>
      <c r="U24" s="295"/>
      <c r="V24" s="296"/>
    </row>
    <row r="25" spans="1:22">
      <c r="A25" s="284">
        <v>17</v>
      </c>
      <c r="B25" s="267" t="s">
        <v>688</v>
      </c>
      <c r="C25" s="287">
        <v>0</v>
      </c>
      <c r="D25" s="287">
        <v>0</v>
      </c>
      <c r="E25" s="287">
        <v>0</v>
      </c>
      <c r="F25" s="287">
        <v>0</v>
      </c>
      <c r="G25" s="287">
        <v>0</v>
      </c>
      <c r="H25" s="287">
        <v>0</v>
      </c>
      <c r="I25" s="287">
        <v>0</v>
      </c>
      <c r="J25" s="287">
        <v>0</v>
      </c>
      <c r="K25" s="287">
        <v>0</v>
      </c>
      <c r="L25" s="294">
        <f t="shared" si="0"/>
        <v>0</v>
      </c>
      <c r="M25" s="290"/>
    </row>
    <row r="26" spans="1:22">
      <c r="A26" s="284">
        <v>18</v>
      </c>
      <c r="B26" s="267" t="s">
        <v>689</v>
      </c>
      <c r="C26" s="287">
        <f>C45</f>
        <v>2033473.37</v>
      </c>
      <c r="D26" s="287">
        <f>D48</f>
        <v>819166.14</v>
      </c>
      <c r="E26" s="287">
        <v>0</v>
      </c>
      <c r="F26" s="287">
        <v>0</v>
      </c>
      <c r="G26" s="287">
        <v>0</v>
      </c>
      <c r="H26" s="287">
        <v>0</v>
      </c>
      <c r="I26" s="287">
        <v>0</v>
      </c>
      <c r="J26" s="287">
        <v>0</v>
      </c>
      <c r="K26" s="287">
        <v>0</v>
      </c>
      <c r="L26" s="294">
        <f t="shared" si="0"/>
        <v>2852639.5100000002</v>
      </c>
      <c r="M26" s="290"/>
      <c r="V26" s="117"/>
    </row>
    <row r="27" spans="1:22">
      <c r="A27" s="284">
        <v>19</v>
      </c>
      <c r="B27" s="267" t="s">
        <v>690</v>
      </c>
      <c r="C27" s="292">
        <f>(C13-SUM(C16:C26))*'Exh MCG-4, Conversion Factor'!$C$33</f>
        <v>-11222.047287486141</v>
      </c>
      <c r="D27" s="292">
        <f>(D13-SUM(D16:D26))*'Exh MCG-4, Conversion Factor'!$C$33</f>
        <v>-9243.5285607000005</v>
      </c>
      <c r="E27" s="292">
        <f>(E13-SUM(E16:E26))*'Exh MCG-4, Conversion Factor'!$C$33</f>
        <v>-117.627854064</v>
      </c>
      <c r="F27" s="292">
        <f>(F13-SUM(F16:F26))*'Exh MCG-4, Conversion Factor'!$C$33</f>
        <v>-66781.250204490425</v>
      </c>
      <c r="G27" s="292">
        <f>(G13-SUM(G16:G26))*'Exh MCG-4, Conversion Factor'!$C$33</f>
        <v>35639.264334057341</v>
      </c>
      <c r="H27" s="292">
        <f>(H13-SUM(H16:H26))*'Exh MCG-4, Conversion Factor'!$C$33</f>
        <v>-9554.0128260355159</v>
      </c>
      <c r="I27" s="292">
        <f>(I13-SUM(I16:I26))*'Exh MCG-4, Conversion Factor'!$C$33</f>
        <v>0</v>
      </c>
      <c r="J27" s="292">
        <f>(J13-SUM(J16:J26))*'Exh MCG-4, Conversion Factor'!$C$33</f>
        <v>0</v>
      </c>
      <c r="K27" s="292">
        <f>(K13-SUM(K16:K26))*'Exh MCG-4, Conversion Factor'!$C$33</f>
        <v>0</v>
      </c>
      <c r="L27" s="946">
        <f>SUM(C27:K27)</f>
        <v>-61279.202398718742</v>
      </c>
      <c r="M27" s="290" t="s">
        <v>3257</v>
      </c>
    </row>
    <row r="28" spans="1:22">
      <c r="A28" s="284">
        <v>20</v>
      </c>
      <c r="B28" s="266" t="s">
        <v>691</v>
      </c>
      <c r="C28" s="290">
        <f>SUM(C16:C27)</f>
        <v>2112559.7031291141</v>
      </c>
      <c r="D28" s="290">
        <f t="shared" ref="D28:K28" si="2">SUM(D16:D27)</f>
        <v>845276.77410929999</v>
      </c>
      <c r="E28" s="290">
        <f t="shared" si="2"/>
        <v>-143.17521566400001</v>
      </c>
      <c r="F28" s="290">
        <f>SUM(F16:F27)</f>
        <v>-106507861.75134978</v>
      </c>
      <c r="G28" s="290">
        <f t="shared" si="2"/>
        <v>-33927676.797969066</v>
      </c>
      <c r="H28" s="290">
        <f t="shared" si="2"/>
        <v>-6498972.5336544346</v>
      </c>
      <c r="I28" s="290">
        <f t="shared" si="2"/>
        <v>0</v>
      </c>
      <c r="J28" s="290">
        <f t="shared" si="2"/>
        <v>0</v>
      </c>
      <c r="K28" s="290">
        <f t="shared" si="2"/>
        <v>0</v>
      </c>
      <c r="L28" s="294">
        <f t="shared" si="0"/>
        <v>-143976817.78095052</v>
      </c>
      <c r="M28" s="290"/>
      <c r="N28" s="286"/>
      <c r="P28" s="286"/>
      <c r="V28" s="299"/>
    </row>
    <row r="29" spans="1:22">
      <c r="A29" s="284">
        <v>21</v>
      </c>
      <c r="B29" s="266"/>
      <c r="C29" s="290"/>
      <c r="D29" s="290"/>
      <c r="E29" s="290"/>
      <c r="F29" s="290"/>
      <c r="G29" s="290"/>
      <c r="H29" s="290"/>
      <c r="I29" s="290"/>
      <c r="J29" s="290"/>
      <c r="K29" s="290"/>
      <c r="L29" s="294">
        <f t="shared" si="0"/>
        <v>0</v>
      </c>
      <c r="M29" s="290"/>
      <c r="N29" s="286"/>
      <c r="P29" s="286"/>
      <c r="V29" s="299"/>
    </row>
    <row r="30" spans="1:22">
      <c r="A30" s="284">
        <v>22</v>
      </c>
      <c r="B30" s="264" t="s">
        <v>692</v>
      </c>
      <c r="C30" s="300">
        <f>+C13-C28</f>
        <v>-42216.273129114648</v>
      </c>
      <c r="D30" s="300">
        <f t="shared" ref="D30:K30" si="3">+D13-D28</f>
        <v>-34773.274109299993</v>
      </c>
      <c r="E30" s="300">
        <f t="shared" si="3"/>
        <v>-442.50478433600006</v>
      </c>
      <c r="F30" s="300">
        <f>+F13-F28</f>
        <v>-251224.70315022767</v>
      </c>
      <c r="G30" s="300">
        <f t="shared" si="3"/>
        <v>134071.51820906997</v>
      </c>
      <c r="H30" s="300">
        <f t="shared" si="3"/>
        <v>-35941.286345561966</v>
      </c>
      <c r="I30" s="300">
        <f t="shared" si="3"/>
        <v>0</v>
      </c>
      <c r="J30" s="300">
        <f t="shared" si="3"/>
        <v>0</v>
      </c>
      <c r="K30" s="300">
        <f t="shared" si="3"/>
        <v>0</v>
      </c>
      <c r="L30" s="301">
        <f t="shared" si="0"/>
        <v>-230526.52330947027</v>
      </c>
      <c r="M30" s="287"/>
      <c r="N30" s="289"/>
    </row>
    <row r="31" spans="1:22">
      <c r="A31" s="284">
        <v>23</v>
      </c>
      <c r="B31" s="264"/>
      <c r="C31" s="294"/>
      <c r="D31" s="294"/>
      <c r="E31" s="294"/>
      <c r="F31" s="294"/>
      <c r="G31" s="294"/>
      <c r="H31" s="294"/>
      <c r="I31" s="294"/>
      <c r="J31" s="294"/>
      <c r="K31" s="294"/>
      <c r="L31" s="294"/>
      <c r="M31" s="290"/>
      <c r="N31" s="289"/>
      <c r="V31" s="299"/>
    </row>
    <row r="32" spans="1:22">
      <c r="A32" s="284">
        <v>24</v>
      </c>
      <c r="B32" s="264" t="s">
        <v>693</v>
      </c>
      <c r="C32" s="290"/>
      <c r="D32" s="290"/>
      <c r="E32" s="290"/>
      <c r="F32" s="290"/>
      <c r="G32" s="290"/>
      <c r="H32" s="290"/>
      <c r="I32" s="290"/>
      <c r="J32" s="290"/>
      <c r="K32" s="290"/>
      <c r="L32" s="288"/>
      <c r="M32" s="290"/>
      <c r="N32" s="289"/>
      <c r="P32" s="289"/>
    </row>
    <row r="33" spans="1:114">
      <c r="A33" s="284">
        <v>25</v>
      </c>
      <c r="B33" s="257" t="s">
        <v>694</v>
      </c>
      <c r="C33" s="290"/>
      <c r="D33" s="290"/>
      <c r="E33" s="290"/>
      <c r="F33" s="290"/>
      <c r="G33" s="290"/>
      <c r="H33" s="290"/>
      <c r="I33" s="290"/>
      <c r="J33" s="290"/>
      <c r="K33" s="290"/>
      <c r="L33" s="294">
        <f t="shared" ref="L33:L38" si="4">SUM(C33:K33)</f>
        <v>0</v>
      </c>
      <c r="M33" s="290"/>
      <c r="V33" s="271"/>
    </row>
    <row r="34" spans="1:114">
      <c r="A34" s="284">
        <v>26</v>
      </c>
      <c r="B34" s="257" t="s">
        <v>695</v>
      </c>
      <c r="C34" s="290"/>
      <c r="D34" s="290"/>
      <c r="E34" s="290"/>
      <c r="F34" s="290"/>
      <c r="G34" s="290"/>
      <c r="H34" s="290"/>
      <c r="I34" s="290"/>
      <c r="J34" s="290"/>
      <c r="K34" s="290"/>
      <c r="L34" s="294">
        <f t="shared" si="4"/>
        <v>0</v>
      </c>
      <c r="M34" s="290"/>
      <c r="N34" s="5"/>
      <c r="V34" s="259"/>
    </row>
    <row r="35" spans="1:114">
      <c r="A35" s="284">
        <v>27</v>
      </c>
      <c r="B35" s="257" t="s">
        <v>696</v>
      </c>
      <c r="C35" s="290"/>
      <c r="D35" s="290"/>
      <c r="E35" s="290"/>
      <c r="F35" s="290"/>
      <c r="G35" s="290"/>
      <c r="H35" s="290"/>
      <c r="I35" s="290"/>
      <c r="J35" s="290"/>
      <c r="K35" s="290"/>
      <c r="L35" s="294">
        <f t="shared" si="4"/>
        <v>0</v>
      </c>
      <c r="M35" s="290"/>
    </row>
    <row r="36" spans="1:114">
      <c r="A36" s="284">
        <v>28</v>
      </c>
      <c r="B36" s="257" t="s">
        <v>697</v>
      </c>
      <c r="C36" s="290"/>
      <c r="D36" s="290"/>
      <c r="E36" s="290"/>
      <c r="F36" s="290"/>
      <c r="G36" s="290"/>
      <c r="H36" s="290"/>
      <c r="I36" s="290"/>
      <c r="J36" s="290"/>
      <c r="K36" s="290"/>
      <c r="L36" s="294">
        <f t="shared" si="4"/>
        <v>0</v>
      </c>
      <c r="M36" s="290"/>
    </row>
    <row r="37" spans="1:114">
      <c r="A37" s="284">
        <v>29</v>
      </c>
      <c r="B37" s="257" t="s">
        <v>698</v>
      </c>
      <c r="C37" s="290"/>
      <c r="D37" s="290"/>
      <c r="E37" s="290"/>
      <c r="F37" s="290"/>
      <c r="G37" s="290"/>
      <c r="H37" s="290"/>
      <c r="I37" s="290"/>
      <c r="J37" s="290"/>
      <c r="K37" s="290"/>
      <c r="L37" s="294">
        <f t="shared" si="4"/>
        <v>0</v>
      </c>
      <c r="M37" s="290"/>
      <c r="N37" s="271"/>
    </row>
    <row r="38" spans="1:114">
      <c r="A38" s="284">
        <v>30</v>
      </c>
      <c r="B38" s="266" t="s">
        <v>699</v>
      </c>
      <c r="C38" s="302">
        <f>SUM(C33:C37)</f>
        <v>0</v>
      </c>
      <c r="D38" s="302">
        <f t="shared" ref="D38:K38" si="5">SUM(D33:D37)</f>
        <v>0</v>
      </c>
      <c r="E38" s="302">
        <f t="shared" si="5"/>
        <v>0</v>
      </c>
      <c r="F38" s="302">
        <f t="shared" si="5"/>
        <v>0</v>
      </c>
      <c r="G38" s="302">
        <f t="shared" si="5"/>
        <v>0</v>
      </c>
      <c r="H38" s="302">
        <f t="shared" si="5"/>
        <v>0</v>
      </c>
      <c r="I38" s="302">
        <f t="shared" si="5"/>
        <v>0</v>
      </c>
      <c r="J38" s="302">
        <f t="shared" si="5"/>
        <v>0</v>
      </c>
      <c r="K38" s="302">
        <f t="shared" si="5"/>
        <v>0</v>
      </c>
      <c r="L38" s="303">
        <f t="shared" si="4"/>
        <v>0</v>
      </c>
      <c r="M38" s="290"/>
      <c r="N38" s="271"/>
    </row>
    <row r="39" spans="1:114">
      <c r="A39" s="284">
        <v>31</v>
      </c>
      <c r="B39" s="304"/>
      <c r="C39" s="305"/>
      <c r="D39" s="305"/>
      <c r="E39" s="305"/>
      <c r="F39" s="305"/>
      <c r="G39" s="305"/>
      <c r="H39" s="305"/>
      <c r="I39" s="305"/>
      <c r="J39" s="305"/>
      <c r="K39" s="305"/>
      <c r="L39" s="307"/>
      <c r="M39" s="308"/>
      <c r="N39" s="271"/>
      <c r="O39" s="278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304"/>
      <c r="AB39" s="304"/>
      <c r="AC39" s="304"/>
      <c r="AD39" s="304"/>
      <c r="AE39" s="304"/>
      <c r="AF39" s="304"/>
      <c r="AG39" s="304"/>
      <c r="AH39" s="304"/>
      <c r="AI39" s="304"/>
      <c r="AJ39" s="304"/>
      <c r="AK39" s="304"/>
      <c r="AL39" s="304"/>
      <c r="AM39" s="304"/>
      <c r="AN39" s="304"/>
      <c r="AO39" s="304"/>
      <c r="AP39" s="304"/>
      <c r="AQ39" s="304"/>
      <c r="AR39" s="304"/>
      <c r="AS39" s="304"/>
      <c r="AT39" s="304"/>
      <c r="AU39" s="304"/>
      <c r="AV39" s="304"/>
      <c r="AW39" s="304"/>
      <c r="AX39" s="304"/>
      <c r="AY39" s="304"/>
      <c r="AZ39" s="304"/>
      <c r="BA39" s="304"/>
      <c r="BB39" s="304"/>
      <c r="BC39" s="304"/>
      <c r="BD39" s="304"/>
      <c r="BE39" s="304"/>
      <c r="BF39" s="304"/>
      <c r="BG39" s="304"/>
      <c r="BH39" s="304"/>
      <c r="BI39" s="304"/>
      <c r="BJ39" s="304"/>
      <c r="BK39" s="304"/>
      <c r="BL39" s="304"/>
      <c r="BM39" s="304"/>
      <c r="BN39" s="304"/>
      <c r="BO39" s="304"/>
      <c r="BP39" s="304"/>
      <c r="BQ39" s="304"/>
      <c r="BR39" s="304"/>
      <c r="BS39" s="304"/>
      <c r="BT39" s="304"/>
      <c r="BU39" s="304"/>
      <c r="BV39" s="304"/>
      <c r="BW39" s="304"/>
      <c r="BX39" s="304"/>
      <c r="BY39" s="304"/>
      <c r="BZ39" s="304"/>
      <c r="CA39" s="304"/>
      <c r="CB39" s="304"/>
      <c r="CC39" s="304"/>
      <c r="CD39" s="304"/>
      <c r="CE39" s="304"/>
      <c r="CF39" s="304"/>
      <c r="CG39" s="304"/>
      <c r="CH39" s="304"/>
      <c r="CI39" s="304"/>
      <c r="CJ39" s="304"/>
      <c r="CK39" s="304"/>
      <c r="CL39" s="304"/>
      <c r="CM39" s="304"/>
      <c r="CN39" s="304"/>
      <c r="CO39" s="304"/>
      <c r="CP39" s="304"/>
      <c r="CQ39" s="304"/>
      <c r="CR39" s="304"/>
      <c r="CS39" s="304"/>
      <c r="CT39" s="304"/>
      <c r="CU39" s="304"/>
      <c r="CV39" s="304"/>
      <c r="CW39" s="304"/>
      <c r="CX39" s="304"/>
      <c r="CY39" s="304"/>
      <c r="CZ39" s="304"/>
      <c r="DA39" s="304"/>
      <c r="DB39" s="304"/>
      <c r="DC39" s="304"/>
      <c r="DD39" s="304"/>
      <c r="DE39" s="304"/>
      <c r="DF39" s="304"/>
      <c r="DG39" s="304"/>
      <c r="DH39" s="304"/>
      <c r="DI39" s="304"/>
      <c r="DJ39" s="304"/>
    </row>
    <row r="40" spans="1:114">
      <c r="A40" s="284">
        <v>32</v>
      </c>
      <c r="B40" s="310" t="s">
        <v>733</v>
      </c>
      <c r="C40" s="311">
        <f>((+C38*'WACC Calculation'!$E$13)-'Suppl Sch Adj'!C30)/'Exh MCG-4, Conversion Factor'!$C$26</f>
        <v>55911.064236779916</v>
      </c>
      <c r="D40" s="311">
        <f>((+D38*'WACC Calculation'!$E$13)-'Suppl Sch Adj'!D30)/'Exh MCG-4, Conversion Factor'!$C$26</f>
        <v>46053.585935973912</v>
      </c>
      <c r="E40" s="311">
        <f>((+E38*'WACC Calculation'!$E$13)-'Suppl Sch Adj'!E30)/'Exh MCG-4, Conversion Factor'!$C$26</f>
        <v>586.05157651943125</v>
      </c>
      <c r="F40" s="311">
        <f>((+F38*'WACC Calculation'!$E$13)-'Suppl Sch Adj'!F30)/'Exh MCG-4, Conversion Factor'!$C$26</f>
        <v>332720.99772377324</v>
      </c>
      <c r="G40" s="311">
        <f>((+G38*'WACC Calculation'!$E$13)-'Suppl Sch Adj'!G30)/'Exh MCG-4, Conversion Factor'!$C$26</f>
        <v>-177563.78550953168</v>
      </c>
      <c r="H40" s="311">
        <f>((+H38*'WACC Calculation'!$E$13)-'Suppl Sch Adj'!H30)/'Exh MCG-4, Conversion Factor'!$C$26</f>
        <v>47600.496696458598</v>
      </c>
      <c r="I40" s="311">
        <f>((+I38*'WACC Calculation'!$E$13)-'Suppl Sch Adj'!I30)/'Exh MCG-4, Conversion Factor'!$C$26</f>
        <v>0</v>
      </c>
      <c r="J40" s="311">
        <f>((+J38*'WACC Calculation'!$E$13)-'Suppl Sch Adj'!J30)/'Exh MCG-4, Conversion Factor'!$C$26</f>
        <v>0</v>
      </c>
      <c r="K40" s="311">
        <f>((+K38*'WACC Calculation'!$E$13)-'Suppl Sch Adj'!K30)/'Exh MCG-4, Conversion Factor'!$C$26</f>
        <v>0</v>
      </c>
      <c r="L40" s="311">
        <f>((+L38*'WACC Calculation'!$E$13)-'Suppl Sch Adj'!L30)/'Exh MCG-4, Conversion Factor'!$C$26</f>
        <v>305308.41065997339</v>
      </c>
      <c r="M40" s="311"/>
      <c r="N40" s="311"/>
      <c r="O40" s="311"/>
      <c r="P40" s="311"/>
      <c r="Q40" s="311"/>
      <c r="R40" s="311"/>
      <c r="S40" s="311"/>
      <c r="T40" s="311"/>
      <c r="U40" s="311"/>
      <c r="V40" s="311"/>
      <c r="W40" s="311"/>
      <c r="X40" s="311"/>
      <c r="Y40" s="311"/>
      <c r="Z40" s="311"/>
      <c r="AA40" s="311"/>
      <c r="AB40" s="311"/>
      <c r="AC40" s="311"/>
      <c r="AD40" s="311"/>
      <c r="AE40" s="311"/>
      <c r="AF40" s="311"/>
      <c r="AG40" s="311"/>
      <c r="AH40" s="311"/>
      <c r="AI40" s="311"/>
      <c r="AJ40" s="311"/>
      <c r="AK40" s="311"/>
      <c r="AL40" s="311"/>
      <c r="AM40" s="311"/>
      <c r="AN40" s="311"/>
      <c r="AO40" s="311"/>
      <c r="AP40" s="311"/>
      <c r="AQ40" s="311"/>
      <c r="AR40" s="311"/>
      <c r="AS40" s="311"/>
      <c r="AT40" s="311"/>
      <c r="AU40" s="311"/>
      <c r="AV40" s="311"/>
      <c r="AW40" s="311"/>
      <c r="AX40" s="311"/>
      <c r="AY40" s="311"/>
      <c r="AZ40" s="311"/>
      <c r="BA40" s="311"/>
      <c r="BB40" s="311"/>
      <c r="BC40" s="311"/>
      <c r="BD40" s="311"/>
      <c r="BE40" s="311"/>
      <c r="BF40" s="311"/>
      <c r="BG40" s="311"/>
      <c r="BH40" s="311"/>
      <c r="BI40" s="311"/>
      <c r="BJ40" s="311"/>
      <c r="BK40" s="311"/>
      <c r="BL40" s="311"/>
      <c r="BM40" s="311"/>
      <c r="BN40" s="311"/>
      <c r="BO40" s="311"/>
      <c r="BP40" s="311"/>
      <c r="BQ40" s="311"/>
      <c r="BR40" s="311"/>
      <c r="BS40" s="311"/>
      <c r="BT40" s="311"/>
      <c r="BU40" s="311"/>
      <c r="BV40" s="311"/>
      <c r="BW40" s="311"/>
      <c r="BX40" s="311"/>
      <c r="BY40" s="311"/>
      <c r="BZ40" s="311"/>
      <c r="CA40" s="311"/>
      <c r="CB40" s="311"/>
      <c r="CC40" s="311"/>
      <c r="CD40" s="311"/>
      <c r="CE40" s="311"/>
      <c r="CF40" s="311"/>
      <c r="CG40" s="311"/>
      <c r="CH40" s="311"/>
      <c r="CI40" s="311"/>
      <c r="CJ40" s="311"/>
      <c r="CK40" s="311"/>
      <c r="CL40" s="311"/>
      <c r="CM40" s="311"/>
      <c r="CN40" s="311"/>
      <c r="CO40" s="311"/>
      <c r="CP40" s="311"/>
      <c r="CQ40" s="311"/>
      <c r="CR40" s="311"/>
      <c r="CS40" s="311"/>
      <c r="CT40" s="311"/>
      <c r="CU40" s="311"/>
      <c r="CV40" s="311"/>
      <c r="CW40" s="311"/>
      <c r="CX40" s="311"/>
      <c r="CY40" s="311"/>
      <c r="CZ40" s="311"/>
      <c r="DA40" s="311"/>
      <c r="DB40" s="311"/>
      <c r="DC40" s="311"/>
      <c r="DD40" s="311"/>
      <c r="DE40" s="311"/>
      <c r="DF40" s="311"/>
      <c r="DG40" s="311"/>
      <c r="DH40" s="311"/>
      <c r="DI40" s="311"/>
      <c r="DJ40" s="311"/>
    </row>
    <row r="41" spans="1:114">
      <c r="A41" s="278"/>
      <c r="B41" s="278"/>
      <c r="C41" s="312"/>
      <c r="D41" s="312"/>
      <c r="E41" s="312"/>
      <c r="F41" s="312"/>
      <c r="G41" s="312"/>
      <c r="H41" s="312"/>
      <c r="I41" s="312"/>
      <c r="J41" s="312"/>
      <c r="K41" s="312"/>
      <c r="L41" s="278"/>
      <c r="M41" s="312"/>
      <c r="N41" s="278"/>
      <c r="O41" s="278"/>
      <c r="P41" s="278"/>
      <c r="Q41" s="278"/>
      <c r="R41" s="278"/>
      <c r="S41" s="278"/>
      <c r="T41" s="278"/>
      <c r="U41" s="278"/>
      <c r="V41" s="278"/>
      <c r="W41" s="278"/>
      <c r="X41" s="278"/>
      <c r="Y41" s="278"/>
      <c r="Z41" s="278"/>
      <c r="AA41" s="278"/>
      <c r="AB41" s="278"/>
      <c r="AC41" s="278"/>
      <c r="AD41" s="278"/>
      <c r="AE41" s="278"/>
      <c r="AF41" s="278"/>
      <c r="AG41" s="278"/>
      <c r="AH41" s="278"/>
      <c r="AI41" s="278"/>
      <c r="AJ41" s="278"/>
      <c r="AK41" s="278"/>
      <c r="AL41" s="278"/>
      <c r="AM41" s="278"/>
      <c r="AN41" s="278"/>
      <c r="AO41" s="278"/>
      <c r="AP41" s="278"/>
      <c r="AQ41" s="278"/>
      <c r="AR41" s="278"/>
      <c r="AS41" s="278"/>
      <c r="AT41" s="278"/>
      <c r="AU41" s="278"/>
      <c r="AV41" s="278"/>
      <c r="AW41" s="278"/>
      <c r="AX41" s="278"/>
      <c r="AY41" s="278"/>
      <c r="AZ41" s="278"/>
      <c r="BA41" s="278"/>
      <c r="BB41" s="278"/>
      <c r="BC41" s="278"/>
      <c r="BD41" s="278"/>
      <c r="BE41" s="278"/>
      <c r="BF41" s="278"/>
      <c r="BG41" s="278"/>
      <c r="BH41" s="278"/>
      <c r="BI41" s="278"/>
      <c r="BJ41" s="278"/>
      <c r="BK41" s="278"/>
      <c r="BL41" s="278"/>
      <c r="BM41" s="278"/>
      <c r="BN41" s="278"/>
      <c r="BO41" s="278"/>
      <c r="BP41" s="278"/>
      <c r="BQ41" s="278"/>
      <c r="BR41" s="278"/>
      <c r="BS41" s="278"/>
      <c r="BT41" s="278"/>
      <c r="BU41" s="278"/>
      <c r="BV41" s="278"/>
      <c r="BW41" s="278"/>
      <c r="BX41" s="278"/>
      <c r="BY41" s="278"/>
      <c r="BZ41" s="278"/>
      <c r="CA41" s="278"/>
      <c r="CB41" s="278"/>
      <c r="CC41" s="278"/>
      <c r="CD41" s="278"/>
      <c r="CE41" s="278"/>
      <c r="CF41" s="278"/>
      <c r="CG41" s="278"/>
      <c r="CH41" s="278"/>
      <c r="CI41" s="278"/>
      <c r="CJ41" s="278"/>
      <c r="CK41" s="278"/>
      <c r="CL41" s="278"/>
      <c r="CM41" s="278"/>
      <c r="CN41" s="278"/>
      <c r="CO41" s="278"/>
      <c r="CP41" s="278"/>
      <c r="CQ41" s="278"/>
      <c r="CR41" s="278"/>
      <c r="CS41" s="278"/>
      <c r="CT41" s="278"/>
      <c r="CU41" s="278"/>
      <c r="CV41" s="278"/>
      <c r="CW41" s="278"/>
      <c r="CX41" s="278"/>
      <c r="CY41" s="278"/>
      <c r="CZ41" s="278"/>
      <c r="DA41" s="278"/>
      <c r="DB41" s="278"/>
      <c r="DC41" s="278"/>
      <c r="DD41" s="278"/>
      <c r="DE41" s="278"/>
      <c r="DF41" s="278"/>
      <c r="DG41" s="278"/>
      <c r="DH41" s="278"/>
      <c r="DI41" s="278"/>
      <c r="DJ41" s="278"/>
    </row>
    <row r="42" spans="1:114">
      <c r="A42" s="278"/>
      <c r="B42" s="278"/>
      <c r="C42" s="313"/>
      <c r="D42" s="313"/>
      <c r="E42" s="313"/>
      <c r="F42" s="313"/>
      <c r="G42" s="313"/>
      <c r="H42" s="313"/>
      <c r="K42" s="313"/>
      <c r="L42" s="278"/>
      <c r="M42" s="312"/>
      <c r="N42" s="278"/>
      <c r="O42" s="278"/>
      <c r="P42" s="278"/>
      <c r="Q42" s="278"/>
      <c r="R42" s="278"/>
      <c r="S42" s="278"/>
      <c r="T42" s="278"/>
      <c r="U42" s="278"/>
      <c r="V42" s="278"/>
      <c r="W42" s="278"/>
      <c r="X42" s="278"/>
      <c r="Y42" s="278"/>
      <c r="Z42" s="278"/>
      <c r="AA42" s="278"/>
      <c r="AB42" s="278"/>
      <c r="AC42" s="278"/>
      <c r="AD42" s="278"/>
      <c r="AE42" s="278"/>
      <c r="AF42" s="278"/>
      <c r="AG42" s="278"/>
      <c r="AH42" s="278"/>
      <c r="AI42" s="278"/>
      <c r="AJ42" s="278"/>
      <c r="AK42" s="278"/>
      <c r="AL42" s="278"/>
      <c r="AM42" s="278"/>
      <c r="AN42" s="278"/>
      <c r="AO42" s="278"/>
      <c r="AP42" s="278"/>
      <c r="AQ42" s="278"/>
      <c r="AR42" s="278"/>
      <c r="AS42" s="278"/>
      <c r="AT42" s="278"/>
      <c r="AU42" s="278"/>
      <c r="AV42" s="278"/>
      <c r="AW42" s="278"/>
      <c r="AX42" s="278"/>
      <c r="AY42" s="278"/>
      <c r="AZ42" s="278"/>
      <c r="BA42" s="278"/>
      <c r="BB42" s="278"/>
      <c r="BC42" s="278"/>
      <c r="BD42" s="278"/>
      <c r="BE42" s="278"/>
      <c r="BF42" s="278"/>
      <c r="BG42" s="278"/>
      <c r="BH42" s="278"/>
      <c r="BI42" s="278"/>
      <c r="BJ42" s="278"/>
      <c r="BK42" s="278"/>
      <c r="BL42" s="278"/>
      <c r="BM42" s="278"/>
      <c r="BN42" s="278"/>
      <c r="BO42" s="278"/>
      <c r="BP42" s="278"/>
      <c r="BQ42" s="278"/>
      <c r="BR42" s="278"/>
      <c r="BS42" s="278"/>
      <c r="BT42" s="278"/>
      <c r="BU42" s="278"/>
      <c r="BV42" s="278"/>
      <c r="BW42" s="278"/>
      <c r="BX42" s="278"/>
      <c r="BY42" s="278"/>
      <c r="BZ42" s="278"/>
      <c r="CA42" s="278"/>
      <c r="CB42" s="278"/>
      <c r="CC42" s="278"/>
      <c r="CD42" s="278"/>
      <c r="CE42" s="278"/>
      <c r="CF42" s="278"/>
      <c r="CG42" s="278"/>
      <c r="CH42" s="278"/>
      <c r="CI42" s="278"/>
      <c r="CJ42" s="278"/>
      <c r="CK42" s="278"/>
      <c r="CL42" s="278"/>
      <c r="CM42" s="278"/>
      <c r="CN42" s="278"/>
      <c r="CO42" s="278"/>
      <c r="CP42" s="278"/>
      <c r="CQ42" s="278"/>
      <c r="CR42" s="278"/>
      <c r="CS42" s="278"/>
      <c r="CT42" s="278"/>
      <c r="CU42" s="278"/>
      <c r="CV42" s="278"/>
      <c r="CW42" s="278"/>
      <c r="CX42" s="278"/>
      <c r="CY42" s="278"/>
      <c r="CZ42" s="278"/>
      <c r="DA42" s="278"/>
      <c r="DB42" s="278"/>
      <c r="DC42" s="278"/>
      <c r="DD42" s="278"/>
      <c r="DE42" s="278"/>
      <c r="DF42" s="278"/>
      <c r="DG42" s="278"/>
      <c r="DH42" s="278"/>
      <c r="DI42" s="278"/>
      <c r="DJ42" s="278"/>
    </row>
    <row r="43" spans="1:114">
      <c r="A43" s="943"/>
      <c r="C43" s="1179"/>
      <c r="D43" s="1179"/>
    </row>
    <row r="44" spans="1:114">
      <c r="A44" s="943"/>
      <c r="B44" s="113" t="s">
        <v>1450</v>
      </c>
      <c r="D44" s="1315">
        <v>4962</v>
      </c>
      <c r="E44" s="1182">
        <f>D48+C45</f>
        <v>2852639.5100000002</v>
      </c>
    </row>
    <row r="45" spans="1:114">
      <c r="B45" t="s">
        <v>1451</v>
      </c>
      <c r="C45" s="1180">
        <v>2033473.37</v>
      </c>
    </row>
    <row r="46" spans="1:114">
      <c r="C46" s="1180"/>
      <c r="D46" s="1180"/>
    </row>
    <row r="47" spans="1:114">
      <c r="B47" s="113" t="s">
        <v>1452</v>
      </c>
      <c r="C47" s="1180"/>
    </row>
    <row r="48" spans="1:114">
      <c r="B48" t="s">
        <v>1453</v>
      </c>
      <c r="C48" s="1181"/>
      <c r="D48" s="1182">
        <v>819166.14</v>
      </c>
      <c r="F48" s="944"/>
      <c r="G48" s="944"/>
    </row>
    <row r="50" spans="2:11">
      <c r="B50" s="113" t="s">
        <v>1437</v>
      </c>
    </row>
    <row r="51" spans="2:11">
      <c r="B51" t="s">
        <v>1454</v>
      </c>
      <c r="E51" s="113">
        <v>804</v>
      </c>
      <c r="F51" s="963">
        <v>-111720524.34</v>
      </c>
      <c r="G51" s="963"/>
      <c r="H51" s="963"/>
    </row>
    <row r="52" spans="2:11">
      <c r="B52" t="s">
        <v>1455</v>
      </c>
      <c r="E52" s="113">
        <v>805.1</v>
      </c>
      <c r="F52" s="963">
        <v>9870521</v>
      </c>
      <c r="G52" s="963"/>
      <c r="H52" s="963"/>
    </row>
    <row r="53" spans="2:11">
      <c r="B53" t="s">
        <v>1456</v>
      </c>
      <c r="E53" s="113">
        <v>805.1</v>
      </c>
      <c r="F53" s="963"/>
      <c r="G53" s="963">
        <v>-32489239</v>
      </c>
      <c r="H53" s="963"/>
      <c r="I53" s="963"/>
      <c r="J53" s="963"/>
      <c r="K53" s="963"/>
    </row>
    <row r="54" spans="2:11">
      <c r="B54" t="s">
        <v>1457</v>
      </c>
      <c r="E54" s="113">
        <v>808.1</v>
      </c>
      <c r="F54" s="963">
        <v>-4796021.5999999996</v>
      </c>
      <c r="G54" s="963"/>
      <c r="H54" s="963"/>
    </row>
    <row r="55" spans="2:11">
      <c r="B55" t="s">
        <v>1458</v>
      </c>
      <c r="E55" s="1207">
        <v>808.2</v>
      </c>
      <c r="F55" s="963">
        <v>4728432</v>
      </c>
      <c r="G55" s="963"/>
      <c r="H55" s="963"/>
      <c r="I55" s="963"/>
      <c r="K55" s="963"/>
    </row>
    <row r="56" spans="2:11">
      <c r="B56" t="s">
        <v>1459</v>
      </c>
      <c r="E56" s="1207">
        <v>812</v>
      </c>
      <c r="F56" s="963">
        <v>91696.79</v>
      </c>
      <c r="G56" s="963"/>
      <c r="H56" s="963"/>
    </row>
    <row r="57" spans="2:11">
      <c r="B57" t="s">
        <v>1460</v>
      </c>
      <c r="E57" s="1207">
        <v>805.1</v>
      </c>
      <c r="F57" s="963">
        <v>41647</v>
      </c>
      <c r="G57" s="963"/>
    </row>
    <row r="58" spans="2:11">
      <c r="B58" s="58" t="s">
        <v>1461</v>
      </c>
      <c r="F58" s="964">
        <f>SUM(F51:F57)</f>
        <v>-101784249.14999999</v>
      </c>
      <c r="G58" s="964">
        <f>SUM(G51:G57)</f>
        <v>-32489239</v>
      </c>
    </row>
    <row r="60" spans="2:11">
      <c r="B60" s="113" t="s">
        <v>1438</v>
      </c>
      <c r="H60" s="966"/>
      <c r="I60" s="966"/>
      <c r="J60" s="966"/>
      <c r="K60" s="966"/>
    </row>
    <row r="61" spans="2:11">
      <c r="B61" t="s">
        <v>1462</v>
      </c>
      <c r="H61" s="1180">
        <v>893224.87</v>
      </c>
      <c r="I61" s="967"/>
      <c r="J61" s="967"/>
      <c r="K61" s="967"/>
    </row>
    <row r="62" spans="2:11">
      <c r="B62" t="s">
        <v>1463</v>
      </c>
      <c r="H62" s="1180">
        <v>712922.42</v>
      </c>
      <c r="I62" s="967"/>
      <c r="J62" s="967"/>
      <c r="K62" s="967"/>
    </row>
    <row r="63" spans="2:11">
      <c r="B63" t="s">
        <v>1464</v>
      </c>
      <c r="H63" s="1180">
        <v>2322759.9899999998</v>
      </c>
      <c r="I63" s="967"/>
      <c r="J63" s="967"/>
      <c r="K63" s="967"/>
    </row>
    <row r="64" spans="2:11">
      <c r="B64" t="s">
        <v>1465</v>
      </c>
      <c r="H64" s="1180">
        <v>2296130.8499999996</v>
      </c>
      <c r="I64" s="967"/>
      <c r="J64" s="967"/>
      <c r="K64" s="967"/>
    </row>
    <row r="65" spans="2:11">
      <c r="B65" t="s">
        <v>1466</v>
      </c>
      <c r="C65" s="962"/>
      <c r="D65" s="962"/>
      <c r="E65" s="962"/>
      <c r="F65" s="962"/>
      <c r="G65" s="962"/>
      <c r="H65" s="1384">
        <f>-20672.55</f>
        <v>-20672.55</v>
      </c>
      <c r="I65" s="1385"/>
      <c r="J65" s="967"/>
      <c r="K65" s="967"/>
    </row>
    <row r="66" spans="2:11">
      <c r="B66" s="58" t="s">
        <v>1461</v>
      </c>
      <c r="G66" s="12">
        <v>908</v>
      </c>
      <c r="H66" s="963">
        <f>SUM(H61:H65)</f>
        <v>6204365.5799999991</v>
      </c>
      <c r="I66" s="963"/>
      <c r="J66" s="963"/>
      <c r="K66" s="1386"/>
    </row>
    <row r="67" spans="2:11">
      <c r="H67" s="967"/>
      <c r="I67" s="967"/>
      <c r="J67" s="967"/>
    </row>
    <row r="68" spans="2:11">
      <c r="H68" s="967"/>
      <c r="I68" s="967"/>
      <c r="J68" s="967"/>
    </row>
    <row r="69" spans="2:11">
      <c r="H69" s="967"/>
      <c r="I69" s="967"/>
      <c r="J69" s="967"/>
    </row>
    <row r="70" spans="2:11">
      <c r="H70" s="967"/>
      <c r="I70" s="967"/>
      <c r="J70" s="967"/>
    </row>
    <row r="71" spans="2:11">
      <c r="H71" s="967"/>
      <c r="I71" s="967"/>
      <c r="J71" s="967"/>
    </row>
    <row r="72" spans="2:11">
      <c r="H72" s="963"/>
      <c r="I72" s="963"/>
    </row>
  </sheetData>
  <mergeCells count="3">
    <mergeCell ref="C6:E6"/>
    <mergeCell ref="F6:G6"/>
    <mergeCell ref="I6:L6"/>
  </mergeCells>
  <printOptions horizontalCentered="1"/>
  <pageMargins left="0.31" right="0.3" top="1" bottom="1" header="0.5" footer="0.5"/>
  <pageSetup scale="45" fitToHeight="0" orientation="landscape" r:id="rId1"/>
  <headerFooter scaleWithDoc="0" alignWithMargins="0">
    <oddHeader>&amp;RPage &amp;P of &amp;N</oddHeader>
    <oddFooter>&amp;LElectronic Tab Name: &amp;A</oddFooter>
  </headerFooter>
  <colBreaks count="1" manualBreakCount="1">
    <brk id="7" max="66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52229-2EF2-4FB7-AFAF-1E6C2D95FABE}">
  <sheetPr codeName="Sheet42">
    <tabColor theme="2"/>
  </sheetPr>
  <dimension ref="A1:B43"/>
  <sheetViews>
    <sheetView zoomScale="80" zoomScaleNormal="80" workbookViewId="0">
      <selection activeCell="D39" sqref="D39"/>
    </sheetView>
  </sheetViews>
  <sheetFormatPr defaultColWidth="8.85546875" defaultRowHeight="15"/>
  <cols>
    <col min="1" max="1" width="79.85546875" style="18" customWidth="1"/>
    <col min="2" max="2" width="19.42578125" style="12" bestFit="1" customWidth="1"/>
    <col min="3" max="16384" width="8.85546875" style="1"/>
  </cols>
  <sheetData>
    <row r="1" spans="1:2">
      <c r="A1" s="17" t="str">
        <f ca="1">MID(CELL("filename",A1),FIND("]",CELL("filename",A1))+1,255)</f>
        <v>Summary of Request</v>
      </c>
    </row>
    <row r="2" spans="1:2">
      <c r="A2" s="1484" t="str">
        <f>Company</f>
        <v>Cascade Natural Gas Corp.</v>
      </c>
      <c r="B2" s="1484"/>
    </row>
    <row r="3" spans="1:2">
      <c r="A3" s="1484" t="s">
        <v>44</v>
      </c>
      <c r="B3" s="1484"/>
    </row>
    <row r="4" spans="1:2">
      <c r="A4" s="1484" t="str">
        <f ca="1">MID(CELL("filename",A1),FIND("]",CELL("filename",A1))+1,255)</f>
        <v>Summary of Request</v>
      </c>
      <c r="B4" s="1484"/>
    </row>
    <row r="6" spans="1:2">
      <c r="A6" s="18" t="s">
        <v>45</v>
      </c>
      <c r="B6" s="19">
        <v>44469</v>
      </c>
    </row>
    <row r="7" spans="1:2">
      <c r="A7" s="20" t="s">
        <v>46</v>
      </c>
      <c r="B7" s="21">
        <f>'Exh MCG-2 ROO Summary'!I12</f>
        <v>130892259.83574003</v>
      </c>
    </row>
    <row r="8" spans="1:2">
      <c r="A8" s="20" t="s">
        <v>47</v>
      </c>
      <c r="B8" s="21">
        <f>'Exh MCG-3, Rev Req Calc'!C14</f>
        <v>7188900</v>
      </c>
    </row>
    <row r="9" spans="1:2">
      <c r="A9" s="20" t="s">
        <v>48</v>
      </c>
      <c r="B9" s="21">
        <f>B7</f>
        <v>130892259.83574003</v>
      </c>
    </row>
    <row r="10" spans="1:2">
      <c r="A10" s="250" t="s">
        <v>49</v>
      </c>
      <c r="B10" s="23">
        <f>'Exh MCG-3, Rev Req Calc'!C18</f>
        <v>5.8114023819125109E-2</v>
      </c>
    </row>
    <row r="11" spans="1:2">
      <c r="A11" s="250" t="s">
        <v>50</v>
      </c>
      <c r="B11" s="23">
        <f>'Exh MCG-3, Rev Req Calc'!C20</f>
        <v>2.6833194377494346E-2</v>
      </c>
    </row>
    <row r="12" spans="1:2">
      <c r="A12" s="20"/>
      <c r="B12" s="24"/>
    </row>
    <row r="13" spans="1:2">
      <c r="A13" s="20" t="s">
        <v>51</v>
      </c>
      <c r="B13" s="19">
        <v>44196</v>
      </c>
    </row>
    <row r="14" spans="1:2">
      <c r="A14" s="20"/>
      <c r="B14" s="24"/>
    </row>
    <row r="15" spans="1:2">
      <c r="A15" s="20" t="s">
        <v>52</v>
      </c>
      <c r="B15" s="23">
        <f>'WACC Calculation'!E13</f>
        <v>6.8510000000000001E-2</v>
      </c>
    </row>
    <row r="16" spans="1:2">
      <c r="A16" s="20"/>
      <c r="B16" s="24"/>
    </row>
    <row r="17" spans="1:2">
      <c r="A17" s="20" t="s">
        <v>53</v>
      </c>
      <c r="B17" s="23">
        <f>'WACC Calculation'!D12</f>
        <v>9.4E-2</v>
      </c>
    </row>
    <row r="18" spans="1:2">
      <c r="A18" s="20"/>
      <c r="B18" s="24"/>
    </row>
    <row r="19" spans="1:2">
      <c r="A19" s="20" t="s">
        <v>54</v>
      </c>
      <c r="B19" s="21">
        <f>'Exh MCG-2 ROO Summary'!I37</f>
        <v>470412306.18420315</v>
      </c>
    </row>
    <row r="20" spans="1:2">
      <c r="A20" s="20"/>
      <c r="B20" s="21"/>
    </row>
    <row r="21" spans="1:2">
      <c r="A21" s="25" t="s">
        <v>55</v>
      </c>
      <c r="B21" s="24"/>
    </row>
    <row r="22" spans="1:2">
      <c r="A22" s="22" t="s">
        <v>56</v>
      </c>
      <c r="B22" s="21">
        <f>'Exh MCG-2 ROO Summary'!C29</f>
        <v>24683914.660000026</v>
      </c>
    </row>
    <row r="23" spans="1:2">
      <c r="A23" s="22" t="s">
        <v>57</v>
      </c>
      <c r="B23" s="21">
        <f>'Exh MCG-2 ROO Summary'!C37</f>
        <v>420308416.73874462</v>
      </c>
    </row>
    <row r="24" spans="1:2">
      <c r="A24" s="22" t="s">
        <v>58</v>
      </c>
      <c r="B24" s="23">
        <f>'Exh MCG-2 ROO Summary'!C39</f>
        <v>5.8728099835657251E-2</v>
      </c>
    </row>
    <row r="25" spans="1:2">
      <c r="A25" s="22" t="s">
        <v>59</v>
      </c>
      <c r="B25" s="23">
        <f>B17</f>
        <v>9.4E-2</v>
      </c>
    </row>
    <row r="26" spans="1:2">
      <c r="A26" s="22"/>
      <c r="B26" s="23"/>
    </row>
    <row r="27" spans="1:2">
      <c r="A27" s="25" t="s">
        <v>60</v>
      </c>
      <c r="B27" s="24"/>
    </row>
    <row r="28" spans="1:2">
      <c r="A28" s="22" t="s">
        <v>56</v>
      </c>
      <c r="B28" s="21">
        <f>'Exh MCG-2 ROO Summary'!I29</f>
        <v>32227947.269021273</v>
      </c>
    </row>
    <row r="29" spans="1:2">
      <c r="A29" s="22" t="s">
        <v>57</v>
      </c>
      <c r="B29" s="21">
        <f>B19</f>
        <v>470412306.18420315</v>
      </c>
    </row>
    <row r="30" spans="1:2">
      <c r="A30" s="22" t="s">
        <v>58</v>
      </c>
      <c r="B30" s="23">
        <f>'WACC Calculation'!E13</f>
        <v>6.8510000000000001E-2</v>
      </c>
    </row>
    <row r="31" spans="1:2">
      <c r="A31" s="22" t="s">
        <v>59</v>
      </c>
      <c r="B31" s="23">
        <f>B17</f>
        <v>9.4E-2</v>
      </c>
    </row>
    <row r="32" spans="1:2">
      <c r="A32" s="20"/>
      <c r="B32" s="24"/>
    </row>
    <row r="33" spans="1:2">
      <c r="A33" s="26" t="s">
        <v>61</v>
      </c>
      <c r="B33" s="27"/>
    </row>
    <row r="34" spans="1:2">
      <c r="A34" s="28" t="str">
        <f>Title!B13&amp;" (Sch "&amp;Title!B12&amp;")"</f>
        <v>Residential Service (Sch 503)</v>
      </c>
      <c r="B34" s="29">
        <f>'Class Revenue'!F11</f>
        <v>6.9273191461512645E-2</v>
      </c>
    </row>
    <row r="35" spans="1:2">
      <c r="A35" s="28" t="str">
        <f>Title!C13&amp;" (Sch "&amp;Title!C12&amp;")"</f>
        <v>Commercial Service (Sch 504)</v>
      </c>
      <c r="B35" s="29">
        <f>'Class Revenue'!F16</f>
        <v>7.5970744944610161E-2</v>
      </c>
    </row>
    <row r="36" spans="1:2">
      <c r="A36" s="28" t="str">
        <f>Title!D13&amp;" (Sch "&amp;Title!D12&amp;")"</f>
        <v>Industrial Service (Sch 505)</v>
      </c>
      <c r="B36" s="29">
        <f>'Class Revenue'!F21</f>
        <v>7.6246178083860763E-2</v>
      </c>
    </row>
    <row r="37" spans="1:2">
      <c r="A37" s="28" t="str">
        <f>Title!E13&amp;" (Sch "&amp;Title!E12&amp;")"</f>
        <v>Large Volume Service (Sch 511)</v>
      </c>
      <c r="B37" s="29">
        <f>'Class Revenue'!F26</f>
        <v>8.4888642540820541E-2</v>
      </c>
    </row>
    <row r="38" spans="1:2">
      <c r="A38" s="28" t="str">
        <f>Title!H13&amp;" (Sch "&amp;Title!H12&amp;")"</f>
        <v>Interruptible Service (Sch 570)</v>
      </c>
      <c r="B38" s="29">
        <f>'Class Revenue'!F31</f>
        <v>8.0859591003662357E-2</v>
      </c>
    </row>
    <row r="39" spans="1:2">
      <c r="A39" s="28" t="str">
        <f>Title!F13&amp;" (Sch "&amp;Title!F12&amp;")"</f>
        <v>Transportation Service (Sch 663)</v>
      </c>
      <c r="B39" s="29">
        <f>'Class Revenue'!F38</f>
        <v>5.4522119673908943E-2</v>
      </c>
    </row>
    <row r="40" spans="1:2">
      <c r="A40" s="20"/>
    </row>
    <row r="42" spans="1:2">
      <c r="A42" s="1485" t="str">
        <f>"[1] Based upon the Company’s "&amp;YEAR(B6)-1&amp;" Results of Operations/Commission Basis Report (starting point)."</f>
        <v>[1] Based upon the Company’s 2020 Results of Operations/Commission Basis Report (starting point).</v>
      </c>
      <c r="B42" s="1485"/>
    </row>
    <row r="43" spans="1:2">
      <c r="A43" s="1485" t="str">
        <f>"[2] Based upon the Company’s "&amp;YEAR(B6)&amp;" limited issue rate case filed in this docketed."</f>
        <v>[2] Based upon the Company’s 2021 limited issue rate case filed in this docketed.</v>
      </c>
      <c r="B43" s="1485"/>
    </row>
  </sheetData>
  <mergeCells count="5">
    <mergeCell ref="A2:B2"/>
    <mergeCell ref="A3:B3"/>
    <mergeCell ref="A4:B4"/>
    <mergeCell ref="A42:B42"/>
    <mergeCell ref="A43:B43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tabColor theme="7" tint="0.79998168889431442"/>
  </sheetPr>
  <dimension ref="A1:BD89"/>
  <sheetViews>
    <sheetView view="pageBreakPreview" zoomScale="80" zoomScaleNormal="100" zoomScaleSheetLayoutView="80" workbookViewId="0">
      <pane xSplit="9" ySplit="6" topLeftCell="AQ29" activePane="bottomRight" state="frozen"/>
      <selection pane="topRight" activeCell="A4" sqref="A4:G4"/>
      <selection pane="bottomLeft" activeCell="A4" sqref="A4:G4"/>
      <selection pane="bottomRight" activeCell="AY66" sqref="AY66"/>
    </sheetView>
  </sheetViews>
  <sheetFormatPr defaultColWidth="9.140625" defaultRowHeight="15"/>
  <cols>
    <col min="1" max="1" width="9.42578125" style="735" bestFit="1" customWidth="1"/>
    <col min="2" max="2" width="42.28515625" style="113" bestFit="1" customWidth="1"/>
    <col min="3" max="3" width="9.140625" style="113"/>
    <col min="4" max="4" width="4.5703125" style="113" customWidth="1"/>
    <col min="5" max="9" width="9.140625" style="113"/>
    <col min="10" max="10" width="21.28515625" style="113" bestFit="1" customWidth="1"/>
    <col min="11" max="12" width="20.42578125" style="113" bestFit="1" customWidth="1"/>
    <col min="13" max="13" width="21.85546875" style="113" bestFit="1" customWidth="1"/>
    <col min="14" max="14" width="20.42578125" style="113" bestFit="1" customWidth="1"/>
    <col min="15" max="15" width="19.85546875" style="113" bestFit="1" customWidth="1"/>
    <col min="16" max="16" width="21.28515625" style="113" bestFit="1" customWidth="1"/>
    <col min="17" max="18" width="20.42578125" style="113" bestFit="1" customWidth="1"/>
    <col min="19" max="19" width="20.5703125" style="113" bestFit="1" customWidth="1"/>
    <col min="20" max="21" width="19.85546875" style="113" bestFit="1" customWidth="1"/>
    <col min="22" max="22" width="20.42578125" style="113" bestFit="1" customWidth="1"/>
    <col min="23" max="23" width="19.85546875" style="113" bestFit="1" customWidth="1"/>
    <col min="24" max="24" width="20.42578125" style="113" bestFit="1" customWidth="1"/>
    <col min="25" max="25" width="21.85546875" style="113" bestFit="1" customWidth="1"/>
    <col min="26" max="27" width="20.42578125" style="113" bestFit="1" customWidth="1"/>
    <col min="28" max="28" width="20.5703125" style="113" bestFit="1" customWidth="1"/>
    <col min="29" max="30" width="20.42578125" style="113" bestFit="1" customWidth="1"/>
    <col min="31" max="31" width="20.5703125" style="113" bestFit="1" customWidth="1"/>
    <col min="32" max="32" width="19.42578125" style="113" bestFit="1" customWidth="1"/>
    <col min="33" max="34" width="19.85546875" style="113" bestFit="1" customWidth="1"/>
    <col min="35" max="36" width="20.42578125" style="113" bestFit="1" customWidth="1"/>
    <col min="37" max="37" width="21.85546875" style="113" bestFit="1" customWidth="1"/>
    <col min="38" max="38" width="19.85546875" style="113" bestFit="1" customWidth="1"/>
    <col min="39" max="39" width="20.42578125" style="113" bestFit="1" customWidth="1"/>
    <col min="40" max="40" width="21.28515625" style="113" bestFit="1" customWidth="1"/>
    <col min="41" max="41" width="20.42578125" style="113" bestFit="1" customWidth="1"/>
    <col min="42" max="42" width="19.85546875" style="113" bestFit="1" customWidth="1"/>
    <col min="43" max="43" width="21.28515625" style="113" bestFit="1" customWidth="1"/>
    <col min="44" max="44" width="19.85546875" style="113" bestFit="1" customWidth="1"/>
    <col min="45" max="45" width="19.42578125" style="113" bestFit="1" customWidth="1"/>
    <col min="46" max="46" width="21.85546875" style="113" bestFit="1" customWidth="1"/>
    <col min="47" max="47" width="20.42578125" style="113" bestFit="1" customWidth="1"/>
    <col min="48" max="48" width="19.85546875" style="113" bestFit="1" customWidth="1"/>
    <col min="49" max="49" width="20.5703125" style="113" bestFit="1" customWidth="1"/>
    <col min="50" max="51" width="17.5703125" style="113" bestFit="1" customWidth="1"/>
    <col min="52" max="16384" width="9.140625" style="113"/>
  </cols>
  <sheetData>
    <row r="1" spans="1:51">
      <c r="A1" s="1211"/>
      <c r="B1" s="209"/>
      <c r="C1" s="1214" t="str">
        <f>Company</f>
        <v>Cascade Natural Gas Corp.</v>
      </c>
      <c r="G1" s="209"/>
      <c r="H1" s="209"/>
      <c r="I1" s="209"/>
      <c r="J1" s="209"/>
      <c r="K1" s="209"/>
      <c r="Q1" s="1214" t="str">
        <f>Company</f>
        <v>Cascade Natural Gas Corp.</v>
      </c>
      <c r="R1" s="209"/>
      <c r="S1" s="209"/>
      <c r="T1" s="209"/>
      <c r="U1" s="209"/>
      <c r="V1" s="209"/>
      <c r="W1" s="209"/>
      <c r="X1" s="209"/>
      <c r="Y1" s="209"/>
      <c r="Z1" s="1214" t="str">
        <f>Company</f>
        <v>Cascade Natural Gas Corp.</v>
      </c>
      <c r="AA1" s="1209"/>
      <c r="AB1" s="1505"/>
      <c r="AC1" s="1505"/>
      <c r="AD1" s="1505"/>
      <c r="AE1" s="1505"/>
      <c r="AF1" s="1505"/>
      <c r="AG1" s="1505"/>
      <c r="AH1" s="1505"/>
      <c r="AI1" s="1505"/>
      <c r="AJ1" s="1505"/>
      <c r="AK1" s="209"/>
      <c r="AL1" s="1214" t="str">
        <f>Company</f>
        <v>Cascade Natural Gas Corp.</v>
      </c>
      <c r="AM1" s="209"/>
      <c r="AN1" s="209"/>
      <c r="AO1" s="209"/>
      <c r="AP1" s="209"/>
      <c r="AQ1" s="209"/>
      <c r="AR1" s="209"/>
      <c r="AS1" s="209"/>
      <c r="AT1" s="209"/>
      <c r="AU1" s="209"/>
      <c r="AV1" s="1214" t="str">
        <f>Company</f>
        <v>Cascade Natural Gas Corp.</v>
      </c>
      <c r="AW1" s="209"/>
      <c r="AX1" s="209"/>
      <c r="AY1" s="209"/>
    </row>
    <row r="2" spans="1:51">
      <c r="A2" s="1211"/>
      <c r="B2" s="209"/>
      <c r="C2" s="1214" t="str">
        <f>Title1</f>
        <v>Washington Jurisdiction</v>
      </c>
      <c r="G2" s="209"/>
      <c r="H2" s="209"/>
      <c r="I2" s="209"/>
      <c r="J2" s="209"/>
      <c r="K2" s="209"/>
      <c r="Q2" s="1214" t="str">
        <f>Title1</f>
        <v>Washington Jurisdiction</v>
      </c>
      <c r="R2" s="1214"/>
      <c r="S2" s="1214"/>
      <c r="T2" s="1214"/>
      <c r="U2" s="1214"/>
      <c r="V2" s="209"/>
      <c r="W2" s="209"/>
      <c r="X2" s="209"/>
      <c r="Y2" s="209"/>
      <c r="Z2" s="1214" t="str">
        <f>Title1</f>
        <v>Washington Jurisdiction</v>
      </c>
      <c r="AA2" s="1209"/>
      <c r="AB2" s="1214"/>
      <c r="AC2" s="1214"/>
      <c r="AD2" s="1214"/>
      <c r="AE2" s="1214"/>
      <c r="AF2" s="1214"/>
      <c r="AG2" s="1214"/>
      <c r="AH2" s="1214"/>
      <c r="AI2" s="1214"/>
      <c r="AJ2" s="1214"/>
      <c r="AK2" s="1214"/>
      <c r="AL2" s="1214" t="str">
        <f>Title1</f>
        <v>Washington Jurisdiction</v>
      </c>
      <c r="AM2" s="1214"/>
      <c r="AN2" s="1214"/>
      <c r="AO2" s="1214"/>
      <c r="AP2" s="1214"/>
      <c r="AQ2" s="1214"/>
      <c r="AR2" s="1214"/>
      <c r="AS2" s="1214"/>
      <c r="AT2" s="1214"/>
      <c r="AU2" s="1214"/>
      <c r="AV2" s="1214" t="str">
        <f>Title1</f>
        <v>Washington Jurisdiction</v>
      </c>
      <c r="AW2" s="1214"/>
      <c r="AX2" s="1214"/>
      <c r="AY2" s="1214"/>
    </row>
    <row r="3" spans="1:51">
      <c r="A3" s="1211"/>
      <c r="C3" s="1214" t="str">
        <f>Title2</f>
        <v>Twelve-Months ended December 31, 2020</v>
      </c>
      <c r="G3" s="209"/>
      <c r="H3" s="209"/>
      <c r="I3" s="209"/>
      <c r="J3" s="209"/>
      <c r="Q3" s="1214" t="str">
        <f>Title2</f>
        <v>Twelve-Months ended December 31, 2020</v>
      </c>
      <c r="R3" s="209"/>
      <c r="S3" s="209"/>
      <c r="T3" s="209"/>
      <c r="U3" s="209"/>
      <c r="V3" s="209"/>
      <c r="W3" s="209"/>
      <c r="X3" s="209"/>
      <c r="Z3" s="1214" t="str">
        <f>Title2</f>
        <v>Twelve-Months ended December 31, 2020</v>
      </c>
      <c r="AA3" s="1209"/>
      <c r="AB3" s="1505"/>
      <c r="AC3" s="1505"/>
      <c r="AD3" s="1505"/>
      <c r="AE3" s="1505"/>
      <c r="AF3" s="1505"/>
      <c r="AG3" s="1505"/>
      <c r="AH3" s="1505"/>
      <c r="AI3" s="1505"/>
      <c r="AJ3" s="1505"/>
      <c r="AK3" s="209"/>
      <c r="AL3" s="1214" t="str">
        <f>Title2</f>
        <v>Twelve-Months ended December 31, 2020</v>
      </c>
      <c r="AM3" s="209"/>
      <c r="AN3" s="209"/>
      <c r="AO3" s="209"/>
      <c r="AP3" s="209"/>
      <c r="AQ3" s="209"/>
      <c r="AR3" s="209"/>
      <c r="AS3" s="209"/>
      <c r="AT3" s="209"/>
      <c r="AU3" s="209"/>
      <c r="AV3" s="1214" t="str">
        <f>Title2</f>
        <v>Twelve-Months ended December 31, 2020</v>
      </c>
      <c r="AW3" s="209"/>
      <c r="AX3" s="209"/>
      <c r="AY3" s="209"/>
    </row>
    <row r="4" spans="1:51">
      <c r="A4" s="1211"/>
      <c r="C4" s="1214" t="str">
        <f>Title8</f>
        <v>UG-21____</v>
      </c>
      <c r="G4" s="209"/>
      <c r="H4" s="209"/>
      <c r="I4" s="209"/>
      <c r="J4" s="209"/>
      <c r="K4" s="1209"/>
      <c r="Q4" s="1214" t="str">
        <f>Title8</f>
        <v>UG-21____</v>
      </c>
      <c r="R4" s="209"/>
      <c r="S4" s="209"/>
      <c r="T4" s="209"/>
      <c r="U4" s="209"/>
      <c r="V4" s="209"/>
      <c r="W4" s="209"/>
      <c r="X4" s="209"/>
      <c r="Y4" s="1209"/>
      <c r="Z4" s="1214" t="str">
        <f>Title8</f>
        <v>UG-21____</v>
      </c>
      <c r="AA4" s="1209"/>
      <c r="AB4" s="1505"/>
      <c r="AC4" s="1505"/>
      <c r="AD4" s="1505"/>
      <c r="AE4" s="1505"/>
      <c r="AF4" s="1505"/>
      <c r="AG4" s="1505"/>
      <c r="AH4" s="1505"/>
      <c r="AI4" s="1505"/>
      <c r="AJ4" s="1505"/>
      <c r="AK4" s="209"/>
      <c r="AL4" s="1214" t="str">
        <f>Title8</f>
        <v>UG-21____</v>
      </c>
      <c r="AM4" s="209"/>
      <c r="AN4" s="209"/>
      <c r="AO4" s="209"/>
      <c r="AP4" s="209"/>
      <c r="AQ4" s="209"/>
      <c r="AR4" s="209"/>
      <c r="AS4" s="209"/>
      <c r="AT4" s="209"/>
      <c r="AU4" s="209"/>
      <c r="AV4" s="1214" t="str">
        <f>Title8</f>
        <v>UG-21____</v>
      </c>
      <c r="AW4" s="209"/>
      <c r="AX4" s="209"/>
      <c r="AY4" s="209"/>
    </row>
    <row r="5" spans="1:51">
      <c r="A5" s="1211"/>
      <c r="C5" s="1214" t="s">
        <v>1116</v>
      </c>
      <c r="G5" s="209"/>
      <c r="H5" s="209"/>
      <c r="I5" s="209"/>
      <c r="J5" s="209"/>
      <c r="K5" s="1209"/>
      <c r="Q5" s="1214" t="s">
        <v>1116</v>
      </c>
      <c r="R5" s="209"/>
      <c r="S5" s="209"/>
      <c r="T5" s="209"/>
      <c r="U5" s="209"/>
      <c r="V5" s="209"/>
      <c r="W5" s="209"/>
      <c r="X5" s="209"/>
      <c r="Y5" s="1209"/>
      <c r="Z5" s="1214" t="s">
        <v>1116</v>
      </c>
      <c r="AA5" s="1209"/>
      <c r="AB5" s="1505"/>
      <c r="AC5" s="1505"/>
      <c r="AD5" s="1505"/>
      <c r="AE5" s="1505"/>
      <c r="AF5" s="1505"/>
      <c r="AG5" s="1505"/>
      <c r="AH5" s="1505"/>
      <c r="AI5" s="1505"/>
      <c r="AJ5" s="1505"/>
      <c r="AK5" s="209"/>
      <c r="AL5" s="1214" t="s">
        <v>1116</v>
      </c>
      <c r="AM5" s="209"/>
      <c r="AN5" s="209"/>
      <c r="AO5" s="209"/>
      <c r="AP5" s="209"/>
      <c r="AQ5" s="209"/>
      <c r="AR5" s="209"/>
      <c r="AS5" s="209"/>
      <c r="AT5" s="209"/>
      <c r="AU5" s="209"/>
      <c r="AV5" s="1214" t="s">
        <v>1116</v>
      </c>
      <c r="AW5" s="209"/>
      <c r="AX5" s="209"/>
      <c r="AY5" s="209"/>
    </row>
    <row r="6" spans="1:51">
      <c r="A6" s="1211"/>
      <c r="B6" s="209"/>
      <c r="C6" s="1214" t="s">
        <v>1115</v>
      </c>
      <c r="G6" s="209"/>
      <c r="H6" s="209"/>
      <c r="I6" s="209"/>
      <c r="J6" s="209"/>
      <c r="K6" s="209"/>
      <c r="Q6" s="1214" t="s">
        <v>1115</v>
      </c>
      <c r="R6" s="209"/>
      <c r="S6" s="209"/>
      <c r="T6" s="209"/>
      <c r="U6" s="209"/>
      <c r="V6" s="209"/>
      <c r="W6" s="209"/>
      <c r="X6" s="209"/>
      <c r="Y6" s="209"/>
      <c r="Z6" s="1214" t="s">
        <v>1115</v>
      </c>
      <c r="AA6" s="1209"/>
      <c r="AB6" s="1505"/>
      <c r="AC6" s="1505"/>
      <c r="AD6" s="1505"/>
      <c r="AE6" s="1505"/>
      <c r="AF6" s="1505"/>
      <c r="AG6" s="1505"/>
      <c r="AH6" s="1505"/>
      <c r="AI6" s="1505"/>
      <c r="AJ6" s="1505"/>
      <c r="AK6" s="209"/>
      <c r="AL6" s="1214" t="s">
        <v>1115</v>
      </c>
      <c r="AM6" s="209"/>
      <c r="AN6" s="209"/>
      <c r="AO6" s="209"/>
      <c r="AP6" s="209"/>
      <c r="AQ6" s="209"/>
      <c r="AR6" s="209"/>
      <c r="AS6" s="209"/>
      <c r="AT6" s="209"/>
      <c r="AU6" s="209"/>
      <c r="AV6" s="1214" t="s">
        <v>1115</v>
      </c>
      <c r="AW6" s="209"/>
      <c r="AX6" s="209"/>
      <c r="AY6" s="209"/>
    </row>
    <row r="9" spans="1:51" s="735" customFormat="1" ht="15.75" thickBot="1">
      <c r="A9" s="1211" t="s">
        <v>0</v>
      </c>
      <c r="B9" s="1211" t="s">
        <v>2</v>
      </c>
      <c r="C9" s="1211" t="s">
        <v>3</v>
      </c>
      <c r="D9" s="1211"/>
      <c r="E9" s="1211" t="s">
        <v>4</v>
      </c>
      <c r="F9" s="1211" t="s">
        <v>5</v>
      </c>
      <c r="G9" s="1211" t="s">
        <v>6</v>
      </c>
      <c r="H9" s="1211" t="s">
        <v>273</v>
      </c>
      <c r="I9" s="1211" t="s">
        <v>274</v>
      </c>
      <c r="J9" s="1211" t="s">
        <v>275</v>
      </c>
      <c r="K9" s="1211" t="s">
        <v>276</v>
      </c>
      <c r="L9" s="1211" t="s">
        <v>277</v>
      </c>
      <c r="M9" s="1211" t="s">
        <v>278</v>
      </c>
      <c r="N9" s="1211" t="s">
        <v>1467</v>
      </c>
      <c r="O9" s="1211" t="s">
        <v>280</v>
      </c>
      <c r="P9" s="1211" t="s">
        <v>281</v>
      </c>
      <c r="Q9" s="1211" t="s">
        <v>282</v>
      </c>
      <c r="R9" s="1211" t="s">
        <v>283</v>
      </c>
      <c r="S9" s="1211" t="s">
        <v>284</v>
      </c>
      <c r="T9" s="1211" t="s">
        <v>285</v>
      </c>
      <c r="U9" s="1211" t="s">
        <v>286</v>
      </c>
      <c r="V9" s="1211" t="s">
        <v>287</v>
      </c>
      <c r="W9" s="1211" t="s">
        <v>288</v>
      </c>
      <c r="X9" s="1211" t="s">
        <v>289</v>
      </c>
      <c r="Y9" s="1211" t="s">
        <v>290</v>
      </c>
      <c r="Z9" s="1211" t="s">
        <v>1147</v>
      </c>
      <c r="AA9" s="1211" t="s">
        <v>1148</v>
      </c>
      <c r="AB9" s="1211" t="s">
        <v>1149</v>
      </c>
      <c r="AC9" s="1211" t="s">
        <v>1150</v>
      </c>
      <c r="AD9" s="1211" t="s">
        <v>1468</v>
      </c>
      <c r="AE9" s="1211" t="s">
        <v>1469</v>
      </c>
      <c r="AF9" s="1211" t="s">
        <v>1470</v>
      </c>
      <c r="AG9" s="1211" t="s">
        <v>1471</v>
      </c>
      <c r="AH9" s="1211" t="s">
        <v>1472</v>
      </c>
      <c r="AI9" s="1211" t="s">
        <v>1473</v>
      </c>
      <c r="AJ9" s="1211" t="s">
        <v>1474</v>
      </c>
      <c r="AK9" s="1211" t="s">
        <v>1475</v>
      </c>
      <c r="AL9" s="1211" t="s">
        <v>1476</v>
      </c>
      <c r="AM9" s="1211" t="s">
        <v>1477</v>
      </c>
      <c r="AN9" s="1211" t="s">
        <v>1478</v>
      </c>
      <c r="AO9" s="1211" t="s">
        <v>1479</v>
      </c>
      <c r="AP9" s="1211" t="s">
        <v>1480</v>
      </c>
      <c r="AQ9" s="1211" t="s">
        <v>1481</v>
      </c>
      <c r="AR9" s="1211" t="s">
        <v>1482</v>
      </c>
      <c r="AS9" s="1211" t="s">
        <v>1483</v>
      </c>
      <c r="AT9" s="1211" t="s">
        <v>1484</v>
      </c>
      <c r="AU9" s="1211" t="s">
        <v>1485</v>
      </c>
      <c r="AV9" s="1211" t="s">
        <v>1486</v>
      </c>
      <c r="AW9" s="1211" t="s">
        <v>1487</v>
      </c>
      <c r="AX9" s="1211" t="s">
        <v>1488</v>
      </c>
      <c r="AY9" s="1211" t="s">
        <v>1489</v>
      </c>
    </row>
    <row r="10" spans="1:51">
      <c r="A10" s="1211">
        <v>1</v>
      </c>
      <c r="B10" s="1538" t="s">
        <v>1490</v>
      </c>
      <c r="C10" s="1539"/>
      <c r="D10" s="1539"/>
      <c r="E10" s="1540"/>
      <c r="F10" s="1547" t="s">
        <v>1491</v>
      </c>
      <c r="G10" s="1547"/>
      <c r="H10" s="1547"/>
      <c r="I10" s="1548"/>
      <c r="J10" s="674" t="s">
        <v>1150</v>
      </c>
      <c r="K10" s="675" t="s">
        <v>1492</v>
      </c>
      <c r="L10" s="676" t="s">
        <v>1493</v>
      </c>
      <c r="M10" s="674" t="s">
        <v>1150</v>
      </c>
      <c r="N10" s="675" t="s">
        <v>1492</v>
      </c>
      <c r="O10" s="676" t="s">
        <v>1493</v>
      </c>
      <c r="P10" s="674" t="s">
        <v>1150</v>
      </c>
      <c r="Q10" s="675" t="s">
        <v>1492</v>
      </c>
      <c r="R10" s="676" t="s">
        <v>1493</v>
      </c>
      <c r="S10" s="674" t="s">
        <v>1150</v>
      </c>
      <c r="T10" s="675" t="s">
        <v>1492</v>
      </c>
      <c r="U10" s="676" t="s">
        <v>1493</v>
      </c>
      <c r="V10" s="674" t="s">
        <v>1150</v>
      </c>
      <c r="W10" s="675" t="s">
        <v>1492</v>
      </c>
      <c r="X10" s="676" t="s">
        <v>1493</v>
      </c>
      <c r="Y10" s="674" t="s">
        <v>1150</v>
      </c>
      <c r="Z10" s="675" t="s">
        <v>1492</v>
      </c>
      <c r="AA10" s="676" t="s">
        <v>1493</v>
      </c>
      <c r="AB10" s="674" t="s">
        <v>1150</v>
      </c>
      <c r="AC10" s="675" t="s">
        <v>1492</v>
      </c>
      <c r="AD10" s="676" t="s">
        <v>1493</v>
      </c>
      <c r="AE10" s="674" t="s">
        <v>1150</v>
      </c>
      <c r="AF10" s="675" t="s">
        <v>1492</v>
      </c>
      <c r="AG10" s="676" t="s">
        <v>1493</v>
      </c>
      <c r="AH10" s="674" t="s">
        <v>1150</v>
      </c>
      <c r="AI10" s="675" t="s">
        <v>1492</v>
      </c>
      <c r="AJ10" s="676" t="s">
        <v>1493</v>
      </c>
      <c r="AK10" s="674" t="s">
        <v>1150</v>
      </c>
      <c r="AL10" s="675" t="s">
        <v>1492</v>
      </c>
      <c r="AM10" s="676" t="s">
        <v>1493</v>
      </c>
      <c r="AN10" s="674" t="s">
        <v>1150</v>
      </c>
      <c r="AO10" s="675" t="s">
        <v>1492</v>
      </c>
      <c r="AP10" s="676" t="s">
        <v>1493</v>
      </c>
      <c r="AQ10" s="674" t="s">
        <v>1150</v>
      </c>
      <c r="AR10" s="675" t="s">
        <v>1492</v>
      </c>
      <c r="AS10" s="676" t="s">
        <v>1493</v>
      </c>
      <c r="AT10" s="674" t="s">
        <v>1150</v>
      </c>
      <c r="AU10" s="675" t="s">
        <v>1492</v>
      </c>
      <c r="AV10" s="676" t="s">
        <v>1493</v>
      </c>
      <c r="AW10" s="510" t="s">
        <v>1494</v>
      </c>
      <c r="AX10" s="510" t="s">
        <v>1495</v>
      </c>
      <c r="AY10" s="510" t="s">
        <v>1496</v>
      </c>
    </row>
    <row r="11" spans="1:51">
      <c r="A11" s="1211">
        <v>2</v>
      </c>
      <c r="B11" s="1541"/>
      <c r="C11" s="1542"/>
      <c r="D11" s="1542"/>
      <c r="E11" s="1543"/>
      <c r="F11" s="1549" t="s">
        <v>1497</v>
      </c>
      <c r="G11" s="1549"/>
      <c r="H11" s="1549"/>
      <c r="I11" s="1550"/>
      <c r="J11" s="511" t="s">
        <v>1498</v>
      </c>
      <c r="K11" s="510" t="s">
        <v>1498</v>
      </c>
      <c r="L11" s="512" t="s">
        <v>1498</v>
      </c>
      <c r="M11" s="511" t="s">
        <v>1499</v>
      </c>
      <c r="N11" s="510" t="s">
        <v>1499</v>
      </c>
      <c r="O11" s="512" t="s">
        <v>1499</v>
      </c>
      <c r="P11" s="511" t="s">
        <v>1499</v>
      </c>
      <c r="Q11" s="510" t="s">
        <v>1499</v>
      </c>
      <c r="R11" s="512" t="s">
        <v>1499</v>
      </c>
      <c r="S11" s="511" t="s">
        <v>1499</v>
      </c>
      <c r="T11" s="510" t="s">
        <v>1499</v>
      </c>
      <c r="U11" s="512" t="s">
        <v>1499</v>
      </c>
      <c r="V11" s="511" t="s">
        <v>1499</v>
      </c>
      <c r="W11" s="510" t="s">
        <v>1499</v>
      </c>
      <c r="X11" s="512" t="s">
        <v>1499</v>
      </c>
      <c r="Y11" s="511" t="s">
        <v>1499</v>
      </c>
      <c r="Z11" s="510" t="s">
        <v>1499</v>
      </c>
      <c r="AA11" s="512" t="s">
        <v>1499</v>
      </c>
      <c r="AB11" s="511" t="s">
        <v>1499</v>
      </c>
      <c r="AC11" s="510" t="s">
        <v>1499</v>
      </c>
      <c r="AD11" s="512" t="s">
        <v>1499</v>
      </c>
      <c r="AE11" s="511" t="s">
        <v>1499</v>
      </c>
      <c r="AF11" s="510" t="s">
        <v>1499</v>
      </c>
      <c r="AG11" s="512" t="s">
        <v>1499</v>
      </c>
      <c r="AH11" s="511" t="s">
        <v>1499</v>
      </c>
      <c r="AI11" s="510" t="s">
        <v>1499</v>
      </c>
      <c r="AJ11" s="512" t="s">
        <v>1499</v>
      </c>
      <c r="AK11" s="511" t="s">
        <v>1499</v>
      </c>
      <c r="AL11" s="510" t="s">
        <v>1499</v>
      </c>
      <c r="AM11" s="512" t="s">
        <v>1499</v>
      </c>
      <c r="AN11" s="511" t="s">
        <v>1499</v>
      </c>
      <c r="AO11" s="510" t="s">
        <v>1499</v>
      </c>
      <c r="AP11" s="512" t="s">
        <v>1499</v>
      </c>
      <c r="AQ11" s="511" t="s">
        <v>1499</v>
      </c>
      <c r="AR11" s="510" t="s">
        <v>1499</v>
      </c>
      <c r="AS11" s="512" t="s">
        <v>1499</v>
      </c>
      <c r="AT11" s="511" t="s">
        <v>1499</v>
      </c>
      <c r="AU11" s="510" t="s">
        <v>1499</v>
      </c>
      <c r="AV11" s="512" t="s">
        <v>1499</v>
      </c>
    </row>
    <row r="12" spans="1:51">
      <c r="A12" s="1211">
        <v>3</v>
      </c>
      <c r="B12" s="1541"/>
      <c r="C12" s="1542"/>
      <c r="D12" s="1542"/>
      <c r="E12" s="1543"/>
      <c r="F12" s="1549" t="s">
        <v>1500</v>
      </c>
      <c r="G12" s="1549"/>
      <c r="H12" s="1549"/>
      <c r="I12" s="1550"/>
      <c r="J12" s="511" t="s">
        <v>1467</v>
      </c>
      <c r="K12" s="510" t="s">
        <v>1467</v>
      </c>
      <c r="L12" s="512" t="s">
        <v>1467</v>
      </c>
      <c r="M12" s="511" t="s">
        <v>1467</v>
      </c>
      <c r="N12" s="510" t="s">
        <v>1467</v>
      </c>
      <c r="O12" s="512" t="s">
        <v>1467</v>
      </c>
      <c r="P12" s="511" t="s">
        <v>1467</v>
      </c>
      <c r="Q12" s="510" t="s">
        <v>1467</v>
      </c>
      <c r="R12" s="512" t="s">
        <v>1467</v>
      </c>
      <c r="S12" s="511" t="s">
        <v>1467</v>
      </c>
      <c r="T12" s="510" t="s">
        <v>1467</v>
      </c>
      <c r="U12" s="512" t="s">
        <v>1467</v>
      </c>
      <c r="V12" s="511" t="s">
        <v>1467</v>
      </c>
      <c r="W12" s="510" t="s">
        <v>1467</v>
      </c>
      <c r="X12" s="512" t="s">
        <v>1467</v>
      </c>
      <c r="Y12" s="511" t="s">
        <v>1467</v>
      </c>
      <c r="Z12" s="510" t="s">
        <v>1467</v>
      </c>
      <c r="AA12" s="512" t="s">
        <v>1467</v>
      </c>
      <c r="AB12" s="511" t="s">
        <v>1467</v>
      </c>
      <c r="AC12" s="510" t="s">
        <v>1467</v>
      </c>
      <c r="AD12" s="512" t="s">
        <v>1467</v>
      </c>
      <c r="AE12" s="511" t="s">
        <v>1467</v>
      </c>
      <c r="AF12" s="510" t="s">
        <v>1467</v>
      </c>
      <c r="AG12" s="512" t="s">
        <v>1467</v>
      </c>
      <c r="AH12" s="511" t="s">
        <v>1467</v>
      </c>
      <c r="AI12" s="510" t="s">
        <v>1467</v>
      </c>
      <c r="AJ12" s="512" t="s">
        <v>1467</v>
      </c>
      <c r="AK12" s="511" t="s">
        <v>1467</v>
      </c>
      <c r="AL12" s="510" t="s">
        <v>1467</v>
      </c>
      <c r="AM12" s="512" t="s">
        <v>1467</v>
      </c>
      <c r="AN12" s="511" t="s">
        <v>1467</v>
      </c>
      <c r="AO12" s="510" t="s">
        <v>1467</v>
      </c>
      <c r="AP12" s="512" t="s">
        <v>1467</v>
      </c>
      <c r="AQ12" s="511" t="s">
        <v>1467</v>
      </c>
      <c r="AR12" s="510" t="s">
        <v>1467</v>
      </c>
      <c r="AS12" s="512" t="s">
        <v>1467</v>
      </c>
      <c r="AT12" s="511" t="s">
        <v>1467</v>
      </c>
      <c r="AU12" s="510" t="s">
        <v>1467</v>
      </c>
      <c r="AV12" s="512" t="s">
        <v>1467</v>
      </c>
      <c r="AX12" s="510" t="s">
        <v>1501</v>
      </c>
    </row>
    <row r="13" spans="1:51">
      <c r="A13" s="1211">
        <v>4</v>
      </c>
      <c r="B13" s="1541"/>
      <c r="C13" s="1542"/>
      <c r="D13" s="1542"/>
      <c r="E13" s="1543"/>
      <c r="F13" s="1549" t="s">
        <v>1502</v>
      </c>
      <c r="G13" s="1549"/>
      <c r="H13" s="1549"/>
      <c r="I13" s="1550"/>
      <c r="J13" s="511" t="s">
        <v>387</v>
      </c>
      <c r="K13" s="510" t="s">
        <v>387</v>
      </c>
      <c r="L13" s="512" t="s">
        <v>387</v>
      </c>
      <c r="M13" s="511" t="s">
        <v>1503</v>
      </c>
      <c r="N13" s="510" t="s">
        <v>1503</v>
      </c>
      <c r="O13" s="512" t="s">
        <v>1503</v>
      </c>
      <c r="P13" s="511" t="s">
        <v>1504</v>
      </c>
      <c r="Q13" s="510" t="s">
        <v>1504</v>
      </c>
      <c r="R13" s="512" t="s">
        <v>1504</v>
      </c>
      <c r="S13" s="511" t="s">
        <v>1505</v>
      </c>
      <c r="T13" s="510" t="s">
        <v>1505</v>
      </c>
      <c r="U13" s="512" t="s">
        <v>1505</v>
      </c>
      <c r="V13" s="511" t="s">
        <v>1506</v>
      </c>
      <c r="W13" s="510" t="s">
        <v>1506</v>
      </c>
      <c r="X13" s="512" t="s">
        <v>1506</v>
      </c>
      <c r="Y13" s="511" t="s">
        <v>1507</v>
      </c>
      <c r="Z13" s="510" t="s">
        <v>1507</v>
      </c>
      <c r="AA13" s="512" t="s">
        <v>1507</v>
      </c>
      <c r="AB13" s="511" t="s">
        <v>1508</v>
      </c>
      <c r="AC13" s="510" t="s">
        <v>1508</v>
      </c>
      <c r="AD13" s="512" t="s">
        <v>1508</v>
      </c>
      <c r="AE13" s="511" t="s">
        <v>1509</v>
      </c>
      <c r="AF13" s="510" t="s">
        <v>1509</v>
      </c>
      <c r="AG13" s="512" t="s">
        <v>1509</v>
      </c>
      <c r="AH13" s="511" t="s">
        <v>1510</v>
      </c>
      <c r="AI13" s="510" t="s">
        <v>1510</v>
      </c>
      <c r="AJ13" s="512" t="s">
        <v>1510</v>
      </c>
      <c r="AK13" s="511" t="s">
        <v>1511</v>
      </c>
      <c r="AL13" s="510" t="s">
        <v>1511</v>
      </c>
      <c r="AM13" s="512" t="s">
        <v>1511</v>
      </c>
      <c r="AN13" s="511" t="s">
        <v>385</v>
      </c>
      <c r="AO13" s="510" t="s">
        <v>385</v>
      </c>
      <c r="AP13" s="512" t="s">
        <v>385</v>
      </c>
      <c r="AQ13" s="511" t="s">
        <v>386</v>
      </c>
      <c r="AR13" s="510" t="s">
        <v>386</v>
      </c>
      <c r="AS13" s="512" t="s">
        <v>386</v>
      </c>
      <c r="AT13" s="511" t="s">
        <v>387</v>
      </c>
      <c r="AU13" s="510" t="s">
        <v>387</v>
      </c>
      <c r="AV13" s="512" t="s">
        <v>387</v>
      </c>
    </row>
    <row r="14" spans="1:51" ht="15.75" thickBot="1">
      <c r="A14" s="1211">
        <v>5</v>
      </c>
      <c r="B14" s="1544"/>
      <c r="C14" s="1545"/>
      <c r="D14" s="1545"/>
      <c r="E14" s="1546"/>
      <c r="F14" s="1549" t="s">
        <v>1512</v>
      </c>
      <c r="G14" s="1549"/>
      <c r="H14" s="1549"/>
      <c r="I14" s="1550"/>
      <c r="J14" s="511" t="s">
        <v>1513</v>
      </c>
      <c r="K14" s="510" t="s">
        <v>1513</v>
      </c>
      <c r="L14" s="512" t="s">
        <v>1513</v>
      </c>
      <c r="M14" s="511" t="s">
        <v>1513</v>
      </c>
      <c r="N14" s="510" t="s">
        <v>1513</v>
      </c>
      <c r="O14" s="512" t="s">
        <v>1513</v>
      </c>
      <c r="P14" s="511" t="s">
        <v>1513</v>
      </c>
      <c r="Q14" s="510" t="s">
        <v>1513</v>
      </c>
      <c r="R14" s="512" t="s">
        <v>1513</v>
      </c>
      <c r="S14" s="511" t="s">
        <v>1513</v>
      </c>
      <c r="T14" s="510" t="s">
        <v>1513</v>
      </c>
      <c r="U14" s="512" t="s">
        <v>1513</v>
      </c>
      <c r="V14" s="511" t="s">
        <v>1513</v>
      </c>
      <c r="W14" s="510" t="s">
        <v>1513</v>
      </c>
      <c r="X14" s="512" t="s">
        <v>1513</v>
      </c>
      <c r="Y14" s="511" t="s">
        <v>1513</v>
      </c>
      <c r="Z14" s="510" t="s">
        <v>1513</v>
      </c>
      <c r="AA14" s="512" t="s">
        <v>1513</v>
      </c>
      <c r="AB14" s="511" t="s">
        <v>1513</v>
      </c>
      <c r="AC14" s="510" t="s">
        <v>1513</v>
      </c>
      <c r="AD14" s="512" t="s">
        <v>1513</v>
      </c>
      <c r="AE14" s="511" t="s">
        <v>1513</v>
      </c>
      <c r="AF14" s="510" t="s">
        <v>1513</v>
      </c>
      <c r="AG14" s="512" t="s">
        <v>1513</v>
      </c>
      <c r="AH14" s="511" t="s">
        <v>1513</v>
      </c>
      <c r="AI14" s="510" t="s">
        <v>1513</v>
      </c>
      <c r="AJ14" s="512" t="s">
        <v>1513</v>
      </c>
      <c r="AK14" s="511" t="s">
        <v>1513</v>
      </c>
      <c r="AL14" s="510" t="s">
        <v>1513</v>
      </c>
      <c r="AM14" s="512" t="s">
        <v>1513</v>
      </c>
      <c r="AN14" s="511" t="s">
        <v>1513</v>
      </c>
      <c r="AO14" s="510" t="s">
        <v>1513</v>
      </c>
      <c r="AP14" s="512" t="s">
        <v>1513</v>
      </c>
      <c r="AQ14" s="511" t="s">
        <v>1513</v>
      </c>
      <c r="AR14" s="510" t="s">
        <v>1513</v>
      </c>
      <c r="AS14" s="512" t="s">
        <v>1513</v>
      </c>
      <c r="AT14" s="511" t="s">
        <v>1513</v>
      </c>
      <c r="AU14" s="510" t="s">
        <v>1513</v>
      </c>
      <c r="AV14" s="512" t="s">
        <v>1513</v>
      </c>
    </row>
    <row r="15" spans="1:51">
      <c r="A15" s="1211">
        <v>6</v>
      </c>
      <c r="B15" s="513"/>
      <c r="C15" s="514"/>
      <c r="D15" s="514"/>
      <c r="E15" s="514"/>
      <c r="F15" s="514"/>
      <c r="G15" s="514"/>
      <c r="H15" s="514"/>
      <c r="I15" s="515"/>
      <c r="J15" s="513"/>
      <c r="K15" s="514"/>
      <c r="L15" s="515"/>
      <c r="M15" s="513"/>
      <c r="N15" s="514"/>
      <c r="O15" s="515"/>
      <c r="P15" s="513"/>
      <c r="Q15" s="514"/>
      <c r="R15" s="515"/>
      <c r="S15" s="513"/>
      <c r="T15" s="514"/>
      <c r="U15" s="515"/>
      <c r="V15" s="513"/>
      <c r="W15" s="514"/>
      <c r="X15" s="515"/>
      <c r="Y15" s="513"/>
      <c r="Z15" s="514"/>
      <c r="AA15" s="515"/>
      <c r="AB15" s="513"/>
      <c r="AC15" s="514"/>
      <c r="AD15" s="515"/>
      <c r="AE15" s="513"/>
      <c r="AF15" s="514"/>
      <c r="AG15" s="515"/>
      <c r="AH15" s="513"/>
      <c r="AI15" s="514"/>
      <c r="AJ15" s="515"/>
      <c r="AK15" s="513"/>
      <c r="AL15" s="514"/>
      <c r="AM15" s="515"/>
      <c r="AN15" s="513"/>
      <c r="AO15" s="514"/>
      <c r="AP15" s="515"/>
      <c r="AQ15" s="513"/>
      <c r="AR15" s="514"/>
      <c r="AS15" s="515"/>
      <c r="AT15" s="513"/>
      <c r="AU15" s="514"/>
      <c r="AV15" s="515"/>
      <c r="AW15" s="738"/>
      <c r="AX15" s="515"/>
      <c r="AY15" s="515"/>
    </row>
    <row r="16" spans="1:51" ht="30">
      <c r="A16" s="1211">
        <v>7</v>
      </c>
      <c r="B16" s="516"/>
      <c r="C16" s="677" t="s">
        <v>1514</v>
      </c>
      <c r="D16" s="677"/>
      <c r="E16" s="677" t="s">
        <v>1515</v>
      </c>
      <c r="F16" s="677" t="s">
        <v>1516</v>
      </c>
      <c r="G16" s="677" t="s">
        <v>1517</v>
      </c>
      <c r="H16" s="677" t="s">
        <v>1518</v>
      </c>
      <c r="I16" s="678" t="s">
        <v>1519</v>
      </c>
      <c r="J16" s="516"/>
      <c r="K16" s="338"/>
      <c r="L16" s="517"/>
      <c r="M16" s="516"/>
      <c r="N16" s="338"/>
      <c r="O16" s="517"/>
      <c r="P16" s="516"/>
      <c r="Q16" s="338"/>
      <c r="R16" s="517"/>
      <c r="S16" s="516"/>
      <c r="T16" s="338"/>
      <c r="U16" s="517"/>
      <c r="V16" s="516"/>
      <c r="W16" s="338"/>
      <c r="X16" s="517"/>
      <c r="Y16" s="516"/>
      <c r="Z16" s="338"/>
      <c r="AA16" s="517"/>
      <c r="AB16" s="516"/>
      <c r="AC16" s="338"/>
      <c r="AD16" s="517"/>
      <c r="AE16" s="516"/>
      <c r="AF16" s="338"/>
      <c r="AG16" s="517"/>
      <c r="AH16" s="516"/>
      <c r="AI16" s="338"/>
      <c r="AJ16" s="517"/>
      <c r="AK16" s="516"/>
      <c r="AL16" s="338"/>
      <c r="AM16" s="517"/>
      <c r="AN16" s="516"/>
      <c r="AO16" s="338"/>
      <c r="AP16" s="517"/>
      <c r="AQ16" s="516"/>
      <c r="AR16" s="338"/>
      <c r="AS16" s="517"/>
      <c r="AT16" s="516"/>
      <c r="AU16" s="338"/>
      <c r="AV16" s="517"/>
    </row>
    <row r="17" spans="1:56">
      <c r="A17" s="1211">
        <v>8</v>
      </c>
      <c r="B17" s="1535" t="s">
        <v>1520</v>
      </c>
      <c r="C17" s="1536"/>
      <c r="D17" s="1536"/>
      <c r="E17" s="1536"/>
      <c r="F17" s="1536"/>
      <c r="G17" s="1536"/>
      <c r="H17" s="1536"/>
      <c r="I17" s="1537"/>
      <c r="J17" s="518"/>
      <c r="K17" s="286"/>
      <c r="L17" s="519"/>
      <c r="M17" s="518"/>
      <c r="N17" s="286"/>
      <c r="O17" s="519"/>
      <c r="P17" s="518"/>
      <c r="Q17" s="286"/>
      <c r="R17" s="519"/>
      <c r="S17" s="518"/>
      <c r="T17" s="286"/>
      <c r="U17" s="519"/>
      <c r="V17" s="518"/>
      <c r="W17" s="286"/>
      <c r="X17" s="519"/>
      <c r="Y17" s="518"/>
      <c r="Z17" s="286"/>
      <c r="AA17" s="519"/>
      <c r="AB17" s="518"/>
      <c r="AC17" s="286"/>
      <c r="AD17" s="519"/>
      <c r="AE17" s="518"/>
      <c r="AF17" s="286"/>
      <c r="AG17" s="519"/>
      <c r="AH17" s="518"/>
      <c r="AI17" s="286"/>
      <c r="AJ17" s="519"/>
      <c r="AK17" s="518"/>
      <c r="AL17" s="286"/>
      <c r="AM17" s="519"/>
      <c r="AN17" s="518"/>
      <c r="AO17" s="286"/>
      <c r="AP17" s="519"/>
      <c r="AQ17" s="518"/>
      <c r="AR17" s="286"/>
      <c r="AS17" s="519"/>
      <c r="AT17" s="518"/>
      <c r="AU17" s="286"/>
      <c r="AV17" s="519"/>
    </row>
    <row r="18" spans="1:56">
      <c r="A18" s="1211">
        <v>9</v>
      </c>
      <c r="B18" s="520" t="s">
        <v>1521</v>
      </c>
      <c r="C18" s="510" t="s">
        <v>1522</v>
      </c>
      <c r="D18" s="510"/>
      <c r="E18" s="510" t="s">
        <v>1523</v>
      </c>
      <c r="F18" s="510" t="s">
        <v>1524</v>
      </c>
      <c r="G18" s="510" t="s">
        <v>1525</v>
      </c>
      <c r="H18" s="510" t="s">
        <v>1526</v>
      </c>
      <c r="I18" s="512" t="s">
        <v>1526</v>
      </c>
      <c r="J18" s="518">
        <v>0</v>
      </c>
      <c r="K18" s="286">
        <v>0</v>
      </c>
      <c r="L18" s="519"/>
      <c r="M18" s="518">
        <v>0</v>
      </c>
      <c r="N18" s="286">
        <v>0</v>
      </c>
      <c r="O18" s="519"/>
      <c r="P18" s="518">
        <v>0</v>
      </c>
      <c r="Q18" s="286">
        <v>0</v>
      </c>
      <c r="R18" s="519"/>
      <c r="S18" s="518">
        <v>0</v>
      </c>
      <c r="T18" s="286">
        <v>0</v>
      </c>
      <c r="U18" s="519"/>
      <c r="V18" s="518">
        <v>0</v>
      </c>
      <c r="W18" s="286">
        <v>0</v>
      </c>
      <c r="X18" s="519"/>
      <c r="Y18" s="518">
        <v>0</v>
      </c>
      <c r="Z18" s="286">
        <v>0</v>
      </c>
      <c r="AA18" s="519"/>
      <c r="AB18" s="518">
        <v>0</v>
      </c>
      <c r="AC18" s="286">
        <v>0</v>
      </c>
      <c r="AD18" s="519"/>
      <c r="AE18" s="518">
        <v>0</v>
      </c>
      <c r="AF18" s="286">
        <v>0</v>
      </c>
      <c r="AG18" s="519"/>
      <c r="AH18" s="518">
        <v>0</v>
      </c>
      <c r="AI18" s="286">
        <v>0</v>
      </c>
      <c r="AJ18" s="519"/>
      <c r="AK18" s="518">
        <v>0</v>
      </c>
      <c r="AL18" s="286">
        <v>0</v>
      </c>
      <c r="AM18" s="519"/>
      <c r="AN18" s="518">
        <v>0</v>
      </c>
      <c r="AO18" s="286">
        <v>0</v>
      </c>
      <c r="AP18" s="519"/>
      <c r="AQ18" s="518">
        <v>0</v>
      </c>
      <c r="AR18" s="286">
        <v>0</v>
      </c>
      <c r="AS18" s="519"/>
      <c r="AT18" s="518">
        <v>0</v>
      </c>
      <c r="AU18" s="286">
        <v>0</v>
      </c>
      <c r="AV18" s="519"/>
    </row>
    <row r="19" spans="1:56">
      <c r="A19" s="1211">
        <v>10</v>
      </c>
      <c r="B19" s="520" t="s">
        <v>1527</v>
      </c>
      <c r="C19" s="510" t="s">
        <v>1522</v>
      </c>
      <c r="D19" s="510"/>
      <c r="E19" s="510" t="s">
        <v>1526</v>
      </c>
      <c r="F19" s="510" t="s">
        <v>1524</v>
      </c>
      <c r="G19" s="510" t="s">
        <v>1528</v>
      </c>
      <c r="H19" s="510" t="s">
        <v>1526</v>
      </c>
      <c r="I19" s="512" t="s">
        <v>1526</v>
      </c>
      <c r="J19" s="518">
        <v>-3349954.61</v>
      </c>
      <c r="K19" s="358">
        <v>-3142835.9</v>
      </c>
      <c r="L19" s="519">
        <v>-207118.71</v>
      </c>
      <c r="M19" s="518">
        <v>-3207151.42</v>
      </c>
      <c r="N19" s="358">
        <v>-3014489.11</v>
      </c>
      <c r="O19" s="519">
        <v>-192662.31</v>
      </c>
      <c r="P19" s="518">
        <v>-3207151.42</v>
      </c>
      <c r="Q19" s="358">
        <v>-3014489.11</v>
      </c>
      <c r="R19" s="519">
        <v>-192662.31</v>
      </c>
      <c r="S19" s="518">
        <v>-3072402.95</v>
      </c>
      <c r="T19" s="358">
        <v>-2847929.89</v>
      </c>
      <c r="U19" s="519">
        <v>-224473.06</v>
      </c>
      <c r="V19" s="518">
        <v>-3072402.95</v>
      </c>
      <c r="W19" s="358">
        <v>-2847929.89</v>
      </c>
      <c r="X19" s="519">
        <v>-224473.06</v>
      </c>
      <c r="Y19" s="518">
        <v>-3072402.95</v>
      </c>
      <c r="Z19" s="358">
        <v>-2847929.89</v>
      </c>
      <c r="AA19" s="519">
        <v>-224473.06</v>
      </c>
      <c r="AB19" s="518">
        <v>-3076262.1</v>
      </c>
      <c r="AC19" s="358">
        <v>-2842114.89</v>
      </c>
      <c r="AD19" s="519">
        <v>-234147.21</v>
      </c>
      <c r="AE19" s="518">
        <v>-3076262.1</v>
      </c>
      <c r="AF19" s="358">
        <v>-2842114.89</v>
      </c>
      <c r="AG19" s="519">
        <v>-234147.21</v>
      </c>
      <c r="AH19" s="518">
        <v>-3076466.15</v>
      </c>
      <c r="AI19" s="358">
        <v>-2842114.89</v>
      </c>
      <c r="AJ19" s="519">
        <v>-234351.26</v>
      </c>
      <c r="AK19" s="518">
        <v>-3061470.62</v>
      </c>
      <c r="AL19" s="358">
        <v>-2832139.85</v>
      </c>
      <c r="AM19" s="519">
        <v>-229330.77</v>
      </c>
      <c r="AN19" s="518">
        <v>-3061470.62</v>
      </c>
      <c r="AO19" s="358">
        <v>-2832139.85</v>
      </c>
      <c r="AP19" s="519">
        <v>-229330.77</v>
      </c>
      <c r="AQ19" s="518">
        <v>-3061141.64</v>
      </c>
      <c r="AR19" s="358">
        <v>-2832139.86</v>
      </c>
      <c r="AS19" s="519">
        <v>-229001.78</v>
      </c>
      <c r="AT19" s="518">
        <v>-3061141.65</v>
      </c>
      <c r="AU19" s="358">
        <v>-2832139.86</v>
      </c>
      <c r="AV19" s="519">
        <v>-229001.79</v>
      </c>
      <c r="AW19" s="313">
        <f>+(AT19+J19+(M19+P19+S19+V19+Y19+AB19+AE19+AH19+AK19+AN19+AQ19)*2)/24</f>
        <v>-3104177.7541666669</v>
      </c>
      <c r="AX19" s="313">
        <f t="shared" ref="AX19:AY23" si="0">+(AU19+K19+(N19+Q19+T19+W19+Z19+AC19+AF19+AI19+AL19+AO19+AR19)*2)/24</f>
        <v>-2881918.333333334</v>
      </c>
      <c r="AY19" s="313">
        <f t="shared" si="0"/>
        <v>-222259.42083333331</v>
      </c>
    </row>
    <row r="20" spans="1:56">
      <c r="A20" s="1211">
        <v>11</v>
      </c>
      <c r="B20" s="520" t="s">
        <v>1529</v>
      </c>
      <c r="C20" s="510" t="s">
        <v>1522</v>
      </c>
      <c r="D20" s="510"/>
      <c r="E20" s="510" t="s">
        <v>1530</v>
      </c>
      <c r="F20" s="510" t="s">
        <v>1524</v>
      </c>
      <c r="G20" s="510" t="s">
        <v>1531</v>
      </c>
      <c r="H20" s="510" t="s">
        <v>1526</v>
      </c>
      <c r="I20" s="512" t="s">
        <v>1526</v>
      </c>
      <c r="J20" s="518">
        <v>140365.51999999999</v>
      </c>
      <c r="K20" s="286">
        <v>128346.79</v>
      </c>
      <c r="L20" s="519">
        <v>12018.73</v>
      </c>
      <c r="M20" s="518">
        <v>0</v>
      </c>
      <c r="N20" s="286">
        <v>0</v>
      </c>
      <c r="O20" s="519">
        <v>0</v>
      </c>
      <c r="P20" s="518">
        <v>0</v>
      </c>
      <c r="Q20" s="286">
        <v>0</v>
      </c>
      <c r="R20" s="519">
        <v>0</v>
      </c>
      <c r="S20" s="518">
        <v>0</v>
      </c>
      <c r="T20" s="286">
        <v>0</v>
      </c>
      <c r="U20" s="519">
        <v>0</v>
      </c>
      <c r="V20" s="518">
        <v>0</v>
      </c>
      <c r="W20" s="286">
        <v>0</v>
      </c>
      <c r="X20" s="519">
        <v>0</v>
      </c>
      <c r="Y20" s="518">
        <v>0</v>
      </c>
      <c r="Z20" s="286">
        <v>0</v>
      </c>
      <c r="AA20" s="519">
        <v>0</v>
      </c>
      <c r="AB20" s="518">
        <v>0</v>
      </c>
      <c r="AC20" s="286">
        <v>0</v>
      </c>
      <c r="AD20" s="519">
        <v>0</v>
      </c>
      <c r="AE20" s="518">
        <v>0</v>
      </c>
      <c r="AF20" s="286">
        <v>0</v>
      </c>
      <c r="AG20" s="519">
        <v>0</v>
      </c>
      <c r="AH20" s="518">
        <v>0</v>
      </c>
      <c r="AI20" s="286">
        <v>0</v>
      </c>
      <c r="AJ20" s="519">
        <v>0</v>
      </c>
      <c r="AK20" s="518">
        <v>0</v>
      </c>
      <c r="AL20" s="286">
        <v>0</v>
      </c>
      <c r="AM20" s="519">
        <v>0</v>
      </c>
      <c r="AN20" s="518">
        <v>0</v>
      </c>
      <c r="AO20" s="286">
        <v>0</v>
      </c>
      <c r="AP20" s="519">
        <v>0</v>
      </c>
      <c r="AQ20" s="518">
        <v>0</v>
      </c>
      <c r="AR20" s="286">
        <v>0</v>
      </c>
      <c r="AS20" s="519">
        <v>0</v>
      </c>
      <c r="AT20" s="518">
        <v>0</v>
      </c>
      <c r="AU20" s="286">
        <v>0</v>
      </c>
      <c r="AV20" s="519">
        <v>0</v>
      </c>
      <c r="AW20" s="313">
        <f>+(AT20+J20+(M20+P20+S20+V20+Y20+AB20+AE20+AH20+AK20+AN20+AQ20)*2)/24</f>
        <v>5848.5633333333326</v>
      </c>
      <c r="AX20" s="313">
        <f t="shared" si="0"/>
        <v>5347.7829166666661</v>
      </c>
      <c r="AY20" s="313">
        <f t="shared" si="0"/>
        <v>500.78041666666667</v>
      </c>
    </row>
    <row r="21" spans="1:56">
      <c r="A21" s="1211">
        <v>12</v>
      </c>
      <c r="B21" s="520" t="s">
        <v>1532</v>
      </c>
      <c r="C21" s="510" t="s">
        <v>1522</v>
      </c>
      <c r="D21" s="510"/>
      <c r="E21" s="510" t="s">
        <v>1530</v>
      </c>
      <c r="F21" s="510" t="s">
        <v>1524</v>
      </c>
      <c r="G21" s="510" t="s">
        <v>1533</v>
      </c>
      <c r="H21" s="510" t="s">
        <v>1526</v>
      </c>
      <c r="I21" s="512" t="s">
        <v>1526</v>
      </c>
      <c r="J21" s="521">
        <v>0</v>
      </c>
      <c r="K21" s="522">
        <v>0.01</v>
      </c>
      <c r="L21" s="523">
        <v>-0.01</v>
      </c>
      <c r="M21" s="521">
        <v>0</v>
      </c>
      <c r="N21" s="522">
        <v>0.01</v>
      </c>
      <c r="O21" s="523">
        <v>-0.01</v>
      </c>
      <c r="P21" s="521">
        <v>0</v>
      </c>
      <c r="Q21" s="522">
        <v>0.01</v>
      </c>
      <c r="R21" s="523">
        <v>-0.01</v>
      </c>
      <c r="S21" s="521">
        <v>0</v>
      </c>
      <c r="T21" s="522">
        <v>0.01</v>
      </c>
      <c r="U21" s="523">
        <v>-0.01</v>
      </c>
      <c r="V21" s="521">
        <v>0</v>
      </c>
      <c r="W21" s="522">
        <v>0.01</v>
      </c>
      <c r="X21" s="523">
        <v>-0.01</v>
      </c>
      <c r="Y21" s="521">
        <v>0</v>
      </c>
      <c r="Z21" s="522">
        <v>0.01</v>
      </c>
      <c r="AA21" s="523">
        <v>-0.01</v>
      </c>
      <c r="AB21" s="521">
        <v>0</v>
      </c>
      <c r="AC21" s="522">
        <v>0.01</v>
      </c>
      <c r="AD21" s="523">
        <v>-0.01</v>
      </c>
      <c r="AE21" s="521">
        <v>0</v>
      </c>
      <c r="AF21" s="522">
        <v>0.01</v>
      </c>
      <c r="AG21" s="523">
        <v>-0.01</v>
      </c>
      <c r="AH21" s="521">
        <v>0</v>
      </c>
      <c r="AI21" s="522">
        <v>0.01</v>
      </c>
      <c r="AJ21" s="523">
        <v>-0.01</v>
      </c>
      <c r="AK21" s="521">
        <v>0</v>
      </c>
      <c r="AL21" s="522">
        <v>0.01</v>
      </c>
      <c r="AM21" s="523">
        <v>-0.01</v>
      </c>
      <c r="AN21" s="521">
        <v>0</v>
      </c>
      <c r="AO21" s="522">
        <v>0.01</v>
      </c>
      <c r="AP21" s="523">
        <v>-0.01</v>
      </c>
      <c r="AQ21" s="521">
        <v>0</v>
      </c>
      <c r="AR21" s="522">
        <v>0.01</v>
      </c>
      <c r="AS21" s="523">
        <v>-0.01</v>
      </c>
      <c r="AT21" s="521">
        <v>0</v>
      </c>
      <c r="AU21" s="522">
        <v>0.01</v>
      </c>
      <c r="AV21" s="523">
        <v>-0.01</v>
      </c>
      <c r="AW21" s="313">
        <f>+(AT21+J21+(M21+P21+S21+V21+Y21+AB21+AE21+AH21+AK21+AN21+AQ21)*2)/24</f>
        <v>0</v>
      </c>
      <c r="AX21" s="313">
        <f t="shared" si="0"/>
        <v>9.9999999999999985E-3</v>
      </c>
      <c r="AY21" s="313">
        <f t="shared" si="0"/>
        <v>-9.9999999999999985E-3</v>
      </c>
    </row>
    <row r="22" spans="1:56">
      <c r="A22" s="1211">
        <v>13</v>
      </c>
      <c r="B22" s="520" t="s">
        <v>1534</v>
      </c>
      <c r="C22" s="510" t="s">
        <v>1522</v>
      </c>
      <c r="D22" s="510"/>
      <c r="E22" s="510" t="s">
        <v>1530</v>
      </c>
      <c r="F22" s="510" t="s">
        <v>1524</v>
      </c>
      <c r="G22" s="510" t="s">
        <v>1535</v>
      </c>
      <c r="H22" s="510" t="s">
        <v>1526</v>
      </c>
      <c r="I22" s="512" t="s">
        <v>1526</v>
      </c>
      <c r="J22" s="521">
        <v>-985998.22</v>
      </c>
      <c r="K22" s="522">
        <v>-741061.54</v>
      </c>
      <c r="L22" s="523">
        <v>-244936.68</v>
      </c>
      <c r="M22" s="521">
        <v>-982856.14</v>
      </c>
      <c r="N22" s="522">
        <v>-737474.89</v>
      </c>
      <c r="O22" s="523">
        <v>-245381.25</v>
      </c>
      <c r="P22" s="521">
        <v>-976254.63</v>
      </c>
      <c r="Q22" s="522">
        <v>-732520.46</v>
      </c>
      <c r="R22" s="523">
        <v>-243734.17</v>
      </c>
      <c r="S22" s="521">
        <v>-954995.57</v>
      </c>
      <c r="T22" s="522">
        <v>-716565.54</v>
      </c>
      <c r="U22" s="523">
        <v>-238430.03</v>
      </c>
      <c r="V22" s="521">
        <v>-936504.82</v>
      </c>
      <c r="W22" s="522">
        <v>-702688.23</v>
      </c>
      <c r="X22" s="523">
        <v>-233816.59</v>
      </c>
      <c r="Y22" s="521">
        <v>-934089.88</v>
      </c>
      <c r="Z22" s="522">
        <v>-700875.82</v>
      </c>
      <c r="AA22" s="523">
        <v>-233214.06</v>
      </c>
      <c r="AB22" s="521">
        <v>-278967.98</v>
      </c>
      <c r="AC22" s="522">
        <v>-209206.83</v>
      </c>
      <c r="AD22" s="523">
        <v>-69761.149999999994</v>
      </c>
      <c r="AE22" s="521">
        <v>-278967.98</v>
      </c>
      <c r="AF22" s="522">
        <v>-209206.83</v>
      </c>
      <c r="AG22" s="523">
        <v>-69761.149999999994</v>
      </c>
      <c r="AH22" s="521">
        <v>-278967.98</v>
      </c>
      <c r="AI22" s="522">
        <v>-209206.83</v>
      </c>
      <c r="AJ22" s="523">
        <v>-69761.149999999994</v>
      </c>
      <c r="AK22" s="521">
        <v>-271009.40999999997</v>
      </c>
      <c r="AL22" s="522">
        <v>-203233.92000000001</v>
      </c>
      <c r="AM22" s="523">
        <v>-67775.490000000005</v>
      </c>
      <c r="AN22" s="521">
        <v>-269648.52</v>
      </c>
      <c r="AO22" s="522">
        <v>-202212.57</v>
      </c>
      <c r="AP22" s="523">
        <v>-67435.95</v>
      </c>
      <c r="AQ22" s="521">
        <v>-267224.96999999997</v>
      </c>
      <c r="AR22" s="522">
        <v>-200393.7</v>
      </c>
      <c r="AS22" s="523">
        <v>-66831.27</v>
      </c>
      <c r="AT22" s="521">
        <v>-267224.96999999997</v>
      </c>
      <c r="AU22" s="522">
        <v>-200393.7</v>
      </c>
      <c r="AV22" s="523">
        <v>-66831.27</v>
      </c>
      <c r="AW22" s="313">
        <f>+(AT22+J22+(M22+P22+S22+V22+Y22+AB22+AE22+AH22+AK22+AN22+AQ22)*2)/24</f>
        <v>-588008.2895833333</v>
      </c>
      <c r="AX22" s="313">
        <f t="shared" si="0"/>
        <v>-441192.77</v>
      </c>
      <c r="AY22" s="313">
        <f t="shared" si="0"/>
        <v>-146815.51958333331</v>
      </c>
    </row>
    <row r="23" spans="1:56" ht="15.75" thickBot="1">
      <c r="A23" s="1211">
        <v>14</v>
      </c>
      <c r="B23" s="520" t="s">
        <v>1536</v>
      </c>
      <c r="C23" s="510" t="s">
        <v>1522</v>
      </c>
      <c r="D23" s="510"/>
      <c r="E23" s="510" t="s">
        <v>1530</v>
      </c>
      <c r="F23" s="510" t="s">
        <v>1524</v>
      </c>
      <c r="G23" s="510" t="s">
        <v>1537</v>
      </c>
      <c r="H23" s="510" t="s">
        <v>1526</v>
      </c>
      <c r="I23" s="512" t="s">
        <v>1526</v>
      </c>
      <c r="J23" s="521">
        <v>0</v>
      </c>
      <c r="K23" s="522">
        <v>0</v>
      </c>
      <c r="L23" s="523">
        <v>0</v>
      </c>
      <c r="M23" s="521">
        <v>0</v>
      </c>
      <c r="N23" s="522">
        <v>0</v>
      </c>
      <c r="O23" s="523">
        <v>0</v>
      </c>
      <c r="P23" s="521">
        <v>0</v>
      </c>
      <c r="Q23" s="522">
        <v>0</v>
      </c>
      <c r="R23" s="523">
        <v>0</v>
      </c>
      <c r="S23" s="521">
        <v>0</v>
      </c>
      <c r="T23" s="522">
        <v>0</v>
      </c>
      <c r="U23" s="523">
        <v>0</v>
      </c>
      <c r="V23" s="521">
        <v>0</v>
      </c>
      <c r="W23" s="522">
        <v>0</v>
      </c>
      <c r="X23" s="523">
        <v>0</v>
      </c>
      <c r="Y23" s="521">
        <v>0</v>
      </c>
      <c r="Z23" s="522">
        <v>0</v>
      </c>
      <c r="AA23" s="523">
        <v>0</v>
      </c>
      <c r="AB23" s="521">
        <v>0</v>
      </c>
      <c r="AC23" s="522">
        <v>0</v>
      </c>
      <c r="AD23" s="523">
        <v>0</v>
      </c>
      <c r="AE23" s="521">
        <v>0</v>
      </c>
      <c r="AF23" s="522">
        <v>0</v>
      </c>
      <c r="AG23" s="523">
        <v>0</v>
      </c>
      <c r="AH23" s="521">
        <v>0</v>
      </c>
      <c r="AI23" s="522">
        <v>0</v>
      </c>
      <c r="AJ23" s="523">
        <v>0</v>
      </c>
      <c r="AK23" s="521">
        <v>0</v>
      </c>
      <c r="AL23" s="522">
        <v>0</v>
      </c>
      <c r="AM23" s="523">
        <v>0</v>
      </c>
      <c r="AN23" s="521">
        <v>0</v>
      </c>
      <c r="AO23" s="522">
        <v>0</v>
      </c>
      <c r="AP23" s="523">
        <v>0</v>
      </c>
      <c r="AQ23" s="521">
        <v>0</v>
      </c>
      <c r="AR23" s="522">
        <v>0</v>
      </c>
      <c r="AS23" s="523">
        <v>0</v>
      </c>
      <c r="AT23" s="521">
        <v>0</v>
      </c>
      <c r="AU23" s="522">
        <v>0</v>
      </c>
      <c r="AV23" s="523">
        <v>0</v>
      </c>
      <c r="AW23" s="524">
        <f>+(AT23+J23+(M23+P23+S23+V23+Y23+AB23+AE23+AH23+AK23+AN23+AQ23)*2)/24</f>
        <v>0</v>
      </c>
      <c r="AX23" s="524">
        <f t="shared" si="0"/>
        <v>0</v>
      </c>
      <c r="AY23" s="524">
        <f t="shared" si="0"/>
        <v>0</v>
      </c>
    </row>
    <row r="24" spans="1:56" ht="15.75" thickBot="1">
      <c r="A24" s="1211">
        <v>15</v>
      </c>
      <c r="B24" s="520"/>
      <c r="C24" s="510"/>
      <c r="D24" s="510"/>
      <c r="E24" s="510"/>
      <c r="F24" s="510"/>
      <c r="G24" s="510"/>
      <c r="H24" s="510"/>
      <c r="I24" s="512"/>
      <c r="J24" s="525">
        <f>SUM(J19:J23)</f>
        <v>-4195587.3099999996</v>
      </c>
      <c r="K24" s="233">
        <f>SUM(K18:K23)</f>
        <v>-3755550.64</v>
      </c>
      <c r="L24" s="526">
        <f>SUM(L19:L23)</f>
        <v>-440036.67</v>
      </c>
      <c r="M24" s="525">
        <f>SUM(M18:M23)</f>
        <v>-4190007.56</v>
      </c>
      <c r="N24" s="233">
        <f>SUM(N18:N23)</f>
        <v>-3751963.99</v>
      </c>
      <c r="O24" s="526">
        <f>SUM(O19:O23)</f>
        <v>-438043.57</v>
      </c>
      <c r="P24" s="525">
        <f>SUM(P18:P23)</f>
        <v>-4183406.05</v>
      </c>
      <c r="Q24" s="233">
        <f>SUM(Q18:Q23)</f>
        <v>-3747009.56</v>
      </c>
      <c r="R24" s="526">
        <f>SUM(R19:R23)</f>
        <v>-436396.49</v>
      </c>
      <c r="S24" s="525">
        <f>SUM(S18:S23)</f>
        <v>-4027398.52</v>
      </c>
      <c r="T24" s="233">
        <f>SUM(T18:T23)</f>
        <v>-3564495.4200000004</v>
      </c>
      <c r="U24" s="526">
        <f>SUM(U19:U23)</f>
        <v>-462903.1</v>
      </c>
      <c r="V24" s="525">
        <f>SUM(V18:V23)</f>
        <v>-4008907.77</v>
      </c>
      <c r="W24" s="233">
        <f>SUM(W18:W23)</f>
        <v>-3550618.1100000003</v>
      </c>
      <c r="X24" s="526">
        <f>SUM(X19:X23)</f>
        <v>-458289.66000000003</v>
      </c>
      <c r="Y24" s="525">
        <f>SUM(Y18:Y23)</f>
        <v>-4006492.83</v>
      </c>
      <c r="Z24" s="233">
        <f>SUM(Z18:Z23)</f>
        <v>-3548805.7</v>
      </c>
      <c r="AA24" s="526">
        <f>SUM(AA19:AA23)</f>
        <v>-457687.13</v>
      </c>
      <c r="AB24" s="525">
        <f>SUM(AB18:AB23)</f>
        <v>-3355230.08</v>
      </c>
      <c r="AC24" s="233">
        <f>SUM(AC18:AC23)</f>
        <v>-3051321.7100000004</v>
      </c>
      <c r="AD24" s="526">
        <f>SUM(AD19:AD23)</f>
        <v>-303908.37</v>
      </c>
      <c r="AE24" s="525">
        <f>SUM(AE18:AE23)</f>
        <v>-3355230.08</v>
      </c>
      <c r="AF24" s="233">
        <f>SUM(AF18:AF23)</f>
        <v>-3051321.7100000004</v>
      </c>
      <c r="AG24" s="526">
        <f>SUM(AG19:AG23)</f>
        <v>-303908.37</v>
      </c>
      <c r="AH24" s="525">
        <f>SUM(AH18:AH23)</f>
        <v>-3355434.13</v>
      </c>
      <c r="AI24" s="233">
        <f>SUM(AI18:AI23)</f>
        <v>-3051321.7100000004</v>
      </c>
      <c r="AJ24" s="526">
        <f>SUM(AJ19:AJ23)</f>
        <v>-304112.42000000004</v>
      </c>
      <c r="AK24" s="525">
        <f>SUM(AK18:AK23)</f>
        <v>-3332480.0300000003</v>
      </c>
      <c r="AL24" s="233">
        <f>SUM(AL18:AL23)</f>
        <v>-3035373.7600000002</v>
      </c>
      <c r="AM24" s="526">
        <f>SUM(AM19:AM23)</f>
        <v>-297106.27</v>
      </c>
      <c r="AN24" s="525">
        <f>SUM(AN18:AN23)</f>
        <v>-3331119.14</v>
      </c>
      <c r="AO24" s="233">
        <f>SUM(AO18:AO23)</f>
        <v>-3034352.41</v>
      </c>
      <c r="AP24" s="526">
        <f>SUM(AP19:AP23)</f>
        <v>-296766.73</v>
      </c>
      <c r="AQ24" s="525">
        <f>SUM(AQ18:AQ23)</f>
        <v>-3328366.6100000003</v>
      </c>
      <c r="AR24" s="233">
        <f>SUM(AR18:AR23)</f>
        <v>-3032533.5500000003</v>
      </c>
      <c r="AS24" s="526">
        <f>SUM(AS19:AS23)</f>
        <v>-295833.06</v>
      </c>
      <c r="AT24" s="525">
        <f>SUM(AT18:AT23)</f>
        <v>-3328366.62</v>
      </c>
      <c r="AU24" s="1376">
        <f>SUM(AU18:AU23)</f>
        <v>-3032533.5500000003</v>
      </c>
      <c r="AV24" s="526">
        <f>SUM(AV19:AV23)</f>
        <v>-295833.07</v>
      </c>
      <c r="AW24" s="739">
        <f>SUM(AW19:AW23)</f>
        <v>-3686337.4804166667</v>
      </c>
      <c r="AX24" s="679">
        <f>SUM(AX19:AX23)</f>
        <v>-3317763.3104166677</v>
      </c>
      <c r="AY24" s="679">
        <f>SUM(AY19:AY23)</f>
        <v>-368574.16999999993</v>
      </c>
    </row>
    <row r="25" spans="1:56" ht="15.75" thickTop="1">
      <c r="A25" s="1211">
        <v>16</v>
      </c>
      <c r="B25" s="520"/>
      <c r="C25" s="510"/>
      <c r="D25" s="510"/>
      <c r="E25" s="510"/>
      <c r="F25" s="510"/>
      <c r="G25" s="510"/>
      <c r="H25" s="510"/>
      <c r="I25" s="512"/>
      <c r="J25" s="518"/>
      <c r="K25" s="286"/>
      <c r="L25" s="519">
        <v>8.7311491370201111E-10</v>
      </c>
      <c r="M25" s="518"/>
      <c r="N25" s="286"/>
      <c r="O25" s="519">
        <v>5.8207660913467407E-10</v>
      </c>
      <c r="P25" s="518"/>
      <c r="Q25" s="286"/>
      <c r="R25" s="519">
        <v>6.9849193096160889E-10</v>
      </c>
      <c r="S25" s="518"/>
      <c r="T25" s="286"/>
      <c r="U25" s="519">
        <v>0</v>
      </c>
      <c r="V25" s="518"/>
      <c r="W25" s="286"/>
      <c r="X25" s="519">
        <v>0</v>
      </c>
      <c r="Y25" s="518"/>
      <c r="Z25" s="286"/>
      <c r="AA25" s="519">
        <v>0</v>
      </c>
      <c r="AB25" s="518"/>
      <c r="AC25" s="286"/>
      <c r="AD25" s="519">
        <v>0</v>
      </c>
      <c r="AE25" s="518"/>
      <c r="AF25" s="286"/>
      <c r="AG25" s="519">
        <v>0</v>
      </c>
      <c r="AH25" s="518"/>
      <c r="AI25" s="286"/>
      <c r="AJ25" s="519">
        <v>0</v>
      </c>
      <c r="AK25" s="518"/>
      <c r="AL25" s="286"/>
      <c r="AM25" s="519">
        <v>4.6566128730773926E-10</v>
      </c>
      <c r="AN25" s="518"/>
      <c r="AO25" s="286"/>
      <c r="AP25" s="519">
        <v>4.6566128730773926E-10</v>
      </c>
      <c r="AQ25" s="518"/>
      <c r="AR25" s="286"/>
      <c r="AS25" s="519">
        <v>6.4028427004814148E-10</v>
      </c>
      <c r="AT25" s="518"/>
      <c r="AU25" s="286"/>
      <c r="AV25" s="519">
        <v>0</v>
      </c>
      <c r="AW25" s="740"/>
      <c r="AX25" s="1551" t="s">
        <v>1538</v>
      </c>
      <c r="AY25" s="1551"/>
      <c r="AZ25" s="1551"/>
      <c r="BA25" s="1551"/>
      <c r="BB25" s="1551"/>
      <c r="BC25" s="1551"/>
      <c r="BD25" s="1551"/>
    </row>
    <row r="26" spans="1:56">
      <c r="A26" s="1211">
        <v>17</v>
      </c>
      <c r="B26" s="1535" t="s">
        <v>1539</v>
      </c>
      <c r="C26" s="1536"/>
      <c r="D26" s="1536"/>
      <c r="E26" s="1536"/>
      <c r="F26" s="1536"/>
      <c r="G26" s="1536"/>
      <c r="H26" s="1536"/>
      <c r="I26" s="1537"/>
      <c r="J26" s="527"/>
      <c r="K26" s="528"/>
      <c r="L26" s="529"/>
      <c r="M26" s="527"/>
      <c r="N26" s="528"/>
      <c r="O26" s="529"/>
      <c r="P26" s="527"/>
      <c r="Q26" s="528"/>
      <c r="R26" s="529"/>
      <c r="S26" s="527"/>
      <c r="T26" s="528"/>
      <c r="U26" s="529"/>
      <c r="V26" s="527"/>
      <c r="W26" s="528"/>
      <c r="X26" s="529"/>
      <c r="Y26" s="527"/>
      <c r="Z26" s="528"/>
      <c r="AA26" s="529"/>
      <c r="AB26" s="527"/>
      <c r="AC26" s="528"/>
      <c r="AD26" s="529"/>
      <c r="AE26" s="527"/>
      <c r="AF26" s="528"/>
      <c r="AG26" s="529"/>
      <c r="AH26" s="527"/>
      <c r="AI26" s="528"/>
      <c r="AJ26" s="529"/>
      <c r="AK26" s="527"/>
      <c r="AL26" s="528"/>
      <c r="AM26" s="529"/>
      <c r="AN26" s="527"/>
      <c r="AO26" s="528"/>
      <c r="AP26" s="529"/>
      <c r="AQ26" s="527"/>
      <c r="AR26" s="528"/>
      <c r="AS26" s="529"/>
      <c r="AT26" s="527"/>
      <c r="AU26" s="528"/>
      <c r="AV26" s="529"/>
      <c r="AX26" s="1551"/>
      <c r="AY26" s="1551"/>
      <c r="AZ26" s="1551"/>
      <c r="BA26" s="1551"/>
      <c r="BB26" s="1551"/>
      <c r="BC26" s="1551"/>
      <c r="BD26" s="1551"/>
    </row>
    <row r="27" spans="1:56">
      <c r="A27" s="1211">
        <v>18</v>
      </c>
      <c r="B27" s="530" t="s">
        <v>1540</v>
      </c>
      <c r="C27" s="510" t="s">
        <v>1522</v>
      </c>
      <c r="D27" s="510"/>
      <c r="E27" s="510" t="s">
        <v>1530</v>
      </c>
      <c r="F27" s="531" t="s">
        <v>1541</v>
      </c>
      <c r="G27" s="531" t="s">
        <v>1542</v>
      </c>
      <c r="H27" s="531" t="s">
        <v>1526</v>
      </c>
      <c r="I27" s="532" t="s">
        <v>1526</v>
      </c>
      <c r="J27" s="533">
        <v>-1.4901161193847699E-8</v>
      </c>
      <c r="K27" s="534">
        <v>-9.9999904632568394E-3</v>
      </c>
      <c r="L27" s="535">
        <v>1.00000016391277E-2</v>
      </c>
      <c r="M27" s="533">
        <v>0</v>
      </c>
      <c r="N27" s="534">
        <v>-0.01</v>
      </c>
      <c r="O27" s="535">
        <v>0.01</v>
      </c>
      <c r="P27" s="533">
        <v>0</v>
      </c>
      <c r="Q27" s="534">
        <v>-0.01</v>
      </c>
      <c r="R27" s="535">
        <v>0.01</v>
      </c>
      <c r="S27" s="533">
        <v>0</v>
      </c>
      <c r="T27" s="534">
        <v>-0.01</v>
      </c>
      <c r="U27" s="535">
        <v>0.01</v>
      </c>
      <c r="V27" s="533">
        <v>0</v>
      </c>
      <c r="W27" s="534">
        <v>-0.01</v>
      </c>
      <c r="X27" s="535">
        <v>0.01</v>
      </c>
      <c r="Y27" s="533">
        <v>0</v>
      </c>
      <c r="Z27" s="534">
        <v>-0.01</v>
      </c>
      <c r="AA27" s="535">
        <v>0.01</v>
      </c>
      <c r="AB27" s="533">
        <v>0</v>
      </c>
      <c r="AC27" s="534">
        <v>-0.01</v>
      </c>
      <c r="AD27" s="535">
        <v>0.01</v>
      </c>
      <c r="AE27" s="533">
        <v>0</v>
      </c>
      <c r="AF27" s="534">
        <v>-0.01</v>
      </c>
      <c r="AG27" s="535">
        <v>0.01</v>
      </c>
      <c r="AH27" s="533">
        <v>0</v>
      </c>
      <c r="AI27" s="534">
        <v>-0.01</v>
      </c>
      <c r="AJ27" s="535">
        <v>0.01</v>
      </c>
      <c r="AK27" s="533">
        <v>0</v>
      </c>
      <c r="AL27" s="534">
        <v>-0.01</v>
      </c>
      <c r="AM27" s="535">
        <v>0.01</v>
      </c>
      <c r="AN27" s="533">
        <v>0</v>
      </c>
      <c r="AO27" s="534">
        <v>-0.01</v>
      </c>
      <c r="AP27" s="535">
        <v>0.01</v>
      </c>
      <c r="AQ27" s="533">
        <v>0</v>
      </c>
      <c r="AR27" s="534">
        <v>-0.01</v>
      </c>
      <c r="AS27" s="535">
        <v>0.01</v>
      </c>
      <c r="AT27" s="533">
        <v>0</v>
      </c>
      <c r="AU27" s="534">
        <v>-0.01</v>
      </c>
      <c r="AV27" s="535">
        <v>0.01</v>
      </c>
      <c r="AW27" s="313">
        <f t="shared" ref="AW27:AW43" si="1">+(AT27+J27+(M27+P27+S27+V27+Y27+AB27+AE27+AH27+AK27+AN27+AQ27)*2)/24</f>
        <v>-6.2088171641032084E-10</v>
      </c>
      <c r="AX27" s="313">
        <f t="shared" ref="AX27:AX43" si="2">+(AU27+K27+(N27+Q27+T27+W27+Z27+AC27+AF27+AI27+AL27+AO27+AR27)*2)/24</f>
        <v>-9.9999996026357008E-3</v>
      </c>
      <c r="AY27" s="313">
        <f t="shared" ref="AY27:AY43" si="3">+(AV27+L27+(O27+R27+U27+X27+AA27+AD27+AG27+AJ27+AM27+AP27+AS27)*2)/24</f>
        <v>1.0000000068296986E-2</v>
      </c>
    </row>
    <row r="28" spans="1:56">
      <c r="A28" s="1211">
        <v>19</v>
      </c>
      <c r="B28" s="530" t="s">
        <v>1540</v>
      </c>
      <c r="C28" s="510" t="s">
        <v>1522</v>
      </c>
      <c r="D28" s="510"/>
      <c r="E28" s="510" t="s">
        <v>1543</v>
      </c>
      <c r="F28" s="531" t="s">
        <v>1541</v>
      </c>
      <c r="G28" s="531" t="s">
        <v>1542</v>
      </c>
      <c r="H28" s="531" t="s">
        <v>1526</v>
      </c>
      <c r="I28" s="532" t="s">
        <v>1526</v>
      </c>
      <c r="J28" s="533">
        <v>-22776131.02</v>
      </c>
      <c r="K28" s="534">
        <v>0</v>
      </c>
      <c r="L28" s="535">
        <v>-22776131.02</v>
      </c>
      <c r="M28" s="533">
        <v>-23003248.73</v>
      </c>
      <c r="N28" s="534">
        <v>0</v>
      </c>
      <c r="O28" s="535">
        <v>-23003248.73</v>
      </c>
      <c r="P28" s="533">
        <v>-22987528.960000001</v>
      </c>
      <c r="Q28" s="534">
        <v>0</v>
      </c>
      <c r="R28" s="535">
        <v>-22987528.960000001</v>
      </c>
      <c r="S28" s="533">
        <v>-22971809.190000001</v>
      </c>
      <c r="T28" s="534">
        <v>0</v>
      </c>
      <c r="U28" s="535">
        <v>-22971809.190000001</v>
      </c>
      <c r="V28" s="533">
        <v>-22956089.43</v>
      </c>
      <c r="W28" s="534">
        <v>0</v>
      </c>
      <c r="X28" s="535">
        <v>-22956089.43</v>
      </c>
      <c r="Y28" s="533">
        <v>-22940369.670000002</v>
      </c>
      <c r="Z28" s="534">
        <v>0</v>
      </c>
      <c r="AA28" s="535">
        <v>-22940369.670000002</v>
      </c>
      <c r="AB28" s="533">
        <v>-22924649.899999999</v>
      </c>
      <c r="AC28" s="534">
        <v>0</v>
      </c>
      <c r="AD28" s="535">
        <v>-22924649.899999999</v>
      </c>
      <c r="AE28" s="533">
        <v>-22908930.140000001</v>
      </c>
      <c r="AF28" s="534">
        <v>0</v>
      </c>
      <c r="AG28" s="535">
        <v>-22908930.140000001</v>
      </c>
      <c r="AH28" s="533">
        <v>-22893210.379999999</v>
      </c>
      <c r="AI28" s="534">
        <v>0</v>
      </c>
      <c r="AJ28" s="535">
        <v>-22893210.379999999</v>
      </c>
      <c r="AK28" s="533">
        <v>-22877490.609999999</v>
      </c>
      <c r="AL28" s="534">
        <v>0</v>
      </c>
      <c r="AM28" s="535">
        <v>-22877490.609999999</v>
      </c>
      <c r="AN28" s="533">
        <v>-22861770.850000001</v>
      </c>
      <c r="AO28" s="534">
        <v>0</v>
      </c>
      <c r="AP28" s="535">
        <v>-22861770.850000001</v>
      </c>
      <c r="AQ28" s="533">
        <v>-22809144.170000002</v>
      </c>
      <c r="AR28" s="534">
        <v>0</v>
      </c>
      <c r="AS28" s="535">
        <v>-22809144.170000002</v>
      </c>
      <c r="AT28" s="533">
        <v>-22996896.690000001</v>
      </c>
      <c r="AU28" s="534">
        <v>0</v>
      </c>
      <c r="AV28" s="535">
        <v>-22996896.690000001</v>
      </c>
      <c r="AW28" s="313">
        <f t="shared" si="1"/>
        <v>-22918396.32375</v>
      </c>
      <c r="AX28" s="313">
        <f t="shared" si="2"/>
        <v>0</v>
      </c>
      <c r="AY28" s="313">
        <f t="shared" si="3"/>
        <v>-22918396.32375</v>
      </c>
    </row>
    <row r="29" spans="1:56">
      <c r="A29" s="1211">
        <v>20</v>
      </c>
      <c r="B29" s="530" t="s">
        <v>1540</v>
      </c>
      <c r="C29" s="510" t="s">
        <v>1522</v>
      </c>
      <c r="D29" s="510"/>
      <c r="E29" s="510" t="s">
        <v>1523</v>
      </c>
      <c r="F29" s="531" t="s">
        <v>1541</v>
      </c>
      <c r="G29" s="531" t="s">
        <v>1542</v>
      </c>
      <c r="H29" s="531" t="s">
        <v>1526</v>
      </c>
      <c r="I29" s="532" t="s">
        <v>1526</v>
      </c>
      <c r="J29" s="533">
        <v>-78406148.049999997</v>
      </c>
      <c r="K29" s="534">
        <v>-78406148.049999997</v>
      </c>
      <c r="L29" s="535">
        <v>0</v>
      </c>
      <c r="M29" s="533">
        <v>-78109932.480000004</v>
      </c>
      <c r="N29" s="534">
        <v>-78109932.480000004</v>
      </c>
      <c r="O29" s="535">
        <v>0</v>
      </c>
      <c r="P29" s="533">
        <v>-78056554.379999995</v>
      </c>
      <c r="Q29" s="534">
        <v>-78056554.379999995</v>
      </c>
      <c r="R29" s="535">
        <v>0</v>
      </c>
      <c r="S29" s="533">
        <v>-78003176.269999996</v>
      </c>
      <c r="T29" s="534">
        <v>-78003176.269999996</v>
      </c>
      <c r="U29" s="535">
        <v>0</v>
      </c>
      <c r="V29" s="533">
        <v>-77949798.170000002</v>
      </c>
      <c r="W29" s="534">
        <v>-77949798.170000002</v>
      </c>
      <c r="X29" s="535">
        <v>0</v>
      </c>
      <c r="Y29" s="533">
        <v>-77896420.069999993</v>
      </c>
      <c r="Z29" s="534">
        <v>-77896420.069999993</v>
      </c>
      <c r="AA29" s="535">
        <v>0</v>
      </c>
      <c r="AB29" s="533">
        <v>-77843041.969999999</v>
      </c>
      <c r="AC29" s="534">
        <v>-77843041.969999999</v>
      </c>
      <c r="AD29" s="535">
        <v>0</v>
      </c>
      <c r="AE29" s="533">
        <v>-77789663.870000005</v>
      </c>
      <c r="AF29" s="534">
        <v>-77789663.870000005</v>
      </c>
      <c r="AG29" s="535">
        <v>0</v>
      </c>
      <c r="AH29" s="533">
        <v>-77736285.769999996</v>
      </c>
      <c r="AI29" s="534">
        <v>-77736285.769999996</v>
      </c>
      <c r="AJ29" s="535">
        <v>0</v>
      </c>
      <c r="AK29" s="533">
        <v>-77682907.659999996</v>
      </c>
      <c r="AL29" s="534">
        <v>-77682907.659999996</v>
      </c>
      <c r="AM29" s="535">
        <v>0</v>
      </c>
      <c r="AN29" s="533">
        <v>-77629529.560000002</v>
      </c>
      <c r="AO29" s="534">
        <v>-77629529.560000002</v>
      </c>
      <c r="AP29" s="535">
        <v>0</v>
      </c>
      <c r="AQ29" s="533">
        <v>-77449100.540000096</v>
      </c>
      <c r="AR29" s="534">
        <v>-77449100.540000096</v>
      </c>
      <c r="AS29" s="535">
        <v>0</v>
      </c>
      <c r="AT29" s="533">
        <v>-78086633.830000103</v>
      </c>
      <c r="AU29" s="534">
        <v>-78086633.830000103</v>
      </c>
      <c r="AV29" s="535">
        <v>0</v>
      </c>
      <c r="AW29" s="313">
        <f t="shared" si="1"/>
        <v>-77866066.806666687</v>
      </c>
      <c r="AX29" s="313">
        <f t="shared" si="2"/>
        <v>-77866066.806666687</v>
      </c>
      <c r="AY29" s="313">
        <f t="shared" si="3"/>
        <v>0</v>
      </c>
    </row>
    <row r="30" spans="1:56">
      <c r="A30" s="1211">
        <v>21</v>
      </c>
      <c r="B30" s="530" t="s">
        <v>1544</v>
      </c>
      <c r="C30" s="510" t="s">
        <v>1522</v>
      </c>
      <c r="D30" s="510"/>
      <c r="E30" s="510" t="s">
        <v>1530</v>
      </c>
      <c r="F30" s="531" t="s">
        <v>1545</v>
      </c>
      <c r="G30" s="531" t="s">
        <v>1546</v>
      </c>
      <c r="H30" s="531" t="s">
        <v>1526</v>
      </c>
      <c r="I30" s="532" t="s">
        <v>1526</v>
      </c>
      <c r="J30" s="533">
        <v>0</v>
      </c>
      <c r="K30" s="534">
        <v>-9.9999999802094005E-3</v>
      </c>
      <c r="L30" s="535">
        <v>1.0000000002037299E-2</v>
      </c>
      <c r="M30" s="533">
        <v>0</v>
      </c>
      <c r="N30" s="534">
        <v>-0.01</v>
      </c>
      <c r="O30" s="535">
        <v>0.01</v>
      </c>
      <c r="P30" s="533">
        <v>0</v>
      </c>
      <c r="Q30" s="534">
        <v>-0.01</v>
      </c>
      <c r="R30" s="535">
        <v>0.01</v>
      </c>
      <c r="S30" s="533">
        <v>0</v>
      </c>
      <c r="T30" s="534">
        <v>-0.01</v>
      </c>
      <c r="U30" s="535">
        <v>0.01</v>
      </c>
      <c r="V30" s="533">
        <v>0</v>
      </c>
      <c r="W30" s="534">
        <v>-0.01</v>
      </c>
      <c r="X30" s="535">
        <v>0.01</v>
      </c>
      <c r="Y30" s="533">
        <v>0</v>
      </c>
      <c r="Z30" s="534">
        <v>-0.01</v>
      </c>
      <c r="AA30" s="535">
        <v>0.01</v>
      </c>
      <c r="AB30" s="533">
        <v>0</v>
      </c>
      <c r="AC30" s="534">
        <v>-0.01</v>
      </c>
      <c r="AD30" s="535">
        <v>0.01</v>
      </c>
      <c r="AE30" s="533">
        <v>0</v>
      </c>
      <c r="AF30" s="534">
        <v>-0.01</v>
      </c>
      <c r="AG30" s="535">
        <v>0.01</v>
      </c>
      <c r="AH30" s="533">
        <v>0</v>
      </c>
      <c r="AI30" s="534">
        <v>-0.01</v>
      </c>
      <c r="AJ30" s="535">
        <v>0.01</v>
      </c>
      <c r="AK30" s="533">
        <v>0</v>
      </c>
      <c r="AL30" s="534">
        <v>-0.01</v>
      </c>
      <c r="AM30" s="535">
        <v>0.01</v>
      </c>
      <c r="AN30" s="533">
        <v>0</v>
      </c>
      <c r="AO30" s="534">
        <v>-0.01</v>
      </c>
      <c r="AP30" s="535">
        <v>0.01</v>
      </c>
      <c r="AQ30" s="533">
        <v>0</v>
      </c>
      <c r="AR30" s="534">
        <v>-0.01</v>
      </c>
      <c r="AS30" s="535">
        <v>0.01</v>
      </c>
      <c r="AT30" s="533">
        <v>0</v>
      </c>
      <c r="AU30" s="534">
        <v>-0.01</v>
      </c>
      <c r="AV30" s="535">
        <v>0.01</v>
      </c>
      <c r="AW30" s="741">
        <f t="shared" si="1"/>
        <v>0</v>
      </c>
      <c r="AX30" s="313">
        <f t="shared" si="2"/>
        <v>-9.9999999991753907E-3</v>
      </c>
      <c r="AY30" s="313">
        <f t="shared" si="3"/>
        <v>1.0000000000084887E-2</v>
      </c>
    </row>
    <row r="31" spans="1:56">
      <c r="A31" s="1211">
        <v>22</v>
      </c>
      <c r="B31" s="530" t="s">
        <v>1544</v>
      </c>
      <c r="C31" s="510" t="s">
        <v>1522</v>
      </c>
      <c r="D31" s="510"/>
      <c r="E31" s="510" t="s">
        <v>1543</v>
      </c>
      <c r="F31" s="531" t="s">
        <v>1545</v>
      </c>
      <c r="G31" s="531" t="s">
        <v>1546</v>
      </c>
      <c r="H31" s="531" t="s">
        <v>1526</v>
      </c>
      <c r="I31" s="532" t="s">
        <v>1526</v>
      </c>
      <c r="J31" s="533">
        <v>-35475.199999999997</v>
      </c>
      <c r="K31" s="534">
        <v>0</v>
      </c>
      <c r="L31" s="535">
        <v>-35475.199999999997</v>
      </c>
      <c r="M31" s="533">
        <v>-33426.71</v>
      </c>
      <c r="N31" s="534">
        <v>0</v>
      </c>
      <c r="O31" s="535">
        <v>-33426.71</v>
      </c>
      <c r="P31" s="533">
        <v>-33263.65</v>
      </c>
      <c r="Q31" s="534">
        <v>0</v>
      </c>
      <c r="R31" s="535">
        <v>-33263.65</v>
      </c>
      <c r="S31" s="533">
        <v>-33100.6</v>
      </c>
      <c r="T31" s="534">
        <v>0</v>
      </c>
      <c r="U31" s="535">
        <v>-33100.6</v>
      </c>
      <c r="V31" s="533">
        <v>-32937.550000000003</v>
      </c>
      <c r="W31" s="534">
        <v>0</v>
      </c>
      <c r="X31" s="535">
        <v>-32937.550000000003</v>
      </c>
      <c r="Y31" s="533">
        <v>-32774.49</v>
      </c>
      <c r="Z31" s="534">
        <v>0</v>
      </c>
      <c r="AA31" s="535">
        <v>-32774.49</v>
      </c>
      <c r="AB31" s="533">
        <v>-32611.439999999999</v>
      </c>
      <c r="AC31" s="534">
        <v>0</v>
      </c>
      <c r="AD31" s="535">
        <v>-32611.439999999999</v>
      </c>
      <c r="AE31" s="533">
        <v>-32448.39</v>
      </c>
      <c r="AF31" s="534">
        <v>0</v>
      </c>
      <c r="AG31" s="535">
        <v>-32448.39</v>
      </c>
      <c r="AH31" s="533">
        <v>-32285.33</v>
      </c>
      <c r="AI31" s="534">
        <v>0</v>
      </c>
      <c r="AJ31" s="535">
        <v>-32285.33</v>
      </c>
      <c r="AK31" s="533">
        <v>-32122.28</v>
      </c>
      <c r="AL31" s="534">
        <v>0</v>
      </c>
      <c r="AM31" s="535">
        <v>-32122.28</v>
      </c>
      <c r="AN31" s="533">
        <v>-31959.23</v>
      </c>
      <c r="AO31" s="534">
        <v>0</v>
      </c>
      <c r="AP31" s="535">
        <v>-31959.23</v>
      </c>
      <c r="AQ31" s="533">
        <v>-67683.64</v>
      </c>
      <c r="AR31" s="534">
        <v>0</v>
      </c>
      <c r="AS31" s="535">
        <v>-67683.64</v>
      </c>
      <c r="AT31" s="533">
        <v>-67566.31</v>
      </c>
      <c r="AU31" s="534">
        <v>0</v>
      </c>
      <c r="AV31" s="535">
        <v>-67566.31</v>
      </c>
      <c r="AW31" s="741">
        <f t="shared" si="1"/>
        <v>-37177.838750000003</v>
      </c>
      <c r="AX31" s="313">
        <f t="shared" si="2"/>
        <v>0</v>
      </c>
      <c r="AY31" s="313">
        <f t="shared" si="3"/>
        <v>-37177.838750000003</v>
      </c>
    </row>
    <row r="32" spans="1:56">
      <c r="A32" s="1211">
        <v>23</v>
      </c>
      <c r="B32" s="530" t="s">
        <v>1544</v>
      </c>
      <c r="C32" s="510" t="s">
        <v>1522</v>
      </c>
      <c r="D32" s="510"/>
      <c r="E32" s="510" t="s">
        <v>1523</v>
      </c>
      <c r="F32" s="531" t="s">
        <v>1545</v>
      </c>
      <c r="G32" s="531" t="s">
        <v>1546</v>
      </c>
      <c r="H32" s="531" t="s">
        <v>1526</v>
      </c>
      <c r="I32" s="532" t="s">
        <v>1526</v>
      </c>
      <c r="J32" s="533">
        <v>-109558.36</v>
      </c>
      <c r="K32" s="534">
        <v>-109558.36</v>
      </c>
      <c r="L32" s="535">
        <v>0</v>
      </c>
      <c r="M32" s="533">
        <v>-110902.8</v>
      </c>
      <c r="N32" s="534">
        <v>-110902.8</v>
      </c>
      <c r="O32" s="535">
        <v>0</v>
      </c>
      <c r="P32" s="533">
        <v>-110361.81</v>
      </c>
      <c r="Q32" s="534">
        <v>-110361.81</v>
      </c>
      <c r="R32" s="535">
        <v>0</v>
      </c>
      <c r="S32" s="533">
        <v>-109820.82</v>
      </c>
      <c r="T32" s="534">
        <v>-109820.82</v>
      </c>
      <c r="U32" s="535">
        <v>0</v>
      </c>
      <c r="V32" s="533">
        <v>-109279.83</v>
      </c>
      <c r="W32" s="534">
        <v>-109279.83</v>
      </c>
      <c r="X32" s="535">
        <v>0</v>
      </c>
      <c r="Y32" s="533">
        <v>-108738.84</v>
      </c>
      <c r="Z32" s="534">
        <v>-108738.84</v>
      </c>
      <c r="AA32" s="535">
        <v>0</v>
      </c>
      <c r="AB32" s="533">
        <v>-108197.85</v>
      </c>
      <c r="AC32" s="534">
        <v>-108197.85</v>
      </c>
      <c r="AD32" s="535">
        <v>0</v>
      </c>
      <c r="AE32" s="533">
        <v>-107656.86</v>
      </c>
      <c r="AF32" s="534">
        <v>-107656.86</v>
      </c>
      <c r="AG32" s="535">
        <v>0</v>
      </c>
      <c r="AH32" s="533">
        <v>-107115.87</v>
      </c>
      <c r="AI32" s="534">
        <v>-107115.87</v>
      </c>
      <c r="AJ32" s="535">
        <v>0</v>
      </c>
      <c r="AK32" s="533">
        <v>-106574.88</v>
      </c>
      <c r="AL32" s="534">
        <v>-106574.88</v>
      </c>
      <c r="AM32" s="535">
        <v>0</v>
      </c>
      <c r="AN32" s="533">
        <v>-106033.89</v>
      </c>
      <c r="AO32" s="534">
        <v>-106033.89</v>
      </c>
      <c r="AP32" s="535">
        <v>0</v>
      </c>
      <c r="AQ32" s="533">
        <v>-224559.96</v>
      </c>
      <c r="AR32" s="534">
        <v>-224559.96</v>
      </c>
      <c r="AS32" s="535">
        <v>0</v>
      </c>
      <c r="AT32" s="533">
        <v>-224170.69</v>
      </c>
      <c r="AU32" s="534">
        <v>-224170.69</v>
      </c>
      <c r="AV32" s="535">
        <v>0</v>
      </c>
      <c r="AW32" s="741">
        <f t="shared" si="1"/>
        <v>-123008.99458333332</v>
      </c>
      <c r="AX32" s="313">
        <f t="shared" si="2"/>
        <v>-123008.99458333332</v>
      </c>
      <c r="AY32" s="313">
        <f t="shared" si="3"/>
        <v>0</v>
      </c>
    </row>
    <row r="33" spans="1:51">
      <c r="A33" s="1211">
        <v>24</v>
      </c>
      <c r="B33" s="530" t="s">
        <v>1547</v>
      </c>
      <c r="C33" s="510" t="s">
        <v>1522</v>
      </c>
      <c r="D33" s="510"/>
      <c r="E33" s="510" t="s">
        <v>1530</v>
      </c>
      <c r="F33" s="531" t="s">
        <v>1548</v>
      </c>
      <c r="G33" s="531" t="s">
        <v>1549</v>
      </c>
      <c r="H33" s="531" t="s">
        <v>1526</v>
      </c>
      <c r="I33" s="532" t="s">
        <v>1526</v>
      </c>
      <c r="J33" s="533">
        <v>-1.16415321826935E-10</v>
      </c>
      <c r="K33" s="534">
        <v>0</v>
      </c>
      <c r="L33" s="535">
        <v>0</v>
      </c>
      <c r="M33" s="533">
        <v>0</v>
      </c>
      <c r="N33" s="534">
        <v>0</v>
      </c>
      <c r="O33" s="535">
        <v>0</v>
      </c>
      <c r="P33" s="533">
        <v>0</v>
      </c>
      <c r="Q33" s="534">
        <v>0</v>
      </c>
      <c r="R33" s="535">
        <v>0</v>
      </c>
      <c r="S33" s="533">
        <v>0</v>
      </c>
      <c r="T33" s="534">
        <v>0</v>
      </c>
      <c r="U33" s="535">
        <v>0</v>
      </c>
      <c r="V33" s="533">
        <v>0</v>
      </c>
      <c r="W33" s="534">
        <v>0</v>
      </c>
      <c r="X33" s="535">
        <v>0</v>
      </c>
      <c r="Y33" s="533">
        <v>0</v>
      </c>
      <c r="Z33" s="534">
        <v>0</v>
      </c>
      <c r="AA33" s="535">
        <v>0</v>
      </c>
      <c r="AB33" s="533">
        <v>0</v>
      </c>
      <c r="AC33" s="534">
        <v>0</v>
      </c>
      <c r="AD33" s="535">
        <v>0</v>
      </c>
      <c r="AE33" s="533">
        <v>0</v>
      </c>
      <c r="AF33" s="534">
        <v>0</v>
      </c>
      <c r="AG33" s="535">
        <v>0</v>
      </c>
      <c r="AH33" s="533">
        <v>0</v>
      </c>
      <c r="AI33" s="534">
        <v>0</v>
      </c>
      <c r="AJ33" s="535">
        <v>0</v>
      </c>
      <c r="AK33" s="533">
        <v>0</v>
      </c>
      <c r="AL33" s="534">
        <v>0</v>
      </c>
      <c r="AM33" s="535">
        <v>0</v>
      </c>
      <c r="AN33" s="533">
        <v>0</v>
      </c>
      <c r="AO33" s="534">
        <v>0</v>
      </c>
      <c r="AP33" s="535">
        <v>0</v>
      </c>
      <c r="AQ33" s="533">
        <v>0</v>
      </c>
      <c r="AR33" s="534">
        <v>0</v>
      </c>
      <c r="AS33" s="535">
        <v>0</v>
      </c>
      <c r="AT33" s="533">
        <v>0</v>
      </c>
      <c r="AU33" s="534">
        <v>0</v>
      </c>
      <c r="AV33" s="535">
        <v>0</v>
      </c>
      <c r="AW33" s="741">
        <f t="shared" si="1"/>
        <v>-4.8506384094556251E-12</v>
      </c>
      <c r="AX33" s="313">
        <f t="shared" si="2"/>
        <v>0</v>
      </c>
      <c r="AY33" s="313">
        <f t="shared" si="3"/>
        <v>0</v>
      </c>
    </row>
    <row r="34" spans="1:51">
      <c r="A34" s="1211">
        <v>25</v>
      </c>
      <c r="B34" s="530" t="s">
        <v>1547</v>
      </c>
      <c r="C34" s="510" t="s">
        <v>1522</v>
      </c>
      <c r="D34" s="510"/>
      <c r="E34" s="510" t="s">
        <v>1543</v>
      </c>
      <c r="F34" s="531" t="s">
        <v>1548</v>
      </c>
      <c r="G34" s="531" t="s">
        <v>1549</v>
      </c>
      <c r="H34" s="531" t="s">
        <v>1526</v>
      </c>
      <c r="I34" s="532" t="s">
        <v>1526</v>
      </c>
      <c r="J34" s="533">
        <v>40231.5</v>
      </c>
      <c r="K34" s="534">
        <v>0</v>
      </c>
      <c r="L34" s="535">
        <v>40231.5</v>
      </c>
      <c r="M34" s="533">
        <v>39728.83</v>
      </c>
      <c r="N34" s="534">
        <v>0</v>
      </c>
      <c r="O34" s="535">
        <v>39728.83</v>
      </c>
      <c r="P34" s="533">
        <v>39728.83</v>
      </c>
      <c r="Q34" s="534">
        <v>0</v>
      </c>
      <c r="R34" s="535">
        <v>39728.83</v>
      </c>
      <c r="S34" s="533">
        <v>46288.52</v>
      </c>
      <c r="T34" s="534">
        <v>0</v>
      </c>
      <c r="U34" s="535">
        <v>46288.52</v>
      </c>
      <c r="V34" s="533">
        <v>46288.52</v>
      </c>
      <c r="W34" s="534">
        <v>0</v>
      </c>
      <c r="X34" s="535">
        <v>46288.52</v>
      </c>
      <c r="Y34" s="533">
        <v>46288.52</v>
      </c>
      <c r="Z34" s="534">
        <v>0</v>
      </c>
      <c r="AA34" s="535">
        <v>46288.52</v>
      </c>
      <c r="AB34" s="533">
        <v>48283.42</v>
      </c>
      <c r="AC34" s="534">
        <v>0</v>
      </c>
      <c r="AD34" s="535">
        <v>48283.42</v>
      </c>
      <c r="AE34" s="533">
        <v>48283.42</v>
      </c>
      <c r="AF34" s="534">
        <v>0</v>
      </c>
      <c r="AG34" s="535">
        <v>48283.42</v>
      </c>
      <c r="AH34" s="533">
        <v>48325.5</v>
      </c>
      <c r="AI34" s="534">
        <v>0</v>
      </c>
      <c r="AJ34" s="535">
        <v>48325.5</v>
      </c>
      <c r="AK34" s="533">
        <v>47290.23</v>
      </c>
      <c r="AL34" s="534">
        <v>0</v>
      </c>
      <c r="AM34" s="535">
        <v>47290.23</v>
      </c>
      <c r="AN34" s="533">
        <v>47290.23</v>
      </c>
      <c r="AO34" s="534">
        <v>0</v>
      </c>
      <c r="AP34" s="535">
        <v>47290.23</v>
      </c>
      <c r="AQ34" s="533">
        <v>47222.39</v>
      </c>
      <c r="AR34" s="534">
        <v>0</v>
      </c>
      <c r="AS34" s="535">
        <v>47222.39</v>
      </c>
      <c r="AT34" s="533">
        <v>47222.39</v>
      </c>
      <c r="AU34" s="534">
        <v>0</v>
      </c>
      <c r="AV34" s="535">
        <v>47222.39</v>
      </c>
      <c r="AW34" s="741">
        <f t="shared" si="1"/>
        <v>45728.779583333322</v>
      </c>
      <c r="AX34" s="313">
        <f t="shared" si="2"/>
        <v>0</v>
      </c>
      <c r="AY34" s="313">
        <f t="shared" si="3"/>
        <v>45728.779583333322</v>
      </c>
    </row>
    <row r="35" spans="1:51">
      <c r="A35" s="1211">
        <v>26</v>
      </c>
      <c r="B35" s="530" t="s">
        <v>1547</v>
      </c>
      <c r="C35" s="510" t="s">
        <v>1522</v>
      </c>
      <c r="D35" s="510"/>
      <c r="E35" s="510" t="s">
        <v>1523</v>
      </c>
      <c r="F35" s="531" t="s">
        <v>1548</v>
      </c>
      <c r="G35" s="531" t="s">
        <v>1549</v>
      </c>
      <c r="H35" s="531" t="s">
        <v>1526</v>
      </c>
      <c r="I35" s="532" t="s">
        <v>1526</v>
      </c>
      <c r="J35" s="533">
        <v>621617.1</v>
      </c>
      <c r="K35" s="534">
        <v>621617.1</v>
      </c>
      <c r="L35" s="535">
        <v>0</v>
      </c>
      <c r="M35" s="533">
        <v>621617.1</v>
      </c>
      <c r="N35" s="534">
        <v>621617.1</v>
      </c>
      <c r="O35" s="535">
        <v>0</v>
      </c>
      <c r="P35" s="533">
        <v>621617.1</v>
      </c>
      <c r="Q35" s="534">
        <v>621617.1</v>
      </c>
      <c r="R35" s="535">
        <v>0</v>
      </c>
      <c r="S35" s="533">
        <v>587270.96</v>
      </c>
      <c r="T35" s="534">
        <v>587270.96</v>
      </c>
      <c r="U35" s="535">
        <v>0</v>
      </c>
      <c r="V35" s="533">
        <v>587270.96</v>
      </c>
      <c r="W35" s="534">
        <v>587270.96</v>
      </c>
      <c r="X35" s="535">
        <v>0</v>
      </c>
      <c r="Y35" s="533">
        <v>587270.96</v>
      </c>
      <c r="Z35" s="534">
        <v>587270.96</v>
      </c>
      <c r="AA35" s="535">
        <v>0</v>
      </c>
      <c r="AB35" s="533">
        <v>586071.85</v>
      </c>
      <c r="AC35" s="534">
        <v>586071.85</v>
      </c>
      <c r="AD35" s="535">
        <v>0</v>
      </c>
      <c r="AE35" s="533">
        <v>586071.85</v>
      </c>
      <c r="AF35" s="534">
        <v>586071.85</v>
      </c>
      <c r="AG35" s="535">
        <v>0</v>
      </c>
      <c r="AH35" s="533">
        <v>586071.85</v>
      </c>
      <c r="AI35" s="534">
        <v>586071.85</v>
      </c>
      <c r="AJ35" s="535">
        <v>0</v>
      </c>
      <c r="AK35" s="533">
        <v>584014.9</v>
      </c>
      <c r="AL35" s="534">
        <v>584014.9</v>
      </c>
      <c r="AM35" s="535">
        <v>0</v>
      </c>
      <c r="AN35" s="533">
        <v>584014.9</v>
      </c>
      <c r="AO35" s="534">
        <v>584014.9</v>
      </c>
      <c r="AP35" s="535">
        <v>0</v>
      </c>
      <c r="AQ35" s="533">
        <v>584014.9</v>
      </c>
      <c r="AR35" s="534">
        <v>584014.9</v>
      </c>
      <c r="AS35" s="535">
        <v>0</v>
      </c>
      <c r="AT35" s="533">
        <v>584014.9</v>
      </c>
      <c r="AU35" s="534">
        <v>584014.9</v>
      </c>
      <c r="AV35" s="535">
        <v>0</v>
      </c>
      <c r="AW35" s="741">
        <f t="shared" si="1"/>
        <v>593176.94416666671</v>
      </c>
      <c r="AX35" s="313">
        <f t="shared" si="2"/>
        <v>593176.94416666671</v>
      </c>
      <c r="AY35" s="313">
        <f t="shared" si="3"/>
        <v>0</v>
      </c>
    </row>
    <row r="36" spans="1:51">
      <c r="A36" s="1211">
        <v>27</v>
      </c>
      <c r="B36" s="530" t="s">
        <v>1550</v>
      </c>
      <c r="C36" s="510" t="s">
        <v>1522</v>
      </c>
      <c r="D36" s="510"/>
      <c r="E36" s="510" t="s">
        <v>1523</v>
      </c>
      <c r="F36" s="531" t="s">
        <v>1541</v>
      </c>
      <c r="G36" s="531" t="s">
        <v>1551</v>
      </c>
      <c r="H36" s="531" t="s">
        <v>1526</v>
      </c>
      <c r="I36" s="532" t="s">
        <v>1526</v>
      </c>
      <c r="J36" s="536">
        <v>0</v>
      </c>
      <c r="K36" s="537">
        <v>0</v>
      </c>
      <c r="L36" s="538">
        <v>0</v>
      </c>
      <c r="M36" s="536">
        <v>0</v>
      </c>
      <c r="N36" s="537">
        <v>0</v>
      </c>
      <c r="O36" s="538">
        <v>0</v>
      </c>
      <c r="P36" s="536">
        <v>0</v>
      </c>
      <c r="Q36" s="537">
        <v>0</v>
      </c>
      <c r="R36" s="538">
        <v>0</v>
      </c>
      <c r="S36" s="536">
        <v>0</v>
      </c>
      <c r="T36" s="537">
        <v>0</v>
      </c>
      <c r="U36" s="538">
        <v>0</v>
      </c>
      <c r="V36" s="536">
        <v>0</v>
      </c>
      <c r="W36" s="537">
        <v>0</v>
      </c>
      <c r="X36" s="538">
        <v>0</v>
      </c>
      <c r="Y36" s="536">
        <v>0</v>
      </c>
      <c r="Z36" s="537">
        <v>0</v>
      </c>
      <c r="AA36" s="538">
        <v>0</v>
      </c>
      <c r="AB36" s="536">
        <v>0</v>
      </c>
      <c r="AC36" s="537">
        <v>0</v>
      </c>
      <c r="AD36" s="538">
        <v>0</v>
      </c>
      <c r="AE36" s="536">
        <v>0</v>
      </c>
      <c r="AF36" s="537">
        <v>0</v>
      </c>
      <c r="AG36" s="538">
        <v>0</v>
      </c>
      <c r="AH36" s="536">
        <v>0</v>
      </c>
      <c r="AI36" s="537">
        <v>0</v>
      </c>
      <c r="AJ36" s="538">
        <v>0</v>
      </c>
      <c r="AK36" s="536">
        <v>0</v>
      </c>
      <c r="AL36" s="537">
        <v>0</v>
      </c>
      <c r="AM36" s="538">
        <v>0</v>
      </c>
      <c r="AN36" s="536">
        <v>0</v>
      </c>
      <c r="AO36" s="537">
        <v>0</v>
      </c>
      <c r="AP36" s="538">
        <v>0</v>
      </c>
      <c r="AQ36" s="536">
        <v>0</v>
      </c>
      <c r="AR36" s="537">
        <v>0</v>
      </c>
      <c r="AS36" s="538">
        <v>0</v>
      </c>
      <c r="AT36" s="536">
        <v>0</v>
      </c>
      <c r="AU36" s="537">
        <v>0</v>
      </c>
      <c r="AV36" s="538">
        <v>0</v>
      </c>
      <c r="AW36" s="741">
        <f t="shared" si="1"/>
        <v>0</v>
      </c>
      <c r="AX36" s="313">
        <f t="shared" si="2"/>
        <v>0</v>
      </c>
      <c r="AY36" s="313">
        <f t="shared" si="3"/>
        <v>0</v>
      </c>
    </row>
    <row r="37" spans="1:51">
      <c r="A37" s="1211">
        <v>28</v>
      </c>
      <c r="B37" s="530" t="s">
        <v>1552</v>
      </c>
      <c r="C37" s="510" t="s">
        <v>1522</v>
      </c>
      <c r="D37" s="510"/>
      <c r="E37" s="510" t="s">
        <v>1523</v>
      </c>
      <c r="F37" s="531" t="s">
        <v>1548</v>
      </c>
      <c r="G37" s="531" t="s">
        <v>1553</v>
      </c>
      <c r="H37" s="531" t="s">
        <v>1526</v>
      </c>
      <c r="I37" s="532" t="s">
        <v>1526</v>
      </c>
      <c r="J37" s="536">
        <v>221078.12</v>
      </c>
      <c r="K37" s="537">
        <v>221078.12</v>
      </c>
      <c r="L37" s="538">
        <v>0</v>
      </c>
      <c r="M37" s="536">
        <v>218775.22</v>
      </c>
      <c r="N37" s="537">
        <v>218775.22</v>
      </c>
      <c r="O37" s="538">
        <v>0</v>
      </c>
      <c r="P37" s="536">
        <v>216472.32000000001</v>
      </c>
      <c r="Q37" s="537">
        <v>216472.32000000001</v>
      </c>
      <c r="R37" s="538">
        <v>0</v>
      </c>
      <c r="S37" s="536">
        <v>214169.43</v>
      </c>
      <c r="T37" s="537">
        <v>214169.43</v>
      </c>
      <c r="U37" s="538">
        <v>0</v>
      </c>
      <c r="V37" s="536">
        <v>211866.53</v>
      </c>
      <c r="W37" s="537">
        <v>211866.53</v>
      </c>
      <c r="X37" s="538">
        <v>0</v>
      </c>
      <c r="Y37" s="536">
        <v>209563.63</v>
      </c>
      <c r="Z37" s="537">
        <v>209563.63</v>
      </c>
      <c r="AA37" s="538">
        <v>0</v>
      </c>
      <c r="AB37" s="536">
        <v>207260.74</v>
      </c>
      <c r="AC37" s="537">
        <v>207260.74</v>
      </c>
      <c r="AD37" s="538">
        <v>0</v>
      </c>
      <c r="AE37" s="536">
        <v>204957.84</v>
      </c>
      <c r="AF37" s="537">
        <v>204957.84</v>
      </c>
      <c r="AG37" s="538">
        <v>0</v>
      </c>
      <c r="AH37" s="536">
        <v>202654.94</v>
      </c>
      <c r="AI37" s="537">
        <v>202654.94</v>
      </c>
      <c r="AJ37" s="538">
        <v>0</v>
      </c>
      <c r="AK37" s="536">
        <v>200352.05</v>
      </c>
      <c r="AL37" s="537">
        <v>200352.05</v>
      </c>
      <c r="AM37" s="538">
        <v>0</v>
      </c>
      <c r="AN37" s="536">
        <v>198049.15</v>
      </c>
      <c r="AO37" s="537">
        <v>198049.15</v>
      </c>
      <c r="AP37" s="538">
        <v>0</v>
      </c>
      <c r="AQ37" s="536">
        <v>195746.25</v>
      </c>
      <c r="AR37" s="537">
        <v>195746.25</v>
      </c>
      <c r="AS37" s="538">
        <v>0</v>
      </c>
      <c r="AT37" s="536">
        <v>193443.36</v>
      </c>
      <c r="AU37" s="537">
        <v>193443.36</v>
      </c>
      <c r="AV37" s="538">
        <v>0</v>
      </c>
      <c r="AW37" s="741">
        <f t="shared" si="1"/>
        <v>207260.73666666666</v>
      </c>
      <c r="AX37" s="313">
        <f t="shared" si="2"/>
        <v>207260.73666666666</v>
      </c>
      <c r="AY37" s="313">
        <f t="shared" si="3"/>
        <v>0</v>
      </c>
    </row>
    <row r="38" spans="1:51">
      <c r="A38" s="1211">
        <v>29</v>
      </c>
      <c r="B38" s="530" t="s">
        <v>1552</v>
      </c>
      <c r="C38" s="510" t="s">
        <v>1522</v>
      </c>
      <c r="D38" s="510"/>
      <c r="E38" s="510" t="s">
        <v>1543</v>
      </c>
      <c r="F38" s="531" t="s">
        <v>1548</v>
      </c>
      <c r="G38" s="531" t="s">
        <v>1553</v>
      </c>
      <c r="H38" s="531" t="s">
        <v>1526</v>
      </c>
      <c r="I38" s="532" t="s">
        <v>1526</v>
      </c>
      <c r="J38" s="539">
        <v>49080.72</v>
      </c>
      <c r="K38" s="540">
        <v>0</v>
      </c>
      <c r="L38" s="541">
        <v>49080.72</v>
      </c>
      <c r="M38" s="539">
        <v>47717.37</v>
      </c>
      <c r="N38" s="540">
        <v>0</v>
      </c>
      <c r="O38" s="541">
        <v>47717.37</v>
      </c>
      <c r="P38" s="539">
        <v>46354.02</v>
      </c>
      <c r="Q38" s="540">
        <v>0</v>
      </c>
      <c r="R38" s="541">
        <v>46354.02</v>
      </c>
      <c r="S38" s="539">
        <v>44990.66</v>
      </c>
      <c r="T38" s="540">
        <v>0</v>
      </c>
      <c r="U38" s="541">
        <v>44990.66</v>
      </c>
      <c r="V38" s="539">
        <v>43627.31</v>
      </c>
      <c r="W38" s="540">
        <v>0</v>
      </c>
      <c r="X38" s="541">
        <v>43627.31</v>
      </c>
      <c r="Y38" s="539">
        <v>42263.96</v>
      </c>
      <c r="Z38" s="540">
        <v>0</v>
      </c>
      <c r="AA38" s="541">
        <v>42263.96</v>
      </c>
      <c r="AB38" s="539">
        <v>40900.6</v>
      </c>
      <c r="AC38" s="540">
        <v>0</v>
      </c>
      <c r="AD38" s="541">
        <v>40900.6</v>
      </c>
      <c r="AE38" s="539">
        <v>39537.25</v>
      </c>
      <c r="AF38" s="540">
        <v>0</v>
      </c>
      <c r="AG38" s="541">
        <v>39537.25</v>
      </c>
      <c r="AH38" s="539">
        <v>38173.9</v>
      </c>
      <c r="AI38" s="540">
        <v>0</v>
      </c>
      <c r="AJ38" s="541">
        <v>38173.9</v>
      </c>
      <c r="AK38" s="539">
        <v>36810.54</v>
      </c>
      <c r="AL38" s="540">
        <v>0</v>
      </c>
      <c r="AM38" s="541">
        <v>36810.54</v>
      </c>
      <c r="AN38" s="539">
        <v>35447.19</v>
      </c>
      <c r="AO38" s="540">
        <v>0</v>
      </c>
      <c r="AP38" s="541">
        <v>35447.19</v>
      </c>
      <c r="AQ38" s="539">
        <v>34083.839999999997</v>
      </c>
      <c r="AR38" s="540">
        <v>0</v>
      </c>
      <c r="AS38" s="541">
        <v>34083.839999999997</v>
      </c>
      <c r="AT38" s="539">
        <v>32720.48</v>
      </c>
      <c r="AU38" s="540">
        <v>0</v>
      </c>
      <c r="AV38" s="541">
        <v>32720.48</v>
      </c>
      <c r="AW38" s="741">
        <f t="shared" si="1"/>
        <v>40900.603333333333</v>
      </c>
      <c r="AX38" s="313">
        <f t="shared" si="2"/>
        <v>0</v>
      </c>
      <c r="AY38" s="313">
        <f t="shared" si="3"/>
        <v>40900.603333333333</v>
      </c>
    </row>
    <row r="39" spans="1:51">
      <c r="A39" s="1211">
        <v>30</v>
      </c>
      <c r="B39" s="530" t="s">
        <v>1550</v>
      </c>
      <c r="C39" s="510" t="s">
        <v>1522</v>
      </c>
      <c r="D39" s="510"/>
      <c r="E39" s="510" t="s">
        <v>1543</v>
      </c>
      <c r="F39" s="531" t="s">
        <v>1541</v>
      </c>
      <c r="G39" s="531" t="s">
        <v>1551</v>
      </c>
      <c r="H39" s="531" t="s">
        <v>1526</v>
      </c>
      <c r="I39" s="532" t="s">
        <v>1526</v>
      </c>
      <c r="J39" s="539">
        <v>0</v>
      </c>
      <c r="K39" s="540">
        <v>0</v>
      </c>
      <c r="L39" s="541">
        <v>0</v>
      </c>
      <c r="M39" s="539">
        <v>0</v>
      </c>
      <c r="N39" s="540">
        <v>0</v>
      </c>
      <c r="O39" s="541">
        <v>0</v>
      </c>
      <c r="P39" s="539">
        <v>0</v>
      </c>
      <c r="Q39" s="540">
        <v>0</v>
      </c>
      <c r="R39" s="541">
        <v>0</v>
      </c>
      <c r="S39" s="539">
        <v>0</v>
      </c>
      <c r="T39" s="540">
        <v>0</v>
      </c>
      <c r="U39" s="541">
        <v>0</v>
      </c>
      <c r="V39" s="539">
        <v>0</v>
      </c>
      <c r="W39" s="540">
        <v>0</v>
      </c>
      <c r="X39" s="541">
        <v>0</v>
      </c>
      <c r="Y39" s="539">
        <v>0</v>
      </c>
      <c r="Z39" s="540">
        <v>0</v>
      </c>
      <c r="AA39" s="541">
        <v>0</v>
      </c>
      <c r="AB39" s="539">
        <v>0</v>
      </c>
      <c r="AC39" s="540">
        <v>0</v>
      </c>
      <c r="AD39" s="541">
        <v>0</v>
      </c>
      <c r="AE39" s="539">
        <v>0</v>
      </c>
      <c r="AF39" s="540">
        <v>0</v>
      </c>
      <c r="AG39" s="541">
        <v>0</v>
      </c>
      <c r="AH39" s="539">
        <v>0</v>
      </c>
      <c r="AI39" s="540">
        <v>0</v>
      </c>
      <c r="AJ39" s="541">
        <v>0</v>
      </c>
      <c r="AK39" s="539">
        <v>0</v>
      </c>
      <c r="AL39" s="540">
        <v>0</v>
      </c>
      <c r="AM39" s="541">
        <v>0</v>
      </c>
      <c r="AN39" s="539">
        <v>0</v>
      </c>
      <c r="AO39" s="540">
        <v>0</v>
      </c>
      <c r="AP39" s="541">
        <v>0</v>
      </c>
      <c r="AQ39" s="539">
        <v>0</v>
      </c>
      <c r="AR39" s="540">
        <v>0</v>
      </c>
      <c r="AS39" s="541">
        <v>0</v>
      </c>
      <c r="AT39" s="539">
        <v>0</v>
      </c>
      <c r="AU39" s="540">
        <v>0</v>
      </c>
      <c r="AV39" s="541">
        <v>0</v>
      </c>
      <c r="AW39" s="741">
        <f t="shared" si="1"/>
        <v>0</v>
      </c>
      <c r="AX39" s="313">
        <f t="shared" si="2"/>
        <v>0</v>
      </c>
      <c r="AY39" s="313">
        <f t="shared" si="3"/>
        <v>0</v>
      </c>
    </row>
    <row r="40" spans="1:51">
      <c r="A40" s="1211">
        <v>31</v>
      </c>
      <c r="B40" s="530" t="s">
        <v>1554</v>
      </c>
      <c r="C40" s="510" t="s">
        <v>1522</v>
      </c>
      <c r="D40" s="510"/>
      <c r="E40" s="510" t="s">
        <v>1543</v>
      </c>
      <c r="F40" s="531" t="s">
        <v>1541</v>
      </c>
      <c r="G40" s="531" t="s">
        <v>1555</v>
      </c>
      <c r="H40" s="531" t="s">
        <v>1526</v>
      </c>
      <c r="I40" s="532" t="s">
        <v>1526</v>
      </c>
      <c r="J40" s="539">
        <v>-4791249.5199999996</v>
      </c>
      <c r="K40" s="540">
        <v>0</v>
      </c>
      <c r="L40" s="541">
        <v>-4791249.5199999996</v>
      </c>
      <c r="M40" s="539">
        <v>-4806591.7</v>
      </c>
      <c r="N40" s="540">
        <v>0</v>
      </c>
      <c r="O40" s="541">
        <v>-4806591.7</v>
      </c>
      <c r="P40" s="539">
        <v>-4821933.88</v>
      </c>
      <c r="Q40" s="540">
        <v>0</v>
      </c>
      <c r="R40" s="541">
        <v>-4821933.88</v>
      </c>
      <c r="S40" s="539">
        <v>-4837276.07</v>
      </c>
      <c r="T40" s="540">
        <v>0</v>
      </c>
      <c r="U40" s="541">
        <v>-4837276.07</v>
      </c>
      <c r="V40" s="539">
        <v>-4852618.25</v>
      </c>
      <c r="W40" s="540">
        <v>0</v>
      </c>
      <c r="X40" s="541">
        <v>-4852618.25</v>
      </c>
      <c r="Y40" s="539">
        <v>-4867960.43</v>
      </c>
      <c r="Z40" s="540">
        <v>0</v>
      </c>
      <c r="AA40" s="541">
        <v>-4867960.43</v>
      </c>
      <c r="AB40" s="539">
        <v>-4883302.6100000003</v>
      </c>
      <c r="AC40" s="540">
        <v>0</v>
      </c>
      <c r="AD40" s="541">
        <v>-4883302.6100000003</v>
      </c>
      <c r="AE40" s="539">
        <v>-4898644.79</v>
      </c>
      <c r="AF40" s="540">
        <v>0</v>
      </c>
      <c r="AG40" s="541">
        <v>-4898644.79</v>
      </c>
      <c r="AH40" s="539">
        <v>-4913986.97</v>
      </c>
      <c r="AI40" s="540">
        <v>0</v>
      </c>
      <c r="AJ40" s="541">
        <v>-4913986.97</v>
      </c>
      <c r="AK40" s="539">
        <v>-4929329.16</v>
      </c>
      <c r="AL40" s="540">
        <v>0</v>
      </c>
      <c r="AM40" s="541">
        <v>-4929329.16</v>
      </c>
      <c r="AN40" s="539">
        <v>-4944671.34</v>
      </c>
      <c r="AO40" s="540">
        <v>0</v>
      </c>
      <c r="AP40" s="541">
        <v>-4944671.34</v>
      </c>
      <c r="AQ40" s="539">
        <v>-4939699.74</v>
      </c>
      <c r="AR40" s="540">
        <v>0</v>
      </c>
      <c r="AS40" s="541">
        <v>-4939699.74</v>
      </c>
      <c r="AT40" s="539">
        <v>-4979230.4000000004</v>
      </c>
      <c r="AU40" s="540">
        <v>0</v>
      </c>
      <c r="AV40" s="541">
        <v>-4979230.4000000004</v>
      </c>
      <c r="AW40" s="741">
        <f t="shared" si="1"/>
        <v>-4881771.2416666672</v>
      </c>
      <c r="AX40" s="313">
        <f t="shared" si="2"/>
        <v>0</v>
      </c>
      <c r="AY40" s="313">
        <f t="shared" si="3"/>
        <v>-4881771.2416666672</v>
      </c>
    </row>
    <row r="41" spans="1:51">
      <c r="A41" s="1211">
        <v>32</v>
      </c>
      <c r="B41" s="530" t="s">
        <v>1556</v>
      </c>
      <c r="C41" s="510" t="s">
        <v>1522</v>
      </c>
      <c r="D41" s="510"/>
      <c r="E41" s="510" t="s">
        <v>1543</v>
      </c>
      <c r="F41" s="531" t="s">
        <v>1545</v>
      </c>
      <c r="G41" s="531" t="s">
        <v>1557</v>
      </c>
      <c r="H41" s="531" t="s">
        <v>1526</v>
      </c>
      <c r="I41" s="532" t="s">
        <v>1526</v>
      </c>
      <c r="J41" s="539">
        <v>-12694.23</v>
      </c>
      <c r="K41" s="540">
        <v>0</v>
      </c>
      <c r="L41" s="541">
        <v>-12694.23</v>
      </c>
      <c r="M41" s="539">
        <v>-12632.6</v>
      </c>
      <c r="N41" s="540">
        <v>0</v>
      </c>
      <c r="O41" s="541">
        <v>-12632.6</v>
      </c>
      <c r="P41" s="539">
        <v>-12570.98</v>
      </c>
      <c r="Q41" s="540">
        <v>0</v>
      </c>
      <c r="R41" s="541">
        <v>-12570.98</v>
      </c>
      <c r="S41" s="539">
        <v>-12509.36</v>
      </c>
      <c r="T41" s="540">
        <v>0</v>
      </c>
      <c r="U41" s="541">
        <v>-12509.36</v>
      </c>
      <c r="V41" s="539">
        <v>-12447.74</v>
      </c>
      <c r="W41" s="540">
        <v>0</v>
      </c>
      <c r="X41" s="541">
        <v>-12447.74</v>
      </c>
      <c r="Y41" s="539">
        <v>-12386.12</v>
      </c>
      <c r="Z41" s="540">
        <v>0</v>
      </c>
      <c r="AA41" s="541">
        <v>-12386.12</v>
      </c>
      <c r="AB41" s="539">
        <v>-12324.5</v>
      </c>
      <c r="AC41" s="540">
        <v>0</v>
      </c>
      <c r="AD41" s="541">
        <v>-12324.5</v>
      </c>
      <c r="AE41" s="539">
        <v>-12262.88</v>
      </c>
      <c r="AF41" s="540">
        <v>0</v>
      </c>
      <c r="AG41" s="541">
        <v>-12262.88</v>
      </c>
      <c r="AH41" s="539">
        <v>-12201.26</v>
      </c>
      <c r="AI41" s="540">
        <v>0</v>
      </c>
      <c r="AJ41" s="541">
        <v>-12201.26</v>
      </c>
      <c r="AK41" s="539">
        <v>-12139.64</v>
      </c>
      <c r="AL41" s="540">
        <v>0</v>
      </c>
      <c r="AM41" s="541">
        <v>-12139.64</v>
      </c>
      <c r="AN41" s="539">
        <v>-12078.02</v>
      </c>
      <c r="AO41" s="540">
        <v>0</v>
      </c>
      <c r="AP41" s="541">
        <v>-12078.02</v>
      </c>
      <c r="AQ41" s="539">
        <v>-25578.94</v>
      </c>
      <c r="AR41" s="540">
        <v>0</v>
      </c>
      <c r="AS41" s="541">
        <v>-25578.94</v>
      </c>
      <c r="AT41" s="539">
        <v>-25534.6</v>
      </c>
      <c r="AU41" s="540">
        <v>0</v>
      </c>
      <c r="AV41" s="541">
        <v>-25534.6</v>
      </c>
      <c r="AW41" s="741">
        <f t="shared" si="1"/>
        <v>-14020.537916666668</v>
      </c>
      <c r="AX41" s="313">
        <f t="shared" si="2"/>
        <v>0</v>
      </c>
      <c r="AY41" s="313">
        <f t="shared" si="3"/>
        <v>-14020.537916666668</v>
      </c>
    </row>
    <row r="42" spans="1:51">
      <c r="A42" s="1211">
        <v>33</v>
      </c>
      <c r="B42" s="530" t="s">
        <v>1558</v>
      </c>
      <c r="C42" s="510" t="s">
        <v>1522</v>
      </c>
      <c r="D42" s="510"/>
      <c r="E42" s="510" t="s">
        <v>1543</v>
      </c>
      <c r="F42" s="531" t="s">
        <v>1548</v>
      </c>
      <c r="G42" s="531" t="s">
        <v>1559</v>
      </c>
      <c r="H42" s="531" t="s">
        <v>1526</v>
      </c>
      <c r="I42" s="532" t="s">
        <v>1526</v>
      </c>
      <c r="J42" s="539">
        <v>57928.94</v>
      </c>
      <c r="K42" s="540">
        <v>0</v>
      </c>
      <c r="L42" s="541">
        <v>57928.94</v>
      </c>
      <c r="M42" s="539">
        <v>57884.94</v>
      </c>
      <c r="N42" s="540">
        <v>0</v>
      </c>
      <c r="O42" s="541">
        <v>57884.94</v>
      </c>
      <c r="P42" s="539">
        <v>57884.94</v>
      </c>
      <c r="Q42" s="540">
        <v>0</v>
      </c>
      <c r="R42" s="541">
        <v>57884.94</v>
      </c>
      <c r="S42" s="539">
        <v>55452.9</v>
      </c>
      <c r="T42" s="540">
        <v>0</v>
      </c>
      <c r="U42" s="541">
        <v>55452.9</v>
      </c>
      <c r="V42" s="539">
        <v>55452.9</v>
      </c>
      <c r="W42" s="540">
        <v>0</v>
      </c>
      <c r="X42" s="541">
        <v>55452.9</v>
      </c>
      <c r="Y42" s="539">
        <v>55452.9</v>
      </c>
      <c r="Z42" s="540">
        <v>0</v>
      </c>
      <c r="AA42" s="541">
        <v>55452.9</v>
      </c>
      <c r="AB42" s="539">
        <v>55522.559999999998</v>
      </c>
      <c r="AC42" s="540">
        <v>0</v>
      </c>
      <c r="AD42" s="541">
        <v>55522.559999999998</v>
      </c>
      <c r="AE42" s="539">
        <v>55522.559999999998</v>
      </c>
      <c r="AF42" s="540">
        <v>0</v>
      </c>
      <c r="AG42" s="541">
        <v>55522.559999999998</v>
      </c>
      <c r="AH42" s="539">
        <v>55526.239999999998</v>
      </c>
      <c r="AI42" s="540">
        <v>0</v>
      </c>
      <c r="AJ42" s="541">
        <v>55526.239999999998</v>
      </c>
      <c r="AK42" s="539">
        <v>55255.59</v>
      </c>
      <c r="AL42" s="540">
        <v>0</v>
      </c>
      <c r="AM42" s="541">
        <v>55255.59</v>
      </c>
      <c r="AN42" s="539">
        <v>55255.59</v>
      </c>
      <c r="AO42" s="540">
        <v>0</v>
      </c>
      <c r="AP42" s="541">
        <v>55255.59</v>
      </c>
      <c r="AQ42" s="539">
        <v>55249.65</v>
      </c>
      <c r="AR42" s="540">
        <v>0</v>
      </c>
      <c r="AS42" s="541">
        <v>55249.65</v>
      </c>
      <c r="AT42" s="539">
        <v>55249.65</v>
      </c>
      <c r="AU42" s="540">
        <v>0</v>
      </c>
      <c r="AV42" s="541">
        <v>55249.65</v>
      </c>
      <c r="AW42" s="741">
        <f t="shared" si="1"/>
        <v>55920.838750000003</v>
      </c>
      <c r="AX42" s="313">
        <f t="shared" si="2"/>
        <v>0</v>
      </c>
      <c r="AY42" s="313">
        <f t="shared" si="3"/>
        <v>55920.838750000003</v>
      </c>
    </row>
    <row r="43" spans="1:51">
      <c r="A43" s="1211">
        <v>34</v>
      </c>
      <c r="B43" s="530" t="s">
        <v>1560</v>
      </c>
      <c r="C43" s="510" t="s">
        <v>1522</v>
      </c>
      <c r="D43" s="510"/>
      <c r="E43" s="510" t="s">
        <v>1543</v>
      </c>
      <c r="F43" s="531" t="s">
        <v>1548</v>
      </c>
      <c r="G43" s="531" t="s">
        <v>1561</v>
      </c>
      <c r="H43" s="531" t="s">
        <v>1526</v>
      </c>
      <c r="I43" s="532" t="s">
        <v>1526</v>
      </c>
      <c r="J43" s="539">
        <v>-2002.19</v>
      </c>
      <c r="K43" s="540">
        <v>0</v>
      </c>
      <c r="L43" s="541">
        <v>-2002.19</v>
      </c>
      <c r="M43" s="539">
        <v>-1954.52</v>
      </c>
      <c r="N43" s="540">
        <v>0</v>
      </c>
      <c r="O43" s="541">
        <v>-1954.52</v>
      </c>
      <c r="P43" s="539">
        <v>-1906.85</v>
      </c>
      <c r="Q43" s="540">
        <v>0</v>
      </c>
      <c r="R43" s="541">
        <v>-1906.85</v>
      </c>
      <c r="S43" s="539">
        <v>-1859.18</v>
      </c>
      <c r="T43" s="540">
        <v>0</v>
      </c>
      <c r="U43" s="541">
        <v>-1859.18</v>
      </c>
      <c r="V43" s="539">
        <v>-1811.51</v>
      </c>
      <c r="W43" s="540">
        <v>0</v>
      </c>
      <c r="X43" s="541">
        <v>-1811.51</v>
      </c>
      <c r="Y43" s="539">
        <v>-1763.84</v>
      </c>
      <c r="Z43" s="540">
        <v>0</v>
      </c>
      <c r="AA43" s="541">
        <v>-1763.84</v>
      </c>
      <c r="AB43" s="539">
        <v>-1716.16</v>
      </c>
      <c r="AC43" s="540">
        <v>0</v>
      </c>
      <c r="AD43" s="541">
        <v>-1716.16</v>
      </c>
      <c r="AE43" s="539">
        <v>-1668.49</v>
      </c>
      <c r="AF43" s="540">
        <v>0</v>
      </c>
      <c r="AG43" s="541">
        <v>-1668.49</v>
      </c>
      <c r="AH43" s="539">
        <v>-1620.82</v>
      </c>
      <c r="AI43" s="540">
        <v>0</v>
      </c>
      <c r="AJ43" s="541">
        <v>-1620.82</v>
      </c>
      <c r="AK43" s="539">
        <v>-1573.15</v>
      </c>
      <c r="AL43" s="540">
        <v>0</v>
      </c>
      <c r="AM43" s="541">
        <v>-1573.15</v>
      </c>
      <c r="AN43" s="539">
        <v>-1525.48</v>
      </c>
      <c r="AO43" s="540">
        <v>0</v>
      </c>
      <c r="AP43" s="541">
        <v>-1525.48</v>
      </c>
      <c r="AQ43" s="539">
        <v>-1477.81</v>
      </c>
      <c r="AR43" s="540">
        <v>0</v>
      </c>
      <c r="AS43" s="541">
        <v>-1477.81</v>
      </c>
      <c r="AT43" s="539">
        <v>-1430.13</v>
      </c>
      <c r="AU43" s="540">
        <v>0</v>
      </c>
      <c r="AV43" s="541">
        <v>-1430.13</v>
      </c>
      <c r="AW43" s="741">
        <f t="shared" si="1"/>
        <v>-1716.1641666666667</v>
      </c>
      <c r="AX43" s="313">
        <f t="shared" si="2"/>
        <v>0</v>
      </c>
      <c r="AY43" s="313">
        <f t="shared" si="3"/>
        <v>-1716.1641666666667</v>
      </c>
    </row>
    <row r="44" spans="1:51" ht="15.75" thickBot="1">
      <c r="A44" s="1211">
        <v>35</v>
      </c>
      <c r="B44" s="520"/>
      <c r="C44" s="510"/>
      <c r="D44" s="510"/>
      <c r="E44" s="510"/>
      <c r="F44" s="510"/>
      <c r="G44" s="510"/>
      <c r="H44" s="510"/>
      <c r="I44" s="512"/>
      <c r="J44" s="525">
        <f t="shared" ref="J44:AV44" si="4">SUM(J27:J43)</f>
        <v>-105143322.19000001</v>
      </c>
      <c r="K44" s="525">
        <f t="shared" si="4"/>
        <v>-77673011.209999993</v>
      </c>
      <c r="L44" s="525">
        <f t="shared" si="4"/>
        <v>-27470310.979999997</v>
      </c>
      <c r="M44" s="525">
        <f t="shared" si="4"/>
        <v>-105092966.08</v>
      </c>
      <c r="N44" s="525">
        <f t="shared" si="4"/>
        <v>-77380442.980000019</v>
      </c>
      <c r="O44" s="525">
        <f t="shared" si="4"/>
        <v>-27712523.099999998</v>
      </c>
      <c r="P44" s="525">
        <f t="shared" si="4"/>
        <v>-105042063.30000003</v>
      </c>
      <c r="Q44" s="525">
        <f t="shared" si="4"/>
        <v>-77328826.790000021</v>
      </c>
      <c r="R44" s="525">
        <f t="shared" si="4"/>
        <v>-27713236.509999998</v>
      </c>
      <c r="S44" s="525">
        <f t="shared" si="4"/>
        <v>-105021379.02</v>
      </c>
      <c r="T44" s="525">
        <f t="shared" si="4"/>
        <v>-77311556.719999999</v>
      </c>
      <c r="U44" s="525">
        <f t="shared" si="4"/>
        <v>-27709822.300000001</v>
      </c>
      <c r="V44" s="525">
        <f t="shared" si="4"/>
        <v>-104970476.25999999</v>
      </c>
      <c r="W44" s="525">
        <f t="shared" si="4"/>
        <v>-77259940.530000016</v>
      </c>
      <c r="X44" s="525">
        <f t="shared" si="4"/>
        <v>-27710535.73</v>
      </c>
      <c r="Y44" s="525">
        <f t="shared" si="4"/>
        <v>-104919573.49000001</v>
      </c>
      <c r="Z44" s="525">
        <f t="shared" si="4"/>
        <v>-77208324.340000018</v>
      </c>
      <c r="AA44" s="525">
        <f t="shared" si="4"/>
        <v>-27711249.149999999</v>
      </c>
      <c r="AB44" s="525">
        <f t="shared" si="4"/>
        <v>-104867805.26000001</v>
      </c>
      <c r="AC44" s="525">
        <f t="shared" si="4"/>
        <v>-77157907.250000015</v>
      </c>
      <c r="AD44" s="525">
        <f t="shared" si="4"/>
        <v>-27709898.009999994</v>
      </c>
      <c r="AE44" s="525">
        <f t="shared" si="4"/>
        <v>-104816902.5</v>
      </c>
      <c r="AF44" s="525">
        <f t="shared" si="4"/>
        <v>-77106291.060000017</v>
      </c>
      <c r="AG44" s="525">
        <f t="shared" si="4"/>
        <v>-27710611.439999994</v>
      </c>
      <c r="AH44" s="525">
        <f t="shared" si="4"/>
        <v>-104765953.97</v>
      </c>
      <c r="AI44" s="525">
        <f t="shared" si="4"/>
        <v>-77054674.87000002</v>
      </c>
      <c r="AJ44" s="525">
        <f t="shared" si="4"/>
        <v>-27711279.099999998</v>
      </c>
      <c r="AK44" s="525">
        <f t="shared" si="4"/>
        <v>-104718414.06999998</v>
      </c>
      <c r="AL44" s="525">
        <f t="shared" si="4"/>
        <v>-77005115.609999999</v>
      </c>
      <c r="AM44" s="525">
        <f t="shared" si="4"/>
        <v>-27713298.459999997</v>
      </c>
      <c r="AN44" s="525">
        <f t="shared" si="4"/>
        <v>-104667511.30999999</v>
      </c>
      <c r="AO44" s="525">
        <f t="shared" si="4"/>
        <v>-76953499.420000002</v>
      </c>
      <c r="AP44" s="525">
        <f t="shared" si="4"/>
        <v>-27714011.889999997</v>
      </c>
      <c r="AQ44" s="525">
        <f t="shared" si="4"/>
        <v>-104600927.77000007</v>
      </c>
      <c r="AR44" s="525">
        <f t="shared" si="4"/>
        <v>-76893899.370000094</v>
      </c>
      <c r="AS44" s="525">
        <f t="shared" si="4"/>
        <v>-27707028.399999999</v>
      </c>
      <c r="AT44" s="525">
        <f t="shared" si="4"/>
        <v>-105468811.87000008</v>
      </c>
      <c r="AU44" s="1377">
        <f>SUM(AU27:AU43)</f>
        <v>-77533346.280000106</v>
      </c>
      <c r="AV44" s="525">
        <f t="shared" si="4"/>
        <v>-27935465.59</v>
      </c>
      <c r="AW44" s="742">
        <f>SUM(AW26:AW43)</f>
        <v>-104899170.00500004</v>
      </c>
      <c r="AX44" s="542">
        <f>SUM(AX26:AX43)</f>
        <v>-77188638.140416712</v>
      </c>
      <c r="AY44" s="543">
        <f>SUM(AY26:AY43)</f>
        <v>-27710531.864583332</v>
      </c>
    </row>
    <row r="45" spans="1:51" ht="16.5" thickTop="1" thickBot="1">
      <c r="A45" s="1211">
        <v>30</v>
      </c>
      <c r="B45" s="544" t="s">
        <v>1562</v>
      </c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 t="s">
        <v>1563</v>
      </c>
      <c r="N45" s="116"/>
      <c r="O45" s="116"/>
      <c r="P45" s="116" t="s">
        <v>1564</v>
      </c>
      <c r="Q45" s="116"/>
      <c r="R45" s="116"/>
      <c r="S45" s="116" t="s">
        <v>1565</v>
      </c>
      <c r="T45" s="116"/>
      <c r="U45" s="116"/>
      <c r="V45" s="116" t="s">
        <v>1566</v>
      </c>
      <c r="W45" s="116"/>
      <c r="X45" s="116"/>
      <c r="Y45" s="116" t="s">
        <v>1567</v>
      </c>
      <c r="Z45" s="116"/>
      <c r="AA45" s="116"/>
      <c r="AB45" s="116" t="s">
        <v>1568</v>
      </c>
      <c r="AC45" s="116"/>
      <c r="AD45" s="116"/>
      <c r="AE45" s="116" t="s">
        <v>1569</v>
      </c>
      <c r="AF45" s="116"/>
      <c r="AG45" s="116"/>
      <c r="AH45" s="116" t="s">
        <v>1570</v>
      </c>
      <c r="AI45" s="116"/>
      <c r="AJ45" s="116"/>
      <c r="AK45" s="116" t="s">
        <v>1571</v>
      </c>
      <c r="AL45" s="116"/>
      <c r="AM45" s="116"/>
      <c r="AN45" s="116" t="s">
        <v>1572</v>
      </c>
      <c r="AO45" s="116"/>
      <c r="AP45" s="116"/>
      <c r="AQ45" s="116" t="s">
        <v>1573</v>
      </c>
      <c r="AR45" s="116"/>
      <c r="AS45" s="116"/>
      <c r="AT45" s="116" t="s">
        <v>1574</v>
      </c>
      <c r="AU45" s="116"/>
      <c r="AV45" s="116"/>
      <c r="AW45" s="116"/>
      <c r="AX45" s="116"/>
      <c r="AY45" s="116"/>
    </row>
    <row r="46" spans="1:51">
      <c r="A46" s="1211">
        <v>31</v>
      </c>
      <c r="C46" s="116"/>
      <c r="E46" s="116"/>
      <c r="F46" s="545"/>
      <c r="G46" s="545"/>
      <c r="H46" s="116"/>
      <c r="I46" s="116"/>
      <c r="J46" s="680"/>
      <c r="K46" s="681"/>
      <c r="L46" s="682"/>
      <c r="M46" s="681"/>
      <c r="N46" s="681"/>
      <c r="O46" s="682"/>
      <c r="P46" s="681"/>
      <c r="Q46" s="681"/>
      <c r="R46" s="682"/>
      <c r="S46" s="681"/>
      <c r="T46" s="681"/>
      <c r="U46" s="682"/>
      <c r="V46" s="681"/>
      <c r="W46" s="681"/>
      <c r="X46" s="682"/>
      <c r="Y46" s="681"/>
      <c r="Z46" s="681"/>
      <c r="AA46" s="681"/>
      <c r="AB46" s="116"/>
      <c r="AC46" s="681"/>
      <c r="AD46" s="682"/>
      <c r="AE46" s="681"/>
      <c r="AF46" s="681"/>
      <c r="AG46" s="682"/>
      <c r="AH46" s="681"/>
      <c r="AI46" s="681"/>
      <c r="AJ46" s="682"/>
      <c r="AK46" s="681"/>
      <c r="AL46" s="681"/>
      <c r="AM46" s="682"/>
      <c r="AN46" s="681"/>
      <c r="AO46" s="681"/>
      <c r="AP46" s="682"/>
      <c r="AQ46" s="681"/>
      <c r="AR46" s="681"/>
      <c r="AS46" s="682"/>
      <c r="AT46" s="681"/>
      <c r="AU46" s="681"/>
      <c r="AV46" s="682"/>
      <c r="AW46" s="683"/>
      <c r="AX46" s="116"/>
      <c r="AY46" s="116"/>
    </row>
    <row r="47" spans="1:51">
      <c r="A47" s="1211">
        <v>32</v>
      </c>
      <c r="B47" s="113" t="s">
        <v>1575</v>
      </c>
      <c r="C47" s="116" t="s">
        <v>1522</v>
      </c>
      <c r="E47" s="116"/>
      <c r="F47" s="545" t="s">
        <v>1548</v>
      </c>
      <c r="G47" s="545" t="s">
        <v>1576</v>
      </c>
      <c r="H47" s="116"/>
      <c r="I47" s="116"/>
      <c r="J47" s="546">
        <f>+' Working Capital (AMA)'!F184</f>
        <v>-71282.13</v>
      </c>
      <c r="K47" s="116"/>
      <c r="L47" s="547"/>
      <c r="M47" s="116">
        <f>+' Working Capital (AMA)'!G184</f>
        <v>-70320.240000000005</v>
      </c>
      <c r="N47" s="116"/>
      <c r="O47" s="547"/>
      <c r="P47" s="116">
        <f>+' Working Capital (AMA)'!H184</f>
        <v>-69358.36</v>
      </c>
      <c r="Q47" s="116"/>
      <c r="R47" s="547"/>
      <c r="S47" s="116">
        <f>+' Working Capital (AMA)'!I184</f>
        <v>-68396.42</v>
      </c>
      <c r="T47" s="116"/>
      <c r="U47" s="547"/>
      <c r="V47" s="116">
        <f>+' Working Capital (AMA)'!J184</f>
        <v>-67434.539999999994</v>
      </c>
      <c r="W47" s="116"/>
      <c r="X47" s="547"/>
      <c r="Y47" s="116">
        <f>+' Working Capital (AMA)'!K184</f>
        <v>-66472.63</v>
      </c>
      <c r="Z47" s="116"/>
      <c r="AA47" s="547"/>
      <c r="AB47" s="116">
        <f>+' Working Capital (AMA)'!L184</f>
        <v>-65510.73</v>
      </c>
      <c r="AC47" s="116"/>
      <c r="AD47" s="547"/>
      <c r="AE47" s="116">
        <f>+' Working Capital (AMA)'!M184</f>
        <v>-64548.83</v>
      </c>
      <c r="AF47" s="116"/>
      <c r="AG47" s="547"/>
      <c r="AH47" s="116">
        <f>+' Working Capital (AMA)'!N184</f>
        <v>-63586.93</v>
      </c>
      <c r="AI47" s="116"/>
      <c r="AJ47" s="547"/>
      <c r="AK47" s="116">
        <f>+' Working Capital (AMA)'!O184</f>
        <v>-62625.02</v>
      </c>
      <c r="AL47" s="116"/>
      <c r="AM47" s="547"/>
      <c r="AN47" s="116">
        <f>+' Working Capital (AMA)'!P184</f>
        <v>-61663.12</v>
      </c>
      <c r="AO47" s="116"/>
      <c r="AP47" s="547"/>
      <c r="AQ47" s="116">
        <f>+' Working Capital (AMA)'!Q184</f>
        <v>-60701.21</v>
      </c>
      <c r="AR47" s="116"/>
      <c r="AS47" s="547"/>
      <c r="AT47" s="116">
        <f>+' Working Capital (AMA)'!R184</f>
        <v>-59739.33</v>
      </c>
      <c r="AU47" s="116"/>
      <c r="AV47" s="547"/>
      <c r="AW47" s="548">
        <f>+(AT47+J47+(M47+P47+S47+V47+Y47+AB47+AE47+AH47+AK47+AN47+AQ47)*2)/24</f>
        <v>-65510.73</v>
      </c>
      <c r="AX47" s="116"/>
      <c r="AY47" s="116"/>
    </row>
    <row r="48" spans="1:51">
      <c r="A48" s="1211">
        <v>34</v>
      </c>
      <c r="B48" s="113" t="s">
        <v>1577</v>
      </c>
      <c r="C48" s="116" t="s">
        <v>1522</v>
      </c>
      <c r="E48" s="116"/>
      <c r="F48" s="545" t="s">
        <v>1548</v>
      </c>
      <c r="G48" s="545" t="s">
        <v>1578</v>
      </c>
      <c r="H48" s="116"/>
      <c r="I48" s="116"/>
      <c r="J48" s="546">
        <f>+' Working Capital (AMA)'!F185</f>
        <v>-270158.8</v>
      </c>
      <c r="K48" s="116"/>
      <c r="L48" s="547"/>
      <c r="M48" s="116">
        <f>+' Working Capital (AMA)'!G185</f>
        <v>-266492.56</v>
      </c>
      <c r="N48" s="116"/>
      <c r="O48" s="547"/>
      <c r="P48" s="116">
        <f>+' Working Capital (AMA)'!H185</f>
        <v>-262826.32</v>
      </c>
      <c r="Q48" s="116"/>
      <c r="R48" s="547"/>
      <c r="S48" s="116">
        <f>+' Working Capital (AMA)'!I185</f>
        <v>-259160.08</v>
      </c>
      <c r="T48" s="116"/>
      <c r="U48" s="547"/>
      <c r="V48" s="116">
        <f>+' Working Capital (AMA)'!J185</f>
        <v>-255493.81</v>
      </c>
      <c r="W48" s="116"/>
      <c r="X48" s="547"/>
      <c r="Y48" s="116">
        <f>+' Working Capital (AMA)'!K185</f>
        <v>-251827.57</v>
      </c>
      <c r="Z48" s="116"/>
      <c r="AA48" s="547"/>
      <c r="AB48" s="116">
        <f>+' Working Capital (AMA)'!L185</f>
        <v>-248161.3</v>
      </c>
      <c r="AC48" s="116"/>
      <c r="AD48" s="547"/>
      <c r="AE48" s="116">
        <f>+' Working Capital (AMA)'!M185</f>
        <v>-244495.04</v>
      </c>
      <c r="AF48" s="116"/>
      <c r="AG48" s="547"/>
      <c r="AH48" s="116">
        <f>+' Working Capital (AMA)'!N185</f>
        <v>-240828.75</v>
      </c>
      <c r="AI48" s="116"/>
      <c r="AJ48" s="547"/>
      <c r="AK48" s="116">
        <f>+' Working Capital (AMA)'!O185</f>
        <v>-237162.53</v>
      </c>
      <c r="AL48" s="116"/>
      <c r="AM48" s="547"/>
      <c r="AN48" s="116">
        <f>+' Working Capital (AMA)'!P185</f>
        <v>-233496.28</v>
      </c>
      <c r="AO48" s="116"/>
      <c r="AP48" s="547"/>
      <c r="AQ48" s="116">
        <f>+' Working Capital (AMA)'!Q185</f>
        <v>-229830.02</v>
      </c>
      <c r="AR48" s="116"/>
      <c r="AS48" s="547"/>
      <c r="AT48" s="116">
        <f>+' Working Capital (AMA)'!R185</f>
        <v>-226163.76</v>
      </c>
      <c r="AU48" s="116"/>
      <c r="AV48" s="547"/>
      <c r="AW48" s="548">
        <f t="shared" ref="AW48:AW53" si="5">+(AT48+J48+(M48+P48+S48+V48+Y48+AB48+AE48+AH48+AK48+AN48+AQ48)*2)/24</f>
        <v>-248161.29499999995</v>
      </c>
      <c r="AX48" s="116"/>
      <c r="AY48" s="116"/>
    </row>
    <row r="49" spans="1:51">
      <c r="A49" s="1211">
        <v>35</v>
      </c>
      <c r="B49" s="113" t="s">
        <v>1579</v>
      </c>
      <c r="C49" s="116" t="s">
        <v>1522</v>
      </c>
      <c r="F49" s="928">
        <v>1900</v>
      </c>
      <c r="G49" s="928">
        <v>964</v>
      </c>
      <c r="H49" s="116"/>
      <c r="I49" s="116"/>
      <c r="J49" s="546">
        <f>+' Working Capital (AMA)'!F187</f>
        <v>1401147.76</v>
      </c>
      <c r="K49" s="116"/>
      <c r="L49" s="547"/>
      <c r="M49" s="116">
        <f>+' Working Capital (AMA)'!G187</f>
        <v>1401729.26</v>
      </c>
      <c r="N49" s="116"/>
      <c r="O49" s="547"/>
      <c r="P49" s="116">
        <f>+' Working Capital (AMA)'!H187</f>
        <v>1402310.75</v>
      </c>
      <c r="Q49" s="116"/>
      <c r="R49" s="547"/>
      <c r="S49" s="116">
        <f>+' Working Capital (AMA)'!I187</f>
        <v>1402892.24</v>
      </c>
      <c r="T49" s="116"/>
      <c r="U49" s="547"/>
      <c r="V49" s="116">
        <f>+' Working Capital (AMA)'!J187</f>
        <v>1403473.73</v>
      </c>
      <c r="W49" s="116"/>
      <c r="X49" s="547"/>
      <c r="Y49" s="116">
        <f>+' Working Capital (AMA)'!K187</f>
        <v>1404055.22</v>
      </c>
      <c r="Z49" s="116"/>
      <c r="AA49" s="547"/>
      <c r="AB49" s="116">
        <f>+' Working Capital (AMA)'!L187</f>
        <v>1406254.74</v>
      </c>
      <c r="AC49" s="116"/>
      <c r="AD49" s="547"/>
      <c r="AE49" s="116">
        <f>+' Working Capital (AMA)'!M187</f>
        <v>1407105.91</v>
      </c>
      <c r="AF49" s="116"/>
      <c r="AG49" s="547"/>
      <c r="AH49" s="116">
        <f>+' Working Capital (AMA)'!N187</f>
        <v>1407957.08</v>
      </c>
      <c r="AI49" s="116"/>
      <c r="AJ49" s="547"/>
      <c r="AK49" s="116">
        <f>+' Working Capital (AMA)'!O187</f>
        <v>1408808.24</v>
      </c>
      <c r="AL49" s="116"/>
      <c r="AM49" s="547"/>
      <c r="AN49" s="116">
        <f>+' Working Capital (AMA)'!P187</f>
        <v>1409659.41</v>
      </c>
      <c r="AO49" s="116"/>
      <c r="AP49" s="547"/>
      <c r="AQ49" s="116">
        <f>+' Working Capital (AMA)'!Q187</f>
        <v>1410510.56</v>
      </c>
      <c r="AR49" s="116"/>
      <c r="AS49" s="547"/>
      <c r="AT49" s="116">
        <f>+' Working Capital (AMA)'!R187</f>
        <v>953296.83</v>
      </c>
      <c r="AU49" s="116"/>
      <c r="AV49" s="547"/>
      <c r="AW49" s="548">
        <f t="shared" si="5"/>
        <v>1386831.6195833334</v>
      </c>
      <c r="AX49" s="116"/>
      <c r="AY49" s="116"/>
    </row>
    <row r="50" spans="1:51">
      <c r="A50" s="1211">
        <v>36</v>
      </c>
      <c r="B50" s="113" t="s">
        <v>1580</v>
      </c>
      <c r="C50" s="116" t="s">
        <v>1522</v>
      </c>
      <c r="E50" s="116"/>
      <c r="F50" s="545" t="s">
        <v>1548</v>
      </c>
      <c r="G50" s="545" t="s">
        <v>1581</v>
      </c>
      <c r="H50" s="116"/>
      <c r="I50" s="116"/>
      <c r="J50" s="546">
        <f>+' Working Capital (AMA)'!F188</f>
        <v>3764796.5</v>
      </c>
      <c r="K50" s="116"/>
      <c r="L50" s="547"/>
      <c r="M50" s="116">
        <f>+' Working Capital (AMA)'!G188</f>
        <v>3740933.29</v>
      </c>
      <c r="N50" s="116"/>
      <c r="O50" s="547"/>
      <c r="P50" s="116">
        <f>+' Working Capital (AMA)'!H188</f>
        <v>3743995.78</v>
      </c>
      <c r="Q50" s="116"/>
      <c r="R50" s="547"/>
      <c r="S50" s="116">
        <f>+' Working Capital (AMA)'!I188</f>
        <v>3715551.45</v>
      </c>
      <c r="T50" s="116"/>
      <c r="U50" s="547"/>
      <c r="V50" s="116">
        <f>+' Working Capital (AMA)'!J188</f>
        <v>3713036.48</v>
      </c>
      <c r="W50" s="116"/>
      <c r="X50" s="547"/>
      <c r="Y50" s="116">
        <f>+' Working Capital (AMA)'!K188</f>
        <v>3666632.76</v>
      </c>
      <c r="Z50" s="116"/>
      <c r="AA50" s="547"/>
      <c r="AB50" s="116">
        <f>+' Working Capital (AMA)'!L188</f>
        <v>3584178.43</v>
      </c>
      <c r="AC50" s="116"/>
      <c r="AD50" s="547"/>
      <c r="AE50" s="116">
        <f>+' Working Capital (AMA)'!M188</f>
        <v>3536018.51</v>
      </c>
      <c r="AF50" s="116"/>
      <c r="AG50" s="547"/>
      <c r="AH50" s="116">
        <f>+' Working Capital (AMA)'!N188</f>
        <v>3496599.13</v>
      </c>
      <c r="AI50" s="116"/>
      <c r="AJ50" s="547"/>
      <c r="AK50" s="116">
        <f>+' Working Capital (AMA)'!O188</f>
        <v>5798605.25</v>
      </c>
      <c r="AL50" s="116"/>
      <c r="AM50" s="547"/>
      <c r="AN50" s="116">
        <f>+' Working Capital (AMA)'!P188</f>
        <v>5842695.25</v>
      </c>
      <c r="AO50" s="116"/>
      <c r="AP50" s="547"/>
      <c r="AQ50" s="116">
        <f>+' Working Capital (AMA)'!Q188</f>
        <v>5780985.6799999997</v>
      </c>
      <c r="AR50" s="116"/>
      <c r="AS50" s="547"/>
      <c r="AT50" s="116">
        <f>+' Working Capital (AMA)'!R188</f>
        <v>6428812.5300000003</v>
      </c>
      <c r="AU50" s="116"/>
      <c r="AV50" s="547"/>
      <c r="AW50" s="548">
        <f t="shared" si="5"/>
        <v>4309669.7104166662</v>
      </c>
      <c r="AX50" s="116"/>
      <c r="AY50" s="116"/>
    </row>
    <row r="51" spans="1:51">
      <c r="A51" s="1211">
        <v>37</v>
      </c>
      <c r="B51" s="113" t="s">
        <v>1582</v>
      </c>
      <c r="C51" s="116" t="s">
        <v>1522</v>
      </c>
      <c r="E51" s="116"/>
      <c r="F51" s="545" t="s">
        <v>1548</v>
      </c>
      <c r="G51" s="545" t="s">
        <v>1583</v>
      </c>
      <c r="H51" s="116"/>
      <c r="I51" s="116"/>
      <c r="J51" s="546">
        <f>+' Working Capital (AMA)'!F189</f>
        <v>1739299.2</v>
      </c>
      <c r="K51" s="116"/>
      <c r="L51" s="547"/>
      <c r="M51" s="116">
        <f>+' Working Capital (AMA)'!G189</f>
        <v>1717382.89</v>
      </c>
      <c r="N51" s="116"/>
      <c r="O51" s="547"/>
      <c r="P51" s="116">
        <f>+' Working Capital (AMA)'!H189</f>
        <v>1270050.26</v>
      </c>
      <c r="Q51" s="116"/>
      <c r="R51" s="547"/>
      <c r="S51" s="116">
        <f>+' Working Capital (AMA)'!I189</f>
        <v>1217440.58</v>
      </c>
      <c r="T51" s="116"/>
      <c r="U51" s="547"/>
      <c r="V51" s="116">
        <f>+' Working Capital (AMA)'!J189</f>
        <v>1197725.3</v>
      </c>
      <c r="W51" s="116"/>
      <c r="X51" s="547"/>
      <c r="Y51" s="116">
        <f>+' Working Capital (AMA)'!K189</f>
        <v>1178302.1599999999</v>
      </c>
      <c r="Z51" s="116"/>
      <c r="AA51" s="547"/>
      <c r="AB51" s="116">
        <f>+' Working Capital (AMA)'!L189</f>
        <v>1172011.58</v>
      </c>
      <c r="AC51" s="116"/>
      <c r="AD51" s="547"/>
      <c r="AE51" s="116">
        <f>+' Working Capital (AMA)'!M189</f>
        <v>1157847.96</v>
      </c>
      <c r="AF51" s="116"/>
      <c r="AG51" s="547"/>
      <c r="AH51" s="116">
        <f>+' Working Capital (AMA)'!N189</f>
        <v>1181461.05</v>
      </c>
      <c r="AI51" s="116"/>
      <c r="AJ51" s="547"/>
      <c r="AK51" s="116">
        <f>+' Working Capital (AMA)'!O189</f>
        <v>1341764.53</v>
      </c>
      <c r="AL51" s="116"/>
      <c r="AM51" s="547"/>
      <c r="AN51" s="116">
        <f>+' Working Capital (AMA)'!P189</f>
        <v>1399994.64</v>
      </c>
      <c r="AO51" s="116"/>
      <c r="AP51" s="547"/>
      <c r="AQ51" s="116">
        <f>+' Working Capital (AMA)'!Q189</f>
        <v>1379131.5</v>
      </c>
      <c r="AR51" s="116"/>
      <c r="AS51" s="547"/>
      <c r="AT51" s="116">
        <f>+' Working Capital (AMA)'!R189</f>
        <v>1552823.13</v>
      </c>
      <c r="AU51" s="116"/>
      <c r="AV51" s="547"/>
      <c r="AW51" s="548">
        <f t="shared" si="5"/>
        <v>1321597.8012500003</v>
      </c>
      <c r="AX51" s="116"/>
      <c r="AY51" s="116"/>
    </row>
    <row r="52" spans="1:51">
      <c r="A52" s="1211">
        <v>39</v>
      </c>
      <c r="B52" s="113" t="s">
        <v>1584</v>
      </c>
      <c r="C52" s="113" t="s">
        <v>1523</v>
      </c>
      <c r="F52" s="1208">
        <v>1900</v>
      </c>
      <c r="G52" s="1208">
        <v>96303</v>
      </c>
      <c r="H52" s="116"/>
      <c r="I52" s="116"/>
      <c r="J52" s="116">
        <f>+' Working Capital (AMA)'!F199</f>
        <v>621617.1</v>
      </c>
      <c r="K52" s="116"/>
      <c r="L52" s="547"/>
      <c r="M52" s="116">
        <f>+' Working Capital (AMA)'!G199</f>
        <v>621617.1</v>
      </c>
      <c r="N52" s="116"/>
      <c r="O52" s="547"/>
      <c r="P52" s="116">
        <f>+' Working Capital (AMA)'!H199</f>
        <v>621617.1</v>
      </c>
      <c r="Q52" s="116"/>
      <c r="R52" s="547"/>
      <c r="S52" s="116">
        <f>+' Working Capital (AMA)'!I199</f>
        <v>587270.96</v>
      </c>
      <c r="T52" s="116"/>
      <c r="U52" s="547"/>
      <c r="V52" s="116">
        <f>+' Working Capital (AMA)'!J199</f>
        <v>587270.96</v>
      </c>
      <c r="W52" s="116"/>
      <c r="X52" s="547"/>
      <c r="Y52" s="116">
        <f>+' Working Capital (AMA)'!K199</f>
        <v>587270.96</v>
      </c>
      <c r="Z52" s="116"/>
      <c r="AA52" s="547"/>
      <c r="AB52" s="116">
        <f>+' Working Capital (AMA)'!L199</f>
        <v>586071.85</v>
      </c>
      <c r="AC52" s="116"/>
      <c r="AD52" s="547"/>
      <c r="AE52" s="116">
        <f>+' Working Capital (AMA)'!M199</f>
        <v>586071.85</v>
      </c>
      <c r="AF52" s="116"/>
      <c r="AG52" s="547"/>
      <c r="AH52" s="116">
        <f>+' Working Capital (AMA)'!N199</f>
        <v>586071.85</v>
      </c>
      <c r="AI52" s="116"/>
      <c r="AJ52" s="547"/>
      <c r="AK52" s="116">
        <f>+' Working Capital (AMA)'!O199</f>
        <v>584014.9</v>
      </c>
      <c r="AL52" s="116"/>
      <c r="AM52" s="547"/>
      <c r="AN52" s="116">
        <f>+' Working Capital (AMA)'!P199</f>
        <v>584014.9</v>
      </c>
      <c r="AO52" s="116"/>
      <c r="AP52" s="547"/>
      <c r="AQ52" s="116">
        <f>+' Working Capital (AMA)'!Q199</f>
        <v>584014.9</v>
      </c>
      <c r="AR52" s="116"/>
      <c r="AS52" s="547"/>
      <c r="AT52" s="116">
        <f>+' Working Capital (AMA)'!R199</f>
        <v>584014.9</v>
      </c>
      <c r="AU52" s="116"/>
      <c r="AV52" s="547"/>
      <c r="AW52" s="548">
        <f t="shared" si="5"/>
        <v>593176.94416666671</v>
      </c>
      <c r="AX52" s="116"/>
      <c r="AY52" s="116"/>
    </row>
    <row r="53" spans="1:51">
      <c r="A53" s="1211">
        <v>40</v>
      </c>
      <c r="B53" s="113" t="s">
        <v>1585</v>
      </c>
      <c r="C53" s="116" t="s">
        <v>1523</v>
      </c>
      <c r="E53" s="116"/>
      <c r="F53" s="1208">
        <v>1900</v>
      </c>
      <c r="G53" s="1208">
        <v>96305</v>
      </c>
      <c r="H53" s="116"/>
      <c r="I53" s="116"/>
      <c r="J53" s="116">
        <f>+' Working Capital (AMA)'!F200</f>
        <v>221078.12</v>
      </c>
      <c r="K53" s="116"/>
      <c r="L53" s="547"/>
      <c r="M53" s="116">
        <f>+' Working Capital (AMA)'!G200</f>
        <v>218775.22</v>
      </c>
      <c r="N53" s="116"/>
      <c r="O53" s="547"/>
      <c r="P53" s="116">
        <f>+' Working Capital (AMA)'!H200</f>
        <v>216472.32000000001</v>
      </c>
      <c r="Q53" s="116"/>
      <c r="R53" s="547"/>
      <c r="S53" s="116">
        <f>+' Working Capital (AMA)'!I200</f>
        <v>214169.43</v>
      </c>
      <c r="T53" s="116"/>
      <c r="U53" s="547"/>
      <c r="V53" s="116">
        <f>+' Working Capital (AMA)'!J200</f>
        <v>211866.53</v>
      </c>
      <c r="W53" s="116"/>
      <c r="X53" s="547"/>
      <c r="Y53" s="116">
        <f>+' Working Capital (AMA)'!K200</f>
        <v>209563.63</v>
      </c>
      <c r="Z53" s="116"/>
      <c r="AA53" s="547"/>
      <c r="AB53" s="116">
        <f>+' Working Capital (AMA)'!L200</f>
        <v>207260.74</v>
      </c>
      <c r="AC53" s="116"/>
      <c r="AD53" s="547"/>
      <c r="AE53" s="116">
        <f>+' Working Capital (AMA)'!M200</f>
        <v>204957.84</v>
      </c>
      <c r="AF53" s="116"/>
      <c r="AG53" s="547"/>
      <c r="AH53" s="116">
        <f>+' Working Capital (AMA)'!N200</f>
        <v>202654.94</v>
      </c>
      <c r="AI53" s="116"/>
      <c r="AJ53" s="547"/>
      <c r="AK53" s="116">
        <f>+' Working Capital (AMA)'!O200</f>
        <v>200352.05</v>
      </c>
      <c r="AL53" s="116"/>
      <c r="AM53" s="547"/>
      <c r="AN53" s="116">
        <f>+' Working Capital (AMA)'!P200</f>
        <v>198049.15</v>
      </c>
      <c r="AO53" s="116"/>
      <c r="AP53" s="547"/>
      <c r="AQ53" s="116">
        <f>+' Working Capital (AMA)'!Q200</f>
        <v>195746.25</v>
      </c>
      <c r="AR53" s="116"/>
      <c r="AS53" s="547"/>
      <c r="AT53" s="116">
        <f>+' Working Capital (AMA)'!R200</f>
        <v>193443.36</v>
      </c>
      <c r="AU53" s="116"/>
      <c r="AV53" s="116"/>
      <c r="AW53" s="548">
        <f t="shared" si="5"/>
        <v>207260.73666666666</v>
      </c>
      <c r="AX53" s="116"/>
      <c r="AY53" s="116"/>
    </row>
    <row r="54" spans="1:51" ht="15.75" thickBot="1">
      <c r="A54" s="1211">
        <v>41</v>
      </c>
      <c r="C54" s="116"/>
      <c r="E54" s="116"/>
      <c r="F54" s="116"/>
      <c r="G54" s="116"/>
      <c r="H54" s="116"/>
      <c r="I54" s="116"/>
      <c r="J54" s="736">
        <f>SUM(J47:J53)</f>
        <v>7406497.75</v>
      </c>
      <c r="L54" s="547"/>
      <c r="M54" s="737">
        <f>SUM(M46:M53)</f>
        <v>7363624.959999999</v>
      </c>
      <c r="O54" s="116"/>
      <c r="P54" s="736">
        <f>SUM(P46:P53)</f>
        <v>6922261.5299999993</v>
      </c>
      <c r="Q54" s="116"/>
      <c r="R54" s="116"/>
      <c r="S54" s="736">
        <f>SUM(S46:S53)</f>
        <v>6809768.1600000001</v>
      </c>
      <c r="T54" s="116"/>
      <c r="U54" s="116"/>
      <c r="V54" s="736">
        <f>SUM(V46:V53)</f>
        <v>6790444.6499999994</v>
      </c>
      <c r="W54" s="116"/>
      <c r="X54" s="116"/>
      <c r="Y54" s="736">
        <f>SUM(Y46:Y53)</f>
        <v>6727524.5299999993</v>
      </c>
      <c r="Z54" s="116"/>
      <c r="AA54" s="116"/>
      <c r="AB54" s="736">
        <f>SUM(AB47:AB53)</f>
        <v>6642105.3100000005</v>
      </c>
      <c r="AC54" s="116"/>
      <c r="AD54" s="116"/>
      <c r="AE54" s="736">
        <f>SUM(AE47:AE53)</f>
        <v>6582958.1999999993</v>
      </c>
      <c r="AF54" s="116"/>
      <c r="AG54" s="116"/>
      <c r="AH54" s="736">
        <f>SUM(AH46:AH53)</f>
        <v>6570328.3700000001</v>
      </c>
      <c r="AI54" s="116"/>
      <c r="AJ54" s="116"/>
      <c r="AK54" s="736">
        <f>SUM(AK46:AK53)</f>
        <v>9033757.4199999999</v>
      </c>
      <c r="AL54" s="116"/>
      <c r="AM54" s="116"/>
      <c r="AN54" s="736">
        <f>SUM(AN46:AN53)</f>
        <v>9139253.9499999993</v>
      </c>
      <c r="AO54" s="116"/>
      <c r="AP54" s="116"/>
      <c r="AQ54" s="736">
        <f>SUM(AQ46:AQ53)</f>
        <v>9059857.6600000001</v>
      </c>
      <c r="AR54" s="116"/>
      <c r="AS54" s="116"/>
      <c r="AT54" s="736">
        <f>SUM(AT46:AT53)</f>
        <v>9426487.6600000001</v>
      </c>
      <c r="AU54" s="116"/>
      <c r="AV54" s="116"/>
      <c r="AW54" s="743">
        <f>+(AT54+J54+(M54+P54+S54+V54+Y54+AB54+AE54+AH54+AK54+AN54+AQ54)*2)/24</f>
        <v>7504864.7870833324</v>
      </c>
      <c r="AX54" s="116"/>
      <c r="AY54" s="116"/>
    </row>
    <row r="55" spans="1:51" ht="15.75" thickTop="1">
      <c r="A55" s="1211">
        <v>42</v>
      </c>
      <c r="K55" s="116"/>
      <c r="L55" s="547"/>
      <c r="M55" s="116"/>
      <c r="N55" s="116"/>
      <c r="O55" s="547"/>
      <c r="P55" s="116"/>
      <c r="Q55" s="116"/>
      <c r="R55" s="547"/>
      <c r="S55" s="116"/>
      <c r="T55" s="116"/>
      <c r="U55" s="547"/>
      <c r="V55" s="116"/>
      <c r="W55" s="116"/>
      <c r="X55" s="547"/>
      <c r="Y55" s="116"/>
      <c r="Z55" s="116"/>
      <c r="AA55" s="547"/>
      <c r="AB55" s="116"/>
      <c r="AC55" s="116"/>
      <c r="AD55" s="547"/>
      <c r="AE55" s="116"/>
      <c r="AF55" s="116"/>
      <c r="AG55" s="547"/>
      <c r="AH55" s="116"/>
      <c r="AI55" s="116"/>
      <c r="AJ55" s="547"/>
      <c r="AK55" s="116"/>
      <c r="AL55" s="116"/>
      <c r="AM55" s="547"/>
      <c r="AN55" s="116"/>
      <c r="AO55" s="116"/>
      <c r="AP55" s="547"/>
      <c r="AQ55" s="116"/>
      <c r="AR55" s="116"/>
      <c r="AS55" s="547"/>
      <c r="AT55" s="116"/>
      <c r="AU55" s="116"/>
      <c r="AV55" s="547"/>
      <c r="AW55" s="548"/>
      <c r="AX55" s="116"/>
      <c r="AY55" s="116"/>
    </row>
    <row r="56" spans="1:51">
      <c r="A56" s="1211">
        <v>43</v>
      </c>
      <c r="K56" s="116"/>
      <c r="L56" s="547"/>
      <c r="M56" s="116"/>
      <c r="N56" s="116"/>
      <c r="O56" s="547"/>
      <c r="P56" s="116"/>
      <c r="Q56" s="116"/>
      <c r="R56" s="547"/>
      <c r="S56" s="116"/>
      <c r="T56" s="116"/>
      <c r="U56" s="547"/>
      <c r="V56" s="116"/>
      <c r="W56" s="116"/>
      <c r="X56" s="547"/>
      <c r="Y56" s="116"/>
      <c r="Z56" s="116"/>
      <c r="AA56" s="547"/>
      <c r="AB56" s="116"/>
      <c r="AC56" s="116"/>
      <c r="AD56" s="547"/>
      <c r="AE56" s="116"/>
      <c r="AF56" s="116"/>
      <c r="AG56" s="547"/>
      <c r="AH56" s="116"/>
      <c r="AI56" s="116"/>
      <c r="AJ56" s="547"/>
      <c r="AK56" s="116"/>
      <c r="AL56" s="116"/>
      <c r="AM56" s="547"/>
      <c r="AN56" s="116"/>
      <c r="AO56" s="116"/>
      <c r="AP56" s="547"/>
      <c r="AQ56" s="116"/>
      <c r="AR56" s="116"/>
      <c r="AS56" s="547"/>
      <c r="AT56" s="116"/>
      <c r="AU56" s="116"/>
      <c r="AV56" s="547"/>
      <c r="AW56" s="548"/>
      <c r="AX56" s="116"/>
      <c r="AY56" s="116"/>
    </row>
    <row r="57" spans="1:51">
      <c r="A57" s="1211">
        <v>44</v>
      </c>
      <c r="B57" s="113" t="s">
        <v>1575</v>
      </c>
      <c r="C57" s="116" t="s">
        <v>1522</v>
      </c>
      <c r="E57" s="116"/>
      <c r="F57" s="116" t="s">
        <v>1541</v>
      </c>
      <c r="G57" s="120">
        <v>961</v>
      </c>
      <c r="H57" s="116"/>
      <c r="I57" s="116"/>
      <c r="J57" s="546">
        <f>+' Working Capital (AMA)'!F628</f>
        <v>9711531.8900000006</v>
      </c>
      <c r="K57" s="116"/>
      <c r="L57" s="547"/>
      <c r="M57" s="116">
        <f>+' Working Capital (AMA)'!G628</f>
        <v>9665491.2200000007</v>
      </c>
      <c r="N57" s="116"/>
      <c r="O57" s="547"/>
      <c r="P57" s="116">
        <f>+' Working Capital (AMA)'!H628</f>
        <v>9619510.9900000002</v>
      </c>
      <c r="Q57" s="116"/>
      <c r="R57" s="547"/>
      <c r="S57" s="116">
        <f>+' Working Capital (AMA)'!I628</f>
        <v>9573588.7300000004</v>
      </c>
      <c r="T57" s="116"/>
      <c r="U57" s="547"/>
      <c r="V57" s="116">
        <f>+' Working Capital (AMA)'!J628</f>
        <v>9528195.4900000002</v>
      </c>
      <c r="W57" s="116"/>
      <c r="X57" s="547"/>
      <c r="Y57" s="116">
        <f>+' Working Capital (AMA)'!K628</f>
        <v>9482802.2100000009</v>
      </c>
      <c r="Z57" s="116"/>
      <c r="AA57" s="547"/>
      <c r="AB57" s="116">
        <f>+' Working Capital (AMA)'!L628</f>
        <v>9437408.9700000007</v>
      </c>
      <c r="AC57" s="116"/>
      <c r="AD57" s="547"/>
      <c r="AE57" s="116">
        <f>+' Working Capital (AMA)'!M628</f>
        <v>9392015.7200000007</v>
      </c>
      <c r="AF57" s="116"/>
      <c r="AG57" s="547"/>
      <c r="AH57" s="116">
        <f>+' Working Capital (AMA)'!N628</f>
        <v>9346629.6400000006</v>
      </c>
      <c r="AI57" s="116"/>
      <c r="AJ57" s="547"/>
      <c r="AK57" s="116">
        <f>+' Working Capital (AMA)'!O628</f>
        <v>9301240.0999999996</v>
      </c>
      <c r="AL57" s="116"/>
      <c r="AM57" s="547"/>
      <c r="AN57" s="116">
        <f>+' Working Capital (AMA)'!P628</f>
        <v>9255846.8499999996</v>
      </c>
      <c r="AO57" s="116"/>
      <c r="AP57" s="547"/>
      <c r="AQ57" s="116">
        <f>+' Working Capital (AMA)'!Q628</f>
        <v>9221845.7100000009</v>
      </c>
      <c r="AR57" s="116"/>
      <c r="AS57" s="547"/>
      <c r="AT57" s="116">
        <f>+' Working Capital (AMA)'!Q628</f>
        <v>9221845.7100000009</v>
      </c>
      <c r="AU57" s="116"/>
      <c r="AV57" s="547"/>
      <c r="AW57" s="548">
        <f t="shared" ref="AW57:AW68" si="6">+(AT57+J57+(M57+P57+S57+V57+Y57+AB57+AE57+AH57+AK57+AN57+AQ57)*2)/24</f>
        <v>9440938.7024999987</v>
      </c>
      <c r="AX57" s="116"/>
      <c r="AY57" s="116"/>
    </row>
    <row r="58" spans="1:51">
      <c r="A58" s="1211">
        <v>46</v>
      </c>
      <c r="B58" s="113" t="s">
        <v>1577</v>
      </c>
      <c r="C58" s="116" t="s">
        <v>1522</v>
      </c>
      <c r="E58" s="116"/>
      <c r="F58" s="116" t="s">
        <v>1541</v>
      </c>
      <c r="G58" s="120">
        <v>962</v>
      </c>
      <c r="H58" s="116"/>
      <c r="I58" s="116"/>
      <c r="J58" s="546">
        <f>+' Working Capital (AMA)'!F629</f>
        <v>37290719.920000002</v>
      </c>
      <c r="K58" s="116"/>
      <c r="L58" s="547"/>
      <c r="M58" s="116">
        <f>+' Working Capital (AMA)'!G629</f>
        <v>37112246.850000001</v>
      </c>
      <c r="N58" s="116"/>
      <c r="O58" s="547"/>
      <c r="P58" s="116">
        <f>+' Working Capital (AMA)'!H629</f>
        <v>36933982.770000003</v>
      </c>
      <c r="Q58" s="116"/>
      <c r="R58" s="547"/>
      <c r="S58" s="116">
        <f>+' Working Capital (AMA)'!I629</f>
        <v>36755919.159999996</v>
      </c>
      <c r="T58" s="116"/>
      <c r="U58" s="547"/>
      <c r="V58" s="116">
        <f>+' Working Capital (AMA)'!J629</f>
        <v>36579685.450000003</v>
      </c>
      <c r="W58" s="116"/>
      <c r="X58" s="547"/>
      <c r="Y58" s="116">
        <f>+' Working Capital (AMA)'!K629</f>
        <v>36403451.799999997</v>
      </c>
      <c r="Z58" s="116"/>
      <c r="AA58" s="547"/>
      <c r="AB58" s="116">
        <f>+' Working Capital (AMA)'!L629</f>
        <v>36227218.079999998</v>
      </c>
      <c r="AC58" s="116"/>
      <c r="AD58" s="547"/>
      <c r="AE58" s="116">
        <f>+' Working Capital (AMA)'!M629</f>
        <v>36050984.409999996</v>
      </c>
      <c r="AF58" s="116"/>
      <c r="AG58" s="547"/>
      <c r="AH58" s="116">
        <f>+' Working Capital (AMA)'!N629</f>
        <v>35874775.659999996</v>
      </c>
      <c r="AI58" s="116"/>
      <c r="AJ58" s="547"/>
      <c r="AK58" s="116">
        <f>+' Working Capital (AMA)'!O629</f>
        <v>35698554.799999997</v>
      </c>
      <c r="AL58" s="116"/>
      <c r="AM58" s="547"/>
      <c r="AN58" s="116">
        <f>+' Working Capital (AMA)'!P629</f>
        <v>35522321.119999997</v>
      </c>
      <c r="AO58" s="116"/>
      <c r="AP58" s="547"/>
      <c r="AQ58" s="116">
        <f>+' Working Capital (AMA)'!Q629</f>
        <v>35390977.25</v>
      </c>
      <c r="AR58" s="116"/>
      <c r="AS58" s="547"/>
      <c r="AT58" s="116">
        <f>+' Working Capital (AMA)'!Q629</f>
        <v>35390977.25</v>
      </c>
      <c r="AU58" s="116"/>
      <c r="AV58" s="547"/>
      <c r="AW58" s="548">
        <f t="shared" si="6"/>
        <v>36240913.827916667</v>
      </c>
      <c r="AX58" s="116"/>
      <c r="AY58" s="116"/>
    </row>
    <row r="59" spans="1:51">
      <c r="A59" s="1211">
        <v>47</v>
      </c>
      <c r="B59" s="113" t="s">
        <v>1580</v>
      </c>
      <c r="C59" s="116" t="s">
        <v>1522</v>
      </c>
      <c r="E59" s="116"/>
      <c r="F59" s="116" t="s">
        <v>1541</v>
      </c>
      <c r="G59" s="120">
        <v>965</v>
      </c>
      <c r="H59" s="116"/>
      <c r="I59" s="116"/>
      <c r="J59" s="546">
        <f>+' Working Capital (AMA)'!F631</f>
        <v>496455.14</v>
      </c>
      <c r="K59" s="116"/>
      <c r="L59" s="547"/>
      <c r="M59" s="116">
        <f>+' Working Capital (AMA)'!G631</f>
        <v>552476.07999999996</v>
      </c>
      <c r="N59" s="116"/>
      <c r="O59" s="547"/>
      <c r="P59" s="116">
        <f>+' Working Capital (AMA)'!H631</f>
        <v>454123.14</v>
      </c>
      <c r="Q59" s="116"/>
      <c r="R59" s="547"/>
      <c r="S59" s="116">
        <f>+' Working Capital (AMA)'!I631</f>
        <v>389023.08</v>
      </c>
      <c r="T59" s="116"/>
      <c r="U59" s="547"/>
      <c r="V59" s="116">
        <f>+' Working Capital (AMA)'!J631</f>
        <v>356019.25</v>
      </c>
      <c r="W59" s="116"/>
      <c r="X59" s="547"/>
      <c r="Y59" s="116">
        <f>+' Working Capital (AMA)'!K631</f>
        <v>328315.86</v>
      </c>
      <c r="Z59" s="116"/>
      <c r="AA59" s="547"/>
      <c r="AB59" s="116">
        <f>+' Working Capital (AMA)'!L631</f>
        <v>409314.9</v>
      </c>
      <c r="AC59" s="116"/>
      <c r="AD59" s="547"/>
      <c r="AE59" s="116">
        <f>+' Working Capital (AMA)'!M631</f>
        <v>-659729.17000000004</v>
      </c>
      <c r="AF59" s="116"/>
      <c r="AG59" s="547"/>
      <c r="AH59" s="116">
        <f>+' Working Capital (AMA)'!N631</f>
        <v>-699982.77</v>
      </c>
      <c r="AI59" s="116"/>
      <c r="AJ59" s="547"/>
      <c r="AK59" s="116">
        <f>+' Working Capital (AMA)'!O631</f>
        <v>-489972.92</v>
      </c>
      <c r="AL59" s="116"/>
      <c r="AM59" s="547"/>
      <c r="AN59" s="116">
        <f>+' Working Capital (AMA)'!P631</f>
        <v>-511830.54</v>
      </c>
      <c r="AO59" s="116"/>
      <c r="AP59" s="547"/>
      <c r="AQ59" s="116">
        <f>+' Working Capital (AMA)'!Q631</f>
        <v>-425615.17</v>
      </c>
      <c r="AR59" s="116"/>
      <c r="AS59" s="547"/>
      <c r="AT59" s="116">
        <f>+' Working Capital (AMA)'!Q631</f>
        <v>-425615.17</v>
      </c>
      <c r="AU59" s="116"/>
      <c r="AV59" s="547"/>
      <c r="AW59" s="548">
        <f t="shared" si="6"/>
        <v>-21869.856249999983</v>
      </c>
      <c r="AX59" s="116"/>
      <c r="AY59" s="116"/>
    </row>
    <row r="60" spans="1:51">
      <c r="A60" s="1211">
        <v>48</v>
      </c>
      <c r="B60" s="113" t="s">
        <v>1586</v>
      </c>
      <c r="C60" s="113" t="s">
        <v>1523</v>
      </c>
      <c r="F60" s="116" t="s">
        <v>1541</v>
      </c>
      <c r="G60" s="1208">
        <v>96301</v>
      </c>
      <c r="H60" s="116"/>
      <c r="I60" s="116"/>
      <c r="J60" s="546">
        <f>+' Working Capital (AMA)'!F649</f>
        <v>-78406148.049999997</v>
      </c>
      <c r="K60" s="116"/>
      <c r="L60" s="547"/>
      <c r="M60" s="116">
        <f>+' Working Capital (AMA)'!G649</f>
        <v>-78109932.480000004</v>
      </c>
      <c r="N60" s="116"/>
      <c r="O60" s="547"/>
      <c r="P60" s="116">
        <f>+' Working Capital (AMA)'!H649</f>
        <v>-78056554.379999995</v>
      </c>
      <c r="Q60" s="116"/>
      <c r="R60" s="547"/>
      <c r="S60" s="116">
        <f>+' Working Capital (AMA)'!I649</f>
        <v>-78003176.269999996</v>
      </c>
      <c r="T60" s="116"/>
      <c r="U60" s="547"/>
      <c r="V60" s="116">
        <f>+' Working Capital (AMA)'!J649</f>
        <v>-77949798.170000002</v>
      </c>
      <c r="W60" s="116"/>
      <c r="X60" s="547"/>
      <c r="Y60" s="116">
        <f>+' Working Capital (AMA)'!K649</f>
        <v>-77896420.069999993</v>
      </c>
      <c r="Z60" s="116"/>
      <c r="AA60" s="547"/>
      <c r="AB60" s="116">
        <f>+' Working Capital (AMA)'!L649</f>
        <v>-77843041.969999999</v>
      </c>
      <c r="AC60" s="116"/>
      <c r="AD60" s="547"/>
      <c r="AE60" s="116">
        <f>+' Working Capital (AMA)'!M649</f>
        <v>-77789663.870000005</v>
      </c>
      <c r="AF60" s="116"/>
      <c r="AG60" s="547"/>
      <c r="AH60" s="116">
        <f>+' Working Capital (AMA)'!N649</f>
        <v>-77736285.769999996</v>
      </c>
      <c r="AI60" s="116"/>
      <c r="AJ60" s="547"/>
      <c r="AK60" s="116">
        <f>+' Working Capital (AMA)'!O649</f>
        <v>-77682907.659999996</v>
      </c>
      <c r="AL60" s="116"/>
      <c r="AM60" s="547"/>
      <c r="AN60" s="116">
        <f>+' Working Capital (AMA)'!P649</f>
        <v>-77629529.560000002</v>
      </c>
      <c r="AO60" s="116"/>
      <c r="AP60" s="547"/>
      <c r="AQ60" s="116">
        <f>+' Working Capital (AMA)'!Q649</f>
        <v>-77449100.540000096</v>
      </c>
      <c r="AR60" s="116"/>
      <c r="AS60" s="547"/>
      <c r="AT60" s="116">
        <f>+' Working Capital (AMA)'!Q649</f>
        <v>-77449100.540000096</v>
      </c>
      <c r="AU60" s="116"/>
      <c r="AV60" s="547"/>
      <c r="AW60" s="548">
        <f t="shared" si="6"/>
        <v>-77839502.91958335</v>
      </c>
      <c r="AX60" s="116"/>
      <c r="AY60" s="116"/>
    </row>
    <row r="61" spans="1:51" ht="15.75" thickBot="1">
      <c r="A61" s="1211">
        <v>49</v>
      </c>
      <c r="C61" s="116"/>
      <c r="E61" s="116"/>
      <c r="F61" s="116"/>
      <c r="G61" s="116"/>
      <c r="H61" s="116"/>
      <c r="I61" s="116"/>
      <c r="J61" s="737">
        <f>SUM(J57:J60)</f>
        <v>-30907441.099999994</v>
      </c>
      <c r="K61" s="116"/>
      <c r="L61" s="547"/>
      <c r="M61" s="737">
        <f>SUM(M57:M60)</f>
        <v>-30779718.330000006</v>
      </c>
      <c r="N61" s="116"/>
      <c r="O61" s="547"/>
      <c r="P61" s="737">
        <f>SUM(P57:P60)</f>
        <v>-31048937.479999989</v>
      </c>
      <c r="Q61" s="116"/>
      <c r="R61" s="547"/>
      <c r="S61" s="737">
        <f>SUM(S57:S60)</f>
        <v>-31284645.299999997</v>
      </c>
      <c r="T61" s="116"/>
      <c r="U61" s="547"/>
      <c r="V61" s="737">
        <f>SUM(V57:V60)</f>
        <v>-31485897.979999997</v>
      </c>
      <c r="W61" s="116"/>
      <c r="X61" s="547"/>
      <c r="Y61" s="737">
        <f>SUM(Y57:Y60)</f>
        <v>-31681850.199999996</v>
      </c>
      <c r="Z61" s="116"/>
      <c r="AA61" s="547"/>
      <c r="AB61" s="737">
        <f>SUM(AB57:AB60)</f>
        <v>-31769100.020000003</v>
      </c>
      <c r="AC61" s="116"/>
      <c r="AD61" s="547"/>
      <c r="AE61" s="737">
        <f>SUM(AE56:AE60)</f>
        <v>-33006392.910000011</v>
      </c>
      <c r="AF61" s="116"/>
      <c r="AG61" s="547"/>
      <c r="AH61" s="737">
        <f>SUM(AH57:AH60)</f>
        <v>-33214863.240000002</v>
      </c>
      <c r="AI61" s="116"/>
      <c r="AJ61" s="547"/>
      <c r="AK61" s="737">
        <f>SUM(AK57:AK60)</f>
        <v>-33173085.68</v>
      </c>
      <c r="AL61" s="116"/>
      <c r="AM61" s="547"/>
      <c r="AN61" s="737">
        <f>SUM(AN57:AN60)</f>
        <v>-33363192.130000003</v>
      </c>
      <c r="AO61" s="116"/>
      <c r="AP61" s="547"/>
      <c r="AQ61" s="737">
        <f>SUM(AQ57:AQ60)</f>
        <v>-33261892.750000097</v>
      </c>
      <c r="AR61" s="116"/>
      <c r="AS61" s="547"/>
      <c r="AT61" s="737">
        <f>SUM(AT57:AT60)</f>
        <v>-33261892.750000097</v>
      </c>
      <c r="AU61" s="116"/>
      <c r="AV61" s="547"/>
      <c r="AW61" s="744">
        <f t="shared" si="6"/>
        <v>-32179520.245416682</v>
      </c>
      <c r="AX61" s="116"/>
      <c r="AY61" s="116"/>
    </row>
    <row r="62" spans="1:51" ht="15.75" thickTop="1">
      <c r="A62" s="1211">
        <v>51</v>
      </c>
      <c r="C62" s="116"/>
      <c r="E62" s="116"/>
      <c r="F62" s="116"/>
      <c r="G62" s="116"/>
      <c r="H62" s="116"/>
      <c r="I62" s="116"/>
      <c r="J62" s="546"/>
      <c r="K62" s="116"/>
      <c r="L62" s="547"/>
      <c r="M62" s="116"/>
      <c r="N62" s="116"/>
      <c r="O62" s="547"/>
      <c r="P62" s="116"/>
      <c r="Q62" s="116"/>
      <c r="R62" s="547"/>
      <c r="S62" s="116"/>
      <c r="T62" s="116"/>
      <c r="U62" s="547"/>
      <c r="V62" s="116"/>
      <c r="W62" s="116"/>
      <c r="X62" s="547"/>
      <c r="Y62" s="116"/>
      <c r="Z62" s="116"/>
      <c r="AA62" s="547"/>
      <c r="AB62" s="116"/>
      <c r="AC62" s="116"/>
      <c r="AD62" s="547"/>
      <c r="AE62" s="116"/>
      <c r="AF62" s="116"/>
      <c r="AG62" s="547"/>
      <c r="AH62" s="116"/>
      <c r="AI62" s="116"/>
      <c r="AJ62" s="547"/>
      <c r="AK62" s="116"/>
      <c r="AL62" s="116"/>
      <c r="AM62" s="547"/>
      <c r="AN62" s="116"/>
      <c r="AO62" s="116"/>
      <c r="AP62" s="547"/>
      <c r="AQ62" s="116"/>
      <c r="AR62" s="116"/>
      <c r="AS62" s="547"/>
      <c r="AT62" s="116"/>
      <c r="AU62" s="116"/>
      <c r="AV62" s="547"/>
      <c r="AW62" s="548"/>
      <c r="AX62" s="116"/>
      <c r="AY62" s="116"/>
    </row>
    <row r="63" spans="1:51">
      <c r="A63" s="1211">
        <v>52</v>
      </c>
      <c r="B63" s="113" t="s">
        <v>1575</v>
      </c>
      <c r="C63" s="116" t="s">
        <v>1522</v>
      </c>
      <c r="E63" s="116"/>
      <c r="F63" s="116" t="s">
        <v>1545</v>
      </c>
      <c r="G63" s="116" t="s">
        <v>1576</v>
      </c>
      <c r="H63" s="116"/>
      <c r="I63" s="116"/>
      <c r="J63" s="546">
        <f>+' Working Capital (AMA)'!F632</f>
        <v>1662982.3</v>
      </c>
      <c r="K63" s="116"/>
      <c r="L63" s="547"/>
      <c r="M63" s="546">
        <f>+' Working Capital (AMA)'!G632</f>
        <v>1642066.59</v>
      </c>
      <c r="N63" s="116"/>
      <c r="O63" s="547"/>
      <c r="P63" s="546">
        <f>+' Working Capital (AMA)'!H632</f>
        <v>1621150.94</v>
      </c>
      <c r="Q63" s="116"/>
      <c r="R63" s="547"/>
      <c r="S63" s="546">
        <f>+' Working Capital (AMA)'!I632</f>
        <v>1600235.27</v>
      </c>
      <c r="T63" s="116"/>
      <c r="U63" s="547"/>
      <c r="V63" s="546">
        <f>+' Working Capital (AMA)'!J632</f>
        <v>1579319.63</v>
      </c>
      <c r="W63" s="116"/>
      <c r="X63" s="547"/>
      <c r="Y63" s="546">
        <f>+' Working Capital (AMA)'!K632</f>
        <v>1558403.95</v>
      </c>
      <c r="Z63" s="116"/>
      <c r="AA63" s="116"/>
      <c r="AB63" s="116">
        <f>+' Working Capital (AMA)'!L632</f>
        <v>1537488.28</v>
      </c>
      <c r="AC63" s="116"/>
      <c r="AD63" s="547"/>
      <c r="AE63" s="546">
        <f>+' Working Capital (AMA)'!M632</f>
        <v>1516572.62</v>
      </c>
      <c r="AF63" s="116"/>
      <c r="AG63" s="547"/>
      <c r="AH63" s="546">
        <f>+' Working Capital (AMA)'!N632</f>
        <v>1495656.96</v>
      </c>
      <c r="AI63" s="116"/>
      <c r="AJ63" s="547"/>
      <c r="AK63" s="546">
        <f>+' Working Capital (AMA)'!O632</f>
        <v>1474741.27</v>
      </c>
      <c r="AL63" s="116"/>
      <c r="AM63" s="116"/>
      <c r="AN63" s="116">
        <f>+' Working Capital (AMA)'!P632</f>
        <v>1453825.62</v>
      </c>
      <c r="AO63" s="116"/>
      <c r="AP63" s="116"/>
      <c r="AQ63" s="116">
        <f>+' Working Capital (AMA)'!Q632</f>
        <v>1432909.92</v>
      </c>
      <c r="AR63" s="116"/>
      <c r="AS63" s="116"/>
      <c r="AT63" s="116">
        <f>+' Working Capital (AMA)'!R632</f>
        <v>1411994.28</v>
      </c>
      <c r="AU63" s="116"/>
      <c r="AV63" s="547"/>
      <c r="AW63" s="548">
        <f t="shared" si="6"/>
        <v>1537488.2783333336</v>
      </c>
      <c r="AX63" s="116"/>
      <c r="AY63" s="116"/>
    </row>
    <row r="64" spans="1:51">
      <c r="A64" s="1211">
        <v>53</v>
      </c>
      <c r="B64" s="113" t="s">
        <v>1577</v>
      </c>
      <c r="C64" s="116" t="s">
        <v>1522</v>
      </c>
      <c r="E64" s="116"/>
      <c r="F64" s="116" t="s">
        <v>1545</v>
      </c>
      <c r="G64" s="116" t="s">
        <v>1578</v>
      </c>
      <c r="H64" s="116"/>
      <c r="I64" s="116"/>
      <c r="J64" s="546">
        <f>+' Working Capital (AMA)'!F633</f>
        <v>6326861.0300000003</v>
      </c>
      <c r="K64" s="116"/>
      <c r="L64" s="116"/>
      <c r="M64" s="546">
        <f>+' Working Capital (AMA)'!G633</f>
        <v>6246209.3399999999</v>
      </c>
      <c r="N64" s="116"/>
      <c r="O64" s="116"/>
      <c r="P64" s="546">
        <f>+' Working Capital (AMA)'!H633</f>
        <v>6165557.71</v>
      </c>
      <c r="Q64" s="116"/>
      <c r="R64" s="116"/>
      <c r="S64" s="546">
        <f>+' Working Capital (AMA)'!I633</f>
        <v>6084906.0599999996</v>
      </c>
      <c r="T64" s="116"/>
      <c r="U64" s="116"/>
      <c r="V64" s="546">
        <f>+' Working Capital (AMA)'!J633</f>
        <v>6004254.4800000004</v>
      </c>
      <c r="W64" s="116"/>
      <c r="X64" s="116"/>
      <c r="Y64" s="546">
        <f>+' Working Capital (AMA)'!K633</f>
        <v>5923602.7800000003</v>
      </c>
      <c r="Z64" s="116"/>
      <c r="AA64" s="116"/>
      <c r="AB64" s="116">
        <f>+' Working Capital (AMA)'!L633</f>
        <v>5842951.1799999997</v>
      </c>
      <c r="AC64" s="116"/>
      <c r="AD64" s="116"/>
      <c r="AE64" s="546">
        <f>+' Working Capital (AMA)'!M633</f>
        <v>5762299.5499999998</v>
      </c>
      <c r="AF64" s="116"/>
      <c r="AG64" s="116"/>
      <c r="AH64" s="546">
        <f>+' Working Capital (AMA)'!N633</f>
        <v>5681647.8799999999</v>
      </c>
      <c r="AI64" s="116"/>
      <c r="AJ64" s="116"/>
      <c r="AK64" s="546">
        <f>+' Working Capital (AMA)'!O633</f>
        <v>5600996.29</v>
      </c>
      <c r="AL64" s="116"/>
      <c r="AM64" s="116"/>
      <c r="AN64" s="116">
        <f>+' Working Capital (AMA)'!P633</f>
        <v>5520344.6100000003</v>
      </c>
      <c r="AO64" s="116"/>
      <c r="AP64" s="116"/>
      <c r="AQ64" s="116">
        <f>+' Working Capital (AMA)'!Q633</f>
        <v>5439692.9400000004</v>
      </c>
      <c r="AR64" s="116"/>
      <c r="AS64" s="116"/>
      <c r="AT64" s="116">
        <f>+' Working Capital (AMA)'!R633</f>
        <v>5359041.3499999996</v>
      </c>
      <c r="AU64" s="116"/>
      <c r="AV64" s="116"/>
      <c r="AW64" s="548">
        <f t="shared" si="6"/>
        <v>5842951.1674999995</v>
      </c>
      <c r="AX64" s="116"/>
      <c r="AY64" s="116"/>
    </row>
    <row r="65" spans="1:51">
      <c r="A65" s="1211">
        <v>54</v>
      </c>
      <c r="B65" s="113" t="s">
        <v>1587</v>
      </c>
      <c r="C65" s="116" t="s">
        <v>1522</v>
      </c>
      <c r="E65" s="116"/>
      <c r="F65" s="116" t="s">
        <v>1545</v>
      </c>
      <c r="G65" s="120">
        <v>964</v>
      </c>
      <c r="H65" s="116"/>
      <c r="I65" s="116"/>
      <c r="J65" s="546">
        <f>+' Working Capital (AMA)'!F635</f>
        <v>-666160.88</v>
      </c>
      <c r="K65" s="116"/>
      <c r="L65" s="547"/>
      <c r="M65" s="546">
        <f>+' Working Capital (AMA)'!G635</f>
        <v>-666160.87</v>
      </c>
      <c r="N65" s="116"/>
      <c r="O65" s="547"/>
      <c r="P65" s="546">
        <f>+' Working Capital (AMA)'!H635</f>
        <v>-666160.87</v>
      </c>
      <c r="Q65" s="116"/>
      <c r="R65" s="547"/>
      <c r="S65" s="546">
        <f>+' Working Capital (AMA)'!I635</f>
        <v>-666160.87</v>
      </c>
      <c r="T65" s="116"/>
      <c r="U65" s="547"/>
      <c r="V65" s="546">
        <f>+' Working Capital (AMA)'!J635</f>
        <v>-666160.87</v>
      </c>
      <c r="W65" s="116"/>
      <c r="X65" s="547"/>
      <c r="Y65" s="546">
        <f>+' Working Capital (AMA)'!K635</f>
        <v>-666160.87</v>
      </c>
      <c r="Z65" s="116"/>
      <c r="AA65" s="547"/>
      <c r="AB65" s="116">
        <f>+' Working Capital (AMA)'!L635</f>
        <v>-666160.87</v>
      </c>
      <c r="AC65" s="116"/>
      <c r="AD65" s="547"/>
      <c r="AE65" s="546">
        <f>+' Working Capital (AMA)'!M635</f>
        <v>-666160.87</v>
      </c>
      <c r="AF65" s="116"/>
      <c r="AG65" s="547"/>
      <c r="AH65" s="546">
        <f>+' Working Capital (AMA)'!N635</f>
        <v>-666160.87</v>
      </c>
      <c r="AI65" s="116"/>
      <c r="AJ65" s="547"/>
      <c r="AK65" s="546">
        <f>+' Working Capital (AMA)'!O635</f>
        <v>-666160.87</v>
      </c>
      <c r="AL65" s="116"/>
      <c r="AM65" s="547"/>
      <c r="AN65" s="116">
        <f>+' Working Capital (AMA)'!P635</f>
        <v>-666160.87</v>
      </c>
      <c r="AO65" s="116"/>
      <c r="AP65" s="547"/>
      <c r="AQ65" s="116">
        <f>+' Working Capital (AMA)'!Q635</f>
        <v>-666160.87</v>
      </c>
      <c r="AR65" s="116"/>
      <c r="AS65" s="547"/>
      <c r="AT65" s="116">
        <f>+' Working Capital (AMA)'!R635</f>
        <v>485768.55</v>
      </c>
      <c r="AU65" s="116"/>
      <c r="AV65" s="547"/>
      <c r="AW65" s="548">
        <f t="shared" si="6"/>
        <v>-618163.81125000003</v>
      </c>
      <c r="AX65" s="116"/>
      <c r="AY65" s="116"/>
    </row>
    <row r="66" spans="1:51">
      <c r="A66" s="1211">
        <v>55</v>
      </c>
      <c r="B66" s="113" t="s">
        <v>1588</v>
      </c>
      <c r="C66" s="116" t="s">
        <v>1522</v>
      </c>
      <c r="E66" s="116"/>
      <c r="F66" s="116" t="s">
        <v>1545</v>
      </c>
      <c r="G66" s="120">
        <v>965</v>
      </c>
      <c r="H66" s="116"/>
      <c r="I66" s="116"/>
      <c r="J66" s="546">
        <f>+' Working Capital (AMA)'!F636</f>
        <v>-41379613.530000001</v>
      </c>
      <c r="K66" s="116"/>
      <c r="L66" s="547"/>
      <c r="M66" s="546">
        <f>+' Working Capital (AMA)'!G636</f>
        <v>-40385860.899999999</v>
      </c>
      <c r="N66" s="116"/>
      <c r="O66" s="547"/>
      <c r="P66" s="546">
        <f>+' Working Capital (AMA)'!H636</f>
        <v>-39030996.990000002</v>
      </c>
      <c r="Q66" s="116"/>
      <c r="R66" s="547"/>
      <c r="S66" s="546">
        <f>+' Working Capital (AMA)'!I636</f>
        <v>-37555823.57</v>
      </c>
      <c r="T66" s="116"/>
      <c r="U66" s="547"/>
      <c r="V66" s="546">
        <f>+' Working Capital (AMA)'!J636</f>
        <v>-36937164.840000004</v>
      </c>
      <c r="W66" s="116"/>
      <c r="X66" s="547"/>
      <c r="Y66" s="546">
        <f>+' Working Capital (AMA)'!K636</f>
        <v>-36756805.100000001</v>
      </c>
      <c r="Z66" s="116"/>
      <c r="AA66" s="547"/>
      <c r="AB66" s="116">
        <f>+' Working Capital (AMA)'!L636</f>
        <v>-36970044.259999998</v>
      </c>
      <c r="AC66" s="116"/>
      <c r="AD66" s="547"/>
      <c r="AE66" s="546">
        <f>+' Working Capital (AMA)'!M636</f>
        <v>-37158262.82</v>
      </c>
      <c r="AF66" s="116"/>
      <c r="AG66" s="547"/>
      <c r="AH66" s="546">
        <f>+' Working Capital (AMA)'!N636</f>
        <v>-37482682.030000001</v>
      </c>
      <c r="AI66" s="116"/>
      <c r="AJ66" s="547"/>
      <c r="AK66" s="546">
        <f>+' Working Capital (AMA)'!O636</f>
        <v>-40111234.210000001</v>
      </c>
      <c r="AL66" s="116"/>
      <c r="AM66" s="547"/>
      <c r="AN66" s="116">
        <f>+' Working Capital (AMA)'!P636</f>
        <v>-39843133.689999998</v>
      </c>
      <c r="AO66" s="116"/>
      <c r="AP66" s="547"/>
      <c r="AQ66" s="116">
        <f>+' Working Capital (AMA)'!Q636</f>
        <v>-39005828.25</v>
      </c>
      <c r="AR66" s="116"/>
      <c r="AS66" s="547"/>
      <c r="AT66" s="1382">
        <f>+' Working Capital (AMA)'!R636</f>
        <v>-38467571.439999998</v>
      </c>
      <c r="AU66" s="116"/>
      <c r="AV66" s="547"/>
      <c r="AW66" s="1383">
        <f t="shared" si="6"/>
        <v>-38430119.095416665</v>
      </c>
      <c r="AX66" s="116"/>
      <c r="AY66" s="116"/>
    </row>
    <row r="67" spans="1:51">
      <c r="A67" s="1211">
        <v>56</v>
      </c>
      <c r="B67" s="374" t="s">
        <v>1589</v>
      </c>
      <c r="C67" s="113" t="s">
        <v>1523</v>
      </c>
      <c r="F67" s="113" t="s">
        <v>1545</v>
      </c>
      <c r="G67" s="113" t="s">
        <v>1546</v>
      </c>
      <c r="H67" s="116"/>
      <c r="I67" s="116"/>
      <c r="J67" s="546">
        <f>+' Working Capital (AMA)'!F651</f>
        <v>-109558.36</v>
      </c>
      <c r="K67" s="116"/>
      <c r="L67" s="547"/>
      <c r="M67" s="546">
        <f>+' Working Capital (AMA)'!G651</f>
        <v>-110902.8</v>
      </c>
      <c r="N67" s="116"/>
      <c r="O67" s="547"/>
      <c r="P67" s="546">
        <f>+' Working Capital (AMA)'!H651</f>
        <v>-110361.81</v>
      </c>
      <c r="Q67" s="116"/>
      <c r="R67" s="547"/>
      <c r="S67" s="546">
        <f>+' Working Capital (AMA)'!I651</f>
        <v>-109820.82</v>
      </c>
      <c r="T67" s="116"/>
      <c r="U67" s="547"/>
      <c r="V67" s="546">
        <f>+' Working Capital (AMA)'!J651</f>
        <v>-109279.83</v>
      </c>
      <c r="W67" s="116"/>
      <c r="X67" s="547"/>
      <c r="Y67" s="546">
        <f>+' Working Capital (AMA)'!K651</f>
        <v>-108738.84</v>
      </c>
      <c r="Z67" s="116"/>
      <c r="AA67" s="547"/>
      <c r="AB67" s="116">
        <f>+' Working Capital (AMA)'!L651</f>
        <v>-108197.85</v>
      </c>
      <c r="AC67" s="116"/>
      <c r="AD67" s="547"/>
      <c r="AE67" s="546">
        <f>+' Working Capital (AMA)'!M651</f>
        <v>-107656.86</v>
      </c>
      <c r="AF67" s="116"/>
      <c r="AG67" s="547"/>
      <c r="AH67" s="546">
        <f>+' Working Capital (AMA)'!N651</f>
        <v>-107115.87</v>
      </c>
      <c r="AI67" s="116"/>
      <c r="AJ67" s="547"/>
      <c r="AK67" s="546">
        <f>+' Working Capital (AMA)'!O651</f>
        <v>-106574.88</v>
      </c>
      <c r="AL67" s="116"/>
      <c r="AM67" s="547"/>
      <c r="AN67" s="116">
        <f>+' Working Capital (AMA)'!P651</f>
        <v>-106033.89</v>
      </c>
      <c r="AO67" s="116"/>
      <c r="AP67" s="547"/>
      <c r="AQ67" s="116">
        <f>+' Working Capital (AMA)'!Q651</f>
        <v>-224559.96</v>
      </c>
      <c r="AR67" s="116"/>
      <c r="AS67" s="547"/>
      <c r="AT67" s="116">
        <f>+' Working Capital (AMA)'!R651</f>
        <v>-224170.69</v>
      </c>
      <c r="AU67" s="116"/>
      <c r="AV67" s="547"/>
      <c r="AW67" s="548">
        <f t="shared" si="6"/>
        <v>-123008.99458333332</v>
      </c>
      <c r="AX67" s="116"/>
      <c r="AY67" s="116"/>
    </row>
    <row r="68" spans="1:51" ht="15.75" thickBot="1">
      <c r="A68" s="1211">
        <v>58</v>
      </c>
      <c r="C68" s="116"/>
      <c r="H68" s="116"/>
      <c r="I68" s="116"/>
      <c r="J68" s="737">
        <f>SUM(J63:J67)</f>
        <v>-34165489.439999998</v>
      </c>
      <c r="K68" s="116"/>
      <c r="L68" s="547"/>
      <c r="M68" s="737">
        <f>SUM(M63:M67)</f>
        <v>-33274648.640000001</v>
      </c>
      <c r="N68" s="116"/>
      <c r="O68" s="547"/>
      <c r="P68" s="737">
        <f>SUM(P63:P67)</f>
        <v>-32020811.02</v>
      </c>
      <c r="Q68" s="116"/>
      <c r="R68" s="547"/>
      <c r="S68" s="737">
        <f>SUM(S63:S67)</f>
        <v>-30646663.93</v>
      </c>
      <c r="T68" s="116"/>
      <c r="U68" s="547"/>
      <c r="V68" s="737">
        <f>SUM(V63:V67)</f>
        <v>-30129031.43</v>
      </c>
      <c r="W68" s="116"/>
      <c r="X68" s="547"/>
      <c r="Y68" s="737">
        <f>SUM(Y63:Y67)</f>
        <v>-30049698.080000002</v>
      </c>
      <c r="Z68" s="116"/>
      <c r="AA68" s="547"/>
      <c r="AB68" s="737">
        <f>SUM(AB63:AB67)</f>
        <v>-30363963.52</v>
      </c>
      <c r="AC68" s="116"/>
      <c r="AD68" s="547"/>
      <c r="AE68" s="737">
        <f>SUM(AE63:AE67)</f>
        <v>-30653208.379999999</v>
      </c>
      <c r="AF68" s="116"/>
      <c r="AG68" s="547"/>
      <c r="AH68" s="737">
        <f>SUM(AH63:AH67)</f>
        <v>-31078653.930000003</v>
      </c>
      <c r="AI68" s="116"/>
      <c r="AJ68" s="547"/>
      <c r="AK68" s="737">
        <f>SUM(AK63:AK67)</f>
        <v>-33808232.400000006</v>
      </c>
      <c r="AL68" s="116"/>
      <c r="AM68" s="547"/>
      <c r="AN68" s="737">
        <f>SUM(AN63:AN67)</f>
        <v>-33641158.219999999</v>
      </c>
      <c r="AO68" s="116"/>
      <c r="AP68" s="547"/>
      <c r="AQ68" s="737">
        <f>SUM(AQ63:AQ67)</f>
        <v>-33023946.219999999</v>
      </c>
      <c r="AR68" s="116"/>
      <c r="AS68" s="547"/>
      <c r="AT68" s="737">
        <f>SUM(AT63:AT67)</f>
        <v>-31434937.949999999</v>
      </c>
      <c r="AU68" s="116"/>
      <c r="AV68" s="547"/>
      <c r="AW68" s="744">
        <f t="shared" si="6"/>
        <v>-31790852.455416676</v>
      </c>
      <c r="AX68" s="116"/>
      <c r="AY68" s="116"/>
    </row>
    <row r="69" spans="1:51" ht="15.75" thickTop="1">
      <c r="A69" s="1211">
        <v>59</v>
      </c>
      <c r="H69" s="116"/>
      <c r="I69" s="116"/>
      <c r="K69" s="116"/>
      <c r="L69" s="547"/>
      <c r="M69" s="116"/>
      <c r="N69" s="116"/>
      <c r="O69" s="547"/>
      <c r="P69" s="116"/>
      <c r="Q69" s="116"/>
      <c r="R69" s="547"/>
      <c r="S69" s="116"/>
      <c r="T69" s="116"/>
      <c r="U69" s="547"/>
      <c r="V69" s="116"/>
      <c r="W69" s="116"/>
      <c r="X69" s="547"/>
      <c r="Y69" s="116"/>
      <c r="Z69" s="116"/>
      <c r="AA69" s="547"/>
      <c r="AB69" s="116"/>
      <c r="AC69" s="116"/>
      <c r="AD69" s="547"/>
      <c r="AE69" s="116"/>
      <c r="AF69" s="116"/>
      <c r="AG69" s="547"/>
      <c r="AH69" s="116"/>
      <c r="AI69" s="116"/>
      <c r="AJ69" s="547"/>
      <c r="AK69" s="116"/>
      <c r="AL69" s="116"/>
      <c r="AM69" s="547"/>
      <c r="AN69" s="116"/>
      <c r="AO69" s="116"/>
      <c r="AP69" s="547"/>
      <c r="AQ69" s="116"/>
      <c r="AR69" s="116"/>
      <c r="AS69" s="547"/>
      <c r="AT69" s="116"/>
      <c r="AU69" s="116"/>
      <c r="AV69" s="547"/>
      <c r="AW69" s="548"/>
      <c r="AX69" s="116"/>
      <c r="AY69" s="116"/>
    </row>
    <row r="70" spans="1:51">
      <c r="A70" s="1211">
        <v>60</v>
      </c>
      <c r="H70" s="116"/>
      <c r="I70" s="116"/>
      <c r="K70" s="116"/>
      <c r="L70" s="547"/>
      <c r="M70" s="116"/>
      <c r="N70" s="116"/>
      <c r="O70" s="116"/>
      <c r="P70" s="546"/>
      <c r="Q70" s="116"/>
      <c r="R70" s="547"/>
      <c r="S70" s="116"/>
      <c r="T70" s="116"/>
      <c r="U70" s="547"/>
      <c r="V70" s="116"/>
      <c r="W70" s="116"/>
      <c r="X70" s="547"/>
      <c r="Y70" s="116"/>
      <c r="Z70" s="116"/>
      <c r="AA70" s="547"/>
      <c r="AB70" s="116"/>
      <c r="AC70" s="116"/>
      <c r="AD70" s="547"/>
      <c r="AE70" s="116"/>
      <c r="AF70" s="116"/>
      <c r="AG70" s="547"/>
      <c r="AH70" s="116"/>
      <c r="AI70" s="116"/>
      <c r="AJ70" s="547"/>
      <c r="AK70" s="116"/>
      <c r="AL70" s="116"/>
      <c r="AM70" s="547"/>
      <c r="AN70" s="116"/>
      <c r="AO70" s="116"/>
      <c r="AP70" s="547"/>
      <c r="AQ70" s="116"/>
      <c r="AR70" s="116"/>
      <c r="AS70" s="116"/>
      <c r="AT70" s="546"/>
      <c r="AU70" s="116"/>
      <c r="AV70" s="547"/>
      <c r="AW70" s="548"/>
      <c r="AX70" s="116"/>
      <c r="AY70" s="116"/>
    </row>
    <row r="71" spans="1:51">
      <c r="A71" s="1211">
        <v>61</v>
      </c>
      <c r="K71" s="116"/>
      <c r="L71" s="547"/>
      <c r="M71" s="116"/>
      <c r="N71" s="116"/>
      <c r="O71" s="116"/>
      <c r="P71" s="546"/>
      <c r="Q71" s="116"/>
      <c r="R71" s="547"/>
      <c r="S71" s="116"/>
      <c r="T71" s="116"/>
      <c r="U71" s="547"/>
      <c r="V71" s="116"/>
      <c r="W71" s="116"/>
      <c r="X71" s="547"/>
      <c r="Y71" s="116"/>
      <c r="Z71" s="116"/>
      <c r="AA71" s="547"/>
      <c r="AB71" s="116"/>
      <c r="AC71" s="116"/>
      <c r="AD71" s="547"/>
      <c r="AE71" s="116"/>
      <c r="AF71" s="116"/>
      <c r="AG71" s="547"/>
      <c r="AH71" s="116"/>
      <c r="AI71" s="116"/>
      <c r="AJ71" s="547"/>
      <c r="AK71" s="116"/>
      <c r="AL71" s="116"/>
      <c r="AM71" s="547"/>
      <c r="AN71" s="116"/>
      <c r="AO71" s="116"/>
      <c r="AP71" s="547"/>
      <c r="AQ71" s="116"/>
      <c r="AR71" s="116"/>
      <c r="AS71" s="116"/>
      <c r="AT71" s="546"/>
      <c r="AU71" s="116"/>
      <c r="AV71" s="547"/>
      <c r="AW71" s="548"/>
      <c r="AX71" s="116"/>
      <c r="AY71" s="116"/>
    </row>
    <row r="72" spans="1:51">
      <c r="A72" s="1211">
        <v>63</v>
      </c>
      <c r="K72" s="116"/>
      <c r="L72" s="547"/>
      <c r="M72" s="116"/>
      <c r="N72" s="116"/>
      <c r="O72" s="547"/>
      <c r="P72" s="116"/>
      <c r="Q72" s="116"/>
      <c r="R72" s="547"/>
      <c r="S72" s="116"/>
      <c r="T72" s="116"/>
      <c r="U72" s="547"/>
      <c r="V72" s="116"/>
      <c r="W72" s="116"/>
      <c r="X72" s="547"/>
      <c r="Y72" s="116"/>
      <c r="Z72" s="116"/>
      <c r="AA72" s="547"/>
      <c r="AB72" s="116"/>
      <c r="AC72" s="116"/>
      <c r="AD72" s="547"/>
      <c r="AE72" s="116"/>
      <c r="AF72" s="116"/>
      <c r="AG72" s="547"/>
      <c r="AH72" s="116"/>
      <c r="AI72" s="116"/>
      <c r="AJ72" s="547"/>
      <c r="AK72" s="116"/>
      <c r="AL72" s="116"/>
      <c r="AM72" s="547"/>
      <c r="AN72" s="116"/>
      <c r="AO72" s="116"/>
      <c r="AP72" s="547"/>
      <c r="AQ72" s="116"/>
      <c r="AR72" s="116"/>
      <c r="AS72" s="116"/>
      <c r="AT72" s="546"/>
      <c r="AU72" s="116"/>
      <c r="AV72" s="547"/>
      <c r="AW72" s="548"/>
      <c r="AX72" s="116"/>
      <c r="AY72" s="116"/>
    </row>
    <row r="73" spans="1:51">
      <c r="A73" s="1211">
        <v>64</v>
      </c>
      <c r="K73" s="116"/>
      <c r="L73" s="547"/>
      <c r="M73" s="546"/>
      <c r="N73" s="116"/>
      <c r="O73" s="547"/>
      <c r="P73" s="546"/>
      <c r="Q73" s="116"/>
      <c r="R73" s="547"/>
      <c r="S73" s="546"/>
      <c r="T73" s="116"/>
      <c r="U73" s="547"/>
      <c r="V73" s="546"/>
      <c r="W73" s="116"/>
      <c r="X73" s="547"/>
      <c r="Y73" s="546"/>
      <c r="Z73" s="116"/>
      <c r="AA73" s="547"/>
      <c r="AB73" s="546"/>
      <c r="AC73" s="116"/>
      <c r="AD73" s="547"/>
      <c r="AE73" s="546"/>
      <c r="AF73" s="116"/>
      <c r="AG73" s="547"/>
      <c r="AH73" s="546"/>
      <c r="AI73" s="116"/>
      <c r="AJ73" s="547"/>
      <c r="AK73" s="546"/>
      <c r="AL73" s="116"/>
      <c r="AM73" s="547"/>
      <c r="AN73" s="546"/>
      <c r="AO73" s="116"/>
      <c r="AP73" s="547"/>
      <c r="AQ73" s="546"/>
      <c r="AR73" s="116"/>
      <c r="AS73" s="547"/>
      <c r="AT73" s="546"/>
      <c r="AU73" s="116"/>
      <c r="AV73" s="547"/>
      <c r="AW73" s="548"/>
      <c r="AX73" s="116"/>
      <c r="AY73" s="116"/>
    </row>
    <row r="74" spans="1:51">
      <c r="A74" s="1211">
        <v>65</v>
      </c>
      <c r="C74" s="116"/>
      <c r="E74" s="116"/>
      <c r="F74" s="116"/>
      <c r="G74" s="116"/>
      <c r="H74" s="116"/>
      <c r="I74" s="116"/>
      <c r="J74" s="549"/>
      <c r="K74" s="116"/>
      <c r="L74" s="116"/>
      <c r="M74" s="549"/>
      <c r="N74" s="116"/>
      <c r="O74" s="116"/>
      <c r="P74" s="549"/>
      <c r="Q74" s="116"/>
      <c r="R74" s="116"/>
      <c r="S74" s="549"/>
      <c r="T74" s="116"/>
      <c r="U74" s="116"/>
      <c r="V74" s="549"/>
      <c r="W74" s="116"/>
      <c r="X74" s="116"/>
      <c r="Y74" s="549"/>
      <c r="Z74" s="116"/>
      <c r="AA74" s="116"/>
      <c r="AB74" s="549"/>
      <c r="AC74" s="116"/>
      <c r="AD74" s="116"/>
      <c r="AE74" s="549"/>
      <c r="AF74" s="116"/>
      <c r="AG74" s="116"/>
      <c r="AH74" s="549"/>
      <c r="AI74" s="116"/>
      <c r="AJ74" s="116"/>
      <c r="AK74" s="549"/>
      <c r="AL74" s="116"/>
      <c r="AM74" s="116"/>
      <c r="AN74" s="549"/>
      <c r="AO74" s="116"/>
      <c r="AP74" s="116"/>
      <c r="AQ74" s="549"/>
      <c r="AR74" s="116"/>
      <c r="AS74" s="116"/>
      <c r="AT74" s="549"/>
      <c r="AU74" s="116"/>
      <c r="AV74" s="116"/>
      <c r="AW74" s="550"/>
      <c r="AX74" s="116"/>
      <c r="AY74" s="116"/>
    </row>
    <row r="75" spans="1:51">
      <c r="A75" s="1211">
        <v>66</v>
      </c>
      <c r="B75" s="116"/>
      <c r="C75" s="116"/>
      <c r="D75" s="116"/>
      <c r="E75" s="116"/>
      <c r="F75" s="116"/>
      <c r="G75" s="116"/>
      <c r="H75" s="116"/>
      <c r="I75" s="116"/>
      <c r="J75" s="551"/>
      <c r="K75" s="116"/>
      <c r="L75" s="116"/>
      <c r="M75" s="551"/>
      <c r="N75" s="116"/>
      <c r="O75" s="116"/>
      <c r="P75" s="551"/>
      <c r="Q75" s="116"/>
      <c r="R75" s="116"/>
      <c r="S75" s="551"/>
      <c r="T75" s="116"/>
      <c r="U75" s="116"/>
      <c r="V75" s="551"/>
      <c r="W75" s="116"/>
      <c r="X75" s="116"/>
      <c r="Y75" s="551"/>
      <c r="Z75" s="116"/>
      <c r="AA75" s="116"/>
      <c r="AB75" s="551"/>
      <c r="AC75" s="116"/>
      <c r="AD75" s="116"/>
      <c r="AE75" s="551"/>
      <c r="AF75" s="116"/>
      <c r="AG75" s="116"/>
      <c r="AH75" s="551"/>
      <c r="AI75" s="116"/>
      <c r="AJ75" s="116"/>
      <c r="AK75" s="551"/>
      <c r="AL75" s="116"/>
      <c r="AM75" s="116"/>
      <c r="AN75" s="551"/>
      <c r="AO75" s="116"/>
      <c r="AP75" s="116"/>
      <c r="AQ75" s="551"/>
      <c r="AR75" s="116"/>
      <c r="AS75" s="116"/>
      <c r="AT75" s="551"/>
      <c r="AU75" s="116"/>
      <c r="AV75" s="116"/>
      <c r="AW75" s="551"/>
      <c r="AX75" s="116"/>
      <c r="AY75" s="116"/>
    </row>
    <row r="76" spans="1:51">
      <c r="A76" s="1211">
        <v>67</v>
      </c>
      <c r="B76" s="116"/>
      <c r="C76" s="116"/>
      <c r="D76" s="116"/>
      <c r="E76" s="116"/>
      <c r="F76" s="116"/>
      <c r="G76" s="116"/>
      <c r="H76" s="116"/>
      <c r="I76" s="116"/>
      <c r="J76" s="552">
        <f>+J44+J54+J61+J68</f>
        <v>-162809754.98000002</v>
      </c>
      <c r="K76" s="439"/>
      <c r="L76" s="439"/>
      <c r="M76" s="552">
        <f>+M44+M54+M61+M68</f>
        <v>-161783708.09000003</v>
      </c>
      <c r="N76" s="439"/>
      <c r="O76" s="439"/>
      <c r="P76" s="552">
        <f>+P44+P54+P61+P68</f>
        <v>-161189550.27000001</v>
      </c>
      <c r="Q76" s="439"/>
      <c r="R76" s="439"/>
      <c r="S76" s="552">
        <f>+S44+S54+S61+S68</f>
        <v>-160142920.09</v>
      </c>
      <c r="T76" s="439"/>
      <c r="U76" s="439"/>
      <c r="V76" s="552">
        <f>+V44+V54+V61+V68</f>
        <v>-159794961.01999998</v>
      </c>
      <c r="W76" s="439"/>
      <c r="X76" s="439"/>
      <c r="Y76" s="552">
        <f>+Y44+Y54+Y61+Y68</f>
        <v>-159923597.24000001</v>
      </c>
      <c r="Z76" s="439"/>
      <c r="AA76" s="439"/>
      <c r="AB76" s="552">
        <f>+AB44+AB54+AB61+AB68</f>
        <v>-160358763.49000001</v>
      </c>
      <c r="AC76" s="439"/>
      <c r="AD76" s="439"/>
      <c r="AE76" s="552">
        <f>+AE44+AE54+AE61+AE68</f>
        <v>-161893545.59</v>
      </c>
      <c r="AF76" s="439"/>
      <c r="AG76" s="439"/>
      <c r="AH76" s="552">
        <f>+AH44+AH54+AH61+AH68</f>
        <v>-162489142.77000001</v>
      </c>
      <c r="AI76" s="439"/>
      <c r="AJ76" s="439"/>
      <c r="AK76" s="552">
        <f>+AK44+AK54+AK61+AK68</f>
        <v>-162665974.72999999</v>
      </c>
      <c r="AL76" s="439"/>
      <c r="AM76" s="439"/>
      <c r="AN76" s="552">
        <f>+AN44+AN54+AN61+AN68</f>
        <v>-162532607.70999998</v>
      </c>
      <c r="AO76" s="439"/>
      <c r="AP76" s="439"/>
      <c r="AQ76" s="552">
        <f>+AQ44+AQ54+AQ61+AQ68</f>
        <v>-161826909.08000016</v>
      </c>
      <c r="AR76" s="439"/>
      <c r="AS76" s="439"/>
      <c r="AT76" s="552">
        <f>+AT44+AT54+AT61+AT68</f>
        <v>-160739154.91000018</v>
      </c>
      <c r="AU76" s="439"/>
      <c r="AV76" s="439"/>
      <c r="AW76" s="552">
        <f>+AW44+AW54+AW64+AW68</f>
        <v>-123342206.50583339</v>
      </c>
      <c r="AX76" s="116"/>
      <c r="AY76" s="116"/>
    </row>
    <row r="77" spans="1:51" ht="15.75" thickBot="1">
      <c r="A77" s="1211">
        <v>68</v>
      </c>
      <c r="B77" s="116"/>
      <c r="C77" s="116"/>
      <c r="D77" s="116"/>
      <c r="E77" s="116"/>
      <c r="F77" s="116"/>
      <c r="G77" s="116"/>
      <c r="H77" s="116"/>
      <c r="I77" s="116"/>
      <c r="J77" s="551"/>
      <c r="K77" s="116"/>
      <c r="L77" s="116"/>
      <c r="M77" s="551"/>
      <c r="N77" s="116"/>
      <c r="O77" s="116"/>
      <c r="P77" s="551"/>
      <c r="Q77" s="116"/>
      <c r="R77" s="116"/>
      <c r="S77" s="551"/>
      <c r="T77" s="116"/>
      <c r="U77" s="116"/>
      <c r="V77" s="551"/>
      <c r="W77" s="116"/>
      <c r="X77" s="116"/>
      <c r="Y77" s="551"/>
      <c r="Z77" s="116"/>
      <c r="AA77" s="116"/>
      <c r="AB77" s="551"/>
      <c r="AC77" s="116"/>
      <c r="AD77" s="116"/>
      <c r="AE77" s="551"/>
      <c r="AF77" s="116"/>
      <c r="AG77" s="116"/>
      <c r="AH77" s="551"/>
      <c r="AI77" s="116"/>
      <c r="AJ77" s="116"/>
      <c r="AK77" s="551"/>
      <c r="AL77" s="116"/>
      <c r="AM77" s="116"/>
      <c r="AN77" s="551"/>
      <c r="AO77" s="116"/>
      <c r="AP77" s="116"/>
      <c r="AQ77" s="551"/>
      <c r="AR77" s="116"/>
      <c r="AS77" s="116"/>
      <c r="AT77" s="551"/>
      <c r="AU77" s="116"/>
      <c r="AV77" s="116"/>
      <c r="AW77" s="551"/>
      <c r="AX77" s="116"/>
      <c r="AY77" s="116"/>
    </row>
    <row r="78" spans="1:51">
      <c r="A78" s="1211">
        <v>69</v>
      </c>
      <c r="B78" s="1529" t="s">
        <v>1490</v>
      </c>
      <c r="C78" s="1530"/>
      <c r="D78" s="1530"/>
      <c r="E78" s="1531"/>
      <c r="F78" s="116"/>
      <c r="G78" s="116" t="s">
        <v>1590</v>
      </c>
      <c r="H78" s="116"/>
      <c r="I78" s="116"/>
      <c r="J78" s="551">
        <f>+J37+J54+J33+J38+J42+J43+J34+J35</f>
        <v>8394431.9399999995</v>
      </c>
      <c r="K78" s="116"/>
      <c r="L78" s="116"/>
      <c r="M78" s="551">
        <f>+M37+M54+M33+M38+M42+M43+M34+M35</f>
        <v>8347393.8999999994</v>
      </c>
      <c r="N78" s="116"/>
      <c r="O78" s="116"/>
      <c r="P78" s="551">
        <f>+P37+P54+P33+P38+P42+P43+P34+P35</f>
        <v>7902411.8899999997</v>
      </c>
      <c r="Q78" s="546"/>
      <c r="R78" s="116"/>
      <c r="S78" s="551">
        <f>+S37+S54+S33+S38+S42+S43+S34+S35</f>
        <v>7756081.4500000002</v>
      </c>
      <c r="T78" s="116"/>
      <c r="U78" s="116"/>
      <c r="V78" s="551">
        <f>+V37+V54+V33+V38+V42+V43+V34+V35</f>
        <v>7733139.3599999994</v>
      </c>
      <c r="W78" s="116"/>
      <c r="X78" s="116"/>
      <c r="Y78" s="551">
        <f>+Y37+Y54+Y33+Y38+Y42+Y43+Y34+Y35</f>
        <v>7666600.6599999992</v>
      </c>
      <c r="Z78" s="116"/>
      <c r="AA78" s="116"/>
      <c r="AB78" s="551">
        <f>+AB37+AB54+AB33+AB38+AB42+AB43+AB34+AB35</f>
        <v>7578428.3199999994</v>
      </c>
      <c r="AC78" s="116"/>
      <c r="AD78" s="116"/>
      <c r="AE78" s="551">
        <f>+AE37+AE54+AE33+AE38+AE42+AE43+AE34+AE35</f>
        <v>7515662.629999998</v>
      </c>
      <c r="AF78" s="116"/>
      <c r="AG78" s="116"/>
      <c r="AH78" s="551">
        <f>+AH37+AH54+AH33+AH38+AH42+AH43+AH34+AH35</f>
        <v>7499459.9800000004</v>
      </c>
      <c r="AI78" s="116"/>
      <c r="AJ78" s="116"/>
      <c r="AK78" s="551">
        <f>+AK37+AK54+AK33+AK38+AK42+AK43+AK34+AK35</f>
        <v>9955907.5800000001</v>
      </c>
      <c r="AL78" s="116"/>
      <c r="AM78" s="116"/>
      <c r="AN78" s="551">
        <f>+AN37+AN54+AN33+AN38+AN42+AN43+AN34+AN35</f>
        <v>10057785.529999999</v>
      </c>
      <c r="AO78" s="116"/>
      <c r="AP78" s="116"/>
      <c r="AQ78" s="551">
        <f>+AQ37+AQ54+AQ33+AQ38+AQ42+AQ43+AQ34+AQ35</f>
        <v>9974696.8800000008</v>
      </c>
      <c r="AR78" s="116"/>
      <c r="AS78" s="116"/>
      <c r="AT78" s="551">
        <f>+AT37+AT54+AT33+AT38+AT42+AT43+AT34+AT35</f>
        <v>10337708.310000001</v>
      </c>
      <c r="AU78" s="546"/>
      <c r="AV78" s="547"/>
      <c r="AW78" s="547">
        <f>+AW37+AW54+AW33+AW38+AW42+AW43+AW34+AW35</f>
        <v>8446136.5254166648</v>
      </c>
      <c r="AX78" s="116"/>
      <c r="AY78" s="116"/>
    </row>
    <row r="79" spans="1:51">
      <c r="A79" s="1211">
        <v>70</v>
      </c>
      <c r="B79" s="1532"/>
      <c r="C79" s="1533"/>
      <c r="D79" s="1533"/>
      <c r="E79" s="1534"/>
      <c r="F79" s="116"/>
      <c r="G79" s="116" t="s">
        <v>1591</v>
      </c>
      <c r="H79" s="116"/>
      <c r="I79" s="116"/>
      <c r="J79" s="551">
        <f>+J27+J61+J40+J28+J29+J36+J39</f>
        <v>-136880969.69</v>
      </c>
      <c r="K79" s="116"/>
      <c r="L79" s="116"/>
      <c r="M79" s="551">
        <f>+M27+M61+M40+M28+M29+M36+M39</f>
        <v>-136699491.24000001</v>
      </c>
      <c r="N79" s="116"/>
      <c r="O79" s="116"/>
      <c r="P79" s="551">
        <f>+P27+P61+P40+P28+P29+P36+P39</f>
        <v>-136914954.69999999</v>
      </c>
      <c r="Q79" s="546"/>
      <c r="R79" s="116"/>
      <c r="S79" s="551">
        <f>+S27+S61+S40+S28+S29+S36+S39</f>
        <v>-137096906.82999998</v>
      </c>
      <c r="T79" s="116"/>
      <c r="U79" s="116"/>
      <c r="V79" s="551">
        <f>+V27+V61+V40+V28+V29+V36+V39</f>
        <v>-137244403.82999998</v>
      </c>
      <c r="W79" s="116"/>
      <c r="X79" s="116"/>
      <c r="Y79" s="551">
        <f>+Y27+Y61+Y40+Y28+Y29+Y36+Y39</f>
        <v>-137386600.37</v>
      </c>
      <c r="Z79" s="116"/>
      <c r="AA79" s="116"/>
      <c r="AB79" s="551">
        <f>+AB27+AB61+AB40+AB28+AB29+AB36+AB39</f>
        <v>-137420094.5</v>
      </c>
      <c r="AC79" s="116"/>
      <c r="AD79" s="116"/>
      <c r="AE79" s="551">
        <f>+AE27+AE61+AE40+AE28+AE29+AE36+AE39</f>
        <v>-138603631.71000001</v>
      </c>
      <c r="AF79" s="116"/>
      <c r="AG79" s="116"/>
      <c r="AH79" s="551">
        <f>+AH27+AH61+AH40+AH28+AH29+AH36+AH39</f>
        <v>-138758346.36000001</v>
      </c>
      <c r="AI79" s="116"/>
      <c r="AJ79" s="116"/>
      <c r="AK79" s="551">
        <f>+AK27+AK61+AK40+AK28+AK29+AK36+AK39</f>
        <v>-138662813.11000001</v>
      </c>
      <c r="AL79" s="116"/>
      <c r="AM79" s="116"/>
      <c r="AN79" s="551">
        <f>+AN27+AN61+AN40+AN28+AN29+AN36+AN39</f>
        <v>-138799163.88</v>
      </c>
      <c r="AO79" s="116"/>
      <c r="AP79" s="116"/>
      <c r="AQ79" s="551">
        <f>+AQ27+AQ61+AQ40+AQ28+AQ29+AQ36+AQ39</f>
        <v>-138459837.2000002</v>
      </c>
      <c r="AR79" s="116"/>
      <c r="AS79" s="116"/>
      <c r="AT79" s="551">
        <f>+AT27+AT61+AT40+AT28+AT29+AT36+AT39</f>
        <v>-139324653.6700002</v>
      </c>
      <c r="AU79" s="546"/>
      <c r="AV79" s="547"/>
      <c r="AW79" s="547">
        <f>+AW27+AW64+AW40+AW28+AW29</f>
        <v>-99823283.204583347</v>
      </c>
      <c r="AX79" s="116"/>
      <c r="AY79" s="116"/>
    </row>
    <row r="80" spans="1:51">
      <c r="A80" s="1211">
        <v>71</v>
      </c>
      <c r="B80" s="1532"/>
      <c r="C80" s="1533"/>
      <c r="D80" s="1533"/>
      <c r="E80" s="1534"/>
      <c r="F80" s="116"/>
      <c r="G80" s="116" t="s">
        <v>1592</v>
      </c>
      <c r="H80" s="116"/>
      <c r="I80" s="116"/>
      <c r="J80" s="687">
        <f>+J68+J30+J41+J31+J32</f>
        <v>-34323217.229999997</v>
      </c>
      <c r="K80" s="116"/>
      <c r="L80" s="116"/>
      <c r="M80" s="687">
        <f>+M68+M30+M41+M31+M32</f>
        <v>-33431610.750000004</v>
      </c>
      <c r="N80" s="116"/>
      <c r="O80" s="116"/>
      <c r="P80" s="687">
        <f>+P68+P30+P41+P31+P32</f>
        <v>-32177007.459999997</v>
      </c>
      <c r="Q80" s="684"/>
      <c r="R80" s="686"/>
      <c r="S80" s="687">
        <f>+S68+S30+S41+S31+S32</f>
        <v>-30802094.710000001</v>
      </c>
      <c r="T80" s="116"/>
      <c r="U80" s="116"/>
      <c r="V80" s="687">
        <f>+V68+V30+V41+V31+V32</f>
        <v>-30283696.549999997</v>
      </c>
      <c r="W80" s="116"/>
      <c r="X80" s="116"/>
      <c r="Y80" s="687">
        <f>+Y68+Y30+Y41+Y31+Y32</f>
        <v>-30203597.530000001</v>
      </c>
      <c r="Z80" s="116"/>
      <c r="AA80" s="116"/>
      <c r="AB80" s="687">
        <f>+AB68+AB30+AB41+AB31+AB32</f>
        <v>-30517097.310000002</v>
      </c>
      <c r="AC80" s="116"/>
      <c r="AD80" s="116"/>
      <c r="AE80" s="687">
        <f>+AE68+AE30+AE41+AE31+AE32</f>
        <v>-30805576.509999998</v>
      </c>
      <c r="AF80" s="116"/>
      <c r="AG80" s="116"/>
      <c r="AH80" s="687">
        <f>+AH68+AH30+AH41+AH31+AH32</f>
        <v>-31230256.390000004</v>
      </c>
      <c r="AI80" s="116"/>
      <c r="AJ80" s="116"/>
      <c r="AK80" s="687">
        <f>+AK68+AK30+AK41+AK31+AK32</f>
        <v>-33959069.20000001</v>
      </c>
      <c r="AL80" s="116"/>
      <c r="AM80" s="116"/>
      <c r="AN80" s="687">
        <f>+AN68+AN30+AN41+AN31+AN32</f>
        <v>-33791229.359999999</v>
      </c>
      <c r="AO80" s="116"/>
      <c r="AP80" s="116"/>
      <c r="AQ80" s="687">
        <f>+AQ68+AQ30+AQ41+AQ31+AQ32</f>
        <v>-33341768.760000002</v>
      </c>
      <c r="AR80" s="116"/>
      <c r="AS80" s="116"/>
      <c r="AT80" s="687">
        <f>+AT68+AT30+AT41+AT31+AT32</f>
        <v>-31752209.550000001</v>
      </c>
      <c r="AU80" s="684"/>
      <c r="AV80" s="547"/>
      <c r="AW80" s="685">
        <f>+AW74+AW30+AW41+AW32+AW31</f>
        <v>-174207.37124999997</v>
      </c>
      <c r="AX80" s="116"/>
      <c r="AY80" s="116"/>
    </row>
    <row r="81" spans="1:51" ht="15.75" thickBot="1">
      <c r="A81" s="1211">
        <v>72</v>
      </c>
      <c r="B81" s="1532"/>
      <c r="C81" s="1533"/>
      <c r="D81" s="1533"/>
      <c r="E81" s="1534"/>
      <c r="F81" s="116"/>
      <c r="G81" s="116"/>
      <c r="H81" s="116"/>
      <c r="I81" s="116"/>
      <c r="J81" s="553">
        <f>+J78+J79+J80</f>
        <v>-162809754.97999999</v>
      </c>
      <c r="K81" s="937"/>
      <c r="L81" s="937"/>
      <c r="M81" s="553">
        <f>+M78+M79+M80</f>
        <v>-161783708.09</v>
      </c>
      <c r="N81" s="937"/>
      <c r="O81" s="555"/>
      <c r="P81" s="553">
        <f>+P78+P79+P80</f>
        <v>-161189550.26999998</v>
      </c>
      <c r="Q81" s="937"/>
      <c r="R81" s="937"/>
      <c r="S81" s="553">
        <f>+S78+S79+S80</f>
        <v>-160142920.08999997</v>
      </c>
      <c r="T81" s="937"/>
      <c r="U81" s="937"/>
      <c r="V81" s="553">
        <f>+V78+V79+V80</f>
        <v>-159794961.01999998</v>
      </c>
      <c r="W81" s="937"/>
      <c r="X81" s="555"/>
      <c r="Y81" s="553">
        <f>+Y78+Y79+Y80</f>
        <v>-159923597.24000001</v>
      </c>
      <c r="Z81" s="937"/>
      <c r="AA81" s="555"/>
      <c r="AB81" s="553">
        <f>+AB78+AB79+AB80</f>
        <v>-160358763.49000001</v>
      </c>
      <c r="AC81" s="937"/>
      <c r="AD81" s="937"/>
      <c r="AE81" s="553">
        <f>+AE78+AE79+AE80</f>
        <v>-161893545.59</v>
      </c>
      <c r="AF81" s="937"/>
      <c r="AG81" s="555"/>
      <c r="AH81" s="553">
        <f>+AH78+AH79+AH80</f>
        <v>-162489142.77000001</v>
      </c>
      <c r="AI81" s="937"/>
      <c r="AJ81" s="937"/>
      <c r="AK81" s="553">
        <f>+AK78+AK79+AK80</f>
        <v>-162665974.73000002</v>
      </c>
      <c r="AL81" s="937"/>
      <c r="AM81" s="937"/>
      <c r="AN81" s="553">
        <f>+AN78+AN79+AN80</f>
        <v>-162532607.70999998</v>
      </c>
      <c r="AO81" s="937"/>
      <c r="AP81" s="555"/>
      <c r="AQ81" s="553">
        <f>+AQ78+AQ79+AQ80</f>
        <v>-161826909.08000019</v>
      </c>
      <c r="AR81" s="937"/>
      <c r="AS81" s="937"/>
      <c r="AT81" s="553">
        <f>+AT78+AT79+AT80</f>
        <v>-160739154.91000021</v>
      </c>
      <c r="AU81" s="937"/>
      <c r="AV81" s="554"/>
      <c r="AW81" s="555">
        <f>+AW79+AW80+AW78</f>
        <v>-91551354.050416678</v>
      </c>
      <c r="AX81" s="116"/>
      <c r="AY81" s="116"/>
    </row>
    <row r="82" spans="1:51">
      <c r="A82" s="1211"/>
      <c r="B82" s="116"/>
      <c r="C82" s="116"/>
      <c r="D82" s="116"/>
      <c r="E82" s="116"/>
      <c r="F82" s="116"/>
      <c r="G82" s="116"/>
      <c r="H82" s="116"/>
      <c r="I82" s="116"/>
      <c r="J82" s="116"/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116"/>
      <c r="V82" s="116"/>
      <c r="W82" s="116"/>
      <c r="X82" s="116"/>
      <c r="Y82" s="116"/>
      <c r="Z82" s="116"/>
      <c r="AA82" s="116"/>
      <c r="AB82" s="116"/>
      <c r="AC82" s="116"/>
      <c r="AD82" s="116"/>
      <c r="AE82" s="116"/>
      <c r="AF82" s="116"/>
      <c r="AG82" s="116"/>
      <c r="AH82" s="116"/>
      <c r="AI82" s="116"/>
      <c r="AJ82" s="116"/>
      <c r="AK82" s="116"/>
      <c r="AL82" s="116"/>
      <c r="AM82" s="116"/>
      <c r="AN82" s="116"/>
      <c r="AO82" s="116"/>
      <c r="AP82" s="116"/>
      <c r="AQ82" s="116"/>
      <c r="AR82" s="116"/>
      <c r="AS82" s="116"/>
      <c r="AT82" s="116"/>
      <c r="AU82" s="116"/>
      <c r="AV82" s="116"/>
      <c r="AW82" s="116"/>
      <c r="AX82" s="116"/>
      <c r="AY82" s="116"/>
    </row>
    <row r="83" spans="1:51">
      <c r="A83" s="1211"/>
      <c r="B83" s="116"/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/>
      <c r="X83" s="116"/>
      <c r="Y83" s="116"/>
      <c r="Z83" s="116"/>
      <c r="AA83" s="116"/>
      <c r="AB83" s="116"/>
      <c r="AC83" s="116"/>
      <c r="AD83" s="116"/>
      <c r="AE83" s="116"/>
      <c r="AF83" s="116"/>
      <c r="AG83" s="116"/>
      <c r="AH83" s="116"/>
      <c r="AI83" s="116"/>
      <c r="AJ83" s="116"/>
      <c r="AK83" s="116"/>
      <c r="AL83" s="116"/>
      <c r="AM83" s="116"/>
      <c r="AN83" s="116"/>
      <c r="AO83" s="116"/>
      <c r="AP83" s="116"/>
      <c r="AQ83" s="116"/>
      <c r="AR83" s="116"/>
      <c r="AS83" s="116"/>
      <c r="AT83" s="116"/>
      <c r="AU83" s="116"/>
      <c r="AV83" s="116"/>
      <c r="AW83" s="116"/>
      <c r="AX83" s="116"/>
      <c r="AY83" s="116"/>
    </row>
    <row r="84" spans="1:51">
      <c r="A84" s="1211"/>
      <c r="J84" s="556"/>
      <c r="K84" s="556"/>
      <c r="L84" s="556"/>
      <c r="M84" s="556"/>
      <c r="N84" s="556"/>
      <c r="O84" s="556"/>
      <c r="P84" s="556"/>
      <c r="Q84" s="556"/>
      <c r="R84" s="556"/>
      <c r="S84" s="556"/>
      <c r="T84" s="556"/>
      <c r="U84" s="556"/>
      <c r="V84" s="556"/>
      <c r="W84" s="556"/>
      <c r="X84" s="556"/>
      <c r="Y84" s="556"/>
      <c r="Z84" s="556"/>
      <c r="AA84" s="556"/>
      <c r="AB84" s="556"/>
      <c r="AC84" s="556"/>
      <c r="AD84" s="556"/>
      <c r="AE84" s="556"/>
      <c r="AF84" s="556"/>
      <c r="AG84" s="556"/>
      <c r="AH84" s="556"/>
      <c r="AI84" s="556"/>
      <c r="AJ84" s="556"/>
      <c r="AK84" s="556"/>
      <c r="AL84" s="556"/>
      <c r="AM84" s="556"/>
      <c r="AN84" s="556"/>
      <c r="AO84" s="556"/>
      <c r="AP84" s="556"/>
      <c r="AQ84" s="556"/>
      <c r="AR84" s="556"/>
      <c r="AS84" s="556"/>
      <c r="AT84" s="556"/>
      <c r="AU84" s="556"/>
      <c r="AV84" s="556"/>
    </row>
    <row r="85" spans="1:51">
      <c r="A85" s="1211"/>
      <c r="J85" s="556"/>
      <c r="K85" s="556"/>
      <c r="L85" s="556"/>
      <c r="M85" s="556"/>
      <c r="N85" s="556"/>
      <c r="O85" s="556"/>
      <c r="P85" s="556"/>
      <c r="Q85" s="556"/>
      <c r="R85" s="556"/>
      <c r="S85" s="556"/>
      <c r="T85" s="556"/>
      <c r="U85" s="556"/>
      <c r="V85" s="556"/>
      <c r="W85" s="556"/>
      <c r="X85" s="556"/>
      <c r="Y85" s="556"/>
      <c r="Z85" s="556"/>
      <c r="AA85" s="556"/>
      <c r="AB85" s="556"/>
      <c r="AC85" s="556"/>
      <c r="AD85" s="556"/>
      <c r="AE85" s="556"/>
      <c r="AF85" s="556"/>
      <c r="AG85" s="556"/>
      <c r="AH85" s="556"/>
      <c r="AI85" s="556"/>
      <c r="AJ85" s="556"/>
      <c r="AK85" s="556"/>
      <c r="AL85" s="556"/>
      <c r="AM85" s="556"/>
      <c r="AN85" s="556"/>
      <c r="AO85" s="556"/>
      <c r="AP85" s="556"/>
      <c r="AQ85" s="556"/>
      <c r="AR85" s="556"/>
      <c r="AS85" s="556"/>
      <c r="AT85" s="556"/>
      <c r="AU85" s="556"/>
      <c r="AV85" s="556"/>
    </row>
    <row r="86" spans="1:51">
      <c r="A86" s="1211"/>
      <c r="J86" s="556"/>
      <c r="K86" s="556"/>
      <c r="L86" s="556"/>
      <c r="M86" s="556"/>
      <c r="N86" s="556"/>
      <c r="O86" s="556"/>
      <c r="P86" s="556"/>
      <c r="Q86" s="556"/>
      <c r="R86" s="556"/>
      <c r="S86" s="556"/>
      <c r="T86" s="556"/>
      <c r="U86" s="556"/>
      <c r="V86" s="556"/>
      <c r="W86" s="556"/>
      <c r="X86" s="556"/>
      <c r="Y86" s="556"/>
      <c r="Z86" s="556"/>
      <c r="AA86" s="556"/>
      <c r="AB86" s="556"/>
      <c r="AC86" s="556"/>
      <c r="AD86" s="556"/>
      <c r="AE86" s="556"/>
      <c r="AF86" s="556"/>
      <c r="AG86" s="556"/>
      <c r="AH86" s="556"/>
      <c r="AI86" s="556"/>
      <c r="AJ86" s="556"/>
      <c r="AK86" s="556"/>
      <c r="AL86" s="556"/>
      <c r="AM86" s="556"/>
      <c r="AN86" s="556"/>
      <c r="AO86" s="556"/>
      <c r="AP86" s="556"/>
      <c r="AQ86" s="556"/>
      <c r="AR86" s="556"/>
      <c r="AS86" s="556"/>
      <c r="AT86" s="556"/>
      <c r="AU86" s="556"/>
      <c r="AV86" s="556"/>
    </row>
    <row r="87" spans="1:51">
      <c r="A87" s="1211"/>
      <c r="J87" s="556"/>
      <c r="K87" s="556"/>
      <c r="L87" s="556"/>
      <c r="M87" s="556"/>
      <c r="N87" s="556"/>
      <c r="O87" s="556"/>
      <c r="P87" s="556"/>
      <c r="Q87" s="556"/>
      <c r="R87" s="556"/>
      <c r="S87" s="556"/>
      <c r="T87" s="556"/>
      <c r="U87" s="556"/>
      <c r="V87" s="556"/>
      <c r="W87" s="556"/>
      <c r="X87" s="556"/>
      <c r="Y87" s="556"/>
      <c r="Z87" s="556"/>
      <c r="AA87" s="556"/>
      <c r="AB87" s="556"/>
      <c r="AC87" s="556"/>
      <c r="AD87" s="556"/>
      <c r="AE87" s="556"/>
      <c r="AF87" s="556"/>
      <c r="AG87" s="556"/>
      <c r="AH87" s="556"/>
      <c r="AI87" s="556"/>
      <c r="AJ87" s="556"/>
      <c r="AK87" s="556"/>
      <c r="AL87" s="556"/>
      <c r="AM87" s="556"/>
      <c r="AN87" s="556"/>
      <c r="AO87" s="556"/>
      <c r="AP87" s="556"/>
      <c r="AQ87" s="556"/>
      <c r="AR87" s="556"/>
      <c r="AS87" s="556"/>
      <c r="AT87" s="556"/>
      <c r="AU87" s="556"/>
      <c r="AV87" s="556"/>
    </row>
    <row r="88" spans="1:51">
      <c r="A88" s="1211"/>
      <c r="J88" s="556"/>
      <c r="K88" s="556"/>
      <c r="L88" s="556"/>
      <c r="M88" s="556"/>
      <c r="N88" s="556"/>
      <c r="O88" s="556"/>
      <c r="P88" s="556"/>
      <c r="Q88" s="556"/>
      <c r="R88" s="556"/>
      <c r="S88" s="556"/>
      <c r="T88" s="556"/>
      <c r="U88" s="556"/>
      <c r="V88" s="556"/>
      <c r="W88" s="556"/>
      <c r="X88" s="556"/>
      <c r="Y88" s="556"/>
      <c r="Z88" s="556"/>
      <c r="AA88" s="556"/>
      <c r="AB88" s="556"/>
      <c r="AC88" s="556"/>
      <c r="AD88" s="556"/>
      <c r="AE88" s="556"/>
      <c r="AF88" s="556"/>
      <c r="AG88" s="556"/>
      <c r="AH88" s="556"/>
      <c r="AI88" s="556"/>
      <c r="AJ88" s="556"/>
      <c r="AK88" s="556"/>
      <c r="AL88" s="556"/>
      <c r="AM88" s="556"/>
      <c r="AN88" s="556"/>
      <c r="AO88" s="556"/>
      <c r="AP88" s="556"/>
      <c r="AQ88" s="556"/>
      <c r="AR88" s="556"/>
      <c r="AS88" s="556"/>
      <c r="AT88" s="556"/>
      <c r="AU88" s="556"/>
      <c r="AV88" s="556"/>
    </row>
    <row r="89" spans="1:51">
      <c r="A89" s="1211"/>
      <c r="J89" s="556"/>
      <c r="K89" s="556"/>
      <c r="L89" s="556"/>
      <c r="M89" s="556"/>
      <c r="N89" s="556"/>
      <c r="O89" s="556"/>
      <c r="P89" s="556"/>
      <c r="Q89" s="556"/>
      <c r="R89" s="556"/>
      <c r="S89" s="556"/>
      <c r="T89" s="556"/>
      <c r="U89" s="556"/>
      <c r="V89" s="556"/>
      <c r="W89" s="556"/>
      <c r="X89" s="556"/>
      <c r="Y89" s="556"/>
      <c r="Z89" s="556"/>
      <c r="AA89" s="556"/>
      <c r="AB89" s="556"/>
      <c r="AC89" s="556"/>
      <c r="AD89" s="556"/>
      <c r="AE89" s="556"/>
      <c r="AF89" s="556"/>
      <c r="AG89" s="556"/>
      <c r="AH89" s="556"/>
      <c r="AI89" s="556"/>
      <c r="AJ89" s="556"/>
      <c r="AK89" s="556"/>
      <c r="AL89" s="556"/>
      <c r="AM89" s="556"/>
      <c r="AN89" s="556"/>
      <c r="AO89" s="556"/>
      <c r="AP89" s="556"/>
      <c r="AQ89" s="556"/>
      <c r="AR89" s="556"/>
      <c r="AS89" s="556"/>
      <c r="AT89" s="556"/>
      <c r="AU89" s="556"/>
      <c r="AV89" s="556"/>
    </row>
  </sheetData>
  <mergeCells count="15">
    <mergeCell ref="AX25:BD26"/>
    <mergeCell ref="AB1:AJ1"/>
    <mergeCell ref="AB4:AJ4"/>
    <mergeCell ref="AB5:AJ5"/>
    <mergeCell ref="AB6:AJ6"/>
    <mergeCell ref="AB3:AJ3"/>
    <mergeCell ref="B78:E81"/>
    <mergeCell ref="B17:I17"/>
    <mergeCell ref="B26:I26"/>
    <mergeCell ref="B10:E14"/>
    <mergeCell ref="F10:I10"/>
    <mergeCell ref="F11:I11"/>
    <mergeCell ref="F12:I12"/>
    <mergeCell ref="F13:I13"/>
    <mergeCell ref="F14:I14"/>
  </mergeCells>
  <phoneticPr fontId="124" type="noConversion"/>
  <printOptions horizontalCentered="1"/>
  <pageMargins left="0.31" right="0.3" top="1" bottom="1" header="0.5" footer="0.5"/>
  <pageSetup scale="40" fitToHeight="0" orientation="landscape" r:id="rId1"/>
  <headerFooter scaleWithDoc="0" alignWithMargins="0">
    <oddHeader>&amp;RPage &amp;P of &amp;N</oddHeader>
    <oddFooter>&amp;LElectronic Tab Name: &amp;A</oddFooter>
  </headerFooter>
  <rowBreaks count="1" manualBreakCount="1">
    <brk id="44" max="16383" man="1"/>
  </rowBreaks>
  <colBreaks count="4" manualBreakCount="4">
    <brk id="14" max="80" man="1"/>
    <brk id="24" max="80" man="1"/>
    <brk id="33" max="1048575" man="1"/>
    <brk id="45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4B418-29D8-43E2-A4C1-94787F122E4A}">
  <sheetPr codeName="Sheet9">
    <tabColor theme="2"/>
    <pageSetUpPr fitToPage="1"/>
  </sheetPr>
  <dimension ref="A1:C17"/>
  <sheetViews>
    <sheetView workbookViewId="0">
      <selection activeCell="E7" sqref="E7"/>
    </sheetView>
  </sheetViews>
  <sheetFormatPr defaultColWidth="8.85546875" defaultRowHeight="15"/>
  <cols>
    <col min="1" max="1" width="12" style="113" customWidth="1"/>
    <col min="2" max="2" width="21.7109375" style="113" bestFit="1" customWidth="1"/>
    <col min="3" max="3" width="11.5703125" style="113" bestFit="1" customWidth="1"/>
    <col min="4" max="16384" width="8.85546875" style="113"/>
  </cols>
  <sheetData>
    <row r="1" spans="1:3">
      <c r="A1" s="1491" t="str">
        <f>Company</f>
        <v>Cascade Natural Gas Corp.</v>
      </c>
      <c r="B1" s="1491"/>
      <c r="C1" s="1491"/>
    </row>
    <row r="2" spans="1:3">
      <c r="A2" s="1491" t="str">
        <f>Title1</f>
        <v>Washington Jurisdiction</v>
      </c>
      <c r="B2" s="1491"/>
      <c r="C2" s="1491"/>
    </row>
    <row r="3" spans="1:3">
      <c r="A3" s="1491" t="str">
        <f>Title2</f>
        <v>Twelve-Months ended December 31, 2020</v>
      </c>
      <c r="B3" s="1491"/>
      <c r="C3" s="1491"/>
    </row>
    <row r="4" spans="1:3">
      <c r="A4" s="1491" t="s">
        <v>1118</v>
      </c>
      <c r="B4" s="1491"/>
      <c r="C4" s="1491"/>
    </row>
    <row r="5" spans="1:3">
      <c r="A5" s="4"/>
      <c r="B5" s="1214" t="s">
        <v>1119</v>
      </c>
      <c r="C5" s="4"/>
    </row>
    <row r="6" spans="1:3">
      <c r="A6" s="334" t="s">
        <v>8</v>
      </c>
      <c r="B6" s="334" t="s">
        <v>9</v>
      </c>
      <c r="C6" s="334" t="s">
        <v>1593</v>
      </c>
    </row>
    <row r="7" spans="1:3">
      <c r="A7" s="474"/>
      <c r="B7" s="245" t="s">
        <v>2</v>
      </c>
      <c r="C7" s="245" t="s">
        <v>3</v>
      </c>
    </row>
    <row r="8" spans="1:3">
      <c r="A8" s="1209">
        <v>1</v>
      </c>
      <c r="B8" s="113" t="s">
        <v>1594</v>
      </c>
      <c r="C8" s="232">
        <v>355680.49</v>
      </c>
    </row>
    <row r="9" spans="1:3">
      <c r="A9" s="1209">
        <v>2</v>
      </c>
      <c r="B9" s="113" t="s">
        <v>1595</v>
      </c>
      <c r="C9" s="480">
        <v>0.5</v>
      </c>
    </row>
    <row r="10" spans="1:3" ht="15.75" thickBot="1">
      <c r="A10" s="1209">
        <v>3</v>
      </c>
      <c r="B10" s="113" t="s">
        <v>1596</v>
      </c>
      <c r="C10" s="194">
        <f>+C8*C9</f>
        <v>177840.245</v>
      </c>
    </row>
    <row r="11" spans="1:3" ht="15.75" thickTop="1">
      <c r="A11" s="1458">
        <v>4</v>
      </c>
    </row>
    <row r="12" spans="1:3">
      <c r="A12" s="1458">
        <v>5</v>
      </c>
      <c r="B12" s="1207" t="s">
        <v>3297</v>
      </c>
      <c r="C12" s="1457">
        <v>6258</v>
      </c>
    </row>
    <row r="13" spans="1:3">
      <c r="A13" s="1458">
        <v>6</v>
      </c>
    </row>
    <row r="14" spans="1:3">
      <c r="A14" s="1458">
        <v>7</v>
      </c>
      <c r="B14" s="1207" t="s">
        <v>1864</v>
      </c>
      <c r="C14" s="1459">
        <f>C10+C12</f>
        <v>184098.245</v>
      </c>
    </row>
    <row r="15" spans="1:3">
      <c r="A15" s="1458"/>
    </row>
    <row r="16" spans="1:3">
      <c r="A16" s="1458"/>
      <c r="C16" s="289"/>
    </row>
    <row r="17" spans="1:3">
      <c r="A17" s="1458"/>
      <c r="B17" s="1207"/>
      <c r="C17" s="289"/>
    </row>
  </sheetData>
  <mergeCells count="4">
    <mergeCell ref="A1:C1"/>
    <mergeCell ref="A4:C4"/>
    <mergeCell ref="A3:C3"/>
    <mergeCell ref="A2:C2"/>
  </mergeCells>
  <printOptions horizontalCentered="1"/>
  <pageMargins left="0.31" right="0.3" top="1" bottom="1" header="0.5" footer="0.5"/>
  <pageSetup fitToHeight="0" orientation="portrait" r:id="rId1"/>
  <headerFooter scaleWithDoc="0" alignWithMargins="0">
    <oddHeader>&amp;RPage &amp;P of &amp;N</oddHeader>
    <oddFooter>&amp;LElectronic Tab Name: &amp;A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E7EDB-8B08-4921-B786-34395C38D96F}">
  <sheetPr codeName="Sheet12">
    <tabColor rgb="FFE4DFEC"/>
    <pageSetUpPr fitToPage="1"/>
  </sheetPr>
  <dimension ref="A1:D11"/>
  <sheetViews>
    <sheetView workbookViewId="0">
      <selection activeCell="E8" sqref="E8"/>
    </sheetView>
  </sheetViews>
  <sheetFormatPr defaultColWidth="8.85546875" defaultRowHeight="15"/>
  <cols>
    <col min="1" max="1" width="5.85546875" style="113" customWidth="1"/>
    <col min="2" max="2" width="47" style="113" bestFit="1" customWidth="1"/>
    <col min="3" max="3" width="11.140625" style="113" bestFit="1" customWidth="1"/>
    <col min="4" max="16384" width="8.85546875" style="113"/>
  </cols>
  <sheetData>
    <row r="1" spans="1:4">
      <c r="A1" s="1491" t="str">
        <f>Company</f>
        <v>Cascade Natural Gas Corp.</v>
      </c>
      <c r="B1" s="1491"/>
      <c r="C1" s="1491"/>
    </row>
    <row r="2" spans="1:4">
      <c r="A2" s="1491" t="str">
        <f>Title1</f>
        <v>Washington Jurisdiction</v>
      </c>
      <c r="B2" s="1491"/>
      <c r="C2" s="1491"/>
    </row>
    <row r="3" spans="1:4">
      <c r="A3" s="1491" t="str">
        <f>Title2</f>
        <v>Twelve-Months ended December 31, 2020</v>
      </c>
      <c r="B3" s="1491"/>
      <c r="C3" s="1491"/>
    </row>
    <row r="4" spans="1:4">
      <c r="A4" s="1491" t="s">
        <v>1120</v>
      </c>
      <c r="B4" s="1491"/>
      <c r="C4" s="1491"/>
    </row>
    <row r="5" spans="1:4">
      <c r="A5" s="4"/>
      <c r="B5" s="1214" t="s">
        <v>1121</v>
      </c>
      <c r="C5" s="4"/>
    </row>
    <row r="6" spans="1:4" ht="30">
      <c r="A6" s="192" t="s">
        <v>8</v>
      </c>
      <c r="B6" s="192" t="s">
        <v>9</v>
      </c>
      <c r="C6" s="193" t="s">
        <v>1597</v>
      </c>
    </row>
    <row r="7" spans="1:4">
      <c r="A7" s="191"/>
      <c r="B7" s="125" t="s">
        <v>2</v>
      </c>
      <c r="C7" s="125" t="s">
        <v>3</v>
      </c>
    </row>
    <row r="8" spans="1:4" ht="15.75" thickBot="1">
      <c r="A8" s="1209">
        <v>1</v>
      </c>
      <c r="B8" s="113" t="s">
        <v>1598</v>
      </c>
      <c r="C8" s="231">
        <v>360421.63</v>
      </c>
      <c r="D8" s="5"/>
    </row>
    <row r="9" spans="1:4" ht="15.75" thickTop="1">
      <c r="A9" s="1209">
        <v>2</v>
      </c>
    </row>
    <row r="10" spans="1:4">
      <c r="A10" s="1209">
        <v>3</v>
      </c>
      <c r="B10" s="1552" t="s">
        <v>1599</v>
      </c>
      <c r="C10" s="1552"/>
    </row>
    <row r="11" spans="1:4">
      <c r="A11" s="1209">
        <v>4</v>
      </c>
      <c r="B11" s="1552"/>
      <c r="C11" s="1552"/>
    </row>
  </sheetData>
  <mergeCells count="5">
    <mergeCell ref="A3:C3"/>
    <mergeCell ref="A4:C4"/>
    <mergeCell ref="A1:C1"/>
    <mergeCell ref="A2:C2"/>
    <mergeCell ref="B10:C11"/>
  </mergeCells>
  <printOptions horizontalCentered="1"/>
  <pageMargins left="0.31" right="0.3" top="1" bottom="1" header="0.5" footer="0.5"/>
  <pageSetup fitToHeight="0" orientation="portrait" r:id="rId1"/>
  <headerFooter scaleWithDoc="0" alignWithMargins="0">
    <oddHeader>&amp;RPage &amp;P of &amp;N</oddHeader>
    <oddFooter>&amp;LElectronic Tab Name: &amp;A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>
    <tabColor theme="7" tint="0.79998168889431442"/>
    <pageSetUpPr fitToPage="1"/>
  </sheetPr>
  <dimension ref="A1:W74"/>
  <sheetViews>
    <sheetView zoomScale="75" zoomScaleNormal="75" zoomScaleSheetLayoutView="80" workbookViewId="0">
      <selection activeCell="E18" sqref="E18"/>
    </sheetView>
  </sheetViews>
  <sheetFormatPr defaultColWidth="17.85546875" defaultRowHeight="15"/>
  <cols>
    <col min="1" max="1" width="5.5703125" style="198" customWidth="1"/>
    <col min="2" max="2" width="17.7109375" style="196" customWidth="1"/>
    <col min="3" max="4" width="13.85546875" style="196" bestFit="1" customWidth="1"/>
    <col min="5" max="5" width="15.140625" style="196" bestFit="1" customWidth="1"/>
    <col min="6" max="9" width="17.85546875" style="196"/>
    <col min="10" max="10" width="4" style="196" customWidth="1"/>
    <col min="11" max="13" width="17.85546875" style="196"/>
    <col min="14" max="14" width="4" style="196" customWidth="1"/>
    <col min="15" max="17" width="17.85546875" style="196"/>
    <col min="18" max="18" width="4" style="196" customWidth="1"/>
    <col min="19" max="16384" width="17.85546875" style="196"/>
  </cols>
  <sheetData>
    <row r="1" spans="1:23">
      <c r="A1" s="1556" t="str">
        <f>Company</f>
        <v>Cascade Natural Gas Corp.</v>
      </c>
      <c r="B1" s="1556"/>
      <c r="C1" s="1556"/>
      <c r="D1" s="1556"/>
      <c r="E1" s="1556"/>
    </row>
    <row r="2" spans="1:23">
      <c r="A2" s="1556" t="str">
        <f>Title1</f>
        <v>Washington Jurisdiction</v>
      </c>
      <c r="B2" s="1556"/>
      <c r="C2" s="1556"/>
      <c r="D2" s="1556"/>
      <c r="E2" s="1556"/>
    </row>
    <row r="3" spans="1:23">
      <c r="A3" s="1556" t="str">
        <f>Title2</f>
        <v>Twelve-Months ended December 31, 2020</v>
      </c>
      <c r="B3" s="1556"/>
      <c r="C3" s="1556"/>
      <c r="D3" s="1556"/>
      <c r="E3" s="1556"/>
    </row>
    <row r="4" spans="1:23">
      <c r="A4" s="1556" t="str">
        <f>Title8</f>
        <v>UG-21____</v>
      </c>
      <c r="B4" s="1556"/>
      <c r="C4" s="1556"/>
      <c r="D4" s="1556"/>
      <c r="E4" s="1556"/>
      <c r="W4" s="1360">
        <f>G7</f>
        <v>2018</v>
      </c>
    </row>
    <row r="5" spans="1:23">
      <c r="A5" s="1556" t="s">
        <v>1600</v>
      </c>
      <c r="B5" s="1556"/>
      <c r="C5" s="1556"/>
      <c r="D5" s="1556"/>
      <c r="E5" s="1556"/>
      <c r="W5" s="1360">
        <f>K7</f>
        <v>2019</v>
      </c>
    </row>
    <row r="6" spans="1:23">
      <c r="A6" s="1556" t="s">
        <v>1601</v>
      </c>
      <c r="B6" s="1556"/>
      <c r="C6" s="1556"/>
      <c r="D6" s="1556"/>
      <c r="E6" s="1556"/>
      <c r="W6" s="1360" t="str">
        <f>O7</f>
        <v>2020</v>
      </c>
    </row>
    <row r="7" spans="1:23" s="198" customFormat="1">
      <c r="B7" s="1392" t="s">
        <v>1499</v>
      </c>
      <c r="G7" s="1360">
        <v>2018</v>
      </c>
      <c r="K7" s="1360">
        <v>2019</v>
      </c>
      <c r="O7" s="1360" t="s">
        <v>1499</v>
      </c>
      <c r="S7" s="1359" t="s">
        <v>3250</v>
      </c>
      <c r="W7" s="1360" t="str">
        <f>S7</f>
        <v>3-YR AVG</v>
      </c>
    </row>
    <row r="8" spans="1:23" s="210" customFormat="1" ht="30">
      <c r="A8" s="211" t="s">
        <v>8</v>
      </c>
      <c r="B8" s="211" t="s">
        <v>9</v>
      </c>
      <c r="C8" s="211" t="s">
        <v>1495</v>
      </c>
      <c r="D8" s="211" t="s">
        <v>1496</v>
      </c>
      <c r="E8" s="211" t="s">
        <v>294</v>
      </c>
      <c r="G8" s="211" t="s">
        <v>1495</v>
      </c>
      <c r="H8" s="211" t="s">
        <v>1496</v>
      </c>
      <c r="I8" s="211" t="s">
        <v>294</v>
      </c>
      <c r="K8" s="211" t="s">
        <v>1495</v>
      </c>
      <c r="L8" s="211" t="s">
        <v>1496</v>
      </c>
      <c r="M8" s="211" t="s">
        <v>294</v>
      </c>
      <c r="O8" s="211" t="s">
        <v>1495</v>
      </c>
      <c r="P8" s="211" t="s">
        <v>1496</v>
      </c>
      <c r="Q8" s="211" t="s">
        <v>294</v>
      </c>
      <c r="S8" s="211" t="s">
        <v>1495</v>
      </c>
      <c r="T8" s="211" t="s">
        <v>1496</v>
      </c>
      <c r="U8" s="211" t="s">
        <v>294</v>
      </c>
      <c r="V8" s="1393">
        <v>1</v>
      </c>
    </row>
    <row r="9" spans="1:23">
      <c r="A9" s="211"/>
      <c r="B9" s="213" t="s">
        <v>2</v>
      </c>
      <c r="C9" s="213" t="s">
        <v>3</v>
      </c>
      <c r="D9" s="213" t="s">
        <v>4</v>
      </c>
      <c r="E9" s="213" t="s">
        <v>5</v>
      </c>
      <c r="G9" s="213" t="s">
        <v>3</v>
      </c>
      <c r="H9" s="213" t="s">
        <v>4</v>
      </c>
      <c r="I9" s="213" t="s">
        <v>5</v>
      </c>
      <c r="K9" s="213" t="s">
        <v>3</v>
      </c>
      <c r="L9" s="213" t="s">
        <v>4</v>
      </c>
      <c r="M9" s="213" t="s">
        <v>5</v>
      </c>
      <c r="O9" s="213" t="s">
        <v>3</v>
      </c>
      <c r="P9" s="213" t="s">
        <v>4</v>
      </c>
      <c r="Q9" s="213" t="s">
        <v>5</v>
      </c>
      <c r="S9" s="213" t="s">
        <v>3</v>
      </c>
      <c r="T9" s="213" t="s">
        <v>4</v>
      </c>
      <c r="U9" s="213" t="s">
        <v>5</v>
      </c>
      <c r="V9" s="1393">
        <v>2</v>
      </c>
    </row>
    <row r="10" spans="1:23">
      <c r="A10" s="229">
        <v>1</v>
      </c>
      <c r="B10" s="220" t="s">
        <v>1602</v>
      </c>
      <c r="C10" s="195"/>
      <c r="D10" s="195"/>
      <c r="E10" s="195"/>
      <c r="G10" s="195"/>
      <c r="H10" s="195"/>
      <c r="I10" s="195"/>
      <c r="K10" s="195"/>
      <c r="L10" s="195"/>
      <c r="M10" s="195"/>
      <c r="O10" s="195"/>
      <c r="P10" s="195"/>
      <c r="Q10" s="195"/>
      <c r="S10" s="195"/>
      <c r="T10" s="195"/>
      <c r="U10" s="195"/>
      <c r="V10" s="1393">
        <v>3</v>
      </c>
    </row>
    <row r="11" spans="1:23">
      <c r="A11" s="479">
        <v>2</v>
      </c>
      <c r="B11" s="1219" t="s">
        <v>1603</v>
      </c>
      <c r="C11" s="201">
        <f t="shared" ref="C11:D13" si="0">IF($B$7=$K$7,HLOOKUP(C$8,$K$8:$L$16,$V11,FALSE),IF($B$7=$O$7,HLOOKUP(C$8,$O$8:$P$16,$V11,FALSE),IF($B$7=$G$7,HLOOKUP(C$8,$G$8:$H$16,$V11,FALSE),HLOOKUP(C$8,$S$8:$T$16,$V11,FALSE))))</f>
        <v>0.73419999999999996</v>
      </c>
      <c r="D11" s="201">
        <f t="shared" si="0"/>
        <v>0.26579999999999998</v>
      </c>
      <c r="E11" s="201">
        <f>SUM(C11:D11)</f>
        <v>1</v>
      </c>
      <c r="G11" s="201">
        <v>0.73719999999999997</v>
      </c>
      <c r="H11" s="201">
        <v>0.26279999999999998</v>
      </c>
      <c r="I11" s="201">
        <f>SUM(G11:H11)</f>
        <v>1</v>
      </c>
      <c r="K11" s="201">
        <f>C37</f>
        <v>0.73729999999999996</v>
      </c>
      <c r="L11" s="201">
        <f>D37</f>
        <v>0.26269999999999999</v>
      </c>
      <c r="M11" s="201">
        <f>SUM(K11:L11)</f>
        <v>1</v>
      </c>
      <c r="O11" s="201">
        <v>0.73419999999999996</v>
      </c>
      <c r="P11" s="201">
        <v>0.26579999999999998</v>
      </c>
      <c r="Q11" s="201">
        <f>SUM(O11:P11)</f>
        <v>1</v>
      </c>
      <c r="S11" s="201">
        <f t="shared" ref="S11:T13" si="1">AVERAGE(K11,G11,O11)</f>
        <v>0.7362333333333333</v>
      </c>
      <c r="T11" s="201">
        <f t="shared" si="1"/>
        <v>0.26376666666666665</v>
      </c>
      <c r="U11" s="201">
        <f>SUM(S11:T11)</f>
        <v>1</v>
      </c>
      <c r="V11" s="1393">
        <v>4</v>
      </c>
    </row>
    <row r="12" spans="1:23">
      <c r="A12" s="229">
        <v>3</v>
      </c>
      <c r="B12" s="1219" t="s">
        <v>1604</v>
      </c>
      <c r="C12" s="201">
        <f t="shared" si="0"/>
        <v>0.77180000000000004</v>
      </c>
      <c r="D12" s="201">
        <f t="shared" si="0"/>
        <v>0.22819999999999999</v>
      </c>
      <c r="E12" s="201">
        <f>SUM(C12:D12)</f>
        <v>1</v>
      </c>
      <c r="G12" s="201">
        <v>0.77490000000000003</v>
      </c>
      <c r="H12" s="201">
        <v>0.22509999999999999</v>
      </c>
      <c r="I12" s="201">
        <f>SUM(G12:H12)</f>
        <v>1</v>
      </c>
      <c r="K12" s="201">
        <f>C46</f>
        <v>0.77249999999999996</v>
      </c>
      <c r="L12" s="201">
        <f>D46</f>
        <v>0.22750000000000001</v>
      </c>
      <c r="M12" s="201">
        <f>SUM(K12:L12)</f>
        <v>1</v>
      </c>
      <c r="O12" s="201">
        <v>0.77180000000000004</v>
      </c>
      <c r="P12" s="201">
        <v>0.22819999999999999</v>
      </c>
      <c r="Q12" s="201">
        <f>SUM(O12:P12)</f>
        <v>1</v>
      </c>
      <c r="S12" s="201">
        <f t="shared" si="1"/>
        <v>0.77306666666666679</v>
      </c>
      <c r="T12" s="201">
        <f t="shared" si="1"/>
        <v>0.22693333333333332</v>
      </c>
      <c r="U12" s="201">
        <f>SUM(S12:T12)</f>
        <v>1</v>
      </c>
      <c r="V12" s="1393">
        <v>5</v>
      </c>
    </row>
    <row r="13" spans="1:23">
      <c r="A13" s="229">
        <v>4</v>
      </c>
      <c r="B13" s="1219" t="s">
        <v>591</v>
      </c>
      <c r="C13" s="201">
        <f t="shared" si="0"/>
        <v>0.74060000000000004</v>
      </c>
      <c r="D13" s="201">
        <f t="shared" si="0"/>
        <v>0.25940000000000002</v>
      </c>
      <c r="E13" s="201">
        <f>SUM(C13:D13)</f>
        <v>1</v>
      </c>
      <c r="G13" s="201">
        <v>0.74299999999999999</v>
      </c>
      <c r="H13" s="201">
        <v>0.25700000000000001</v>
      </c>
      <c r="I13" s="201">
        <f>SUM(G13:H13)</f>
        <v>1</v>
      </c>
      <c r="K13" s="201">
        <f>C64</f>
        <v>0.74170000000000003</v>
      </c>
      <c r="L13" s="201">
        <f>D64</f>
        <v>0.25829999999999997</v>
      </c>
      <c r="M13" s="201">
        <f>SUM(K13:L13)</f>
        <v>1</v>
      </c>
      <c r="O13" s="201">
        <v>0.74060000000000004</v>
      </c>
      <c r="P13" s="201">
        <v>0.25940000000000002</v>
      </c>
      <c r="Q13" s="201">
        <f>SUM(O13:P13)</f>
        <v>1</v>
      </c>
      <c r="S13" s="201">
        <f t="shared" si="1"/>
        <v>0.7417666666666668</v>
      </c>
      <c r="T13" s="201">
        <f t="shared" si="1"/>
        <v>0.25823333333333331</v>
      </c>
      <c r="U13" s="201">
        <f>SUM(S13:T13)</f>
        <v>1</v>
      </c>
      <c r="V13" s="1393">
        <v>6</v>
      </c>
    </row>
    <row r="14" spans="1:23" ht="15.75" thickBot="1">
      <c r="A14" s="229">
        <v>5</v>
      </c>
      <c r="B14" s="228" t="s">
        <v>1151</v>
      </c>
      <c r="C14" s="1390">
        <f>ROUND(AVERAGE(C11:C13),4)</f>
        <v>0.74890000000000001</v>
      </c>
      <c r="D14" s="208">
        <f>ROUND(AVERAGE(D11:D13),4)</f>
        <v>0.25109999999999999</v>
      </c>
      <c r="E14" s="208">
        <f>AVERAGE(E11:E13)</f>
        <v>1</v>
      </c>
      <c r="G14" s="208">
        <v>0.75170000000000003</v>
      </c>
      <c r="H14" s="208">
        <v>0.24829999999999999</v>
      </c>
      <c r="I14" s="208">
        <f>AVERAGE(I11:I13)</f>
        <v>1</v>
      </c>
      <c r="K14" s="208">
        <v>0.75049999999999994</v>
      </c>
      <c r="L14" s="208">
        <v>0.2495</v>
      </c>
      <c r="M14" s="208">
        <f>AVERAGE(M11:M13)</f>
        <v>1</v>
      </c>
      <c r="O14" s="208">
        <v>0.74890000000000001</v>
      </c>
      <c r="P14" s="208">
        <v>0.25109999999999999</v>
      </c>
      <c r="Q14" s="208">
        <f>AVERAGE(Q11:Q13)</f>
        <v>1</v>
      </c>
      <c r="S14" s="1390">
        <f>AVERAGE(C14,G14,O14)</f>
        <v>0.74983333333333324</v>
      </c>
      <c r="T14" s="208">
        <f>AVERAGE(D14,H14,P14)</f>
        <v>0.25016666666666665</v>
      </c>
      <c r="U14" s="208">
        <f>AVERAGE(U11:U13)</f>
        <v>1</v>
      </c>
      <c r="V14" s="1393">
        <v>7</v>
      </c>
    </row>
    <row r="15" spans="1:23" ht="15.75" thickTop="1">
      <c r="A15" s="229">
        <v>6</v>
      </c>
      <c r="C15" s="200"/>
      <c r="D15" s="200"/>
      <c r="E15" s="200"/>
      <c r="G15" s="200"/>
      <c r="H15" s="200"/>
      <c r="I15" s="200"/>
      <c r="K15" s="200"/>
      <c r="L15" s="200"/>
      <c r="M15" s="200"/>
      <c r="O15" s="200"/>
      <c r="P15" s="200"/>
      <c r="Q15" s="200"/>
      <c r="S15" s="200"/>
      <c r="T15" s="200"/>
      <c r="U15" s="200"/>
      <c r="V15" s="1393">
        <v>8</v>
      </c>
    </row>
    <row r="16" spans="1:23" ht="15.75" thickBot="1">
      <c r="A16" s="229">
        <v>7</v>
      </c>
      <c r="B16" s="228" t="s">
        <v>1153</v>
      </c>
      <c r="C16" s="1390">
        <f>IF($B$7=$K$7,HLOOKUP(C$8,$K$8:$L$16,$V16,FALSE),IF($B$7=$O$7,HLOOKUP(C$8,$O$8:$P$16,$V16,FALSE),IF($B$7=$G$7,HLOOKUP(C$8,$G$8:$H$16,$V16,FALSE),HLOOKUP(C$8,$S$8:$T$16,$V16,FALSE))))</f>
        <v>0.77039999999999997</v>
      </c>
      <c r="D16" s="208">
        <f>IF($B$7=$K$7,HLOOKUP(D$8,$K$8:$L$16,$V16,FALSE),IF($B$7=$O$7,HLOOKUP(D$8,$O$8:$P$16,$V16,FALSE),IF($B$7=$G$7,HLOOKUP(D$8,$G$8:$H$16,$V16,FALSE),HLOOKUP(D$8,$S$8:$T$16,$V16,FALSE))))</f>
        <v>0.2296</v>
      </c>
      <c r="E16" s="208">
        <f>SUM(C16:D16)</f>
        <v>1</v>
      </c>
      <c r="G16" s="208">
        <v>0.75539999999999996</v>
      </c>
      <c r="H16" s="208">
        <v>0.24460000000000001</v>
      </c>
      <c r="I16" s="208">
        <f>SUM(G16:H16)</f>
        <v>1</v>
      </c>
      <c r="K16" s="208">
        <f>C72</f>
        <v>0.76839999999999997</v>
      </c>
      <c r="L16" s="208">
        <f>D72</f>
        <v>0.2316</v>
      </c>
      <c r="M16" s="208">
        <f>SUM(K16:L16)</f>
        <v>1</v>
      </c>
      <c r="O16" s="208">
        <v>0.77039999999999997</v>
      </c>
      <c r="P16" s="208">
        <v>0.2296</v>
      </c>
      <c r="Q16" s="208">
        <f>SUM(O16:P16)</f>
        <v>1</v>
      </c>
      <c r="S16" s="1390">
        <f>AVERAGE(K16,G16,O16)</f>
        <v>0.76473333333333338</v>
      </c>
      <c r="T16" s="208">
        <f>AVERAGE(L16,H16,P16)</f>
        <v>0.23526666666666665</v>
      </c>
      <c r="U16" s="208">
        <f>SUM(S16:T16)</f>
        <v>1</v>
      </c>
      <c r="V16" s="1393">
        <v>9</v>
      </c>
    </row>
    <row r="17" spans="1:5" ht="15.75" thickTop="1">
      <c r="A17" s="229">
        <v>8</v>
      </c>
    </row>
    <row r="18" spans="1:5">
      <c r="A18" s="229">
        <v>9</v>
      </c>
    </row>
    <row r="19" spans="1:5">
      <c r="A19" s="229">
        <v>10</v>
      </c>
    </row>
    <row r="20" spans="1:5">
      <c r="A20" s="229">
        <v>11</v>
      </c>
      <c r="B20" s="215" t="s">
        <v>1605</v>
      </c>
      <c r="C20" s="197"/>
      <c r="D20" s="197"/>
    </row>
    <row r="21" spans="1:5" ht="32.25">
      <c r="A21" s="229">
        <v>12</v>
      </c>
      <c r="B21" s="199" t="s">
        <v>1606</v>
      </c>
      <c r="C21" s="210" t="s">
        <v>1607</v>
      </c>
      <c r="D21" s="210" t="s">
        <v>1608</v>
      </c>
      <c r="E21" s="196" t="s">
        <v>294</v>
      </c>
    </row>
    <row r="22" spans="1:5">
      <c r="A22" s="229">
        <v>14</v>
      </c>
      <c r="B22" s="621">
        <v>43465</v>
      </c>
      <c r="C22" s="203">
        <v>174</v>
      </c>
      <c r="D22" s="203">
        <v>65</v>
      </c>
      <c r="E22" s="196">
        <f>SUM(C22:D22)</f>
        <v>239</v>
      </c>
    </row>
    <row r="23" spans="1:5">
      <c r="A23" s="229">
        <v>15</v>
      </c>
      <c r="B23" s="202">
        <f>EDATE(B22, 1)</f>
        <v>43496</v>
      </c>
      <c r="C23" s="203">
        <v>172</v>
      </c>
      <c r="D23" s="203">
        <v>65</v>
      </c>
      <c r="E23" s="196">
        <f t="shared" ref="E23:E35" si="2">SUM(C23:D23)</f>
        <v>237</v>
      </c>
    </row>
    <row r="24" spans="1:5">
      <c r="A24" s="229">
        <v>16</v>
      </c>
      <c r="B24" s="202">
        <f t="shared" ref="B24:B34" si="3">EDATE(B23, 1)</f>
        <v>43524</v>
      </c>
      <c r="C24" s="203">
        <v>171</v>
      </c>
      <c r="D24" s="203">
        <v>62</v>
      </c>
      <c r="E24" s="196">
        <f t="shared" si="2"/>
        <v>233</v>
      </c>
    </row>
    <row r="25" spans="1:5">
      <c r="A25" s="229">
        <v>17</v>
      </c>
      <c r="B25" s="202">
        <f t="shared" si="3"/>
        <v>43552</v>
      </c>
      <c r="C25" s="203">
        <v>177</v>
      </c>
      <c r="D25" s="203">
        <v>61</v>
      </c>
      <c r="E25" s="196">
        <f t="shared" si="2"/>
        <v>238</v>
      </c>
    </row>
    <row r="26" spans="1:5">
      <c r="A26" s="229">
        <v>18</v>
      </c>
      <c r="B26" s="202">
        <f t="shared" si="3"/>
        <v>43583</v>
      </c>
      <c r="C26" s="203">
        <v>171</v>
      </c>
      <c r="D26" s="203">
        <v>63</v>
      </c>
      <c r="E26" s="196">
        <f t="shared" si="2"/>
        <v>234</v>
      </c>
    </row>
    <row r="27" spans="1:5">
      <c r="A27" s="229">
        <v>19</v>
      </c>
      <c r="B27" s="202">
        <f t="shared" si="3"/>
        <v>43613</v>
      </c>
      <c r="C27" s="203">
        <v>173</v>
      </c>
      <c r="D27" s="203">
        <v>63</v>
      </c>
      <c r="E27" s="196">
        <f t="shared" si="2"/>
        <v>236</v>
      </c>
    </row>
    <row r="28" spans="1:5">
      <c r="A28" s="229">
        <v>20</v>
      </c>
      <c r="B28" s="202">
        <f t="shared" si="3"/>
        <v>43644</v>
      </c>
      <c r="C28" s="203">
        <v>180</v>
      </c>
      <c r="D28" s="203">
        <v>63</v>
      </c>
      <c r="E28" s="196">
        <f t="shared" si="2"/>
        <v>243</v>
      </c>
    </row>
    <row r="29" spans="1:5">
      <c r="A29" s="229">
        <v>21</v>
      </c>
      <c r="B29" s="202">
        <f t="shared" si="3"/>
        <v>43674</v>
      </c>
      <c r="C29" s="203">
        <v>173</v>
      </c>
      <c r="D29" s="203">
        <v>60</v>
      </c>
      <c r="E29" s="196">
        <f t="shared" si="2"/>
        <v>233</v>
      </c>
    </row>
    <row r="30" spans="1:5">
      <c r="A30" s="229">
        <v>22</v>
      </c>
      <c r="B30" s="202">
        <f t="shared" si="3"/>
        <v>43705</v>
      </c>
      <c r="C30" s="203">
        <v>168</v>
      </c>
      <c r="D30" s="203">
        <v>58</v>
      </c>
      <c r="E30" s="196">
        <f t="shared" si="2"/>
        <v>226</v>
      </c>
    </row>
    <row r="31" spans="1:5">
      <c r="A31" s="229">
        <v>23</v>
      </c>
      <c r="B31" s="202">
        <f t="shared" si="3"/>
        <v>43736</v>
      </c>
      <c r="C31" s="203">
        <v>166</v>
      </c>
      <c r="D31" s="203">
        <v>58</v>
      </c>
      <c r="E31" s="196">
        <f t="shared" si="2"/>
        <v>224</v>
      </c>
    </row>
    <row r="32" spans="1:5">
      <c r="A32" s="229">
        <v>24</v>
      </c>
      <c r="B32" s="202">
        <f t="shared" si="3"/>
        <v>43766</v>
      </c>
      <c r="C32" s="203">
        <v>165</v>
      </c>
      <c r="D32" s="203">
        <v>57</v>
      </c>
      <c r="E32" s="196">
        <f t="shared" si="2"/>
        <v>222</v>
      </c>
    </row>
    <row r="33" spans="1:5">
      <c r="A33" s="229">
        <v>25</v>
      </c>
      <c r="B33" s="202">
        <f t="shared" si="3"/>
        <v>43797</v>
      </c>
      <c r="C33" s="203">
        <v>166</v>
      </c>
      <c r="D33" s="203">
        <v>58</v>
      </c>
      <c r="E33" s="196">
        <f t="shared" si="2"/>
        <v>224</v>
      </c>
    </row>
    <row r="34" spans="1:5">
      <c r="A34" s="229">
        <v>26</v>
      </c>
      <c r="B34" s="202">
        <f t="shared" si="3"/>
        <v>43827</v>
      </c>
      <c r="C34" s="219">
        <v>165</v>
      </c>
      <c r="D34" s="219">
        <v>61</v>
      </c>
      <c r="E34" s="212">
        <f t="shared" si="2"/>
        <v>226</v>
      </c>
    </row>
    <row r="35" spans="1:5">
      <c r="A35" s="229">
        <v>27</v>
      </c>
      <c r="B35" s="205" t="s">
        <v>294</v>
      </c>
      <c r="C35" s="206">
        <f>SUM(C22:C34)</f>
        <v>2221</v>
      </c>
      <c r="D35" s="206">
        <f>SUM(D22:D34)</f>
        <v>794</v>
      </c>
      <c r="E35" s="196">
        <f t="shared" si="2"/>
        <v>3015</v>
      </c>
    </row>
    <row r="36" spans="1:5">
      <c r="A36" s="229">
        <v>28</v>
      </c>
      <c r="B36" s="207" t="s">
        <v>1501</v>
      </c>
      <c r="C36" s="206">
        <f>ROUND(AVERAGE(C22:C33,C23:C34),2)</f>
        <v>170.96</v>
      </c>
      <c r="D36" s="206">
        <f>ROUND(AVERAGE(D22:D33,D23:D34),2)</f>
        <v>60.92</v>
      </c>
      <c r="E36" s="196">
        <f>SUM(C36:D36)</f>
        <v>231.88</v>
      </c>
    </row>
    <row r="37" spans="1:5">
      <c r="A37" s="229">
        <v>29</v>
      </c>
      <c r="B37" s="218" t="s">
        <v>1609</v>
      </c>
      <c r="C37" s="217">
        <f>ROUND(C36/SUM($C$36:$D$36),4)</f>
        <v>0.73729999999999996</v>
      </c>
      <c r="D37" s="217">
        <f>ROUND(D36/SUM($C$36:$D$36),4)</f>
        <v>0.26269999999999999</v>
      </c>
      <c r="E37" s="217">
        <f>SUM(C37:D37)</f>
        <v>1</v>
      </c>
    </row>
    <row r="38" spans="1:5">
      <c r="A38" s="229">
        <v>30</v>
      </c>
      <c r="C38" s="200"/>
      <c r="D38" s="200"/>
    </row>
    <row r="39" spans="1:5">
      <c r="A39" s="229">
        <v>31</v>
      </c>
      <c r="B39" s="1554" t="s">
        <v>1610</v>
      </c>
      <c r="C39" s="1554"/>
      <c r="D39" s="1554"/>
      <c r="E39" s="1554"/>
    </row>
    <row r="40" spans="1:5" ht="39" customHeight="1">
      <c r="A40" s="229">
        <v>32</v>
      </c>
      <c r="B40" s="1555" t="s">
        <v>1611</v>
      </c>
      <c r="C40" s="1555"/>
      <c r="D40" s="1555"/>
      <c r="E40" s="1555"/>
    </row>
    <row r="41" spans="1:5">
      <c r="A41" s="229">
        <v>33</v>
      </c>
    </row>
    <row r="42" spans="1:5">
      <c r="A42" s="229">
        <v>34</v>
      </c>
      <c r="B42" s="1219"/>
    </row>
    <row r="43" spans="1:5">
      <c r="A43" s="229">
        <v>35</v>
      </c>
      <c r="B43" s="215" t="s">
        <v>1604</v>
      </c>
      <c r="C43" s="199"/>
      <c r="D43" s="199"/>
    </row>
    <row r="44" spans="1:5">
      <c r="A44" s="229">
        <v>36</v>
      </c>
      <c r="C44" s="214" t="s">
        <v>1612</v>
      </c>
      <c r="D44" s="214" t="s">
        <v>1613</v>
      </c>
      <c r="E44" s="198" t="s">
        <v>294</v>
      </c>
    </row>
    <row r="45" spans="1:5">
      <c r="A45" s="229">
        <v>37</v>
      </c>
      <c r="B45" s="1219" t="s">
        <v>1501</v>
      </c>
      <c r="C45" s="225">
        <v>835867892</v>
      </c>
      <c r="D45" s="225">
        <v>246123480</v>
      </c>
      <c r="E45" s="196">
        <f>SUM(C45:D45)</f>
        <v>1081991372</v>
      </c>
    </row>
    <row r="46" spans="1:5">
      <c r="A46" s="229">
        <v>38</v>
      </c>
      <c r="B46" s="216" t="s">
        <v>1614</v>
      </c>
      <c r="C46" s="217">
        <f>ROUND(C45/SUM($C$45:$D$45),4)</f>
        <v>0.77249999999999996</v>
      </c>
      <c r="D46" s="217">
        <f>ROUND(D45/SUM($C$45:$D$45),4)</f>
        <v>0.22750000000000001</v>
      </c>
      <c r="E46" s="217">
        <f>SUM(C46:D46)</f>
        <v>1</v>
      </c>
    </row>
    <row r="47" spans="1:5">
      <c r="A47" s="229">
        <v>39</v>
      </c>
    </row>
    <row r="48" spans="1:5">
      <c r="A48" s="229">
        <v>40</v>
      </c>
    </row>
    <row r="49" spans="1:5">
      <c r="A49" s="229">
        <v>43</v>
      </c>
      <c r="B49" s="215" t="s">
        <v>591</v>
      </c>
      <c r="C49" s="199"/>
      <c r="D49" s="198"/>
    </row>
    <row r="50" spans="1:5" ht="17.25">
      <c r="A50" s="229">
        <v>44</v>
      </c>
      <c r="B50" s="199" t="s">
        <v>1606</v>
      </c>
      <c r="C50" s="198" t="s">
        <v>1615</v>
      </c>
      <c r="D50" s="198" t="s">
        <v>1616</v>
      </c>
      <c r="E50" s="198" t="s">
        <v>294</v>
      </c>
    </row>
    <row r="51" spans="1:5">
      <c r="A51" s="229">
        <v>45</v>
      </c>
      <c r="B51" s="202">
        <f>B23</f>
        <v>43496</v>
      </c>
      <c r="C51" s="224">
        <v>218132</v>
      </c>
      <c r="D51" s="224">
        <v>75771</v>
      </c>
      <c r="E51" s="222">
        <f>SUM(C51:D51)</f>
        <v>293903</v>
      </c>
    </row>
    <row r="52" spans="1:5">
      <c r="A52" s="229">
        <v>46</v>
      </c>
      <c r="B52" s="202">
        <f t="shared" ref="B52:B62" si="4">B24</f>
        <v>43524</v>
      </c>
      <c r="C52" s="225">
        <v>218540</v>
      </c>
      <c r="D52" s="225">
        <v>75922</v>
      </c>
      <c r="E52" s="222">
        <f t="shared" ref="E52:E63" si="5">SUM(C52:D52)</f>
        <v>294462</v>
      </c>
    </row>
    <row r="53" spans="1:5">
      <c r="A53" s="229">
        <v>47</v>
      </c>
      <c r="B53" s="202">
        <f t="shared" si="4"/>
        <v>43552</v>
      </c>
      <c r="C53" s="225">
        <v>218575</v>
      </c>
      <c r="D53" s="225">
        <v>76043</v>
      </c>
      <c r="E53" s="222">
        <f t="shared" si="5"/>
        <v>294618</v>
      </c>
    </row>
    <row r="54" spans="1:5">
      <c r="A54" s="229">
        <v>48</v>
      </c>
      <c r="B54" s="202">
        <f t="shared" si="4"/>
        <v>43583</v>
      </c>
      <c r="C54" s="225">
        <v>218334</v>
      </c>
      <c r="D54" s="225">
        <v>76044</v>
      </c>
      <c r="E54" s="222">
        <f t="shared" si="5"/>
        <v>294378</v>
      </c>
    </row>
    <row r="55" spans="1:5">
      <c r="A55" s="229">
        <v>49</v>
      </c>
      <c r="B55" s="202">
        <f t="shared" si="4"/>
        <v>43613</v>
      </c>
      <c r="C55" s="225">
        <v>218053</v>
      </c>
      <c r="D55" s="225">
        <v>75968</v>
      </c>
      <c r="E55" s="222">
        <f t="shared" si="5"/>
        <v>294021</v>
      </c>
    </row>
    <row r="56" spans="1:5">
      <c r="A56" s="229">
        <v>50</v>
      </c>
      <c r="B56" s="202">
        <f t="shared" si="4"/>
        <v>43644</v>
      </c>
      <c r="C56" s="225">
        <v>217826</v>
      </c>
      <c r="D56" s="225">
        <v>75848</v>
      </c>
      <c r="E56" s="222">
        <f t="shared" si="5"/>
        <v>293674</v>
      </c>
    </row>
    <row r="57" spans="1:5">
      <c r="A57" s="229">
        <v>51</v>
      </c>
      <c r="B57" s="202">
        <f t="shared" si="4"/>
        <v>43674</v>
      </c>
      <c r="C57" s="225">
        <v>217678</v>
      </c>
      <c r="D57" s="225">
        <v>75798</v>
      </c>
      <c r="E57" s="222">
        <f t="shared" si="5"/>
        <v>293476</v>
      </c>
    </row>
    <row r="58" spans="1:5">
      <c r="A58" s="229">
        <v>52</v>
      </c>
      <c r="B58" s="202">
        <f t="shared" si="4"/>
        <v>43705</v>
      </c>
      <c r="C58" s="225">
        <v>217702</v>
      </c>
      <c r="D58" s="225">
        <v>75783</v>
      </c>
      <c r="E58" s="222">
        <f t="shared" si="5"/>
        <v>293485</v>
      </c>
    </row>
    <row r="59" spans="1:5">
      <c r="A59" s="229">
        <v>53</v>
      </c>
      <c r="B59" s="202">
        <f t="shared" si="4"/>
        <v>43736</v>
      </c>
      <c r="C59" s="225">
        <v>218366</v>
      </c>
      <c r="D59" s="225">
        <v>76066</v>
      </c>
      <c r="E59" s="222">
        <f t="shared" si="5"/>
        <v>294432</v>
      </c>
    </row>
    <row r="60" spans="1:5">
      <c r="A60" s="229">
        <v>54</v>
      </c>
      <c r="B60" s="202">
        <f t="shared" si="4"/>
        <v>43766</v>
      </c>
      <c r="C60" s="225">
        <v>220143</v>
      </c>
      <c r="D60" s="225">
        <v>76783</v>
      </c>
      <c r="E60" s="222">
        <f t="shared" si="5"/>
        <v>296926</v>
      </c>
    </row>
    <row r="61" spans="1:5">
      <c r="A61" s="229">
        <v>55</v>
      </c>
      <c r="B61" s="202">
        <f t="shared" si="4"/>
        <v>43797</v>
      </c>
      <c r="C61" s="225">
        <v>220903</v>
      </c>
      <c r="D61" s="225">
        <v>77101</v>
      </c>
      <c r="E61" s="222">
        <f t="shared" si="5"/>
        <v>298004</v>
      </c>
    </row>
    <row r="62" spans="1:5">
      <c r="A62" s="229">
        <v>56</v>
      </c>
      <c r="B62" s="202">
        <f t="shared" si="4"/>
        <v>43827</v>
      </c>
      <c r="C62" s="226">
        <v>221483</v>
      </c>
      <c r="D62" s="226">
        <v>77307</v>
      </c>
      <c r="E62" s="227">
        <f t="shared" si="5"/>
        <v>298790</v>
      </c>
    </row>
    <row r="63" spans="1:5">
      <c r="A63" s="229">
        <v>57</v>
      </c>
      <c r="B63" s="207" t="s">
        <v>1617</v>
      </c>
      <c r="C63" s="223">
        <f>AVERAGE(C51:C62)</f>
        <v>218811.25</v>
      </c>
      <c r="D63" s="223">
        <f>AVERAGE(D51:D62)</f>
        <v>76202.833333333328</v>
      </c>
      <c r="E63" s="222">
        <f t="shared" si="5"/>
        <v>295014.08333333331</v>
      </c>
    </row>
    <row r="64" spans="1:5">
      <c r="A64" s="229">
        <v>58</v>
      </c>
      <c r="B64" s="216" t="s">
        <v>1614</v>
      </c>
      <c r="C64" s="217">
        <f>ROUND(C63/SUM($C$63:$D$63),4)</f>
        <v>0.74170000000000003</v>
      </c>
      <c r="D64" s="217">
        <f>ROUND(D63/SUM($C$63:$D$63),4)</f>
        <v>0.25829999999999997</v>
      </c>
      <c r="E64" s="217">
        <v>1</v>
      </c>
    </row>
    <row r="65" spans="1:5">
      <c r="A65" s="229">
        <v>59</v>
      </c>
    </row>
    <row r="66" spans="1:5" ht="17.25">
      <c r="A66" s="229">
        <v>60</v>
      </c>
      <c r="B66" s="1553" t="s">
        <v>1618</v>
      </c>
      <c r="C66" s="1553"/>
      <c r="D66" s="1553"/>
      <c r="E66" s="1553"/>
    </row>
    <row r="67" spans="1:5">
      <c r="A67" s="229">
        <v>63</v>
      </c>
    </row>
    <row r="68" spans="1:5">
      <c r="A68" s="229">
        <v>64</v>
      </c>
    </row>
    <row r="69" spans="1:5">
      <c r="A69" s="229">
        <v>65</v>
      </c>
      <c r="B69" s="215" t="s">
        <v>693</v>
      </c>
      <c r="C69" s="204"/>
      <c r="D69" s="198"/>
    </row>
    <row r="70" spans="1:5">
      <c r="A70" s="229">
        <v>67</v>
      </c>
      <c r="C70" s="199" t="s">
        <v>1495</v>
      </c>
      <c r="D70" s="199" t="s">
        <v>1496</v>
      </c>
      <c r="E70" s="196" t="s">
        <v>294</v>
      </c>
    </row>
    <row r="71" spans="1:5" ht="17.25">
      <c r="A71" s="229">
        <v>68</v>
      </c>
      <c r="B71" s="199" t="s">
        <v>1619</v>
      </c>
      <c r="C71" s="203">
        <v>375260464</v>
      </c>
      <c r="D71" s="203">
        <v>113099946</v>
      </c>
      <c r="E71" s="206">
        <f>SUM(C71:D71)</f>
        <v>488360410</v>
      </c>
    </row>
    <row r="72" spans="1:5">
      <c r="A72" s="229">
        <v>69</v>
      </c>
      <c r="B72" s="216" t="s">
        <v>1614</v>
      </c>
      <c r="C72" s="230">
        <f>ROUND(C71/SUM($C$71:$D$71),4)</f>
        <v>0.76839999999999997</v>
      </c>
      <c r="D72" s="230">
        <f>ROUND(D71/SUM($C$71:$D$71),4)</f>
        <v>0.2316</v>
      </c>
      <c r="E72" s="230">
        <f>SUM(C72:D72)</f>
        <v>1</v>
      </c>
    </row>
    <row r="73" spans="1:5">
      <c r="A73" s="229">
        <v>70</v>
      </c>
    </row>
    <row r="74" spans="1:5" ht="17.25">
      <c r="A74" s="229">
        <v>71</v>
      </c>
      <c r="B74" s="1553" t="s">
        <v>1620</v>
      </c>
      <c r="C74" s="1553"/>
      <c r="D74" s="1553"/>
      <c r="E74" s="1553"/>
    </row>
  </sheetData>
  <mergeCells count="10">
    <mergeCell ref="B66:E66"/>
    <mergeCell ref="B74:E74"/>
    <mergeCell ref="B39:E39"/>
    <mergeCell ref="B40:E40"/>
    <mergeCell ref="A1:E1"/>
    <mergeCell ref="A4:E4"/>
    <mergeCell ref="A5:E5"/>
    <mergeCell ref="A6:E6"/>
    <mergeCell ref="A3:E3"/>
    <mergeCell ref="A2:E2"/>
  </mergeCells>
  <phoneticPr fontId="124" type="noConversion"/>
  <dataValidations count="1">
    <dataValidation type="list" allowBlank="1" showInputMessage="1" showErrorMessage="1" sqref="B7" xr:uid="{D9BB3C17-D7A4-4B0C-835C-081124E5F635}">
      <formula1>$W$4:$W$7</formula1>
    </dataValidation>
  </dataValidations>
  <printOptions horizontalCentered="1"/>
  <pageMargins left="0.31" right="0.3" top="1" bottom="1" header="0.5" footer="0.5"/>
  <pageSetup fitToHeight="0" orientation="portrait" r:id="rId1"/>
  <headerFooter scaleWithDoc="0" alignWithMargins="0">
    <oddHeader>&amp;RPage &amp;P of &amp;N</oddHeader>
    <oddFooter>&amp;LElectronic Tab Name: &amp;A</oddFooter>
  </headerFooter>
  <ignoredErrors>
    <ignoredError sqref="O7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64">
    <tabColor theme="7" tint="0.79998168889431442"/>
    <pageSetUpPr fitToPage="1"/>
  </sheetPr>
  <dimension ref="A1:H13"/>
  <sheetViews>
    <sheetView view="pageBreakPreview" zoomScale="80" zoomScaleNormal="100" zoomScaleSheetLayoutView="80" workbookViewId="0">
      <selection activeCell="F12" sqref="F12"/>
    </sheetView>
  </sheetViews>
  <sheetFormatPr defaultColWidth="8.85546875" defaultRowHeight="15"/>
  <cols>
    <col min="1" max="1" width="6.7109375" style="275" bestFit="1" customWidth="1"/>
    <col min="2" max="2" width="24.42578125" style="113" bestFit="1" customWidth="1"/>
    <col min="3" max="3" width="20.42578125" style="113" bestFit="1" customWidth="1"/>
    <col min="4" max="4" width="33.42578125" style="113" bestFit="1" customWidth="1"/>
    <col min="5" max="16384" width="8.85546875" style="113"/>
  </cols>
  <sheetData>
    <row r="1" spans="1:8">
      <c r="A1" s="1505" t="str">
        <f>Company</f>
        <v>Cascade Natural Gas Corp.</v>
      </c>
      <c r="B1" s="1505"/>
      <c r="C1" s="1505"/>
      <c r="D1" s="1505"/>
      <c r="E1" s="209"/>
      <c r="F1" s="209"/>
      <c r="G1" s="209"/>
      <c r="H1" s="209"/>
    </row>
    <row r="2" spans="1:8">
      <c r="A2" s="1505" t="str">
        <f>Title1</f>
        <v>Washington Jurisdiction</v>
      </c>
      <c r="B2" s="1505"/>
      <c r="C2" s="1505"/>
      <c r="D2" s="1505"/>
      <c r="E2" s="209"/>
      <c r="F2" s="209"/>
      <c r="G2" s="209"/>
      <c r="H2" s="209"/>
    </row>
    <row r="3" spans="1:8">
      <c r="A3" s="1505" t="str">
        <f>Title2</f>
        <v>Twelve-Months ended December 31, 2020</v>
      </c>
      <c r="B3" s="1505"/>
      <c r="C3" s="1505"/>
      <c r="D3" s="1505"/>
      <c r="E3" s="209"/>
      <c r="F3" s="209"/>
      <c r="G3" s="209"/>
      <c r="H3" s="209"/>
    </row>
    <row r="4" spans="1:8">
      <c r="A4" s="1505" t="str">
        <f>Title8</f>
        <v>UG-21____</v>
      </c>
      <c r="B4" s="1505"/>
      <c r="C4" s="1505"/>
      <c r="D4" s="1505"/>
      <c r="E4" s="209"/>
      <c r="F4" s="209"/>
      <c r="G4" s="209"/>
      <c r="H4" s="209"/>
    </row>
    <row r="5" spans="1:8">
      <c r="A5" s="1505" t="s">
        <v>1126</v>
      </c>
      <c r="B5" s="1505"/>
      <c r="C5" s="1505"/>
      <c r="D5" s="1505"/>
      <c r="E5" s="209"/>
      <c r="F5" s="209"/>
      <c r="G5" s="209"/>
      <c r="H5" s="209"/>
    </row>
    <row r="6" spans="1:8">
      <c r="A6" s="1505" t="s">
        <v>1125</v>
      </c>
      <c r="B6" s="1505"/>
      <c r="C6" s="1505"/>
      <c r="D6" s="1505"/>
      <c r="E6" s="467"/>
      <c r="F6" s="467"/>
      <c r="G6" s="467"/>
      <c r="H6" s="467"/>
    </row>
    <row r="8" spans="1:8" ht="30">
      <c r="A8" s="334" t="s">
        <v>8</v>
      </c>
      <c r="B8" s="334" t="s">
        <v>9</v>
      </c>
      <c r="C8" s="334" t="s">
        <v>1597</v>
      </c>
      <c r="D8" s="334" t="s">
        <v>1621</v>
      </c>
    </row>
    <row r="9" spans="1:8">
      <c r="A9" s="245"/>
      <c r="B9" s="245" t="s">
        <v>2</v>
      </c>
      <c r="C9" s="245" t="s">
        <v>3</v>
      </c>
      <c r="D9" s="245" t="s">
        <v>4</v>
      </c>
    </row>
    <row r="10" spans="1:8">
      <c r="A10" s="1209">
        <v>1</v>
      </c>
      <c r="B10" s="109" t="s">
        <v>239</v>
      </c>
      <c r="C10" s="1391">
        <f>'Exh IDM-2, Proof of Revenue'!Y507</f>
        <v>1422143</v>
      </c>
      <c r="D10" s="477" t="s">
        <v>1622</v>
      </c>
    </row>
    <row r="11" spans="1:8">
      <c r="A11" s="1209">
        <v>2</v>
      </c>
      <c r="B11" s="109" t="s">
        <v>240</v>
      </c>
      <c r="C11" s="476">
        <f>'Exh IDM-2, Proof of Revenue'!Y508</f>
        <v>-2264943.2999999989</v>
      </c>
      <c r="D11" s="477" t="s">
        <v>1623</v>
      </c>
    </row>
    <row r="12" spans="1:8" ht="15.75" thickBot="1">
      <c r="A12" s="1209">
        <v>3</v>
      </c>
      <c r="B12" s="109" t="s">
        <v>243</v>
      </c>
      <c r="C12" s="478">
        <f>+C10+C11</f>
        <v>-842800.29999999888</v>
      </c>
      <c r="D12" s="477" t="s">
        <v>1624</v>
      </c>
    </row>
    <row r="13" spans="1:8" ht="15.75" thickTop="1">
      <c r="A13" s="1209"/>
    </row>
  </sheetData>
  <mergeCells count="6">
    <mergeCell ref="A1:D1"/>
    <mergeCell ref="A4:D4"/>
    <mergeCell ref="A5:D5"/>
    <mergeCell ref="A6:D6"/>
    <mergeCell ref="A3:D3"/>
    <mergeCell ref="A2:D2"/>
  </mergeCells>
  <printOptions horizontalCentered="1"/>
  <pageMargins left="0.31" right="0.3" top="1" bottom="1" header="0.5" footer="0.5"/>
  <pageSetup fitToHeight="0" orientation="portrait" r:id="rId1"/>
  <headerFooter scaleWithDoc="0" alignWithMargins="0">
    <oddHeader>&amp;RPage &amp;P of &amp;N</oddHeader>
    <oddFooter>&amp;LElectronic Tab Name: &amp;A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>
    <tabColor theme="7" tint="0.79998168889431442"/>
    <pageSetUpPr fitToPage="1"/>
  </sheetPr>
  <dimension ref="A1:F91"/>
  <sheetViews>
    <sheetView showGridLines="0" view="pageBreakPreview" topLeftCell="A4" zoomScale="80" zoomScaleNormal="100" zoomScaleSheetLayoutView="80" workbookViewId="0">
      <selection activeCell="H11" sqref="H11"/>
    </sheetView>
  </sheetViews>
  <sheetFormatPr defaultColWidth="9.140625" defaultRowHeight="15"/>
  <cols>
    <col min="1" max="1" width="6" style="275" customWidth="1"/>
    <col min="2" max="2" width="41.85546875" style="113" bestFit="1" customWidth="1"/>
    <col min="3" max="3" width="33.7109375" style="113" bestFit="1" customWidth="1"/>
    <col min="4" max="4" width="13.42578125" style="113" bestFit="1" customWidth="1"/>
    <col min="5" max="5" width="14" style="113" bestFit="1" customWidth="1"/>
    <col min="6" max="6" width="14.42578125" style="113" bestFit="1" customWidth="1"/>
    <col min="7" max="16384" width="9.140625" style="113"/>
  </cols>
  <sheetData>
    <row r="1" spans="1:6">
      <c r="A1" s="1557" t="str">
        <f>Company</f>
        <v>Cascade Natural Gas Corp.</v>
      </c>
      <c r="B1" s="1557"/>
      <c r="C1" s="1557"/>
      <c r="D1" s="1557"/>
      <c r="E1" s="1557"/>
      <c r="F1" s="1557"/>
    </row>
    <row r="2" spans="1:6">
      <c r="A2" s="1557" t="str">
        <f>Title1</f>
        <v>Washington Jurisdiction</v>
      </c>
      <c r="B2" s="1557"/>
      <c r="C2" s="1557"/>
      <c r="D2" s="1557"/>
      <c r="E2" s="1557"/>
      <c r="F2" s="1557"/>
    </row>
    <row r="3" spans="1:6">
      <c r="A3" s="1557" t="str">
        <f>Title2</f>
        <v>Twelve-Months ended December 31, 2020</v>
      </c>
      <c r="B3" s="1557"/>
      <c r="C3" s="1557"/>
      <c r="D3" s="1557"/>
      <c r="E3" s="1557"/>
      <c r="F3" s="1557"/>
    </row>
    <row r="4" spans="1:6">
      <c r="A4" s="1557" t="str">
        <f>Title8</f>
        <v>UG-21____</v>
      </c>
      <c r="B4" s="1557"/>
      <c r="C4" s="1557"/>
      <c r="D4" s="1557"/>
      <c r="E4" s="1557"/>
      <c r="F4" s="1557"/>
    </row>
    <row r="5" spans="1:6">
      <c r="A5" s="1557" t="s">
        <v>1128</v>
      </c>
      <c r="B5" s="1557"/>
      <c r="C5" s="1557"/>
      <c r="D5" s="1557"/>
      <c r="E5" s="1557"/>
      <c r="F5" s="1557"/>
    </row>
    <row r="6" spans="1:6">
      <c r="A6" s="1557" t="s">
        <v>1127</v>
      </c>
      <c r="B6" s="1557"/>
      <c r="C6" s="1557"/>
      <c r="D6" s="1557"/>
      <c r="E6" s="1557"/>
      <c r="F6" s="1557"/>
    </row>
    <row r="7" spans="1:6">
      <c r="A7" s="1209"/>
      <c r="B7" s="1220"/>
      <c r="C7" s="1220"/>
      <c r="D7" s="1220"/>
      <c r="E7" s="1220"/>
      <c r="F7" s="1220"/>
    </row>
    <row r="8" spans="1:6" ht="30">
      <c r="A8" s="334" t="s">
        <v>8</v>
      </c>
      <c r="B8" s="151" t="s">
        <v>9</v>
      </c>
      <c r="C8" s="151" t="s">
        <v>1</v>
      </c>
      <c r="D8" s="151" t="s">
        <v>1597</v>
      </c>
      <c r="E8" s="151" t="s">
        <v>1625</v>
      </c>
      <c r="F8" s="151" t="s">
        <v>1626</v>
      </c>
    </row>
    <row r="9" spans="1:6">
      <c r="A9" s="245"/>
      <c r="B9" s="1210" t="s">
        <v>2</v>
      </c>
      <c r="C9" s="1210" t="s">
        <v>3</v>
      </c>
      <c r="D9" s="1210" t="s">
        <v>4</v>
      </c>
      <c r="E9" s="1210" t="s">
        <v>5</v>
      </c>
      <c r="F9" s="1210" t="s">
        <v>6</v>
      </c>
    </row>
    <row r="10" spans="1:6">
      <c r="A10" s="1209">
        <v>1</v>
      </c>
      <c r="B10" s="1"/>
      <c r="C10" s="1"/>
      <c r="D10" s="1225"/>
      <c r="E10" s="469"/>
      <c r="F10" s="1225"/>
    </row>
    <row r="11" spans="1:6">
      <c r="A11" s="1209">
        <v>2</v>
      </c>
      <c r="B11" s="1" t="s">
        <v>1627</v>
      </c>
      <c r="C11" s="1"/>
      <c r="D11" s="1225"/>
      <c r="E11" s="470">
        <f>IF(A2="Washington Jurisdiction", 'State Allocators'!C14, 'State Allocators'!D14)</f>
        <v>0.74890000000000001</v>
      </c>
      <c r="F11" s="471"/>
    </row>
    <row r="12" spans="1:6">
      <c r="A12" s="1209">
        <v>3</v>
      </c>
      <c r="B12" s="1"/>
      <c r="C12" s="1"/>
      <c r="D12" s="1225"/>
      <c r="E12" s="470"/>
      <c r="F12" s="1225"/>
    </row>
    <row r="13" spans="1:6" ht="15.75" thickBot="1">
      <c r="A13" s="1209">
        <v>4</v>
      </c>
      <c r="B13" s="176" t="s">
        <v>1127</v>
      </c>
      <c r="C13" s="176"/>
      <c r="D13" s="472">
        <f>E19+F19+E91+F91</f>
        <v>136535.97999999986</v>
      </c>
      <c r="E13" s="470"/>
      <c r="F13" s="1225"/>
    </row>
    <row r="14" spans="1:6" ht="15.75" thickTop="1">
      <c r="A14" s="1209">
        <v>5</v>
      </c>
      <c r="B14" s="1"/>
      <c r="C14" s="1"/>
      <c r="D14" s="1225"/>
      <c r="E14" s="469"/>
      <c r="F14" s="1225"/>
    </row>
    <row r="15" spans="1:6">
      <c r="A15" s="1209">
        <v>6</v>
      </c>
      <c r="B15" s="169" t="s">
        <v>1628</v>
      </c>
      <c r="C15" s="1"/>
      <c r="D15" s="1225"/>
      <c r="E15" s="469"/>
      <c r="F15" s="1225"/>
    </row>
    <row r="16" spans="1:6">
      <c r="A16" s="1209">
        <v>7</v>
      </c>
      <c r="B16" s="113" t="s">
        <v>1629</v>
      </c>
      <c r="C16" s="39" t="s">
        <v>1630</v>
      </c>
      <c r="D16" s="224">
        <v>350</v>
      </c>
      <c r="E16" s="358">
        <v>0</v>
      </c>
      <c r="F16" s="358">
        <f>D16</f>
        <v>350</v>
      </c>
    </row>
    <row r="17" spans="1:6">
      <c r="A17" s="1209">
        <v>8</v>
      </c>
      <c r="D17" s="224">
        <v>0</v>
      </c>
      <c r="E17" s="358">
        <v>0</v>
      </c>
      <c r="F17" s="358">
        <f>D17</f>
        <v>0</v>
      </c>
    </row>
    <row r="18" spans="1:6">
      <c r="A18" s="1209">
        <v>9</v>
      </c>
      <c r="D18" s="224">
        <v>0</v>
      </c>
      <c r="E18" s="358">
        <v>0</v>
      </c>
      <c r="F18" s="358">
        <f>D18</f>
        <v>0</v>
      </c>
    </row>
    <row r="19" spans="1:6">
      <c r="A19" s="1209">
        <v>10</v>
      </c>
      <c r="B19" s="185" t="s">
        <v>1631</v>
      </c>
      <c r="C19" s="473"/>
      <c r="D19" s="713">
        <f>SUM(D16:D18)</f>
        <v>350</v>
      </c>
      <c r="E19" s="713">
        <f>SUM(E16:E18)</f>
        <v>0</v>
      </c>
      <c r="F19" s="713">
        <f>SUM(F16:F18)</f>
        <v>350</v>
      </c>
    </row>
    <row r="20" spans="1:6">
      <c r="A20" s="1209">
        <v>11</v>
      </c>
      <c r="B20" s="1"/>
      <c r="C20" s="1"/>
      <c r="D20" s="96"/>
      <c r="E20" s="96"/>
      <c r="F20" s="96"/>
    </row>
    <row r="21" spans="1:6">
      <c r="A21" s="1209">
        <v>12</v>
      </c>
      <c r="B21" s="1225"/>
      <c r="C21" s="1225"/>
      <c r="D21" s="85"/>
      <c r="E21" s="85"/>
      <c r="F21" s="85"/>
    </row>
    <row r="22" spans="1:6">
      <c r="A22" s="1209">
        <v>13</v>
      </c>
      <c r="B22" s="169" t="s">
        <v>1632</v>
      </c>
      <c r="D22" s="85"/>
      <c r="E22" s="85"/>
      <c r="F22" s="85"/>
    </row>
    <row r="23" spans="1:6">
      <c r="A23" s="1209">
        <v>14</v>
      </c>
      <c r="B23" s="113" t="s">
        <v>1633</v>
      </c>
      <c r="C23" s="113" t="s">
        <v>1634</v>
      </c>
      <c r="D23" s="224">
        <v>250</v>
      </c>
      <c r="E23" s="358"/>
      <c r="F23" s="358">
        <f>D23</f>
        <v>250</v>
      </c>
    </row>
    <row r="24" spans="1:6">
      <c r="A24" s="1209">
        <v>15</v>
      </c>
      <c r="B24" s="113" t="s">
        <v>1635</v>
      </c>
      <c r="C24" s="113" t="s">
        <v>1636</v>
      </c>
      <c r="D24" s="224">
        <v>500</v>
      </c>
      <c r="E24" s="358"/>
      <c r="F24" s="358">
        <f>D24</f>
        <v>500</v>
      </c>
    </row>
    <row r="25" spans="1:6">
      <c r="A25" s="1209">
        <v>16</v>
      </c>
      <c r="B25" s="113" t="s">
        <v>1637</v>
      </c>
      <c r="C25" s="113" t="s">
        <v>1638</v>
      </c>
      <c r="D25" s="224">
        <v>200</v>
      </c>
      <c r="E25" s="358"/>
      <c r="F25" s="358">
        <f>D25</f>
        <v>200</v>
      </c>
    </row>
    <row r="26" spans="1:6">
      <c r="A26" s="1209">
        <v>17</v>
      </c>
      <c r="B26" s="113" t="s">
        <v>1639</v>
      </c>
      <c r="C26" s="113" t="s">
        <v>1640</v>
      </c>
      <c r="D26" s="224">
        <v>65</v>
      </c>
      <c r="E26" s="358"/>
      <c r="F26" s="358">
        <f>D26</f>
        <v>65</v>
      </c>
    </row>
    <row r="27" spans="1:6">
      <c r="A27" s="1209">
        <v>18</v>
      </c>
      <c r="B27" s="113" t="s">
        <v>1641</v>
      </c>
      <c r="C27" s="113" t="s">
        <v>1642</v>
      </c>
      <c r="D27" s="224">
        <v>65</v>
      </c>
      <c r="E27" s="358"/>
      <c r="F27" s="358">
        <f>D27</f>
        <v>65</v>
      </c>
    </row>
    <row r="28" spans="1:6">
      <c r="A28" s="1209">
        <v>19</v>
      </c>
      <c r="B28" s="113" t="s">
        <v>1643</v>
      </c>
      <c r="C28" s="113" t="s">
        <v>1644</v>
      </c>
      <c r="D28" s="224">
        <v>155000</v>
      </c>
      <c r="E28" s="358">
        <v>116327.49999999999</v>
      </c>
      <c r="F28" s="358"/>
    </row>
    <row r="29" spans="1:6">
      <c r="A29" s="1209">
        <v>20</v>
      </c>
      <c r="B29" s="113" t="s">
        <v>1645</v>
      </c>
      <c r="C29" s="113" t="s">
        <v>1646</v>
      </c>
      <c r="D29" s="224">
        <v>2500</v>
      </c>
      <c r="E29" s="358">
        <v>296.45</v>
      </c>
      <c r="F29" s="358"/>
    </row>
    <row r="30" spans="1:6">
      <c r="A30" s="1209">
        <v>21</v>
      </c>
      <c r="B30" s="113" t="s">
        <v>1645</v>
      </c>
      <c r="C30" s="113" t="s">
        <v>1647</v>
      </c>
      <c r="D30" s="224">
        <v>300</v>
      </c>
      <c r="E30" s="358">
        <v>35.57</v>
      </c>
      <c r="F30" s="358"/>
    </row>
    <row r="31" spans="1:6">
      <c r="A31" s="1209">
        <v>22</v>
      </c>
      <c r="B31" s="113" t="s">
        <v>1645</v>
      </c>
      <c r="C31" s="113" t="s">
        <v>1648</v>
      </c>
      <c r="D31" s="224">
        <v>1000</v>
      </c>
      <c r="E31" s="358">
        <v>118.58</v>
      </c>
      <c r="F31" s="358"/>
    </row>
    <row r="32" spans="1:6">
      <c r="A32" s="1209">
        <v>23</v>
      </c>
      <c r="B32" s="113" t="s">
        <v>1645</v>
      </c>
      <c r="C32" s="113" t="s">
        <v>1649</v>
      </c>
      <c r="D32" s="224">
        <v>5000</v>
      </c>
      <c r="E32" s="358">
        <v>592.9</v>
      </c>
      <c r="F32" s="358"/>
    </row>
    <row r="33" spans="1:6">
      <c r="A33" s="1209">
        <v>24</v>
      </c>
      <c r="B33" s="113" t="s">
        <v>1645</v>
      </c>
      <c r="C33" s="113" t="s">
        <v>1650</v>
      </c>
      <c r="D33" s="224">
        <v>1000</v>
      </c>
      <c r="E33" s="358">
        <v>118.58</v>
      </c>
      <c r="F33" s="358"/>
    </row>
    <row r="34" spans="1:6">
      <c r="A34" s="1209">
        <v>25</v>
      </c>
      <c r="B34" s="113" t="s">
        <v>1645</v>
      </c>
      <c r="C34" s="113" t="s">
        <v>1651</v>
      </c>
      <c r="D34" s="224">
        <v>1000</v>
      </c>
      <c r="E34" s="358">
        <v>118.58</v>
      </c>
      <c r="F34" s="358"/>
    </row>
    <row r="35" spans="1:6">
      <c r="A35" s="1209">
        <v>26</v>
      </c>
      <c r="B35" s="113" t="s">
        <v>1652</v>
      </c>
      <c r="C35" s="113" t="s">
        <v>1653</v>
      </c>
      <c r="D35" s="224">
        <v>2222.2199999999998</v>
      </c>
      <c r="E35" s="358">
        <v>263.51</v>
      </c>
      <c r="F35" s="358"/>
    </row>
    <row r="36" spans="1:6">
      <c r="A36" s="1209">
        <v>27</v>
      </c>
      <c r="B36" s="113" t="s">
        <v>1652</v>
      </c>
      <c r="C36" s="113" t="s">
        <v>1653</v>
      </c>
      <c r="D36" s="224">
        <v>2184</v>
      </c>
      <c r="E36" s="358">
        <v>258.98</v>
      </c>
      <c r="F36" s="358"/>
    </row>
    <row r="37" spans="1:6">
      <c r="A37" s="1209">
        <v>28</v>
      </c>
      <c r="B37" s="113" t="s">
        <v>1652</v>
      </c>
      <c r="C37" s="113" t="s">
        <v>1653</v>
      </c>
      <c r="D37" s="224">
        <v>2302.5100000000002</v>
      </c>
      <c r="E37" s="358">
        <v>273.02999999999997</v>
      </c>
      <c r="F37" s="358"/>
    </row>
    <row r="38" spans="1:6">
      <c r="A38" s="1209">
        <v>29</v>
      </c>
      <c r="B38" s="113" t="s">
        <v>1652</v>
      </c>
      <c r="C38" s="113" t="s">
        <v>1653</v>
      </c>
      <c r="D38" s="224">
        <v>5440.89</v>
      </c>
      <c r="E38" s="358">
        <v>645.16999999999996</v>
      </c>
      <c r="F38" s="358"/>
    </row>
    <row r="39" spans="1:6">
      <c r="A39" s="1209">
        <v>30</v>
      </c>
      <c r="B39" s="113" t="s">
        <v>1652</v>
      </c>
      <c r="C39" s="113" t="s">
        <v>1653</v>
      </c>
      <c r="D39" s="224">
        <v>6232.99</v>
      </c>
      <c r="E39" s="358">
        <v>739.1</v>
      </c>
      <c r="F39" s="358"/>
    </row>
    <row r="40" spans="1:6">
      <c r="A40" s="1209">
        <v>31</v>
      </c>
      <c r="B40" s="113" t="s">
        <v>1652</v>
      </c>
      <c r="C40" s="113" t="s">
        <v>1653</v>
      </c>
      <c r="D40" s="224">
        <v>2600.36</v>
      </c>
      <c r="E40" s="358">
        <v>308.35000000000002</v>
      </c>
      <c r="F40" s="358"/>
    </row>
    <row r="41" spans="1:6">
      <c r="A41" s="1209">
        <v>32</v>
      </c>
      <c r="B41" s="113" t="s">
        <v>1652</v>
      </c>
      <c r="C41" s="113" t="s">
        <v>1653</v>
      </c>
      <c r="D41" s="224">
        <v>1191.4000000000001</v>
      </c>
      <c r="E41" s="358">
        <v>141.27000000000001</v>
      </c>
      <c r="F41" s="358"/>
    </row>
    <row r="42" spans="1:6">
      <c r="A42" s="1209">
        <v>33</v>
      </c>
      <c r="B42" s="113" t="s">
        <v>1654</v>
      </c>
      <c r="C42" s="113" t="s">
        <v>1655</v>
      </c>
      <c r="D42" s="224">
        <v>370</v>
      </c>
      <c r="E42" s="358">
        <v>43.87</v>
      </c>
      <c r="F42" s="358"/>
    </row>
    <row r="43" spans="1:6">
      <c r="A43" s="1209">
        <v>34</v>
      </c>
      <c r="B43" s="113" t="s">
        <v>1654</v>
      </c>
      <c r="C43" s="113" t="s">
        <v>1656</v>
      </c>
      <c r="D43" s="224">
        <v>1487.5</v>
      </c>
      <c r="E43" s="358">
        <v>176.39</v>
      </c>
      <c r="F43" s="358"/>
    </row>
    <row r="44" spans="1:6">
      <c r="A44" s="1209">
        <v>35</v>
      </c>
      <c r="B44" s="113" t="s">
        <v>1654</v>
      </c>
      <c r="C44" s="113" t="s">
        <v>1657</v>
      </c>
      <c r="D44" s="224">
        <v>2240</v>
      </c>
      <c r="E44" s="358">
        <v>265.62</v>
      </c>
      <c r="F44" s="358"/>
    </row>
    <row r="45" spans="1:6">
      <c r="A45" s="1209">
        <v>36</v>
      </c>
      <c r="B45" s="113" t="s">
        <v>1658</v>
      </c>
      <c r="C45" s="113" t="s">
        <v>1659</v>
      </c>
      <c r="D45" s="224">
        <v>350</v>
      </c>
      <c r="E45" s="358">
        <v>41.5</v>
      </c>
      <c r="F45" s="358"/>
    </row>
    <row r="46" spans="1:6">
      <c r="A46" s="1209">
        <v>37</v>
      </c>
      <c r="B46" s="113" t="s">
        <v>1660</v>
      </c>
      <c r="C46" s="113" t="s">
        <v>1661</v>
      </c>
      <c r="D46" s="224">
        <v>2417.14</v>
      </c>
      <c r="E46" s="358">
        <v>286.62</v>
      </c>
      <c r="F46" s="358"/>
    </row>
    <row r="47" spans="1:6">
      <c r="A47" s="1209">
        <v>38</v>
      </c>
      <c r="B47" s="113" t="s">
        <v>1660</v>
      </c>
      <c r="C47" s="113" t="s">
        <v>1661</v>
      </c>
      <c r="D47" s="224">
        <v>749</v>
      </c>
      <c r="E47" s="358">
        <v>88.81</v>
      </c>
      <c r="F47" s="358"/>
    </row>
    <row r="48" spans="1:6">
      <c r="A48" s="1209">
        <v>39</v>
      </c>
      <c r="B48" s="113" t="s">
        <v>1660</v>
      </c>
      <c r="C48" s="113" t="s">
        <v>1661</v>
      </c>
      <c r="D48" s="224">
        <v>1605</v>
      </c>
      <c r="E48" s="358">
        <v>190.32</v>
      </c>
      <c r="F48" s="358"/>
    </row>
    <row r="49" spans="1:6">
      <c r="A49" s="1209">
        <v>40</v>
      </c>
      <c r="B49" s="113" t="s">
        <v>1660</v>
      </c>
      <c r="C49" s="113" t="s">
        <v>1661</v>
      </c>
      <c r="D49" s="224">
        <v>975.84</v>
      </c>
      <c r="E49" s="358">
        <v>115.71</v>
      </c>
      <c r="F49" s="358"/>
    </row>
    <row r="50" spans="1:6">
      <c r="A50" s="1209">
        <v>41</v>
      </c>
      <c r="B50" s="113" t="s">
        <v>1662</v>
      </c>
      <c r="C50" s="113" t="s">
        <v>1661</v>
      </c>
      <c r="D50" s="224">
        <v>5911.76</v>
      </c>
      <c r="E50" s="358">
        <v>701.01</v>
      </c>
      <c r="F50" s="358"/>
    </row>
    <row r="51" spans="1:6">
      <c r="A51" s="1209">
        <v>42</v>
      </c>
      <c r="B51" s="113" t="s">
        <v>1663</v>
      </c>
      <c r="C51" s="113" t="s">
        <v>1664</v>
      </c>
      <c r="D51" s="224">
        <v>10000</v>
      </c>
      <c r="E51" s="358">
        <v>1185.79</v>
      </c>
      <c r="F51" s="358"/>
    </row>
    <row r="52" spans="1:6">
      <c r="A52" s="1209">
        <v>43</v>
      </c>
      <c r="B52" s="113" t="s">
        <v>1665</v>
      </c>
      <c r="C52" s="113" t="s">
        <v>1666</v>
      </c>
      <c r="D52" s="224">
        <v>-31.35</v>
      </c>
      <c r="E52" s="358">
        <v>-3.71</v>
      </c>
      <c r="F52" s="358"/>
    </row>
    <row r="53" spans="1:6">
      <c r="A53" s="1209">
        <v>44</v>
      </c>
      <c r="B53" s="113" t="s">
        <v>1667</v>
      </c>
      <c r="C53" s="113" t="s">
        <v>1666</v>
      </c>
      <c r="D53" s="224">
        <v>-2.5299999999999998</v>
      </c>
      <c r="E53" s="358">
        <v>-0.3</v>
      </c>
      <c r="F53" s="358"/>
    </row>
    <row r="54" spans="1:6">
      <c r="A54" s="1209">
        <v>45</v>
      </c>
      <c r="B54" s="113" t="s">
        <v>1668</v>
      </c>
      <c r="C54" s="113" t="s">
        <v>1666</v>
      </c>
      <c r="D54" s="224">
        <v>-1.89</v>
      </c>
      <c r="E54" s="358">
        <v>-0.23</v>
      </c>
      <c r="F54" s="358"/>
    </row>
    <row r="55" spans="1:6">
      <c r="A55" s="1209">
        <v>46</v>
      </c>
      <c r="B55" s="113" t="s">
        <v>1669</v>
      </c>
      <c r="C55" s="113" t="s">
        <v>1670</v>
      </c>
      <c r="D55" s="224">
        <v>1095</v>
      </c>
      <c r="E55" s="358">
        <v>129.84</v>
      </c>
      <c r="F55" s="358"/>
    </row>
    <row r="56" spans="1:6">
      <c r="A56" s="1209">
        <v>47</v>
      </c>
      <c r="B56" s="113" t="s">
        <v>1671</v>
      </c>
      <c r="C56" s="113" t="s">
        <v>1672</v>
      </c>
      <c r="D56" s="224">
        <v>500</v>
      </c>
      <c r="E56" s="358">
        <v>59.29</v>
      </c>
      <c r="F56" s="358"/>
    </row>
    <row r="57" spans="1:6">
      <c r="A57" s="1209">
        <v>48</v>
      </c>
      <c r="B57" s="113" t="s">
        <v>1673</v>
      </c>
      <c r="C57" s="113" t="s">
        <v>1674</v>
      </c>
      <c r="D57" s="224">
        <v>960</v>
      </c>
      <c r="E57" s="358">
        <v>113.84</v>
      </c>
      <c r="F57" s="358"/>
    </row>
    <row r="58" spans="1:6">
      <c r="A58" s="1209">
        <v>49</v>
      </c>
      <c r="B58" s="113" t="s">
        <v>1675</v>
      </c>
      <c r="C58" s="113" t="s">
        <v>1676</v>
      </c>
      <c r="D58" s="224">
        <v>500</v>
      </c>
      <c r="E58" s="358">
        <v>59.29</v>
      </c>
      <c r="F58" s="358"/>
    </row>
    <row r="59" spans="1:6">
      <c r="A59" s="1209">
        <v>50</v>
      </c>
      <c r="B59" s="113" t="s">
        <v>1677</v>
      </c>
      <c r="C59" s="113" t="s">
        <v>1678</v>
      </c>
      <c r="D59" s="224">
        <v>600</v>
      </c>
      <c r="E59" s="358">
        <v>71.150000000000006</v>
      </c>
      <c r="F59" s="358"/>
    </row>
    <row r="60" spans="1:6">
      <c r="A60" s="1209">
        <v>51</v>
      </c>
      <c r="B60" s="113" t="s">
        <v>1679</v>
      </c>
      <c r="C60" s="113" t="s">
        <v>1680</v>
      </c>
      <c r="D60" s="224">
        <v>500</v>
      </c>
      <c r="E60" s="358">
        <v>59.29</v>
      </c>
      <c r="F60" s="358"/>
    </row>
    <row r="61" spans="1:6">
      <c r="A61" s="1209">
        <v>52</v>
      </c>
      <c r="B61" s="113" t="s">
        <v>1681</v>
      </c>
      <c r="C61" s="113" t="s">
        <v>1682</v>
      </c>
      <c r="D61" s="224">
        <v>20000</v>
      </c>
      <c r="E61" s="358">
        <v>2371.58</v>
      </c>
      <c r="F61" s="358"/>
    </row>
    <row r="62" spans="1:6">
      <c r="A62" s="1209">
        <v>53</v>
      </c>
      <c r="B62" s="113" t="s">
        <v>1683</v>
      </c>
      <c r="C62" s="113" t="s">
        <v>1684</v>
      </c>
      <c r="D62" s="224">
        <v>400</v>
      </c>
      <c r="E62" s="358">
        <v>47.43</v>
      </c>
      <c r="F62" s="358"/>
    </row>
    <row r="63" spans="1:6">
      <c r="A63" s="1209">
        <v>54</v>
      </c>
      <c r="B63" s="113" t="s">
        <v>1685</v>
      </c>
      <c r="C63" s="113" t="s">
        <v>1686</v>
      </c>
      <c r="D63" s="224">
        <v>-1000</v>
      </c>
      <c r="E63" s="358">
        <v>-118.58</v>
      </c>
      <c r="F63" s="358"/>
    </row>
    <row r="64" spans="1:6">
      <c r="A64" s="1209">
        <v>55</v>
      </c>
      <c r="B64" s="113" t="s">
        <v>1687</v>
      </c>
      <c r="C64" s="113" t="s">
        <v>1688</v>
      </c>
      <c r="D64" s="224">
        <v>53</v>
      </c>
      <c r="E64" s="358">
        <v>6.28</v>
      </c>
      <c r="F64" s="358"/>
    </row>
    <row r="65" spans="1:6">
      <c r="A65" s="1209">
        <v>56</v>
      </c>
      <c r="B65" s="113" t="s">
        <v>1689</v>
      </c>
      <c r="C65" s="113" t="s">
        <v>1690</v>
      </c>
      <c r="D65" s="224">
        <v>425</v>
      </c>
      <c r="E65" s="358">
        <v>50.4</v>
      </c>
      <c r="F65" s="358"/>
    </row>
    <row r="66" spans="1:6">
      <c r="A66" s="1209">
        <v>57</v>
      </c>
      <c r="B66" s="113" t="s">
        <v>1691</v>
      </c>
      <c r="C66" s="113" t="s">
        <v>1690</v>
      </c>
      <c r="D66" s="224">
        <v>5000</v>
      </c>
      <c r="E66" s="358">
        <v>592.9</v>
      </c>
      <c r="F66" s="358"/>
    </row>
    <row r="67" spans="1:6">
      <c r="A67" s="1209">
        <v>58</v>
      </c>
      <c r="B67" s="113" t="s">
        <v>1692</v>
      </c>
      <c r="C67" s="113" t="s">
        <v>1693</v>
      </c>
      <c r="D67" s="224">
        <v>1350</v>
      </c>
      <c r="E67" s="358">
        <v>160.08000000000001</v>
      </c>
      <c r="F67" s="358"/>
    </row>
    <row r="68" spans="1:6">
      <c r="A68" s="1209">
        <v>59</v>
      </c>
      <c r="B68" s="113" t="s">
        <v>1694</v>
      </c>
      <c r="C68" s="113" t="s">
        <v>1695</v>
      </c>
      <c r="D68" s="224">
        <v>5000</v>
      </c>
      <c r="E68" s="358">
        <v>592.9</v>
      </c>
      <c r="F68" s="358"/>
    </row>
    <row r="69" spans="1:6">
      <c r="A69" s="1209">
        <v>60</v>
      </c>
      <c r="B69" s="113" t="s">
        <v>1696</v>
      </c>
      <c r="C69" s="113" t="s">
        <v>1676</v>
      </c>
      <c r="D69" s="224">
        <v>550</v>
      </c>
      <c r="E69" s="358">
        <v>65.22</v>
      </c>
      <c r="F69" s="358"/>
    </row>
    <row r="70" spans="1:6">
      <c r="A70" s="1209">
        <v>61</v>
      </c>
      <c r="B70" s="113" t="s">
        <v>1697</v>
      </c>
      <c r="C70" s="113" t="s">
        <v>1698</v>
      </c>
      <c r="D70" s="224">
        <v>400</v>
      </c>
      <c r="E70" s="358">
        <v>47.43</v>
      </c>
      <c r="F70" s="358"/>
    </row>
    <row r="71" spans="1:6">
      <c r="A71" s="1209">
        <v>62</v>
      </c>
      <c r="B71" s="113" t="s">
        <v>1699</v>
      </c>
      <c r="C71" s="113" t="s">
        <v>1700</v>
      </c>
      <c r="D71" s="224">
        <v>2500</v>
      </c>
      <c r="E71" s="358">
        <v>296.45</v>
      </c>
      <c r="F71" s="358"/>
    </row>
    <row r="72" spans="1:6">
      <c r="A72" s="1209">
        <v>63</v>
      </c>
      <c r="B72" s="113" t="s">
        <v>1701</v>
      </c>
      <c r="C72" s="113" t="s">
        <v>1702</v>
      </c>
      <c r="D72" s="224">
        <v>126.29</v>
      </c>
      <c r="E72" s="358">
        <v>14.97</v>
      </c>
      <c r="F72" s="358"/>
    </row>
    <row r="73" spans="1:6">
      <c r="A73" s="1209">
        <v>64</v>
      </c>
      <c r="B73" s="113" t="s">
        <v>1703</v>
      </c>
      <c r="C73" s="113" t="s">
        <v>1702</v>
      </c>
      <c r="D73" s="224">
        <v>1283.3900000000001</v>
      </c>
      <c r="E73" s="358">
        <v>152.19</v>
      </c>
      <c r="F73" s="358"/>
    </row>
    <row r="74" spans="1:6">
      <c r="A74" s="1209">
        <v>65</v>
      </c>
      <c r="B74" s="113" t="s">
        <v>1704</v>
      </c>
      <c r="C74" s="113" t="s">
        <v>1705</v>
      </c>
      <c r="D74" s="224">
        <v>16000</v>
      </c>
      <c r="E74" s="358">
        <v>1897.26</v>
      </c>
      <c r="F74" s="358"/>
    </row>
    <row r="75" spans="1:6">
      <c r="A75" s="1209">
        <v>66</v>
      </c>
      <c r="B75" s="113" t="s">
        <v>1706</v>
      </c>
      <c r="C75" s="113" t="s">
        <v>1707</v>
      </c>
      <c r="D75" s="224">
        <v>1500</v>
      </c>
      <c r="E75" s="358">
        <v>177.87</v>
      </c>
      <c r="F75" s="358"/>
    </row>
    <row r="76" spans="1:6">
      <c r="A76" s="1209">
        <v>67</v>
      </c>
      <c r="B76" s="113" t="s">
        <v>1708</v>
      </c>
      <c r="C76" s="113" t="s">
        <v>1709</v>
      </c>
      <c r="D76" s="224">
        <v>1000</v>
      </c>
      <c r="E76" s="358">
        <v>118.58</v>
      </c>
      <c r="F76" s="358"/>
    </row>
    <row r="77" spans="1:6">
      <c r="A77" s="1209">
        <v>68</v>
      </c>
      <c r="B77" s="113" t="s">
        <v>1710</v>
      </c>
      <c r="C77" s="113" t="s">
        <v>1711</v>
      </c>
      <c r="D77" s="224">
        <v>229</v>
      </c>
      <c r="E77" s="358">
        <v>27.15</v>
      </c>
      <c r="F77" s="358"/>
    </row>
    <row r="78" spans="1:6">
      <c r="A78" s="1209">
        <v>69</v>
      </c>
      <c r="B78" s="113" t="s">
        <v>1710</v>
      </c>
      <c r="C78" s="113" t="s">
        <v>1711</v>
      </c>
      <c r="D78" s="224">
        <v>628.20000000000005</v>
      </c>
      <c r="E78" s="358">
        <v>74.489999999999995</v>
      </c>
      <c r="F78" s="358"/>
    </row>
    <row r="79" spans="1:6">
      <c r="A79" s="1209">
        <v>70</v>
      </c>
      <c r="B79" s="113" t="s">
        <v>1710</v>
      </c>
      <c r="C79" s="113" t="s">
        <v>1711</v>
      </c>
      <c r="D79" s="224">
        <v>420</v>
      </c>
      <c r="E79" s="358">
        <v>49.8</v>
      </c>
      <c r="F79" s="358"/>
    </row>
    <row r="80" spans="1:6">
      <c r="A80" s="1209">
        <v>71</v>
      </c>
      <c r="B80" s="113" t="s">
        <v>1712</v>
      </c>
      <c r="C80" s="113" t="s">
        <v>1713</v>
      </c>
      <c r="D80" s="224">
        <v>250</v>
      </c>
      <c r="E80" s="358">
        <v>29.64</v>
      </c>
      <c r="F80" s="358"/>
    </row>
    <row r="81" spans="1:6">
      <c r="A81" s="1209">
        <v>72</v>
      </c>
      <c r="B81" s="113" t="s">
        <v>1714</v>
      </c>
      <c r="C81" s="113" t="s">
        <v>1653</v>
      </c>
      <c r="D81" s="224">
        <v>1323.86</v>
      </c>
      <c r="E81" s="358">
        <v>156.97999999999999</v>
      </c>
      <c r="F81" s="358"/>
    </row>
    <row r="82" spans="1:6">
      <c r="A82" s="1209">
        <v>73</v>
      </c>
      <c r="B82" s="113" t="s">
        <v>1715</v>
      </c>
      <c r="C82" s="113" t="s">
        <v>1716</v>
      </c>
      <c r="D82" s="224">
        <v>100</v>
      </c>
      <c r="E82" s="358">
        <v>11.86</v>
      </c>
      <c r="F82" s="358"/>
    </row>
    <row r="83" spans="1:6">
      <c r="A83" s="1209">
        <v>74</v>
      </c>
      <c r="B83" s="113" t="s">
        <v>1717</v>
      </c>
      <c r="C83" s="113" t="s">
        <v>1718</v>
      </c>
      <c r="D83" s="224">
        <v>20000</v>
      </c>
      <c r="E83" s="358">
        <v>2371.58</v>
      </c>
      <c r="F83" s="358"/>
    </row>
    <row r="84" spans="1:6">
      <c r="A84" s="1209">
        <v>75</v>
      </c>
      <c r="B84" s="113" t="s">
        <v>1719</v>
      </c>
      <c r="C84" s="113" t="s">
        <v>1646</v>
      </c>
      <c r="D84" s="224">
        <v>2500</v>
      </c>
      <c r="E84" s="358">
        <v>296.45</v>
      </c>
      <c r="F84" s="358"/>
    </row>
    <row r="85" spans="1:6">
      <c r="A85" s="1209">
        <v>76</v>
      </c>
      <c r="B85" s="113" t="s">
        <v>1720</v>
      </c>
      <c r="C85" s="113" t="s">
        <v>1721</v>
      </c>
      <c r="D85" s="224">
        <v>1000</v>
      </c>
      <c r="E85" s="358">
        <v>118.58</v>
      </c>
      <c r="F85" s="358"/>
    </row>
    <row r="86" spans="1:6">
      <c r="A86" s="1209">
        <v>77</v>
      </c>
      <c r="B86" s="113" t="s">
        <v>1722</v>
      </c>
      <c r="C86" s="113" t="s">
        <v>1723</v>
      </c>
      <c r="D86" s="224">
        <v>-48.01</v>
      </c>
      <c r="E86" s="358">
        <v>-5.7</v>
      </c>
      <c r="F86" s="358"/>
    </row>
    <row r="87" spans="1:6">
      <c r="A87" s="1209">
        <v>78</v>
      </c>
      <c r="B87" s="113" t="s">
        <v>1724</v>
      </c>
      <c r="C87" s="113" t="s">
        <v>1725</v>
      </c>
      <c r="D87" s="224">
        <v>5000</v>
      </c>
      <c r="E87" s="358">
        <v>592.9</v>
      </c>
      <c r="F87" s="358"/>
    </row>
    <row r="88" spans="1:6">
      <c r="A88" s="1209">
        <v>79</v>
      </c>
      <c r="B88" s="113" t="s">
        <v>1726</v>
      </c>
      <c r="C88" s="113" t="s">
        <v>1727</v>
      </c>
      <c r="D88" s="224">
        <v>4800</v>
      </c>
      <c r="E88" s="358">
        <v>569.17999999999995</v>
      </c>
      <c r="F88" s="358"/>
    </row>
    <row r="89" spans="1:6">
      <c r="A89" s="1209">
        <v>80</v>
      </c>
      <c r="B89" s="113" t="s">
        <v>1728</v>
      </c>
      <c r="C89" s="113" t="s">
        <v>1648</v>
      </c>
      <c r="D89" s="224">
        <v>3500</v>
      </c>
      <c r="E89" s="358">
        <v>415.03</v>
      </c>
      <c r="F89" s="358"/>
    </row>
    <row r="90" spans="1:6">
      <c r="A90" s="1209">
        <v>81</v>
      </c>
      <c r="B90" s="113" t="s">
        <v>1729</v>
      </c>
      <c r="C90" s="113" t="s">
        <v>1661</v>
      </c>
      <c r="D90" s="224">
        <v>872.06</v>
      </c>
      <c r="E90" s="358">
        <v>103.41</v>
      </c>
      <c r="F90" s="358"/>
    </row>
    <row r="91" spans="1:6">
      <c r="A91" s="1209">
        <v>82</v>
      </c>
      <c r="B91" s="474" t="s">
        <v>1730</v>
      </c>
      <c r="C91" s="474"/>
      <c r="D91" s="475">
        <f>SUM(D23:D90)</f>
        <v>314442.63</v>
      </c>
      <c r="E91" s="475">
        <f>SUM(E23:E90)</f>
        <v>135105.97999999986</v>
      </c>
      <c r="F91" s="475">
        <f>SUM(F23:F90)</f>
        <v>1080</v>
      </c>
    </row>
  </sheetData>
  <mergeCells count="6">
    <mergeCell ref="A1:F1"/>
    <mergeCell ref="A4:F4"/>
    <mergeCell ref="A5:F5"/>
    <mergeCell ref="A6:F6"/>
    <mergeCell ref="A3:F3"/>
    <mergeCell ref="A2:F2"/>
  </mergeCells>
  <printOptions horizontalCentered="1"/>
  <pageMargins left="0.31" right="0.3" top="1" bottom="1" header="0.5" footer="0.5"/>
  <pageSetup scale="81" fitToHeight="0" orientation="portrait" r:id="rId1"/>
  <headerFooter scaleWithDoc="0" alignWithMargins="0">
    <oddHeader>&amp;RPage &amp;P of &amp;N</oddHeader>
    <oddFooter>&amp;LElectronic Tab Name: &amp;A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65">
    <tabColor theme="7" tint="0.79998168889431442"/>
    <pageSetUpPr fitToPage="1"/>
  </sheetPr>
  <dimension ref="A1:H21"/>
  <sheetViews>
    <sheetView zoomScaleNormal="100" zoomScaleSheetLayoutView="80" workbookViewId="0">
      <selection activeCell="E19" sqref="E19"/>
    </sheetView>
  </sheetViews>
  <sheetFormatPr defaultColWidth="8.85546875" defaultRowHeight="15"/>
  <cols>
    <col min="1" max="1" width="6.5703125" style="113" customWidth="1"/>
    <col min="2" max="2" width="44" style="113" bestFit="1" customWidth="1"/>
    <col min="3" max="3" width="16.28515625" style="113" bestFit="1" customWidth="1"/>
    <col min="4" max="6" width="8.85546875" style="113"/>
    <col min="7" max="7" width="14.28515625" style="113" bestFit="1" customWidth="1"/>
    <col min="8" max="9" width="8.85546875" style="113"/>
    <col min="10" max="10" width="10.140625" style="113" bestFit="1" customWidth="1"/>
    <col min="11" max="16384" width="8.85546875" style="113"/>
  </cols>
  <sheetData>
    <row r="1" spans="1:8">
      <c r="A1" s="1505" t="s">
        <v>348</v>
      </c>
      <c r="B1" s="1505"/>
      <c r="C1" s="1505"/>
      <c r="D1" s="209"/>
      <c r="E1" s="209"/>
      <c r="F1" s="209"/>
      <c r="G1" s="209"/>
      <c r="H1" s="209"/>
    </row>
    <row r="2" spans="1:8">
      <c r="A2" s="1505" t="str">
        <f>Title1</f>
        <v>Washington Jurisdiction</v>
      </c>
      <c r="B2" s="1505"/>
      <c r="C2" s="1505"/>
      <c r="D2" s="1214"/>
      <c r="E2" s="209"/>
      <c r="F2" s="209"/>
      <c r="G2" s="209"/>
      <c r="H2" s="209"/>
    </row>
    <row r="3" spans="1:8">
      <c r="A3" s="1505" t="str">
        <f>Title2</f>
        <v>Twelve-Months ended December 31, 2020</v>
      </c>
      <c r="B3" s="1505"/>
      <c r="C3" s="1505"/>
      <c r="D3" s="209"/>
      <c r="E3" s="209"/>
      <c r="F3" s="209"/>
      <c r="G3" s="209"/>
      <c r="H3" s="209"/>
    </row>
    <row r="4" spans="1:8">
      <c r="A4" s="1505" t="str">
        <f>Title8</f>
        <v>UG-21____</v>
      </c>
      <c r="B4" s="1505"/>
      <c r="C4" s="1505"/>
      <c r="D4" s="209"/>
      <c r="E4" s="209"/>
      <c r="F4" s="209"/>
      <c r="G4" s="209"/>
      <c r="H4" s="209"/>
    </row>
    <row r="5" spans="1:8">
      <c r="A5" s="1505" t="s">
        <v>1130</v>
      </c>
      <c r="B5" s="1505"/>
      <c r="C5" s="1505"/>
      <c r="D5" s="209"/>
      <c r="E5" s="209"/>
      <c r="F5" s="209"/>
      <c r="G5" s="209"/>
      <c r="H5" s="209"/>
    </row>
    <row r="6" spans="1:8">
      <c r="A6" s="1505" t="s">
        <v>3220</v>
      </c>
      <c r="B6" s="1505"/>
      <c r="C6" s="1505"/>
      <c r="D6" s="467"/>
      <c r="E6" s="467"/>
      <c r="F6" s="467"/>
      <c r="G6" s="467"/>
      <c r="H6" s="467"/>
    </row>
    <row r="8" spans="1:8" ht="30">
      <c r="A8" s="334" t="s">
        <v>8</v>
      </c>
      <c r="B8" s="334" t="s">
        <v>9</v>
      </c>
      <c r="C8" s="334" t="s">
        <v>1593</v>
      </c>
    </row>
    <row r="9" spans="1:8">
      <c r="A9" s="245"/>
      <c r="B9" s="619" t="s">
        <v>2</v>
      </c>
      <c r="C9" s="620" t="s">
        <v>4</v>
      </c>
    </row>
    <row r="10" spans="1:8" ht="45">
      <c r="A10" s="337">
        <v>1</v>
      </c>
      <c r="B10" s="1215" t="s">
        <v>1731</v>
      </c>
      <c r="C10" s="468">
        <f>'Exh IDM-2, Proof of Revenue'!M509</f>
        <v>105618856.10986</v>
      </c>
    </row>
    <row r="11" spans="1:8">
      <c r="A11" s="1209">
        <v>4</v>
      </c>
      <c r="B11" s="113" t="s">
        <v>245</v>
      </c>
      <c r="C11" s="617">
        <f>'Exh IDM-2, Proof of Revenue'!M511</f>
        <v>-101296233.75</v>
      </c>
    </row>
    <row r="12" spans="1:8">
      <c r="A12" s="1209">
        <v>5</v>
      </c>
      <c r="B12" s="113" t="s">
        <v>1732</v>
      </c>
      <c r="C12" s="299">
        <f>SUM(C10:C11)</f>
        <v>4322622.359860003</v>
      </c>
    </row>
    <row r="13" spans="1:8">
      <c r="A13" s="1209">
        <v>6</v>
      </c>
      <c r="C13" s="299"/>
    </row>
    <row r="14" spans="1:8">
      <c r="A14" s="1209">
        <v>8</v>
      </c>
      <c r="B14" s="113" t="s">
        <v>1733</v>
      </c>
      <c r="C14" s="617">
        <f>'Exh IDM-2, Proof of Revenue'!M512</f>
        <v>-3228993.94</v>
      </c>
    </row>
    <row r="15" spans="1:8">
      <c r="A15" s="1209">
        <v>9</v>
      </c>
      <c r="B15" s="449" t="s">
        <v>1734</v>
      </c>
      <c r="C15" s="299">
        <f>SUM(C12:C14)</f>
        <v>1093628.4198600031</v>
      </c>
    </row>
    <row r="16" spans="1:8">
      <c r="A16" s="1209">
        <v>10</v>
      </c>
      <c r="C16" s="299"/>
    </row>
    <row r="17" spans="1:7">
      <c r="A17" s="1209">
        <v>11</v>
      </c>
      <c r="B17" s="113" t="s">
        <v>1735</v>
      </c>
      <c r="C17" s="299">
        <f>'Exh IDM-2, Proof of Revenue'!M513</f>
        <v>-776555.85000000044</v>
      </c>
    </row>
    <row r="18" spans="1:7">
      <c r="A18" s="1209">
        <v>13</v>
      </c>
      <c r="B18" s="113" t="s">
        <v>1736</v>
      </c>
      <c r="C18" s="299">
        <f>'Exh IDM-2, Proof of Revenue'!Q509</f>
        <v>1090299.6752742445</v>
      </c>
    </row>
    <row r="19" spans="1:7" ht="15.75" thickBot="1">
      <c r="A19" s="1209">
        <v>14</v>
      </c>
      <c r="B19" s="449" t="s">
        <v>252</v>
      </c>
      <c r="C19" s="618">
        <f>SUM(C15:C18)</f>
        <v>1407372.245134247</v>
      </c>
    </row>
    <row r="20" spans="1:7" ht="15.75" thickTop="1">
      <c r="A20" s="1209"/>
      <c r="G20" s="440"/>
    </row>
    <row r="21" spans="1:7">
      <c r="G21" s="440"/>
    </row>
  </sheetData>
  <mergeCells count="6">
    <mergeCell ref="A6:C6"/>
    <mergeCell ref="A1:C1"/>
    <mergeCell ref="A2:C2"/>
    <mergeCell ref="A3:C3"/>
    <mergeCell ref="A4:C4"/>
    <mergeCell ref="A5:C5"/>
  </mergeCells>
  <printOptions horizontalCentered="1"/>
  <pageMargins left="0.31" right="0.3" top="1" bottom="1" header="0.5" footer="0.5"/>
  <pageSetup fitToHeight="0" orientation="portrait" r:id="rId1"/>
  <headerFooter scaleWithDoc="0" alignWithMargins="0">
    <oddHeader>&amp;RPage &amp;P of &amp;N</oddHeader>
    <oddFooter>&amp;LElectronic Tab Name: &amp;A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6">
    <tabColor theme="7" tint="0.79998168889431442"/>
    <pageSetUpPr fitToPage="1"/>
  </sheetPr>
  <dimension ref="A1:J13"/>
  <sheetViews>
    <sheetView view="pageBreakPreview" zoomScale="80" zoomScaleNormal="100" zoomScaleSheetLayoutView="80" workbookViewId="0">
      <selection activeCell="C11" sqref="C11"/>
    </sheetView>
  </sheetViews>
  <sheetFormatPr defaultColWidth="8.85546875" defaultRowHeight="15"/>
  <cols>
    <col min="1" max="1" width="6.7109375" style="113" customWidth="1"/>
    <col min="2" max="2" width="31.7109375" style="113" bestFit="1" customWidth="1"/>
    <col min="3" max="3" width="11.28515625" style="113" bestFit="1" customWidth="1"/>
    <col min="4" max="4" width="1.5703125" style="113" customWidth="1"/>
    <col min="5" max="5" width="12.5703125" style="113" bestFit="1" customWidth="1"/>
    <col min="6" max="16384" width="8.85546875" style="113"/>
  </cols>
  <sheetData>
    <row r="1" spans="1:10">
      <c r="A1" s="1505" t="str">
        <f>Company</f>
        <v>Cascade Natural Gas Corp.</v>
      </c>
      <c r="B1" s="1505"/>
      <c r="C1" s="1505"/>
      <c r="D1" s="209"/>
      <c r="E1" s="209"/>
      <c r="F1" s="209"/>
      <c r="G1" s="209"/>
      <c r="H1" s="209"/>
      <c r="I1" s="209"/>
      <c r="J1" s="209"/>
    </row>
    <row r="2" spans="1:10">
      <c r="A2" s="1505" t="str">
        <f>Title1</f>
        <v>Washington Jurisdiction</v>
      </c>
      <c r="B2" s="1505"/>
      <c r="C2" s="1505"/>
      <c r="D2" s="209"/>
      <c r="E2" s="209"/>
      <c r="F2" s="209"/>
      <c r="G2" s="209"/>
      <c r="H2" s="209"/>
      <c r="I2" s="209"/>
      <c r="J2" s="209"/>
    </row>
    <row r="3" spans="1:10">
      <c r="A3" s="1505" t="str">
        <f>Title2</f>
        <v>Twelve-Months ended December 31, 2020</v>
      </c>
      <c r="B3" s="1505"/>
      <c r="C3" s="1505"/>
      <c r="D3" s="209"/>
      <c r="E3" s="209"/>
      <c r="F3" s="209"/>
      <c r="G3" s="209"/>
      <c r="H3" s="209"/>
      <c r="I3" s="209"/>
      <c r="J3" s="209"/>
    </row>
    <row r="4" spans="1:10">
      <c r="A4" s="1505" t="str">
        <f>Title8</f>
        <v>UG-21____</v>
      </c>
      <c r="B4" s="1505"/>
      <c r="C4" s="1505"/>
      <c r="D4" s="209"/>
      <c r="E4" s="209"/>
      <c r="F4" s="209"/>
      <c r="G4" s="209"/>
      <c r="H4" s="209"/>
      <c r="I4" s="209"/>
      <c r="J4" s="209"/>
    </row>
    <row r="5" spans="1:10">
      <c r="A5" s="1505" t="s">
        <v>1132</v>
      </c>
      <c r="B5" s="1505"/>
      <c r="C5" s="1505"/>
      <c r="D5" s="209"/>
      <c r="E5" s="209"/>
      <c r="F5" s="209"/>
      <c r="G5" s="209"/>
      <c r="H5" s="209"/>
      <c r="I5" s="209"/>
      <c r="J5" s="209"/>
    </row>
    <row r="6" spans="1:10">
      <c r="A6" s="1558" t="s">
        <v>1131</v>
      </c>
      <c r="B6" s="1558"/>
      <c r="C6" s="1558"/>
      <c r="D6" s="467"/>
      <c r="E6" s="467"/>
      <c r="F6" s="467"/>
      <c r="G6" s="467"/>
      <c r="H6" s="467"/>
      <c r="I6" s="467"/>
      <c r="J6" s="467"/>
    </row>
    <row r="8" spans="1:10" ht="30">
      <c r="A8" s="334" t="s">
        <v>8</v>
      </c>
      <c r="B8" s="334" t="s">
        <v>9</v>
      </c>
      <c r="C8" s="334" t="s">
        <v>1597</v>
      </c>
    </row>
    <row r="9" spans="1:10">
      <c r="A9" s="435"/>
      <c r="B9" s="121" t="s">
        <v>2</v>
      </c>
      <c r="C9" s="121" t="s">
        <v>3</v>
      </c>
    </row>
    <row r="10" spans="1:10">
      <c r="A10" s="1209">
        <v>1</v>
      </c>
      <c r="B10" s="18" t="s">
        <v>1737</v>
      </c>
      <c r="C10" s="341">
        <v>0</v>
      </c>
    </row>
    <row r="11" spans="1:10">
      <c r="A11" s="1209">
        <v>2</v>
      </c>
      <c r="B11" s="1" t="s">
        <v>1738</v>
      </c>
      <c r="C11" s="341">
        <f>'Exh IDM-2, Proof of Revenue'!U509</f>
        <v>1473456.6948657625</v>
      </c>
    </row>
    <row r="12" spans="1:10" ht="15.75" thickBot="1">
      <c r="A12" s="1209">
        <v>3</v>
      </c>
      <c r="B12" s="449" t="s">
        <v>1739</v>
      </c>
      <c r="C12" s="194">
        <f>SUM(C10:C11)</f>
        <v>1473456.6948657625</v>
      </c>
      <c r="D12" s="450"/>
    </row>
    <row r="13" spans="1:10" ht="15.75" thickTop="1"/>
  </sheetData>
  <mergeCells count="6">
    <mergeCell ref="A1:C1"/>
    <mergeCell ref="A4:C4"/>
    <mergeCell ref="A5:C5"/>
    <mergeCell ref="A6:C6"/>
    <mergeCell ref="A3:C3"/>
    <mergeCell ref="A2:C2"/>
  </mergeCells>
  <printOptions horizontalCentered="1"/>
  <pageMargins left="0.31" right="0.3" top="1" bottom="1" header="0.5" footer="0.5"/>
  <pageSetup fitToHeight="0" orientation="portrait" r:id="rId1"/>
  <headerFooter scaleWithDoc="0" alignWithMargins="0">
    <oddHeader>&amp;RPage &amp;P of &amp;N</oddHeader>
    <oddFooter>&amp;LElectronic Tab Name: &amp;A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>
    <tabColor theme="7" tint="0.79998168889431442"/>
    <pageSetUpPr fitToPage="1"/>
  </sheetPr>
  <dimension ref="A1:U119"/>
  <sheetViews>
    <sheetView view="pageBreakPreview" topLeftCell="A16" zoomScale="80" zoomScaleNormal="100" zoomScaleSheetLayoutView="80" workbookViewId="0">
      <pane xSplit="3" topLeftCell="D1" activePane="topRight" state="frozen"/>
      <selection activeCell="A4" sqref="A4:G4"/>
      <selection pane="topRight" activeCell="D17" sqref="D17"/>
    </sheetView>
  </sheetViews>
  <sheetFormatPr defaultColWidth="9.140625" defaultRowHeight="15" outlineLevelCol="1"/>
  <cols>
    <col min="1" max="1" width="6.5703125" style="275" customWidth="1"/>
    <col min="2" max="2" width="43.7109375" style="113" bestFit="1" customWidth="1"/>
    <col min="3" max="3" width="9.5703125" style="113" bestFit="1" customWidth="1"/>
    <col min="4" max="4" width="16.140625" style="113" bestFit="1" customWidth="1"/>
    <col min="5" max="5" width="13.85546875" style="113" bestFit="1" customWidth="1"/>
    <col min="6" max="6" width="20.28515625" style="113" bestFit="1" customWidth="1"/>
    <col min="7" max="7" width="8.140625" style="113" bestFit="1" customWidth="1"/>
    <col min="8" max="8" width="17.5703125" style="113" customWidth="1"/>
    <col min="9" max="9" width="19" style="113" customWidth="1"/>
    <col min="10" max="10" width="13.28515625" style="113" customWidth="1"/>
    <col min="11" max="11" width="19.5703125" style="113" customWidth="1"/>
    <col min="12" max="12" width="18.42578125" style="113" customWidth="1"/>
    <col min="13" max="13" width="8.85546875" style="113" hidden="1" customWidth="1" outlineLevel="1"/>
    <col min="14" max="14" width="19" style="113" hidden="1" customWidth="1" outlineLevel="1"/>
    <col min="15" max="15" width="17.85546875" style="113" hidden="1" customWidth="1" outlineLevel="1"/>
    <col min="16" max="16" width="17.85546875" style="113" customWidth="1" collapsed="1"/>
    <col min="17" max="17" width="22.140625" style="113" bestFit="1" customWidth="1"/>
    <col min="18" max="18" width="9.140625" style="113"/>
    <col min="19" max="19" width="14.42578125" style="113" bestFit="1" customWidth="1"/>
    <col min="20" max="16384" width="9.140625" style="113"/>
  </cols>
  <sheetData>
    <row r="1" spans="1:21">
      <c r="A1" s="209" t="str">
        <f>Company</f>
        <v>Cascade Natural Gas Corp.</v>
      </c>
      <c r="C1" s="456"/>
      <c r="D1" s="456"/>
      <c r="E1" s="209"/>
      <c r="F1" s="209"/>
      <c r="G1" s="209"/>
      <c r="H1" s="209"/>
      <c r="I1" s="209"/>
      <c r="J1" s="209"/>
      <c r="K1" s="209"/>
      <c r="L1" s="209"/>
      <c r="N1" s="456"/>
      <c r="O1" s="456"/>
      <c r="P1" s="456"/>
      <c r="Q1" s="456"/>
    </row>
    <row r="2" spans="1:21">
      <c r="A2" s="209" t="str">
        <f>Title1</f>
        <v>Washington Jurisdiction</v>
      </c>
      <c r="C2" s="456"/>
      <c r="D2" s="456"/>
      <c r="E2" s="209"/>
      <c r="F2" s="209"/>
      <c r="G2" s="209"/>
      <c r="H2" s="209"/>
      <c r="I2" s="209"/>
      <c r="J2" s="209"/>
      <c r="K2" s="209"/>
      <c r="L2" s="209"/>
      <c r="N2" s="456"/>
      <c r="O2" s="456"/>
      <c r="P2" s="456"/>
      <c r="Q2" s="456"/>
    </row>
    <row r="3" spans="1:21">
      <c r="A3" s="209" t="str">
        <f>Title2</f>
        <v>Twelve-Months ended December 31, 2020</v>
      </c>
      <c r="C3" s="460"/>
      <c r="D3" s="460"/>
      <c r="E3" s="209"/>
      <c r="F3" s="209"/>
      <c r="G3" s="209"/>
      <c r="H3" s="209"/>
      <c r="I3" s="209"/>
      <c r="J3" s="209"/>
      <c r="K3" s="209"/>
      <c r="L3" s="209"/>
      <c r="N3" s="1222"/>
      <c r="O3" s="1222"/>
      <c r="P3" s="1222"/>
      <c r="Q3" s="1222"/>
    </row>
    <row r="4" spans="1:21">
      <c r="A4" s="209" t="str">
        <f>Title8</f>
        <v>UG-21____</v>
      </c>
      <c r="C4" s="457"/>
      <c r="D4" s="457"/>
      <c r="E4" s="209"/>
      <c r="F4" s="209"/>
      <c r="G4" s="209"/>
      <c r="H4" s="209"/>
      <c r="I4" s="209"/>
      <c r="J4" s="209"/>
      <c r="K4" s="209"/>
      <c r="L4" s="209"/>
      <c r="N4" s="248"/>
      <c r="O4" s="458"/>
      <c r="P4" s="457"/>
      <c r="Q4" s="457"/>
    </row>
    <row r="5" spans="1:21">
      <c r="A5" s="209" t="s">
        <v>1134</v>
      </c>
      <c r="C5" s="457"/>
      <c r="D5" s="457"/>
      <c r="E5" s="209"/>
      <c r="F5" s="209"/>
      <c r="G5" s="209"/>
      <c r="H5" s="209"/>
      <c r="I5" s="209"/>
      <c r="J5" s="209"/>
      <c r="K5" s="209"/>
      <c r="L5" s="209"/>
      <c r="N5" s="459"/>
      <c r="O5" s="458"/>
      <c r="P5" s="457"/>
      <c r="Q5" s="457"/>
    </row>
    <row r="6" spans="1:21">
      <c r="A6" s="209" t="s">
        <v>1133</v>
      </c>
      <c r="C6" s="457"/>
      <c r="D6" s="457"/>
      <c r="E6" s="209"/>
      <c r="F6" s="209"/>
      <c r="G6" s="209"/>
      <c r="H6" s="209"/>
      <c r="I6" s="209"/>
      <c r="J6" s="209"/>
      <c r="K6" s="209"/>
      <c r="L6" s="209"/>
      <c r="N6" s="457"/>
      <c r="O6" s="458"/>
      <c r="P6" s="457"/>
      <c r="Q6" s="457"/>
    </row>
    <row r="7" spans="1:21">
      <c r="A7" s="1209"/>
      <c r="C7" s="460"/>
      <c r="D7" s="460"/>
      <c r="E7" s="460"/>
      <c r="F7" s="1214"/>
      <c r="G7" s="1214"/>
      <c r="H7" s="1214"/>
      <c r="I7" s="1214"/>
      <c r="J7" s="1214"/>
      <c r="K7" s="1214"/>
      <c r="L7" s="1214"/>
      <c r="M7" s="1214"/>
      <c r="N7" s="1222"/>
      <c r="O7" s="1222"/>
      <c r="P7" s="1222"/>
      <c r="Q7" s="1222"/>
    </row>
    <row r="8" spans="1:21" ht="45">
      <c r="A8" s="334" t="s">
        <v>8</v>
      </c>
      <c r="B8" s="504"/>
      <c r="C8" s="504" t="s">
        <v>1740</v>
      </c>
      <c r="D8" s="334" t="s">
        <v>1741</v>
      </c>
      <c r="E8" s="504" t="s">
        <v>1742</v>
      </c>
      <c r="F8" s="504" t="s">
        <v>1743</v>
      </c>
      <c r="G8" s="334" t="s">
        <v>1744</v>
      </c>
      <c r="H8" s="504" t="s">
        <v>1745</v>
      </c>
      <c r="I8" s="504" t="s">
        <v>1746</v>
      </c>
      <c r="J8" s="334" t="s">
        <v>1747</v>
      </c>
      <c r="K8" s="504" t="s">
        <v>1748</v>
      </c>
      <c r="L8" s="504" t="s">
        <v>1749</v>
      </c>
      <c r="M8" s="1189"/>
      <c r="N8" s="1189" t="s">
        <v>1750</v>
      </c>
      <c r="O8" s="1189" t="s">
        <v>1751</v>
      </c>
      <c r="P8" s="504" t="s">
        <v>1752</v>
      </c>
      <c r="Q8" s="504" t="s">
        <v>1753</v>
      </c>
    </row>
    <row r="9" spans="1:21">
      <c r="A9" s="245"/>
      <c r="B9" s="245" t="s">
        <v>2</v>
      </c>
      <c r="C9" s="245" t="s">
        <v>3</v>
      </c>
      <c r="D9" s="245" t="s">
        <v>4</v>
      </c>
      <c r="E9" s="245" t="s">
        <v>5</v>
      </c>
      <c r="F9" s="245" t="s">
        <v>6</v>
      </c>
      <c r="G9" s="245" t="s">
        <v>273</v>
      </c>
      <c r="H9" s="245" t="s">
        <v>274</v>
      </c>
      <c r="I9" s="245" t="s">
        <v>275</v>
      </c>
      <c r="J9" s="245" t="s">
        <v>276</v>
      </c>
      <c r="K9" s="245" t="s">
        <v>277</v>
      </c>
      <c r="L9" s="245" t="s">
        <v>278</v>
      </c>
      <c r="M9" s="1190" t="s">
        <v>279</v>
      </c>
      <c r="N9" s="1190" t="s">
        <v>280</v>
      </c>
      <c r="O9" s="1190" t="s">
        <v>281</v>
      </c>
      <c r="P9" s="245" t="s">
        <v>282</v>
      </c>
      <c r="Q9" s="245" t="s">
        <v>283</v>
      </c>
    </row>
    <row r="10" spans="1:21">
      <c r="A10" s="1209">
        <v>1</v>
      </c>
      <c r="B10" s="113" t="s">
        <v>1754</v>
      </c>
      <c r="D10" s="461">
        <f>+D41+D110</f>
        <v>12258167.73</v>
      </c>
      <c r="E10" s="113" t="s">
        <v>1755</v>
      </c>
      <c r="F10" s="461">
        <v>0</v>
      </c>
      <c r="G10" s="117">
        <v>3.5499999999999997E-2</v>
      </c>
      <c r="H10" s="461">
        <f>+F10*G10</f>
        <v>0</v>
      </c>
      <c r="I10" s="461">
        <f>+D10+H10</f>
        <v>12258167.73</v>
      </c>
      <c r="J10" s="714">
        <v>3.3099999999999997E-2</v>
      </c>
      <c r="K10" s="461">
        <f>+I10*J10</f>
        <v>405745.35186299996</v>
      </c>
      <c r="L10" s="461">
        <f>+I10+K10</f>
        <v>12663913.081863001</v>
      </c>
      <c r="M10" s="1191">
        <f>IF('Plant Additions'!$O$7="Yes", 3.5%, 0%)</f>
        <v>0</v>
      </c>
      <c r="N10" s="1192">
        <f>+L10*M10</f>
        <v>0</v>
      </c>
      <c r="O10" s="1192">
        <f>+L10+N10</f>
        <v>12663913.081863001</v>
      </c>
      <c r="P10" s="248">
        <f>+H10</f>
        <v>0</v>
      </c>
      <c r="Q10" s="461">
        <f>+N10+K10</f>
        <v>405745.35186299996</v>
      </c>
      <c r="S10" s="117">
        <f>Q10/Q14</f>
        <v>0.57027711417182414</v>
      </c>
      <c r="U10" s="1356"/>
    </row>
    <row r="11" spans="1:21">
      <c r="A11" s="1209">
        <v>2</v>
      </c>
      <c r="D11" s="461"/>
      <c r="F11" s="461"/>
      <c r="G11" s="117"/>
      <c r="H11" s="461"/>
      <c r="I11" s="461"/>
      <c r="J11" s="117"/>
      <c r="K11" s="461"/>
      <c r="L11" s="461"/>
      <c r="M11" s="1193"/>
      <c r="N11" s="1192"/>
      <c r="O11" s="1192"/>
      <c r="S11" s="117"/>
    </row>
    <row r="12" spans="1:21" ht="15.75" thickBot="1">
      <c r="A12" s="1209">
        <v>3</v>
      </c>
      <c r="B12" s="113" t="s">
        <v>1756</v>
      </c>
      <c r="D12" s="938">
        <f>+D63</f>
        <v>10121514.470000001</v>
      </c>
      <c r="E12" s="936" t="s">
        <v>1757</v>
      </c>
      <c r="F12" s="938">
        <f>+F63</f>
        <v>2330293.2600000002</v>
      </c>
      <c r="G12" s="939">
        <v>0.03</v>
      </c>
      <c r="H12" s="938">
        <f>+F12*G12</f>
        <v>69908.7978</v>
      </c>
      <c r="I12" s="938">
        <f>+D12+H12</f>
        <v>10191423.267800001</v>
      </c>
      <c r="J12" s="939">
        <v>0.03</v>
      </c>
      <c r="K12" s="938">
        <f>+I12*J12</f>
        <v>305742.69803400006</v>
      </c>
      <c r="L12" s="938">
        <f>+I12+K12</f>
        <v>10497165.965834001</v>
      </c>
      <c r="M12" s="1194">
        <f>IF('Plant Additions'!$O$7="Yes", 3%, 0%)</f>
        <v>0</v>
      </c>
      <c r="N12" s="1195">
        <f>+L12*M12</f>
        <v>0</v>
      </c>
      <c r="O12" s="1195">
        <f>+L12+N12</f>
        <v>10497165.965834001</v>
      </c>
      <c r="P12" s="940">
        <f>+H12</f>
        <v>69908.7978</v>
      </c>
      <c r="Q12" s="938">
        <f>+N12+K12</f>
        <v>305742.69803400006</v>
      </c>
      <c r="S12" s="117">
        <f>Q12/Q14</f>
        <v>0.42972288582817592</v>
      </c>
    </row>
    <row r="13" spans="1:21">
      <c r="A13" s="1209">
        <v>4</v>
      </c>
      <c r="D13" s="461"/>
      <c r="F13" s="461"/>
      <c r="G13" s="117"/>
      <c r="H13" s="461"/>
      <c r="I13" s="461"/>
      <c r="J13" s="117"/>
      <c r="K13" s="461"/>
      <c r="L13" s="461"/>
      <c r="M13" s="1193"/>
      <c r="N13" s="1196"/>
      <c r="O13" s="1197"/>
    </row>
    <row r="14" spans="1:21" ht="15.75" thickBot="1">
      <c r="A14" s="1209">
        <v>5</v>
      </c>
      <c r="D14" s="461">
        <f>+D12+D10</f>
        <v>22379682.200000003</v>
      </c>
      <c r="F14" s="461">
        <f>+F12+F10</f>
        <v>2330293.2600000002</v>
      </c>
      <c r="G14" s="117"/>
      <c r="H14" s="462">
        <f>+H10+H12</f>
        <v>69908.7978</v>
      </c>
      <c r="I14" s="461">
        <f>+I10+I12</f>
        <v>22449590.9978</v>
      </c>
      <c r="J14" s="117"/>
      <c r="K14" s="462">
        <f>+K10+K12</f>
        <v>711488.04989699996</v>
      </c>
      <c r="L14" s="461">
        <f>+L10+L12</f>
        <v>23161079.047697</v>
      </c>
      <c r="M14" s="1197"/>
      <c r="N14" s="1198">
        <f>+N10+N12</f>
        <v>0</v>
      </c>
      <c r="O14" s="1197"/>
      <c r="P14" s="463">
        <f>+P10+P12</f>
        <v>69908.7978</v>
      </c>
      <c r="Q14" s="463">
        <f>+Q10+Q12</f>
        <v>711488.04989699996</v>
      </c>
    </row>
    <row r="15" spans="1:21" ht="15.75" thickTop="1">
      <c r="A15" s="1209">
        <v>6</v>
      </c>
      <c r="D15" s="461"/>
      <c r="F15" s="461"/>
      <c r="G15" s="117"/>
      <c r="H15" s="462"/>
      <c r="I15" s="461"/>
      <c r="J15" s="117"/>
      <c r="K15" s="462"/>
      <c r="L15" s="461"/>
      <c r="M15" s="1197"/>
      <c r="N15" s="1198"/>
      <c r="O15" s="1197"/>
      <c r="Q15" s="464"/>
    </row>
    <row r="16" spans="1:21">
      <c r="A16" s="1209">
        <v>7</v>
      </c>
      <c r="B16" s="113" t="s">
        <v>1758</v>
      </c>
      <c r="D16" s="461"/>
      <c r="F16" s="461"/>
      <c r="G16" s="117"/>
      <c r="H16" s="462"/>
      <c r="I16" s="461"/>
      <c r="J16" s="117"/>
      <c r="K16" s="462"/>
      <c r="L16" s="461"/>
      <c r="M16" s="1197"/>
      <c r="N16" s="1198"/>
      <c r="O16" s="1197"/>
      <c r="P16" s="464">
        <f>+P14*S16</f>
        <v>5348.0230316999996</v>
      </c>
      <c r="Q16" s="464">
        <f>+Q14*S16</f>
        <v>54428.835817120496</v>
      </c>
      <c r="S16" s="1193">
        <v>7.6499999999999999E-2</v>
      </c>
    </row>
    <row r="17" spans="1:17">
      <c r="A17" s="1209">
        <v>8</v>
      </c>
      <c r="D17" s="461"/>
      <c r="G17" s="117"/>
      <c r="K17" s="461"/>
      <c r="L17" s="461"/>
      <c r="M17" s="1197"/>
      <c r="N17" s="1196"/>
      <c r="O17" s="1197"/>
    </row>
    <row r="18" spans="1:17">
      <c r="A18" s="1209">
        <v>9</v>
      </c>
      <c r="B18" s="4" t="s">
        <v>1754</v>
      </c>
      <c r="E18" s="439"/>
      <c r="M18" s="1197"/>
      <c r="N18" s="1197"/>
      <c r="O18" s="1197"/>
    </row>
    <row r="19" spans="1:17">
      <c r="A19" s="1209">
        <v>10</v>
      </c>
      <c r="B19" s="113" t="s">
        <v>1759</v>
      </c>
      <c r="C19" s="449" t="s">
        <v>1760</v>
      </c>
      <c r="D19" s="271">
        <v>135888.92000000001</v>
      </c>
      <c r="G19" s="117"/>
      <c r="H19" s="461">
        <f>+F19*G19</f>
        <v>0</v>
      </c>
      <c r="I19" s="461">
        <f>+D19+H19</f>
        <v>135888.92000000001</v>
      </c>
      <c r="J19" s="117">
        <f>J10</f>
        <v>3.3099999999999997E-2</v>
      </c>
      <c r="K19" s="461">
        <f t="shared" ref="K19:K24" si="0">+I19*J19</f>
        <v>4497.9232520000005</v>
      </c>
      <c r="L19" s="461">
        <f>+I19+K19</f>
        <v>140386.84325200002</v>
      </c>
      <c r="M19" s="1193">
        <f>M10</f>
        <v>0</v>
      </c>
      <c r="N19" s="1196">
        <f t="shared" ref="N19:N40" si="1">+L19*M19</f>
        <v>0</v>
      </c>
      <c r="O19" s="1192">
        <f>+N19+L19</f>
        <v>140386.84325200002</v>
      </c>
      <c r="P19" s="461">
        <f>+H19</f>
        <v>0</v>
      </c>
      <c r="Q19" s="461">
        <f>+N19+K19</f>
        <v>4497.9232520000005</v>
      </c>
    </row>
    <row r="20" spans="1:17">
      <c r="A20" s="1209">
        <v>11</v>
      </c>
      <c r="B20" s="113" t="s">
        <v>1761</v>
      </c>
      <c r="C20" s="449">
        <v>28410</v>
      </c>
      <c r="D20" s="271">
        <v>0</v>
      </c>
      <c r="G20" s="117"/>
      <c r="H20" s="461">
        <f t="shared" ref="H20:H40" si="2">+F20*G20</f>
        <v>0</v>
      </c>
      <c r="I20" s="461">
        <f t="shared" ref="I20:I40" si="3">+D20+H20</f>
        <v>0</v>
      </c>
      <c r="J20" s="117">
        <f>J19</f>
        <v>3.3099999999999997E-2</v>
      </c>
      <c r="K20" s="461">
        <f t="shared" si="0"/>
        <v>0</v>
      </c>
      <c r="L20" s="461">
        <f t="shared" ref="L20:L40" si="4">+I20+K20</f>
        <v>0</v>
      </c>
      <c r="M20" s="1193">
        <f>M19</f>
        <v>0</v>
      </c>
      <c r="N20" s="1196">
        <f t="shared" si="1"/>
        <v>0</v>
      </c>
      <c r="O20" s="1192">
        <f t="shared" ref="O20:O40" si="5">+N20+L20</f>
        <v>0</v>
      </c>
      <c r="P20" s="461">
        <f t="shared" ref="P20:P40" si="6">+H20</f>
        <v>0</v>
      </c>
      <c r="Q20" s="461">
        <f t="shared" ref="Q20:Q40" si="7">+N20+K20</f>
        <v>0</v>
      </c>
    </row>
    <row r="21" spans="1:17">
      <c r="A21" s="1209">
        <v>12</v>
      </c>
      <c r="B21" s="113" t="s">
        <v>1762</v>
      </c>
      <c r="C21" s="449" t="s">
        <v>1763</v>
      </c>
      <c r="D21" s="271">
        <f>290042.11+910588.99</f>
        <v>1200631.1000000001</v>
      </c>
      <c r="G21" s="117"/>
      <c r="H21" s="461">
        <f t="shared" si="2"/>
        <v>0</v>
      </c>
      <c r="I21" s="461">
        <f t="shared" si="3"/>
        <v>1200631.1000000001</v>
      </c>
      <c r="J21" s="117">
        <f t="shared" ref="J21:J40" si="8">J20</f>
        <v>3.3099999999999997E-2</v>
      </c>
      <c r="K21" s="461">
        <f t="shared" si="0"/>
        <v>39740.889410000003</v>
      </c>
      <c r="L21" s="461">
        <f t="shared" si="4"/>
        <v>1240371.9894100002</v>
      </c>
      <c r="M21" s="1193">
        <f t="shared" ref="M21:M40" si="9">M20</f>
        <v>0</v>
      </c>
      <c r="N21" s="1196">
        <f t="shared" si="1"/>
        <v>0</v>
      </c>
      <c r="O21" s="1192">
        <f t="shared" si="5"/>
        <v>1240371.9894100002</v>
      </c>
      <c r="P21" s="461">
        <f t="shared" si="6"/>
        <v>0</v>
      </c>
      <c r="Q21" s="461">
        <f>+N21+K21</f>
        <v>39740.889410000003</v>
      </c>
    </row>
    <row r="22" spans="1:17">
      <c r="A22" s="1209">
        <v>13</v>
      </c>
      <c r="B22" s="113" t="s">
        <v>1246</v>
      </c>
      <c r="C22" s="449" t="s">
        <v>1764</v>
      </c>
      <c r="D22" s="271">
        <v>173595.21</v>
      </c>
      <c r="G22" s="117"/>
      <c r="H22" s="461">
        <f t="shared" si="2"/>
        <v>0</v>
      </c>
      <c r="I22" s="461">
        <f t="shared" si="3"/>
        <v>173595.21</v>
      </c>
      <c r="J22" s="117">
        <f t="shared" si="8"/>
        <v>3.3099999999999997E-2</v>
      </c>
      <c r="K22" s="461">
        <f t="shared" si="0"/>
        <v>5746.0014509999992</v>
      </c>
      <c r="L22" s="461">
        <f t="shared" si="4"/>
        <v>179341.21145099998</v>
      </c>
      <c r="M22" s="1193">
        <f t="shared" si="9"/>
        <v>0</v>
      </c>
      <c r="N22" s="1196">
        <f t="shared" si="1"/>
        <v>0</v>
      </c>
      <c r="O22" s="1192">
        <f t="shared" si="5"/>
        <v>179341.21145099998</v>
      </c>
      <c r="P22" s="461">
        <f t="shared" si="6"/>
        <v>0</v>
      </c>
      <c r="Q22" s="461">
        <f t="shared" si="7"/>
        <v>5746.0014509999992</v>
      </c>
    </row>
    <row r="23" spans="1:17">
      <c r="A23" s="1209">
        <v>14</v>
      </c>
      <c r="B23" s="113" t="s">
        <v>1765</v>
      </c>
      <c r="C23" s="449" t="s">
        <v>1766</v>
      </c>
      <c r="D23" s="271">
        <f>56652.54+208884.8+8490.47</f>
        <v>274027.80999999994</v>
      </c>
      <c r="G23" s="117"/>
      <c r="H23" s="461">
        <f t="shared" si="2"/>
        <v>0</v>
      </c>
      <c r="I23" s="461">
        <f t="shared" si="3"/>
        <v>274027.80999999994</v>
      </c>
      <c r="J23" s="117">
        <f t="shared" si="8"/>
        <v>3.3099999999999997E-2</v>
      </c>
      <c r="K23" s="461">
        <f t="shared" si="0"/>
        <v>9070.3205109999981</v>
      </c>
      <c r="L23" s="461">
        <f t="shared" si="4"/>
        <v>283098.13051099994</v>
      </c>
      <c r="M23" s="1193">
        <f t="shared" si="9"/>
        <v>0</v>
      </c>
      <c r="N23" s="1196">
        <f t="shared" si="1"/>
        <v>0</v>
      </c>
      <c r="O23" s="1192">
        <f t="shared" si="5"/>
        <v>283098.13051099994</v>
      </c>
      <c r="P23" s="461">
        <f t="shared" si="6"/>
        <v>0</v>
      </c>
      <c r="Q23" s="461">
        <f t="shared" si="7"/>
        <v>9070.3205109999981</v>
      </c>
    </row>
    <row r="24" spans="1:17">
      <c r="A24" s="1209">
        <v>15</v>
      </c>
      <c r="B24" s="113" t="s">
        <v>1767</v>
      </c>
      <c r="C24" s="449">
        <v>28780</v>
      </c>
      <c r="D24" s="271">
        <f>3182.64+241.39</f>
        <v>3424.0299999999997</v>
      </c>
      <c r="G24" s="117"/>
      <c r="H24" s="461">
        <f t="shared" si="2"/>
        <v>0</v>
      </c>
      <c r="I24" s="461">
        <f t="shared" si="3"/>
        <v>3424.0299999999997</v>
      </c>
      <c r="J24" s="117">
        <f t="shared" si="8"/>
        <v>3.3099999999999997E-2</v>
      </c>
      <c r="K24" s="461">
        <f t="shared" si="0"/>
        <v>113.33539299999998</v>
      </c>
      <c r="L24" s="461">
        <f t="shared" si="4"/>
        <v>3537.3653929999996</v>
      </c>
      <c r="M24" s="1193">
        <f t="shared" si="9"/>
        <v>0</v>
      </c>
      <c r="N24" s="1196">
        <f t="shared" si="1"/>
        <v>0</v>
      </c>
      <c r="O24" s="1192">
        <f t="shared" si="5"/>
        <v>3537.3653929999996</v>
      </c>
      <c r="P24" s="461">
        <f t="shared" si="6"/>
        <v>0</v>
      </c>
      <c r="Q24" s="461">
        <f t="shared" si="7"/>
        <v>113.33539299999998</v>
      </c>
    </row>
    <row r="25" spans="1:17">
      <c r="A25" s="1209">
        <v>16</v>
      </c>
      <c r="B25" s="113" t="s">
        <v>1768</v>
      </c>
      <c r="C25" s="449" t="s">
        <v>1769</v>
      </c>
      <c r="D25" s="271">
        <f>138339.45+11144.58+225.22</f>
        <v>149709.25</v>
      </c>
      <c r="G25" s="117"/>
      <c r="H25" s="461">
        <f t="shared" si="2"/>
        <v>0</v>
      </c>
      <c r="I25" s="461">
        <f t="shared" si="3"/>
        <v>149709.25</v>
      </c>
      <c r="J25" s="117">
        <f t="shared" si="8"/>
        <v>3.3099999999999997E-2</v>
      </c>
      <c r="K25" s="461">
        <f t="shared" ref="K25:K40" si="10">+I25*J25</f>
        <v>4955.3761749999994</v>
      </c>
      <c r="L25" s="461">
        <f t="shared" si="4"/>
        <v>154664.62617500001</v>
      </c>
      <c r="M25" s="1193">
        <f t="shared" si="9"/>
        <v>0</v>
      </c>
      <c r="N25" s="1196">
        <f t="shared" si="1"/>
        <v>0</v>
      </c>
      <c r="O25" s="1192">
        <f t="shared" si="5"/>
        <v>154664.62617500001</v>
      </c>
      <c r="P25" s="461">
        <f t="shared" si="6"/>
        <v>0</v>
      </c>
      <c r="Q25" s="461">
        <f t="shared" si="7"/>
        <v>4955.3761749999994</v>
      </c>
    </row>
    <row r="26" spans="1:17">
      <c r="A26" s="1209">
        <v>17</v>
      </c>
      <c r="B26" s="113" t="s">
        <v>1770</v>
      </c>
      <c r="C26" s="449">
        <v>28850</v>
      </c>
      <c r="D26" s="271">
        <f>160672.38+771971.56</f>
        <v>932643.94000000006</v>
      </c>
      <c r="G26" s="117"/>
      <c r="H26" s="461">
        <f t="shared" si="2"/>
        <v>0</v>
      </c>
      <c r="I26" s="461">
        <f t="shared" si="3"/>
        <v>932643.94000000006</v>
      </c>
      <c r="J26" s="117">
        <f t="shared" si="8"/>
        <v>3.3099999999999997E-2</v>
      </c>
      <c r="K26" s="461">
        <f t="shared" si="10"/>
        <v>30870.514414000001</v>
      </c>
      <c r="L26" s="461">
        <f t="shared" si="4"/>
        <v>963514.45441400004</v>
      </c>
      <c r="M26" s="1193">
        <f t="shared" si="9"/>
        <v>0</v>
      </c>
      <c r="N26" s="1196">
        <f t="shared" si="1"/>
        <v>0</v>
      </c>
      <c r="O26" s="1192">
        <f t="shared" si="5"/>
        <v>963514.45441400004</v>
      </c>
      <c r="P26" s="461">
        <f t="shared" si="6"/>
        <v>0</v>
      </c>
      <c r="Q26" s="461">
        <f t="shared" si="7"/>
        <v>30870.514414000001</v>
      </c>
    </row>
    <row r="27" spans="1:17">
      <c r="A27" s="1209">
        <v>18</v>
      </c>
      <c r="B27" s="113" t="s">
        <v>1771</v>
      </c>
      <c r="C27" s="449" t="s">
        <v>1772</v>
      </c>
      <c r="D27" s="271">
        <f>41.51+1.05</f>
        <v>42.559999999999995</v>
      </c>
      <c r="G27" s="117"/>
      <c r="H27" s="461">
        <f t="shared" si="2"/>
        <v>0</v>
      </c>
      <c r="I27" s="461">
        <f t="shared" si="3"/>
        <v>42.559999999999995</v>
      </c>
      <c r="J27" s="117">
        <f t="shared" si="8"/>
        <v>3.3099999999999997E-2</v>
      </c>
      <c r="K27" s="461">
        <f t="shared" si="10"/>
        <v>1.4087359999999998</v>
      </c>
      <c r="L27" s="461">
        <f t="shared" si="4"/>
        <v>43.968735999999993</v>
      </c>
      <c r="M27" s="1193">
        <f t="shared" si="9"/>
        <v>0</v>
      </c>
      <c r="N27" s="1196">
        <f t="shared" si="1"/>
        <v>0</v>
      </c>
      <c r="O27" s="1192">
        <f t="shared" si="5"/>
        <v>43.968735999999993</v>
      </c>
      <c r="P27" s="461">
        <f t="shared" si="6"/>
        <v>0</v>
      </c>
      <c r="Q27" s="461">
        <f t="shared" si="7"/>
        <v>1.4087359999999998</v>
      </c>
    </row>
    <row r="28" spans="1:17">
      <c r="A28" s="1209">
        <v>19</v>
      </c>
      <c r="B28" s="113" t="s">
        <v>1773</v>
      </c>
      <c r="C28" s="449" t="s">
        <v>1774</v>
      </c>
      <c r="D28" s="271">
        <v>0</v>
      </c>
      <c r="G28" s="117"/>
      <c r="H28" s="461">
        <f t="shared" si="2"/>
        <v>0</v>
      </c>
      <c r="I28" s="461">
        <f t="shared" si="3"/>
        <v>0</v>
      </c>
      <c r="J28" s="117">
        <f t="shared" si="8"/>
        <v>3.3099999999999997E-2</v>
      </c>
      <c r="K28" s="461">
        <f t="shared" si="10"/>
        <v>0</v>
      </c>
      <c r="L28" s="461">
        <f t="shared" si="4"/>
        <v>0</v>
      </c>
      <c r="M28" s="1193">
        <f t="shared" si="9"/>
        <v>0</v>
      </c>
      <c r="N28" s="1196">
        <f t="shared" si="1"/>
        <v>0</v>
      </c>
      <c r="O28" s="1192">
        <f t="shared" si="5"/>
        <v>0</v>
      </c>
      <c r="P28" s="461">
        <f t="shared" si="6"/>
        <v>0</v>
      </c>
      <c r="Q28" s="461">
        <f t="shared" si="7"/>
        <v>0</v>
      </c>
    </row>
    <row r="29" spans="1:17">
      <c r="A29" s="1209">
        <v>20</v>
      </c>
      <c r="B29" s="113" t="s">
        <v>1775</v>
      </c>
      <c r="C29" s="449">
        <v>28890</v>
      </c>
      <c r="D29" s="271">
        <v>0</v>
      </c>
      <c r="G29" s="117"/>
      <c r="H29" s="461">
        <f t="shared" si="2"/>
        <v>0</v>
      </c>
      <c r="I29" s="461">
        <f t="shared" si="3"/>
        <v>0</v>
      </c>
      <c r="J29" s="117">
        <f t="shared" si="8"/>
        <v>3.3099999999999997E-2</v>
      </c>
      <c r="K29" s="461">
        <f t="shared" si="10"/>
        <v>0</v>
      </c>
      <c r="L29" s="461">
        <f t="shared" si="4"/>
        <v>0</v>
      </c>
      <c r="M29" s="1193">
        <f t="shared" si="9"/>
        <v>0</v>
      </c>
      <c r="N29" s="1196">
        <f t="shared" si="1"/>
        <v>0</v>
      </c>
      <c r="O29" s="1192">
        <f t="shared" si="5"/>
        <v>0</v>
      </c>
      <c r="P29" s="461">
        <f t="shared" si="6"/>
        <v>0</v>
      </c>
      <c r="Q29" s="461">
        <f t="shared" si="7"/>
        <v>0</v>
      </c>
    </row>
    <row r="30" spans="1:17">
      <c r="A30" s="1209">
        <v>21</v>
      </c>
      <c r="B30" s="113" t="s">
        <v>1776</v>
      </c>
      <c r="C30" s="449" t="s">
        <v>1777</v>
      </c>
      <c r="D30" s="271">
        <v>13810.06</v>
      </c>
      <c r="G30" s="117"/>
      <c r="H30" s="461">
        <f t="shared" si="2"/>
        <v>0</v>
      </c>
      <c r="I30" s="461">
        <f t="shared" si="3"/>
        <v>13810.06</v>
      </c>
      <c r="J30" s="117">
        <f t="shared" si="8"/>
        <v>3.3099999999999997E-2</v>
      </c>
      <c r="K30" s="461">
        <f t="shared" si="10"/>
        <v>457.11298599999992</v>
      </c>
      <c r="L30" s="461">
        <f t="shared" si="4"/>
        <v>14267.172986</v>
      </c>
      <c r="M30" s="1193">
        <f t="shared" si="9"/>
        <v>0</v>
      </c>
      <c r="N30" s="1196">
        <f t="shared" si="1"/>
        <v>0</v>
      </c>
      <c r="O30" s="1192">
        <f t="shared" si="5"/>
        <v>14267.172986</v>
      </c>
      <c r="P30" s="461">
        <f t="shared" si="6"/>
        <v>0</v>
      </c>
      <c r="Q30" s="461">
        <f t="shared" si="7"/>
        <v>457.11298599999992</v>
      </c>
    </row>
    <row r="31" spans="1:17">
      <c r="A31" s="1209">
        <v>22</v>
      </c>
      <c r="B31" s="1207" t="s">
        <v>1778</v>
      </c>
      <c r="C31" s="449" t="s">
        <v>1779</v>
      </c>
      <c r="D31" s="271">
        <v>908.71</v>
      </c>
      <c r="G31" s="117"/>
      <c r="H31" s="461">
        <f t="shared" si="2"/>
        <v>0</v>
      </c>
      <c r="I31" s="461">
        <f t="shared" si="3"/>
        <v>908.71</v>
      </c>
      <c r="J31" s="117">
        <f t="shared" si="8"/>
        <v>3.3099999999999997E-2</v>
      </c>
      <c r="K31" s="461">
        <f t="shared" si="10"/>
        <v>30.078301</v>
      </c>
      <c r="L31" s="461">
        <f t="shared" si="4"/>
        <v>938.78830100000005</v>
      </c>
      <c r="M31" s="1193">
        <f t="shared" si="9"/>
        <v>0</v>
      </c>
      <c r="N31" s="1196">
        <f t="shared" si="1"/>
        <v>0</v>
      </c>
      <c r="O31" s="1192">
        <f t="shared" si="5"/>
        <v>938.78830100000005</v>
      </c>
      <c r="P31" s="461">
        <f t="shared" si="6"/>
        <v>0</v>
      </c>
      <c r="Q31" s="461">
        <f t="shared" si="7"/>
        <v>30.078301</v>
      </c>
    </row>
    <row r="32" spans="1:17">
      <c r="A32" s="1209">
        <v>23</v>
      </c>
      <c r="B32" s="113" t="s">
        <v>1780</v>
      </c>
      <c r="C32" s="449">
        <v>28940</v>
      </c>
      <c r="D32" s="271">
        <v>13721.63</v>
      </c>
      <c r="F32" s="465"/>
      <c r="G32" s="117"/>
      <c r="H32" s="461">
        <f t="shared" si="2"/>
        <v>0</v>
      </c>
      <c r="I32" s="461">
        <f t="shared" si="3"/>
        <v>13721.63</v>
      </c>
      <c r="J32" s="117">
        <f t="shared" si="8"/>
        <v>3.3099999999999997E-2</v>
      </c>
      <c r="K32" s="461">
        <f t="shared" si="10"/>
        <v>454.18595299999993</v>
      </c>
      <c r="L32" s="461">
        <f t="shared" si="4"/>
        <v>14175.815952999999</v>
      </c>
      <c r="M32" s="1193">
        <f t="shared" si="9"/>
        <v>0</v>
      </c>
      <c r="N32" s="1196">
        <f t="shared" si="1"/>
        <v>0</v>
      </c>
      <c r="O32" s="1192">
        <f t="shared" si="5"/>
        <v>14175.815952999999</v>
      </c>
      <c r="P32" s="461">
        <f t="shared" si="6"/>
        <v>0</v>
      </c>
      <c r="Q32" s="461">
        <f t="shared" si="7"/>
        <v>454.18595299999993</v>
      </c>
    </row>
    <row r="33" spans="1:17">
      <c r="A33" s="1209">
        <v>24</v>
      </c>
      <c r="B33" s="1207" t="s">
        <v>1781</v>
      </c>
      <c r="C33" s="449">
        <v>29010</v>
      </c>
      <c r="D33" s="271">
        <v>74032.850000000006</v>
      </c>
      <c r="G33" s="117"/>
      <c r="H33" s="461">
        <f t="shared" si="2"/>
        <v>0</v>
      </c>
      <c r="I33" s="461">
        <f t="shared" si="3"/>
        <v>74032.850000000006</v>
      </c>
      <c r="J33" s="117">
        <f t="shared" si="8"/>
        <v>3.3099999999999997E-2</v>
      </c>
      <c r="K33" s="461">
        <f t="shared" si="10"/>
        <v>2450.4873349999998</v>
      </c>
      <c r="L33" s="461">
        <f t="shared" si="4"/>
        <v>76483.337335000004</v>
      </c>
      <c r="M33" s="1193">
        <f t="shared" si="9"/>
        <v>0</v>
      </c>
      <c r="N33" s="1196">
        <f t="shared" si="1"/>
        <v>0</v>
      </c>
      <c r="O33" s="1192">
        <f t="shared" si="5"/>
        <v>76483.337335000004</v>
      </c>
      <c r="P33" s="461">
        <f t="shared" si="6"/>
        <v>0</v>
      </c>
      <c r="Q33" s="461">
        <f t="shared" si="7"/>
        <v>2450.4873349999998</v>
      </c>
    </row>
    <row r="34" spans="1:17">
      <c r="A34" s="1209">
        <v>25</v>
      </c>
      <c r="B34" s="113" t="s">
        <v>1782</v>
      </c>
      <c r="C34" s="449">
        <v>29020</v>
      </c>
      <c r="D34" s="271">
        <v>19076.71</v>
      </c>
      <c r="G34" s="117"/>
      <c r="H34" s="461">
        <f t="shared" si="2"/>
        <v>0</v>
      </c>
      <c r="I34" s="461">
        <f t="shared" si="3"/>
        <v>19076.71</v>
      </c>
      <c r="J34" s="117">
        <f t="shared" si="8"/>
        <v>3.3099999999999997E-2</v>
      </c>
      <c r="K34" s="461">
        <f t="shared" si="10"/>
        <v>631.43910099999994</v>
      </c>
      <c r="L34" s="461">
        <f t="shared" si="4"/>
        <v>19708.149100999999</v>
      </c>
      <c r="M34" s="1193">
        <f t="shared" si="9"/>
        <v>0</v>
      </c>
      <c r="N34" s="1196">
        <f t="shared" si="1"/>
        <v>0</v>
      </c>
      <c r="O34" s="1192">
        <f t="shared" si="5"/>
        <v>19708.149100999999</v>
      </c>
      <c r="P34" s="461">
        <f t="shared" si="6"/>
        <v>0</v>
      </c>
      <c r="Q34" s="461">
        <f t="shared" si="7"/>
        <v>631.43910099999994</v>
      </c>
    </row>
    <row r="35" spans="1:17">
      <c r="A35" s="1209">
        <v>26</v>
      </c>
      <c r="B35" s="113" t="s">
        <v>1783</v>
      </c>
      <c r="C35" s="449" t="s">
        <v>1784</v>
      </c>
      <c r="D35" s="271">
        <f>287765.57+320980.11+3709.86</f>
        <v>612455.53999999992</v>
      </c>
      <c r="G35" s="117"/>
      <c r="H35" s="461">
        <f t="shared" si="2"/>
        <v>0</v>
      </c>
      <c r="I35" s="461">
        <f t="shared" si="3"/>
        <v>612455.53999999992</v>
      </c>
      <c r="J35" s="117">
        <f t="shared" si="8"/>
        <v>3.3099999999999997E-2</v>
      </c>
      <c r="K35" s="461">
        <f t="shared" si="10"/>
        <v>20272.278373999994</v>
      </c>
      <c r="L35" s="461">
        <f t="shared" si="4"/>
        <v>632727.81837399991</v>
      </c>
      <c r="M35" s="1193">
        <f t="shared" si="9"/>
        <v>0</v>
      </c>
      <c r="N35" s="1196">
        <f t="shared" si="1"/>
        <v>0</v>
      </c>
      <c r="O35" s="1192">
        <f t="shared" si="5"/>
        <v>632727.81837399991</v>
      </c>
      <c r="P35" s="461">
        <f t="shared" si="6"/>
        <v>0</v>
      </c>
      <c r="Q35" s="461">
        <f t="shared" si="7"/>
        <v>20272.278373999994</v>
      </c>
    </row>
    <row r="36" spans="1:17">
      <c r="A36" s="1209">
        <v>27</v>
      </c>
      <c r="B36" s="1207" t="s">
        <v>1785</v>
      </c>
      <c r="C36" s="449">
        <v>29080</v>
      </c>
      <c r="D36" s="271">
        <f>5333.53+556294.28</f>
        <v>561627.81000000006</v>
      </c>
      <c r="G36" s="117"/>
      <c r="H36" s="461">
        <f t="shared" si="2"/>
        <v>0</v>
      </c>
      <c r="I36" s="461">
        <f t="shared" si="3"/>
        <v>561627.81000000006</v>
      </c>
      <c r="J36" s="117">
        <f t="shared" si="8"/>
        <v>3.3099999999999997E-2</v>
      </c>
      <c r="K36" s="461">
        <f t="shared" si="10"/>
        <v>18589.880510999999</v>
      </c>
      <c r="L36" s="461">
        <f t="shared" si="4"/>
        <v>580217.69051100011</v>
      </c>
      <c r="M36" s="1193">
        <f t="shared" si="9"/>
        <v>0</v>
      </c>
      <c r="N36" s="1196">
        <f t="shared" si="1"/>
        <v>0</v>
      </c>
      <c r="O36" s="1192">
        <f t="shared" si="5"/>
        <v>580217.69051100011</v>
      </c>
      <c r="P36" s="461">
        <f t="shared" si="6"/>
        <v>0</v>
      </c>
      <c r="Q36" s="461">
        <f t="shared" si="7"/>
        <v>18589.880510999999</v>
      </c>
    </row>
    <row r="37" spans="1:17">
      <c r="A37" s="1209">
        <v>28</v>
      </c>
      <c r="B37" s="113" t="s">
        <v>1786</v>
      </c>
      <c r="C37" s="449">
        <v>29100</v>
      </c>
      <c r="D37" s="271">
        <v>130427.12</v>
      </c>
      <c r="G37" s="117"/>
      <c r="H37" s="461">
        <f t="shared" si="2"/>
        <v>0</v>
      </c>
      <c r="I37" s="461">
        <f t="shared" si="3"/>
        <v>130427.12</v>
      </c>
      <c r="J37" s="117">
        <f t="shared" si="8"/>
        <v>3.3099999999999997E-2</v>
      </c>
      <c r="K37" s="461">
        <f t="shared" si="10"/>
        <v>4317.1376719999998</v>
      </c>
      <c r="L37" s="461">
        <f t="shared" si="4"/>
        <v>134744.25767200001</v>
      </c>
      <c r="M37" s="1193">
        <f t="shared" si="9"/>
        <v>0</v>
      </c>
      <c r="N37" s="1196">
        <f t="shared" si="1"/>
        <v>0</v>
      </c>
      <c r="O37" s="1192">
        <f t="shared" si="5"/>
        <v>134744.25767200001</v>
      </c>
      <c r="P37" s="461">
        <f t="shared" si="6"/>
        <v>0</v>
      </c>
      <c r="Q37" s="461">
        <f t="shared" si="7"/>
        <v>4317.1376719999998</v>
      </c>
    </row>
    <row r="38" spans="1:17">
      <c r="A38" s="1209">
        <v>29</v>
      </c>
      <c r="B38" s="113" t="s">
        <v>1787</v>
      </c>
      <c r="C38" s="449">
        <v>29120</v>
      </c>
      <c r="D38" s="271">
        <v>0</v>
      </c>
      <c r="G38" s="117"/>
      <c r="H38" s="461">
        <f t="shared" si="2"/>
        <v>0</v>
      </c>
      <c r="I38" s="461">
        <f t="shared" si="3"/>
        <v>0</v>
      </c>
      <c r="J38" s="117">
        <f t="shared" si="8"/>
        <v>3.3099999999999997E-2</v>
      </c>
      <c r="K38" s="461">
        <f t="shared" si="10"/>
        <v>0</v>
      </c>
      <c r="L38" s="461">
        <f t="shared" si="4"/>
        <v>0</v>
      </c>
      <c r="M38" s="1193">
        <f t="shared" si="9"/>
        <v>0</v>
      </c>
      <c r="N38" s="1196">
        <f t="shared" si="1"/>
        <v>0</v>
      </c>
      <c r="O38" s="1192">
        <f t="shared" si="5"/>
        <v>0</v>
      </c>
      <c r="P38" s="461">
        <f>+H38</f>
        <v>0</v>
      </c>
      <c r="Q38" s="461">
        <f t="shared" si="7"/>
        <v>0</v>
      </c>
    </row>
    <row r="39" spans="1:17">
      <c r="A39" s="1209">
        <v>30</v>
      </c>
      <c r="B39" s="113" t="s">
        <v>1788</v>
      </c>
      <c r="C39" s="449" t="s">
        <v>1789</v>
      </c>
      <c r="D39" s="271">
        <v>2067571.84</v>
      </c>
      <c r="G39" s="117"/>
      <c r="H39" s="461">
        <f t="shared" si="2"/>
        <v>0</v>
      </c>
      <c r="I39" s="461">
        <f t="shared" si="3"/>
        <v>2067571.84</v>
      </c>
      <c r="J39" s="117">
        <f t="shared" si="8"/>
        <v>3.3099999999999997E-2</v>
      </c>
      <c r="K39" s="461">
        <f t="shared" si="10"/>
        <v>68436.627903999994</v>
      </c>
      <c r="L39" s="461">
        <f t="shared" si="4"/>
        <v>2136008.4679040001</v>
      </c>
      <c r="M39" s="1193">
        <f t="shared" si="9"/>
        <v>0</v>
      </c>
      <c r="N39" s="1196">
        <f t="shared" si="1"/>
        <v>0</v>
      </c>
      <c r="O39" s="1192">
        <f t="shared" si="5"/>
        <v>2136008.4679040001</v>
      </c>
      <c r="P39" s="461">
        <f t="shared" si="6"/>
        <v>0</v>
      </c>
      <c r="Q39" s="461">
        <f t="shared" si="7"/>
        <v>68436.627903999994</v>
      </c>
    </row>
    <row r="40" spans="1:17">
      <c r="A40" s="1209">
        <v>31</v>
      </c>
      <c r="B40" s="113" t="s">
        <v>1790</v>
      </c>
      <c r="C40" s="449">
        <v>29210</v>
      </c>
      <c r="D40" s="624">
        <v>0</v>
      </c>
      <c r="G40" s="117"/>
      <c r="H40" s="461">
        <f t="shared" si="2"/>
        <v>0</v>
      </c>
      <c r="I40" s="689">
        <f t="shared" si="3"/>
        <v>0</v>
      </c>
      <c r="J40" s="117">
        <f t="shared" si="8"/>
        <v>3.3099999999999997E-2</v>
      </c>
      <c r="K40" s="1204">
        <f t="shared" si="10"/>
        <v>0</v>
      </c>
      <c r="L40" s="1204">
        <f t="shared" si="4"/>
        <v>0</v>
      </c>
      <c r="M40" s="1193">
        <f t="shared" si="9"/>
        <v>0</v>
      </c>
      <c r="N40" s="1196">
        <f t="shared" si="1"/>
        <v>0</v>
      </c>
      <c r="O40" s="1192">
        <f t="shared" si="5"/>
        <v>0</v>
      </c>
      <c r="P40" s="1204">
        <f t="shared" si="6"/>
        <v>0</v>
      </c>
      <c r="Q40" s="1204">
        <f t="shared" si="7"/>
        <v>0</v>
      </c>
    </row>
    <row r="41" spans="1:17">
      <c r="A41" s="1209">
        <v>32</v>
      </c>
      <c r="D41" s="439">
        <f>SUM(D19:D40)</f>
        <v>6363595.0899999999</v>
      </c>
      <c r="F41" s="439"/>
      <c r="H41" s="439"/>
      <c r="I41" s="439">
        <f>SUM(I19:I40)</f>
        <v>6363595.0899999999</v>
      </c>
      <c r="K41" s="439">
        <f>SUM(K19:K40)</f>
        <v>210634.99747899998</v>
      </c>
      <c r="L41" s="439">
        <f>SUM(L19:L40)</f>
        <v>6574230.087478999</v>
      </c>
      <c r="M41" s="1197"/>
      <c r="N41" s="1199">
        <f>SUM(N19:N40)</f>
        <v>0</v>
      </c>
      <c r="O41" s="1199">
        <f>SUM(O19:O40)</f>
        <v>6574230.087478999</v>
      </c>
      <c r="P41" s="439">
        <f>SUM(P19:P40)</f>
        <v>0</v>
      </c>
      <c r="Q41" s="439">
        <f>SUM(Q19:Q40)</f>
        <v>210634.99747899998</v>
      </c>
    </row>
    <row r="42" spans="1:17">
      <c r="A42" s="1209">
        <v>33</v>
      </c>
      <c r="B42" s="4" t="s">
        <v>1756</v>
      </c>
      <c r="M42" s="1197"/>
      <c r="N42" s="1197"/>
      <c r="O42" s="1197"/>
    </row>
    <row r="43" spans="1:17">
      <c r="A43" s="1209">
        <v>34</v>
      </c>
      <c r="B43" s="113" t="s">
        <v>1762</v>
      </c>
      <c r="C43" s="1208">
        <v>28700</v>
      </c>
      <c r="D43" s="271">
        <v>0</v>
      </c>
      <c r="F43" s="1185"/>
      <c r="G43" s="117">
        <v>0.03</v>
      </c>
      <c r="H43" s="461">
        <f t="shared" ref="H43:H48" si="11">+F43*G43</f>
        <v>0</v>
      </c>
      <c r="I43" s="461">
        <f>+D43+H43</f>
        <v>0</v>
      </c>
      <c r="J43" s="117">
        <v>0.03</v>
      </c>
      <c r="K43" s="461">
        <f>+I43*J43</f>
        <v>0</v>
      </c>
      <c r="L43" s="461">
        <f>+I43+K43</f>
        <v>0</v>
      </c>
      <c r="M43" s="1193">
        <f>M12</f>
        <v>0</v>
      </c>
      <c r="N43" s="1196">
        <f>+L43*M43</f>
        <v>0</v>
      </c>
      <c r="O43" s="1196">
        <f>+L43+N43</f>
        <v>0</v>
      </c>
      <c r="P43" s="461">
        <f>+H43</f>
        <v>0</v>
      </c>
      <c r="Q43" s="461">
        <f>+N43+K43</f>
        <v>0</v>
      </c>
    </row>
    <row r="44" spans="1:17">
      <c r="A44" s="1209">
        <v>35</v>
      </c>
      <c r="B44" s="113" t="s">
        <v>1246</v>
      </c>
      <c r="C44" s="1208">
        <v>28710</v>
      </c>
      <c r="D44" s="1183">
        <f>1345.47+1432.07</f>
        <v>2777.54</v>
      </c>
      <c r="F44" s="1187">
        <f>427.2+462.79</f>
        <v>889.99</v>
      </c>
      <c r="G44" s="117">
        <v>0.03</v>
      </c>
      <c r="H44" s="461">
        <f>+F44*G44</f>
        <v>26.6997</v>
      </c>
      <c r="I44" s="461">
        <f t="shared" ref="I44:I62" si="12">+D44+H44</f>
        <v>2804.2397000000001</v>
      </c>
      <c r="J44" s="117">
        <v>0.03</v>
      </c>
      <c r="K44" s="461">
        <f t="shared" ref="K44:K62" si="13">+I44*J44</f>
        <v>84.127190999999996</v>
      </c>
      <c r="L44" s="461">
        <f t="shared" ref="L44:L61" si="14">+I44+K44</f>
        <v>2888.3668910000001</v>
      </c>
      <c r="M44" s="1193">
        <f>M43</f>
        <v>0</v>
      </c>
      <c r="N44" s="1196">
        <f t="shared" ref="N44:N61" si="15">+L44*M44</f>
        <v>0</v>
      </c>
      <c r="O44" s="1196">
        <f>+L44+N44</f>
        <v>2888.3668910000001</v>
      </c>
      <c r="P44" s="461">
        <f t="shared" ref="P44:P62" si="16">+H44</f>
        <v>26.6997</v>
      </c>
      <c r="Q44" s="461">
        <f>+N44+K44</f>
        <v>84.127190999999996</v>
      </c>
    </row>
    <row r="45" spans="1:17">
      <c r="A45" s="1209">
        <v>36</v>
      </c>
      <c r="B45" s="113" t="s">
        <v>1791</v>
      </c>
      <c r="C45" s="1208">
        <v>28720</v>
      </c>
      <c r="D45" s="1183">
        <f>48334.52+342.26</f>
        <v>48676.78</v>
      </c>
      <c r="F45" s="1187">
        <f>7216.75+342.26</f>
        <v>7559.01</v>
      </c>
      <c r="G45" s="117">
        <v>0.03</v>
      </c>
      <c r="H45" s="461">
        <f t="shared" si="11"/>
        <v>226.77029999999999</v>
      </c>
      <c r="I45" s="461">
        <f t="shared" si="12"/>
        <v>48903.550299999995</v>
      </c>
      <c r="J45" s="117">
        <v>0.03</v>
      </c>
      <c r="K45" s="461">
        <f t="shared" si="13"/>
        <v>1467.1065089999997</v>
      </c>
      <c r="L45" s="461">
        <f t="shared" si="14"/>
        <v>50370.656808999993</v>
      </c>
      <c r="M45" s="1193">
        <f t="shared" ref="M45:M62" si="17">M44</f>
        <v>0</v>
      </c>
      <c r="N45" s="1196">
        <f t="shared" si="15"/>
        <v>0</v>
      </c>
      <c r="O45" s="1196">
        <f t="shared" ref="O45:O60" si="18">+L45+N45</f>
        <v>50370.656808999993</v>
      </c>
      <c r="P45" s="461">
        <f t="shared" si="16"/>
        <v>226.77029999999999</v>
      </c>
      <c r="Q45" s="461">
        <f t="shared" ref="Q45:Q62" si="19">+N45+K45</f>
        <v>1467.1065089999997</v>
      </c>
    </row>
    <row r="46" spans="1:17">
      <c r="A46" s="1209">
        <v>37</v>
      </c>
      <c r="B46" s="113" t="s">
        <v>1765</v>
      </c>
      <c r="C46" s="1208">
        <v>28740</v>
      </c>
      <c r="D46" s="1183">
        <f>1758858.6+210121.02+7583.88</f>
        <v>1976563.5</v>
      </c>
      <c r="F46" s="1187">
        <f>404192.17+2874.94</f>
        <v>407067.11</v>
      </c>
      <c r="G46" s="117">
        <v>0.03</v>
      </c>
      <c r="H46" s="461">
        <f t="shared" si="11"/>
        <v>12212.013299999999</v>
      </c>
      <c r="I46" s="461">
        <f t="shared" si="12"/>
        <v>1988775.5133</v>
      </c>
      <c r="J46" s="117">
        <v>0.03</v>
      </c>
      <c r="K46" s="461">
        <f t="shared" si="13"/>
        <v>59663.265398999996</v>
      </c>
      <c r="L46" s="461">
        <f t="shared" si="14"/>
        <v>2048438.7786989999</v>
      </c>
      <c r="M46" s="1193">
        <f t="shared" si="17"/>
        <v>0</v>
      </c>
      <c r="N46" s="1196">
        <f t="shared" si="15"/>
        <v>0</v>
      </c>
      <c r="O46" s="1196">
        <f t="shared" si="18"/>
        <v>2048438.7786989999</v>
      </c>
      <c r="P46" s="461">
        <f t="shared" si="16"/>
        <v>12212.013299999999</v>
      </c>
      <c r="Q46" s="461">
        <f t="shared" si="19"/>
        <v>59663.265398999996</v>
      </c>
    </row>
    <row r="47" spans="1:17">
      <c r="A47" s="1209">
        <v>38</v>
      </c>
      <c r="B47" s="113" t="s">
        <v>1792</v>
      </c>
      <c r="C47" s="1208">
        <v>28750</v>
      </c>
      <c r="D47" s="1183">
        <f>43870.75+249147.67</f>
        <v>293018.42000000004</v>
      </c>
      <c r="F47" s="1187">
        <f>11285.61+48978.88</f>
        <v>60264.49</v>
      </c>
      <c r="G47" s="117">
        <v>0.03</v>
      </c>
      <c r="H47" s="461">
        <f t="shared" si="11"/>
        <v>1807.9346999999998</v>
      </c>
      <c r="I47" s="461">
        <f t="shared" si="12"/>
        <v>294826.35470000003</v>
      </c>
      <c r="J47" s="117">
        <v>0.03</v>
      </c>
      <c r="K47" s="461">
        <f t="shared" si="13"/>
        <v>8844.7906409999996</v>
      </c>
      <c r="L47" s="461">
        <f t="shared" si="14"/>
        <v>303671.14534100005</v>
      </c>
      <c r="M47" s="1193">
        <f t="shared" si="17"/>
        <v>0</v>
      </c>
      <c r="N47" s="1196">
        <f t="shared" si="15"/>
        <v>0</v>
      </c>
      <c r="O47" s="1196">
        <f t="shared" si="18"/>
        <v>303671.14534100005</v>
      </c>
      <c r="P47" s="461">
        <f t="shared" si="16"/>
        <v>1807.9346999999998</v>
      </c>
      <c r="Q47" s="461">
        <f t="shared" si="19"/>
        <v>8844.7906409999996</v>
      </c>
    </row>
    <row r="48" spans="1:17">
      <c r="A48" s="1209">
        <v>39</v>
      </c>
      <c r="B48" s="113" t="s">
        <v>1793</v>
      </c>
      <c r="C48" s="1208">
        <v>28760</v>
      </c>
      <c r="D48" s="1183">
        <f>61484.49+206096.2</f>
        <v>267580.69</v>
      </c>
      <c r="F48" s="1187">
        <f>8541.22+28282.31</f>
        <v>36823.53</v>
      </c>
      <c r="G48" s="117">
        <v>0.03</v>
      </c>
      <c r="H48" s="461">
        <f t="shared" si="11"/>
        <v>1104.7058999999999</v>
      </c>
      <c r="I48" s="461">
        <f t="shared" si="12"/>
        <v>268685.3959</v>
      </c>
      <c r="J48" s="117">
        <v>0.03</v>
      </c>
      <c r="K48" s="461">
        <f t="shared" si="13"/>
        <v>8060.5618770000001</v>
      </c>
      <c r="L48" s="461">
        <f t="shared" si="14"/>
        <v>276745.95777700003</v>
      </c>
      <c r="M48" s="1193">
        <f t="shared" si="17"/>
        <v>0</v>
      </c>
      <c r="N48" s="1196">
        <f t="shared" si="15"/>
        <v>0</v>
      </c>
      <c r="O48" s="1196">
        <f t="shared" si="18"/>
        <v>276745.95777700003</v>
      </c>
      <c r="P48" s="461">
        <f t="shared" si="16"/>
        <v>1104.7058999999999</v>
      </c>
      <c r="Q48" s="461">
        <f t="shared" si="19"/>
        <v>8060.5618770000001</v>
      </c>
    </row>
    <row r="49" spans="1:19">
      <c r="A49" s="1209">
        <v>40</v>
      </c>
      <c r="B49" s="113" t="s">
        <v>1767</v>
      </c>
      <c r="C49" s="1208">
        <v>28780</v>
      </c>
      <c r="D49" s="1183">
        <f>730256.52+108812.49</f>
        <v>839069.01</v>
      </c>
      <c r="F49" s="1187">
        <v>221960.31</v>
      </c>
      <c r="G49" s="117">
        <v>0.03</v>
      </c>
      <c r="H49" s="461">
        <f t="shared" ref="H49:H62" si="20">+F49*G49</f>
        <v>6658.8092999999999</v>
      </c>
      <c r="I49" s="461">
        <f t="shared" si="12"/>
        <v>845727.81929999997</v>
      </c>
      <c r="J49" s="117">
        <v>0.03</v>
      </c>
      <c r="K49" s="461">
        <f t="shared" si="13"/>
        <v>25371.834578999998</v>
      </c>
      <c r="L49" s="461">
        <f t="shared" si="14"/>
        <v>871099.65387899999</v>
      </c>
      <c r="M49" s="1193">
        <f t="shared" si="17"/>
        <v>0</v>
      </c>
      <c r="N49" s="1196">
        <f t="shared" si="15"/>
        <v>0</v>
      </c>
      <c r="O49" s="1196">
        <f t="shared" si="18"/>
        <v>871099.65387899999</v>
      </c>
      <c r="P49" s="461">
        <f t="shared" si="16"/>
        <v>6658.8092999999999</v>
      </c>
      <c r="Q49" s="461">
        <f t="shared" si="19"/>
        <v>25371.834578999998</v>
      </c>
    </row>
    <row r="50" spans="1:19">
      <c r="A50" s="1209">
        <v>41</v>
      </c>
      <c r="B50" s="113" t="s">
        <v>1794</v>
      </c>
      <c r="C50" s="1208">
        <v>28790</v>
      </c>
      <c r="D50" s="1183">
        <f>97989.61+341055.9+293.82</f>
        <v>439339.33</v>
      </c>
      <c r="F50" s="1187">
        <f>127956.52+145.18</f>
        <v>128101.7</v>
      </c>
      <c r="G50" s="117">
        <v>0.03</v>
      </c>
      <c r="H50" s="461">
        <f t="shared" si="20"/>
        <v>3843.0509999999999</v>
      </c>
      <c r="I50" s="461">
        <f t="shared" si="12"/>
        <v>443182.38099999999</v>
      </c>
      <c r="J50" s="117">
        <v>0.03</v>
      </c>
      <c r="K50" s="461">
        <f t="shared" si="13"/>
        <v>13295.47143</v>
      </c>
      <c r="L50" s="461">
        <f t="shared" si="14"/>
        <v>456477.85242999997</v>
      </c>
      <c r="M50" s="1193">
        <f t="shared" si="17"/>
        <v>0</v>
      </c>
      <c r="N50" s="1196">
        <f t="shared" si="15"/>
        <v>0</v>
      </c>
      <c r="O50" s="1196">
        <f t="shared" si="18"/>
        <v>456477.85242999997</v>
      </c>
      <c r="P50" s="461">
        <f t="shared" si="16"/>
        <v>3843.0509999999999</v>
      </c>
      <c r="Q50" s="461">
        <f t="shared" si="19"/>
        <v>13295.47143</v>
      </c>
    </row>
    <row r="51" spans="1:19">
      <c r="A51" s="1209">
        <v>42</v>
      </c>
      <c r="B51" s="113" t="s">
        <v>1768</v>
      </c>
      <c r="C51" s="1208">
        <v>28800</v>
      </c>
      <c r="D51" s="1183">
        <f>2493308.96+279298.74+68926.84</f>
        <v>2841534.54</v>
      </c>
      <c r="F51" s="1187">
        <f>651240.51+26727.18</f>
        <v>677967.69000000006</v>
      </c>
      <c r="G51" s="117">
        <v>0.03</v>
      </c>
      <c r="H51" s="461">
        <f t="shared" si="20"/>
        <v>20339.030699999999</v>
      </c>
      <c r="I51" s="461">
        <f t="shared" si="12"/>
        <v>2861873.5707</v>
      </c>
      <c r="J51" s="117">
        <v>0.03</v>
      </c>
      <c r="K51" s="461">
        <f t="shared" si="13"/>
        <v>85856.207120999999</v>
      </c>
      <c r="L51" s="461">
        <f t="shared" si="14"/>
        <v>2947729.7778210002</v>
      </c>
      <c r="M51" s="1193">
        <f t="shared" si="17"/>
        <v>0</v>
      </c>
      <c r="N51" s="1196">
        <f t="shared" si="15"/>
        <v>0</v>
      </c>
      <c r="O51" s="1196">
        <f t="shared" si="18"/>
        <v>2947729.7778210002</v>
      </c>
      <c r="P51" s="461">
        <f t="shared" si="16"/>
        <v>20339.030699999999</v>
      </c>
      <c r="Q51" s="461">
        <f t="shared" si="19"/>
        <v>85856.207120999999</v>
      </c>
    </row>
    <row r="52" spans="1:19">
      <c r="A52" s="1209">
        <v>43</v>
      </c>
      <c r="B52" s="113" t="s">
        <v>1771</v>
      </c>
      <c r="C52" s="1208">
        <v>28870</v>
      </c>
      <c r="D52" s="1183">
        <f>419620.02+222.45</f>
        <v>419842.47000000003</v>
      </c>
      <c r="F52" s="1187">
        <v>86854.83</v>
      </c>
      <c r="G52" s="117">
        <v>0.03</v>
      </c>
      <c r="H52" s="461">
        <f t="shared" si="20"/>
        <v>2605.6448999999998</v>
      </c>
      <c r="I52" s="461">
        <f t="shared" si="12"/>
        <v>422448.11490000004</v>
      </c>
      <c r="J52" s="117">
        <v>0.03</v>
      </c>
      <c r="K52" s="461">
        <f t="shared" si="13"/>
        <v>12673.443447000001</v>
      </c>
      <c r="L52" s="461">
        <f t="shared" si="14"/>
        <v>435121.55834700004</v>
      </c>
      <c r="M52" s="1193">
        <f t="shared" si="17"/>
        <v>0</v>
      </c>
      <c r="N52" s="1196">
        <f t="shared" si="15"/>
        <v>0</v>
      </c>
      <c r="O52" s="1196">
        <f t="shared" si="18"/>
        <v>435121.55834700004</v>
      </c>
      <c r="P52" s="461">
        <f t="shared" si="16"/>
        <v>2605.6448999999998</v>
      </c>
      <c r="Q52" s="461">
        <f t="shared" si="19"/>
        <v>12673.443447000001</v>
      </c>
    </row>
    <row r="53" spans="1:19">
      <c r="A53" s="1209">
        <v>44</v>
      </c>
      <c r="B53" s="113" t="s">
        <v>1795</v>
      </c>
      <c r="C53" s="1208">
        <v>28880</v>
      </c>
      <c r="D53" s="1183">
        <v>48000.03</v>
      </c>
      <c r="F53" s="1187">
        <v>14893.09</v>
      </c>
      <c r="G53" s="117">
        <v>0.03</v>
      </c>
      <c r="H53" s="461">
        <f t="shared" si="20"/>
        <v>446.79269999999997</v>
      </c>
      <c r="I53" s="461">
        <f t="shared" si="12"/>
        <v>48446.822699999997</v>
      </c>
      <c r="J53" s="117">
        <v>0.03</v>
      </c>
      <c r="K53" s="461">
        <f t="shared" si="13"/>
        <v>1453.4046809999998</v>
      </c>
      <c r="L53" s="461">
        <f t="shared" si="14"/>
        <v>49900.227380999997</v>
      </c>
      <c r="M53" s="1193">
        <f t="shared" si="17"/>
        <v>0</v>
      </c>
      <c r="N53" s="1196">
        <f t="shared" si="15"/>
        <v>0</v>
      </c>
      <c r="O53" s="1196">
        <f t="shared" si="18"/>
        <v>49900.227380999997</v>
      </c>
      <c r="P53" s="461">
        <f t="shared" si="16"/>
        <v>446.79269999999997</v>
      </c>
      <c r="Q53" s="461">
        <f t="shared" si="19"/>
        <v>1453.4046809999998</v>
      </c>
    </row>
    <row r="54" spans="1:19">
      <c r="A54" s="1209">
        <v>45</v>
      </c>
      <c r="B54" s="113" t="s">
        <v>1775</v>
      </c>
      <c r="C54" s="1208">
        <v>28890</v>
      </c>
      <c r="D54" s="1183">
        <f>48157.83+89417.05</f>
        <v>137574.88</v>
      </c>
      <c r="F54" s="1187">
        <f>14317.72+14195.51</f>
        <v>28513.23</v>
      </c>
      <c r="G54" s="117">
        <v>0.03</v>
      </c>
      <c r="H54" s="461">
        <f t="shared" si="20"/>
        <v>855.39689999999996</v>
      </c>
      <c r="I54" s="461">
        <f t="shared" si="12"/>
        <v>138430.2769</v>
      </c>
      <c r="J54" s="117">
        <v>0.03</v>
      </c>
      <c r="K54" s="461">
        <f t="shared" si="13"/>
        <v>4152.9083069999997</v>
      </c>
      <c r="L54" s="461">
        <f t="shared" si="14"/>
        <v>142583.185207</v>
      </c>
      <c r="M54" s="1193">
        <f t="shared" si="17"/>
        <v>0</v>
      </c>
      <c r="N54" s="1196">
        <f t="shared" si="15"/>
        <v>0</v>
      </c>
      <c r="O54" s="1196">
        <f t="shared" si="18"/>
        <v>142583.185207</v>
      </c>
      <c r="P54" s="461">
        <f t="shared" si="16"/>
        <v>855.39689999999996</v>
      </c>
      <c r="Q54" s="461">
        <f t="shared" si="19"/>
        <v>4152.9083069999997</v>
      </c>
    </row>
    <row r="55" spans="1:19">
      <c r="A55" s="1209">
        <v>46</v>
      </c>
      <c r="B55" s="1207" t="s">
        <v>1775</v>
      </c>
      <c r="C55" s="1208">
        <v>28900</v>
      </c>
      <c r="D55" s="1183">
        <f>12356.4+34016.31</f>
        <v>46372.71</v>
      </c>
      <c r="F55" s="1187">
        <f>120.36+10756.58</f>
        <v>10876.94</v>
      </c>
      <c r="G55" s="117">
        <v>0.03</v>
      </c>
      <c r="H55" s="461">
        <f t="shared" si="20"/>
        <v>326.3082</v>
      </c>
      <c r="I55" s="461">
        <f t="shared" si="12"/>
        <v>46699.018199999999</v>
      </c>
      <c r="J55" s="117">
        <v>0.03</v>
      </c>
      <c r="K55" s="461">
        <f t="shared" si="13"/>
        <v>1400.970546</v>
      </c>
      <c r="L55" s="461">
        <f t="shared" si="14"/>
        <v>48099.988745999995</v>
      </c>
      <c r="M55" s="1193">
        <f t="shared" si="17"/>
        <v>0</v>
      </c>
      <c r="N55" s="1196">
        <f t="shared" si="15"/>
        <v>0</v>
      </c>
      <c r="O55" s="1196">
        <f t="shared" si="18"/>
        <v>48099.988745999995</v>
      </c>
      <c r="P55" s="461">
        <f t="shared" si="16"/>
        <v>326.3082</v>
      </c>
      <c r="Q55" s="461">
        <f t="shared" si="19"/>
        <v>1400.970546</v>
      </c>
    </row>
    <row r="56" spans="1:19">
      <c r="A56" s="1209">
        <v>47</v>
      </c>
      <c r="B56" s="113" t="s">
        <v>1776</v>
      </c>
      <c r="C56" s="1208">
        <v>28920</v>
      </c>
      <c r="D56" s="1183">
        <f>589026.74+117505.49+173.1</f>
        <v>706705.33</v>
      </c>
      <c r="F56" s="1187">
        <v>156578.06</v>
      </c>
      <c r="G56" s="117">
        <v>0.03</v>
      </c>
      <c r="H56" s="461">
        <f t="shared" si="20"/>
        <v>4697.3418000000001</v>
      </c>
      <c r="I56" s="461">
        <f t="shared" si="12"/>
        <v>711402.67180000001</v>
      </c>
      <c r="J56" s="117">
        <v>0.03</v>
      </c>
      <c r="K56" s="461">
        <f t="shared" si="13"/>
        <v>21342.080153999999</v>
      </c>
      <c r="L56" s="461">
        <f t="shared" si="14"/>
        <v>732744.75195399998</v>
      </c>
      <c r="M56" s="1193">
        <f t="shared" si="17"/>
        <v>0</v>
      </c>
      <c r="N56" s="1196">
        <f t="shared" si="15"/>
        <v>0</v>
      </c>
      <c r="O56" s="1196">
        <f t="shared" si="18"/>
        <v>732744.75195399998</v>
      </c>
      <c r="P56" s="461">
        <f t="shared" si="16"/>
        <v>4697.3418000000001</v>
      </c>
      <c r="Q56" s="461">
        <f t="shared" si="19"/>
        <v>21342.080153999999</v>
      </c>
    </row>
    <row r="57" spans="1:19">
      <c r="A57" s="1209">
        <v>48</v>
      </c>
      <c r="B57" s="113" t="s">
        <v>1778</v>
      </c>
      <c r="C57" s="1208">
        <v>28930</v>
      </c>
      <c r="D57" s="1183">
        <f>424984.44+79550.13</f>
        <v>504534.57</v>
      </c>
      <c r="F57" s="1187">
        <f>113076.1+23641.31</f>
        <v>136717.41</v>
      </c>
      <c r="G57" s="117">
        <v>0.03</v>
      </c>
      <c r="H57" s="461">
        <f t="shared" si="20"/>
        <v>4101.5222999999996</v>
      </c>
      <c r="I57" s="461">
        <f t="shared" si="12"/>
        <v>508636.09230000002</v>
      </c>
      <c r="J57" s="117">
        <v>0.03</v>
      </c>
      <c r="K57" s="461">
        <f t="shared" si="13"/>
        <v>15259.082769000001</v>
      </c>
      <c r="L57" s="461">
        <f t="shared" si="14"/>
        <v>523895.17506899999</v>
      </c>
      <c r="M57" s="1193">
        <f t="shared" si="17"/>
        <v>0</v>
      </c>
      <c r="N57" s="1196">
        <f t="shared" si="15"/>
        <v>0</v>
      </c>
      <c r="O57" s="1196">
        <f t="shared" si="18"/>
        <v>523895.17506899999</v>
      </c>
      <c r="P57" s="461">
        <f t="shared" si="16"/>
        <v>4101.5222999999996</v>
      </c>
      <c r="Q57" s="461">
        <f t="shared" si="19"/>
        <v>15259.082769000001</v>
      </c>
    </row>
    <row r="58" spans="1:19">
      <c r="A58" s="1209">
        <v>49</v>
      </c>
      <c r="B58" s="113" t="s">
        <v>1780</v>
      </c>
      <c r="C58" s="1208">
        <v>28940</v>
      </c>
      <c r="D58" s="1183">
        <f>1116007.23+14767.44</f>
        <v>1130774.67</v>
      </c>
      <c r="F58" s="1187">
        <f>250110.77+6791.53</f>
        <v>256902.3</v>
      </c>
      <c r="G58" s="117">
        <v>0.03</v>
      </c>
      <c r="H58" s="461">
        <f t="shared" si="20"/>
        <v>7707.0689999999995</v>
      </c>
      <c r="I58" s="461">
        <f t="shared" si="12"/>
        <v>1138481.7389999998</v>
      </c>
      <c r="J58" s="117">
        <v>0.03</v>
      </c>
      <c r="K58" s="461">
        <f t="shared" si="13"/>
        <v>34154.452169999997</v>
      </c>
      <c r="L58" s="461">
        <f t="shared" si="14"/>
        <v>1172636.1911699998</v>
      </c>
      <c r="M58" s="1193">
        <f t="shared" si="17"/>
        <v>0</v>
      </c>
      <c r="N58" s="1196">
        <f t="shared" si="15"/>
        <v>0</v>
      </c>
      <c r="O58" s="1196">
        <f t="shared" si="18"/>
        <v>1172636.1911699998</v>
      </c>
      <c r="P58" s="461">
        <f t="shared" si="16"/>
        <v>7707.0689999999995</v>
      </c>
      <c r="Q58" s="461">
        <f t="shared" si="19"/>
        <v>34154.452169999997</v>
      </c>
    </row>
    <row r="59" spans="1:19">
      <c r="A59" s="1209">
        <v>50</v>
      </c>
      <c r="B59" s="113" t="s">
        <v>1782</v>
      </c>
      <c r="C59" s="1208">
        <v>29020</v>
      </c>
      <c r="D59" s="1183">
        <v>368087.95</v>
      </c>
      <c r="F59" s="1187">
        <v>81455.25</v>
      </c>
      <c r="G59" s="117">
        <v>0.03</v>
      </c>
      <c r="H59" s="461">
        <f t="shared" si="20"/>
        <v>2443.6574999999998</v>
      </c>
      <c r="I59" s="461">
        <f t="shared" si="12"/>
        <v>370531.60749999998</v>
      </c>
      <c r="J59" s="117">
        <v>0.03</v>
      </c>
      <c r="K59" s="461">
        <f t="shared" si="13"/>
        <v>11115.948224999998</v>
      </c>
      <c r="L59" s="461">
        <f t="shared" si="14"/>
        <v>381647.55572499998</v>
      </c>
      <c r="M59" s="1193">
        <f t="shared" si="17"/>
        <v>0</v>
      </c>
      <c r="N59" s="1196">
        <f t="shared" si="15"/>
        <v>0</v>
      </c>
      <c r="O59" s="1196">
        <f t="shared" si="18"/>
        <v>381647.55572499998</v>
      </c>
      <c r="P59" s="461">
        <f t="shared" si="16"/>
        <v>2443.6574999999998</v>
      </c>
      <c r="Q59" s="461">
        <f t="shared" si="19"/>
        <v>11115.948224999998</v>
      </c>
    </row>
    <row r="60" spans="1:19">
      <c r="A60" s="1209">
        <v>51</v>
      </c>
      <c r="B60" s="113" t="s">
        <v>1783</v>
      </c>
      <c r="C60" s="1208">
        <v>29030</v>
      </c>
      <c r="D60" s="1183">
        <f>39610.52+7089.72</f>
        <v>46700.24</v>
      </c>
      <c r="F60" s="1187">
        <v>14545.81</v>
      </c>
      <c r="G60" s="117">
        <v>0.03</v>
      </c>
      <c r="H60" s="461">
        <f>+F60*G60</f>
        <v>436.37429999999995</v>
      </c>
      <c r="I60" s="461">
        <f t="shared" si="12"/>
        <v>47136.614300000001</v>
      </c>
      <c r="J60" s="117">
        <v>0.03</v>
      </c>
      <c r="K60" s="461">
        <f t="shared" si="13"/>
        <v>1414.0984289999999</v>
      </c>
      <c r="L60" s="461">
        <f t="shared" si="14"/>
        <v>48550.712728999999</v>
      </c>
      <c r="M60" s="1193">
        <f t="shared" si="17"/>
        <v>0</v>
      </c>
      <c r="N60" s="1196">
        <f t="shared" si="15"/>
        <v>0</v>
      </c>
      <c r="O60" s="1196">
        <f t="shared" si="18"/>
        <v>48550.712728999999</v>
      </c>
      <c r="P60" s="461">
        <f>+H60</f>
        <v>436.37429999999995</v>
      </c>
      <c r="Q60" s="461">
        <f t="shared" si="19"/>
        <v>1414.0984289999999</v>
      </c>
    </row>
    <row r="61" spans="1:19">
      <c r="A61" s="1209">
        <v>52</v>
      </c>
      <c r="B61" s="113" t="s">
        <v>1788</v>
      </c>
      <c r="C61" s="1208">
        <v>29200</v>
      </c>
      <c r="D61" s="1183">
        <v>662.83</v>
      </c>
      <c r="F61" s="1186">
        <v>662.83</v>
      </c>
      <c r="G61" s="117">
        <v>0.03</v>
      </c>
      <c r="H61" s="461">
        <f t="shared" si="20"/>
        <v>19.884900000000002</v>
      </c>
      <c r="I61" s="461">
        <f t="shared" si="12"/>
        <v>682.71490000000006</v>
      </c>
      <c r="J61" s="117">
        <v>0.03</v>
      </c>
      <c r="K61" s="461">
        <f t="shared" si="13"/>
        <v>20.481446999999999</v>
      </c>
      <c r="L61" s="461">
        <f t="shared" si="14"/>
        <v>703.19634700000006</v>
      </c>
      <c r="M61" s="1193">
        <f t="shared" si="17"/>
        <v>0</v>
      </c>
      <c r="N61" s="1196">
        <f t="shared" si="15"/>
        <v>0</v>
      </c>
      <c r="O61" s="1196">
        <f>+L61+N61</f>
        <v>703.19634700000006</v>
      </c>
      <c r="P61" s="461">
        <f>+H61</f>
        <v>19.884900000000002</v>
      </c>
      <c r="Q61" s="461">
        <f t="shared" si="19"/>
        <v>20.481446999999999</v>
      </c>
    </row>
    <row r="62" spans="1:19">
      <c r="A62" s="1209">
        <v>53</v>
      </c>
      <c r="B62" s="113" t="s">
        <v>1336</v>
      </c>
      <c r="C62" s="1208">
        <v>29350</v>
      </c>
      <c r="D62" s="1184">
        <v>3698.98</v>
      </c>
      <c r="E62" s="435"/>
      <c r="F62" s="1188">
        <v>1659.68</v>
      </c>
      <c r="G62" s="117">
        <v>0.03</v>
      </c>
      <c r="H62" s="689">
        <f t="shared" si="20"/>
        <v>49.790399999999998</v>
      </c>
      <c r="I62" s="689">
        <f t="shared" si="12"/>
        <v>3748.7703999999999</v>
      </c>
      <c r="J62" s="117">
        <v>0.03</v>
      </c>
      <c r="K62" s="689">
        <f t="shared" si="13"/>
        <v>112.463112</v>
      </c>
      <c r="L62" s="689">
        <f>+I62+K62</f>
        <v>3861.2335119999998</v>
      </c>
      <c r="M62" s="1193">
        <f t="shared" si="17"/>
        <v>0</v>
      </c>
      <c r="N62" s="1200">
        <f>+L62*M62</f>
        <v>0</v>
      </c>
      <c r="O62" s="1200">
        <f>+L62+N62</f>
        <v>3861.2335119999998</v>
      </c>
      <c r="P62" s="689">
        <f t="shared" si="16"/>
        <v>49.790399999999998</v>
      </c>
      <c r="Q62" s="689">
        <f t="shared" si="19"/>
        <v>112.463112</v>
      </c>
    </row>
    <row r="63" spans="1:19">
      <c r="A63" s="1209">
        <v>54</v>
      </c>
      <c r="D63" s="439">
        <f>SUM(D43:D62)</f>
        <v>10121514.470000001</v>
      </c>
      <c r="F63" s="439">
        <f>SUM(F43:F62)</f>
        <v>2330293.2600000002</v>
      </c>
      <c r="H63" s="439">
        <f>SUM(H43:H62)</f>
        <v>69908.797799999986</v>
      </c>
      <c r="I63" s="439">
        <f>SUM(I43:I62)</f>
        <v>10191423.2678</v>
      </c>
      <c r="K63" s="439">
        <f>SUM(K43:K62)</f>
        <v>305742.698034</v>
      </c>
      <c r="L63" s="439">
        <f>SUM(L43:L62)</f>
        <v>10497165.965834001</v>
      </c>
      <c r="M63" s="1197"/>
      <c r="N63" s="1199">
        <f>SUM(N43:N62)</f>
        <v>0</v>
      </c>
      <c r="O63" s="1199">
        <f>SUM(O43:O62)</f>
        <v>10497165.965834001</v>
      </c>
      <c r="P63" s="439">
        <f>SUM(P43:P62)</f>
        <v>69908.797799999986</v>
      </c>
      <c r="Q63" s="439">
        <f>SUM(Q43:Q62)</f>
        <v>305742.698034</v>
      </c>
      <c r="S63" s="439"/>
    </row>
    <row r="64" spans="1:19">
      <c r="A64" s="1209">
        <v>55</v>
      </c>
      <c r="M64" s="1197"/>
      <c r="N64" s="1197"/>
      <c r="O64" s="1197"/>
    </row>
    <row r="65" spans="1:17">
      <c r="A65" s="1209">
        <v>56</v>
      </c>
      <c r="D65" s="439"/>
      <c r="M65" s="1197"/>
      <c r="N65" s="1197"/>
      <c r="O65" s="1197"/>
    </row>
    <row r="66" spans="1:17" ht="15.75" thickBot="1">
      <c r="A66" s="1209">
        <v>57</v>
      </c>
      <c r="M66" s="1197"/>
      <c r="N66" s="1197"/>
      <c r="O66" s="1197"/>
    </row>
    <row r="67" spans="1:17">
      <c r="A67" s="1209">
        <v>58</v>
      </c>
      <c r="B67" s="1559" t="s">
        <v>1796</v>
      </c>
      <c r="C67" s="1560"/>
      <c r="D67" s="1560"/>
      <c r="E67" s="1561"/>
      <c r="F67" s="271"/>
      <c r="M67" s="1197"/>
      <c r="N67" s="1197"/>
      <c r="O67" s="1197"/>
    </row>
    <row r="68" spans="1:17">
      <c r="A68" s="1209">
        <v>59</v>
      </c>
      <c r="B68" s="1562"/>
      <c r="C68" s="1563"/>
      <c r="D68" s="1563"/>
      <c r="E68" s="1564"/>
      <c r="M68" s="1197"/>
      <c r="N68" s="1197"/>
      <c r="O68" s="1197"/>
    </row>
    <row r="69" spans="1:17">
      <c r="A69" s="1209">
        <v>60</v>
      </c>
      <c r="B69" s="1562"/>
      <c r="C69" s="1563"/>
      <c r="D69" s="1563"/>
      <c r="E69" s="1564"/>
      <c r="M69" s="1197"/>
      <c r="N69" s="1197"/>
      <c r="O69" s="1197"/>
    </row>
    <row r="70" spans="1:17" ht="15.75" thickBot="1">
      <c r="A70" s="1209">
        <v>61</v>
      </c>
      <c r="B70" s="1565"/>
      <c r="C70" s="1566"/>
      <c r="D70" s="1566"/>
      <c r="E70" s="1567"/>
      <c r="M70" s="1197"/>
      <c r="N70" s="1197"/>
      <c r="O70" s="1197"/>
    </row>
    <row r="71" spans="1:17">
      <c r="A71" s="1209">
        <v>62</v>
      </c>
      <c r="M71" s="1197"/>
      <c r="N71" s="1197"/>
      <c r="O71" s="1197"/>
    </row>
    <row r="72" spans="1:17">
      <c r="A72" s="1209">
        <v>63</v>
      </c>
      <c r="B72" s="1205" t="s">
        <v>1797</v>
      </c>
      <c r="D72" s="731">
        <v>93247.64</v>
      </c>
      <c r="H72" s="461">
        <f>+F72*G72</f>
        <v>0</v>
      </c>
      <c r="I72" s="271">
        <f>+H72+D72</f>
        <v>93247.64</v>
      </c>
      <c r="J72" s="117">
        <f>J40</f>
        <v>3.3099999999999997E-2</v>
      </c>
      <c r="K72" s="440">
        <f>+I72*J72</f>
        <v>3086.4968839999997</v>
      </c>
      <c r="L72" s="440">
        <f>+I72+K72</f>
        <v>96334.136883999992</v>
      </c>
      <c r="M72" s="1193">
        <f>M10</f>
        <v>0</v>
      </c>
      <c r="N72" s="1201">
        <f t="shared" ref="N72:N84" si="21">+L72*M72</f>
        <v>0</v>
      </c>
      <c r="O72" s="1202">
        <f>+L72+N72</f>
        <v>96334.136883999992</v>
      </c>
      <c r="P72" s="461">
        <f t="shared" ref="P72:P91" si="22">+H73</f>
        <v>0</v>
      </c>
      <c r="Q72" s="461">
        <f t="shared" ref="Q72:Q84" si="23">+N72+K72</f>
        <v>3086.4968839999997</v>
      </c>
    </row>
    <row r="73" spans="1:17">
      <c r="A73" s="1209">
        <v>64</v>
      </c>
      <c r="B73" s="119" t="s">
        <v>1798</v>
      </c>
      <c r="D73" s="731">
        <v>15948.55</v>
      </c>
      <c r="H73" s="461">
        <f t="shared" ref="H73:H109" si="24">+F73*G73</f>
        <v>0</v>
      </c>
      <c r="I73" s="271">
        <f t="shared" ref="I73:I109" si="25">+H73+D73</f>
        <v>15948.55</v>
      </c>
      <c r="J73" s="117">
        <f>J72</f>
        <v>3.3099999999999997E-2</v>
      </c>
      <c r="K73" s="440">
        <f t="shared" ref="K73:K109" si="26">+I73*J73</f>
        <v>527.89700499999992</v>
      </c>
      <c r="L73" s="440">
        <f t="shared" ref="L73:L109" si="27">+I73+K73</f>
        <v>16476.447004999998</v>
      </c>
      <c r="M73" s="1193">
        <f t="shared" ref="M73:M78" si="28">M72</f>
        <v>0</v>
      </c>
      <c r="N73" s="1201">
        <f t="shared" si="21"/>
        <v>0</v>
      </c>
      <c r="O73" s="1202">
        <f t="shared" ref="O73:O84" si="29">+L73+N73</f>
        <v>16476.447004999998</v>
      </c>
      <c r="P73" s="461">
        <f t="shared" si="22"/>
        <v>0</v>
      </c>
      <c r="Q73" s="461">
        <f t="shared" si="23"/>
        <v>527.89700499999992</v>
      </c>
    </row>
    <row r="74" spans="1:17">
      <c r="A74" s="1209">
        <v>65</v>
      </c>
      <c r="B74" s="119" t="s">
        <v>1799</v>
      </c>
      <c r="C74" s="5"/>
      <c r="D74" s="731">
        <v>2004560.31</v>
      </c>
      <c r="E74" s="5"/>
      <c r="H74" s="461">
        <f t="shared" si="24"/>
        <v>0</v>
      </c>
      <c r="I74" s="271">
        <f t="shared" si="25"/>
        <v>2004560.31</v>
      </c>
      <c r="J74" s="117">
        <f t="shared" ref="J74:J109" si="30">J73</f>
        <v>3.3099999999999997E-2</v>
      </c>
      <c r="K74" s="440">
        <f t="shared" si="26"/>
        <v>66350.94626099999</v>
      </c>
      <c r="L74" s="440">
        <f t="shared" si="27"/>
        <v>2070911.2562609999</v>
      </c>
      <c r="M74" s="1193">
        <f t="shared" si="28"/>
        <v>0</v>
      </c>
      <c r="N74" s="1201">
        <f t="shared" si="21"/>
        <v>0</v>
      </c>
      <c r="O74" s="1202">
        <f t="shared" si="29"/>
        <v>2070911.2562609999</v>
      </c>
      <c r="P74" s="461">
        <f t="shared" si="22"/>
        <v>0</v>
      </c>
      <c r="Q74" s="461">
        <f t="shared" si="23"/>
        <v>66350.94626099999</v>
      </c>
    </row>
    <row r="75" spans="1:17">
      <c r="A75" s="1209">
        <v>66</v>
      </c>
      <c r="B75" s="119" t="s">
        <v>1800</v>
      </c>
      <c r="C75" s="5"/>
      <c r="D75" s="731">
        <v>12475.78</v>
      </c>
      <c r="E75" s="5"/>
      <c r="H75" s="461">
        <f t="shared" si="24"/>
        <v>0</v>
      </c>
      <c r="I75" s="271">
        <f t="shared" si="25"/>
        <v>12475.78</v>
      </c>
      <c r="J75" s="117">
        <f t="shared" si="30"/>
        <v>3.3099999999999997E-2</v>
      </c>
      <c r="K75" s="440">
        <f t="shared" si="26"/>
        <v>412.94831799999997</v>
      </c>
      <c r="L75" s="440">
        <f t="shared" si="27"/>
        <v>12888.728318000001</v>
      </c>
      <c r="M75" s="1193">
        <f t="shared" si="28"/>
        <v>0</v>
      </c>
      <c r="N75" s="1201">
        <f t="shared" si="21"/>
        <v>0</v>
      </c>
      <c r="O75" s="1202">
        <f t="shared" si="29"/>
        <v>12888.728318000001</v>
      </c>
      <c r="P75" s="461">
        <f t="shared" si="22"/>
        <v>0</v>
      </c>
      <c r="Q75" s="461">
        <f t="shared" si="23"/>
        <v>412.94831799999997</v>
      </c>
    </row>
    <row r="76" spans="1:17">
      <c r="A76" s="1209">
        <v>67</v>
      </c>
      <c r="B76" s="119" t="s">
        <v>1801</v>
      </c>
      <c r="D76" s="731">
        <v>63431.01</v>
      </c>
      <c r="H76" s="461">
        <f t="shared" si="24"/>
        <v>0</v>
      </c>
      <c r="I76" s="271">
        <f t="shared" si="25"/>
        <v>63431.01</v>
      </c>
      <c r="J76" s="117">
        <f t="shared" si="30"/>
        <v>3.3099999999999997E-2</v>
      </c>
      <c r="K76" s="440">
        <f t="shared" si="26"/>
        <v>2099.5664309999997</v>
      </c>
      <c r="L76" s="440">
        <f t="shared" si="27"/>
        <v>65530.576431000001</v>
      </c>
      <c r="M76" s="1193">
        <f t="shared" si="28"/>
        <v>0</v>
      </c>
      <c r="N76" s="1201">
        <f t="shared" si="21"/>
        <v>0</v>
      </c>
      <c r="O76" s="1202">
        <f t="shared" si="29"/>
        <v>65530.576431000001</v>
      </c>
      <c r="P76" s="461">
        <f t="shared" si="22"/>
        <v>0</v>
      </c>
      <c r="Q76" s="461">
        <f t="shared" si="23"/>
        <v>2099.5664309999997</v>
      </c>
    </row>
    <row r="77" spans="1:17">
      <c r="A77" s="1209">
        <v>68</v>
      </c>
      <c r="B77" s="119" t="s">
        <v>1802</v>
      </c>
      <c r="D77" s="731">
        <v>31716.42</v>
      </c>
      <c r="H77" s="461">
        <f t="shared" si="24"/>
        <v>0</v>
      </c>
      <c r="I77" s="271">
        <f t="shared" si="25"/>
        <v>31716.42</v>
      </c>
      <c r="J77" s="117">
        <f t="shared" si="30"/>
        <v>3.3099999999999997E-2</v>
      </c>
      <c r="K77" s="440">
        <f t="shared" si="26"/>
        <v>1049.813502</v>
      </c>
      <c r="L77" s="440">
        <f t="shared" si="27"/>
        <v>32766.233501999999</v>
      </c>
      <c r="M77" s="1193">
        <f t="shared" si="28"/>
        <v>0</v>
      </c>
      <c r="N77" s="1201">
        <f t="shared" si="21"/>
        <v>0</v>
      </c>
      <c r="O77" s="1202">
        <f t="shared" si="29"/>
        <v>32766.233501999999</v>
      </c>
      <c r="P77" s="461">
        <f t="shared" si="22"/>
        <v>0</v>
      </c>
      <c r="Q77" s="461">
        <f t="shared" si="23"/>
        <v>1049.813502</v>
      </c>
    </row>
    <row r="78" spans="1:17">
      <c r="A78" s="1209">
        <v>69</v>
      </c>
      <c r="B78" s="1206" t="s">
        <v>1803</v>
      </c>
      <c r="D78" s="731">
        <v>7952.41</v>
      </c>
      <c r="H78" s="461">
        <f t="shared" si="24"/>
        <v>0</v>
      </c>
      <c r="I78" s="271">
        <f t="shared" si="25"/>
        <v>7952.41</v>
      </c>
      <c r="J78" s="117">
        <f t="shared" si="30"/>
        <v>3.3099999999999997E-2</v>
      </c>
      <c r="K78" s="440">
        <f t="shared" si="26"/>
        <v>263.22477099999998</v>
      </c>
      <c r="L78" s="440">
        <f t="shared" si="27"/>
        <v>8215.6347709999991</v>
      </c>
      <c r="M78" s="1193">
        <f t="shared" si="28"/>
        <v>0</v>
      </c>
      <c r="N78" s="1201">
        <f t="shared" si="21"/>
        <v>0</v>
      </c>
      <c r="O78" s="1202">
        <f t="shared" si="29"/>
        <v>8215.6347709999991</v>
      </c>
      <c r="P78" s="461">
        <f t="shared" si="22"/>
        <v>0</v>
      </c>
      <c r="Q78" s="461">
        <f t="shared" si="23"/>
        <v>263.22477099999998</v>
      </c>
    </row>
    <row r="79" spans="1:17">
      <c r="A79" s="1209">
        <v>70</v>
      </c>
      <c r="B79" s="119" t="s">
        <v>1804</v>
      </c>
      <c r="D79" s="731">
        <v>46175.81</v>
      </c>
      <c r="H79" s="461">
        <f t="shared" si="24"/>
        <v>0</v>
      </c>
      <c r="I79" s="271">
        <f t="shared" si="25"/>
        <v>46175.81</v>
      </c>
      <c r="J79" s="117">
        <f t="shared" si="30"/>
        <v>3.3099999999999997E-2</v>
      </c>
      <c r="K79" s="440">
        <f t="shared" si="26"/>
        <v>1528.4193109999999</v>
      </c>
      <c r="L79" s="440">
        <f t="shared" si="27"/>
        <v>47704.229310999996</v>
      </c>
      <c r="M79" s="1193">
        <f>M76</f>
        <v>0</v>
      </c>
      <c r="N79" s="1201">
        <f t="shared" si="21"/>
        <v>0</v>
      </c>
      <c r="O79" s="1202">
        <f t="shared" si="29"/>
        <v>47704.229310999996</v>
      </c>
      <c r="P79" s="461">
        <f t="shared" si="22"/>
        <v>0</v>
      </c>
      <c r="Q79" s="461">
        <f t="shared" si="23"/>
        <v>1528.4193109999999</v>
      </c>
    </row>
    <row r="80" spans="1:17">
      <c r="A80" s="1209">
        <v>71</v>
      </c>
      <c r="B80" s="119" t="s">
        <v>1805</v>
      </c>
      <c r="D80" s="731">
        <v>43136.86</v>
      </c>
      <c r="H80" s="461">
        <f t="shared" si="24"/>
        <v>0</v>
      </c>
      <c r="I80" s="271">
        <f t="shared" si="25"/>
        <v>43136.86</v>
      </c>
      <c r="J80" s="117">
        <f t="shared" si="30"/>
        <v>3.3099999999999997E-2</v>
      </c>
      <c r="K80" s="440">
        <f t="shared" si="26"/>
        <v>1427.830066</v>
      </c>
      <c r="L80" s="440">
        <f t="shared" si="27"/>
        <v>44564.690066000003</v>
      </c>
      <c r="M80" s="1193">
        <f>M79</f>
        <v>0</v>
      </c>
      <c r="N80" s="1201">
        <f t="shared" si="21"/>
        <v>0</v>
      </c>
      <c r="O80" s="1202">
        <f t="shared" si="29"/>
        <v>44564.690066000003</v>
      </c>
      <c r="P80" s="461">
        <f t="shared" si="22"/>
        <v>0</v>
      </c>
      <c r="Q80" s="461">
        <f t="shared" si="23"/>
        <v>1427.830066</v>
      </c>
    </row>
    <row r="81" spans="1:17">
      <c r="A81" s="1209">
        <v>72</v>
      </c>
      <c r="B81" s="119" t="s">
        <v>1806</v>
      </c>
      <c r="D81" s="731">
        <v>168031.04</v>
      </c>
      <c r="H81" s="461">
        <f t="shared" si="24"/>
        <v>0</v>
      </c>
      <c r="I81" s="271">
        <f t="shared" si="25"/>
        <v>168031.04</v>
      </c>
      <c r="J81" s="117">
        <f t="shared" si="30"/>
        <v>3.3099999999999997E-2</v>
      </c>
      <c r="K81" s="440">
        <f t="shared" si="26"/>
        <v>5561.8274240000001</v>
      </c>
      <c r="L81" s="440">
        <f t="shared" si="27"/>
        <v>173592.867424</v>
      </c>
      <c r="M81" s="1193">
        <f>M80</f>
        <v>0</v>
      </c>
      <c r="N81" s="1201">
        <f t="shared" si="21"/>
        <v>0</v>
      </c>
      <c r="O81" s="1202">
        <f t="shared" si="29"/>
        <v>173592.867424</v>
      </c>
      <c r="P81" s="461">
        <f t="shared" si="22"/>
        <v>0</v>
      </c>
      <c r="Q81" s="461">
        <f t="shared" si="23"/>
        <v>5561.8274240000001</v>
      </c>
    </row>
    <row r="82" spans="1:17">
      <c r="A82" s="1209">
        <v>73</v>
      </c>
      <c r="B82" s="119" t="s">
        <v>1807</v>
      </c>
      <c r="D82" s="731">
        <v>53400.3</v>
      </c>
      <c r="H82" s="461">
        <f t="shared" si="24"/>
        <v>0</v>
      </c>
      <c r="I82" s="271">
        <f t="shared" si="25"/>
        <v>53400.3</v>
      </c>
      <c r="J82" s="117">
        <f t="shared" si="30"/>
        <v>3.3099999999999997E-2</v>
      </c>
      <c r="K82" s="440">
        <f t="shared" si="26"/>
        <v>1767.5499299999999</v>
      </c>
      <c r="L82" s="440">
        <f t="shared" si="27"/>
        <v>55167.849930000004</v>
      </c>
      <c r="M82" s="1193">
        <f>M81</f>
        <v>0</v>
      </c>
      <c r="N82" s="1201">
        <f t="shared" si="21"/>
        <v>0</v>
      </c>
      <c r="O82" s="1202">
        <f t="shared" si="29"/>
        <v>55167.849930000004</v>
      </c>
      <c r="P82" s="461">
        <f t="shared" si="22"/>
        <v>0</v>
      </c>
      <c r="Q82" s="461">
        <f t="shared" si="23"/>
        <v>1767.5499299999999</v>
      </c>
    </row>
    <row r="83" spans="1:17">
      <c r="A83" s="1209">
        <v>74</v>
      </c>
      <c r="B83" s="1206" t="s">
        <v>1808</v>
      </c>
      <c r="D83" s="731">
        <v>14492.63</v>
      </c>
      <c r="H83" s="461">
        <f t="shared" si="24"/>
        <v>0</v>
      </c>
      <c r="I83" s="271">
        <f t="shared" si="25"/>
        <v>14492.63</v>
      </c>
      <c r="J83" s="117">
        <f t="shared" si="30"/>
        <v>3.3099999999999997E-2</v>
      </c>
      <c r="K83" s="440">
        <f t="shared" si="26"/>
        <v>479.70605299999994</v>
      </c>
      <c r="L83" s="440">
        <f t="shared" si="27"/>
        <v>14972.336052999999</v>
      </c>
      <c r="M83" s="1193">
        <f>M82</f>
        <v>0</v>
      </c>
      <c r="N83" s="1201">
        <f t="shared" si="21"/>
        <v>0</v>
      </c>
      <c r="O83" s="1202">
        <f t="shared" si="29"/>
        <v>14972.336052999999</v>
      </c>
      <c r="P83" s="461">
        <f t="shared" si="22"/>
        <v>0</v>
      </c>
      <c r="Q83" s="461">
        <f t="shared" si="23"/>
        <v>479.70605299999994</v>
      </c>
    </row>
    <row r="84" spans="1:17">
      <c r="A84" s="1209">
        <v>75</v>
      </c>
      <c r="B84" s="119" t="s">
        <v>1809</v>
      </c>
      <c r="D84" s="731">
        <v>182211.31</v>
      </c>
      <c r="H84" s="461">
        <f t="shared" si="24"/>
        <v>0</v>
      </c>
      <c r="I84" s="271">
        <f t="shared" si="25"/>
        <v>182211.31</v>
      </c>
      <c r="J84" s="117">
        <f t="shared" si="30"/>
        <v>3.3099999999999997E-2</v>
      </c>
      <c r="K84" s="440">
        <f t="shared" si="26"/>
        <v>6031.1943609999998</v>
      </c>
      <c r="L84" s="440">
        <f t="shared" si="27"/>
        <v>188242.504361</v>
      </c>
      <c r="M84" s="1193">
        <f>M82</f>
        <v>0</v>
      </c>
      <c r="N84" s="1201">
        <f t="shared" si="21"/>
        <v>0</v>
      </c>
      <c r="O84" s="1202">
        <f t="shared" si="29"/>
        <v>188242.504361</v>
      </c>
      <c r="P84" s="461">
        <f t="shared" si="22"/>
        <v>0</v>
      </c>
      <c r="Q84" s="461">
        <f t="shared" si="23"/>
        <v>6031.1943609999998</v>
      </c>
    </row>
    <row r="85" spans="1:17">
      <c r="A85" s="1209">
        <v>76</v>
      </c>
      <c r="B85" s="1206" t="s">
        <v>1810</v>
      </c>
      <c r="D85" s="731">
        <v>36322.639999999999</v>
      </c>
      <c r="H85" s="461">
        <f t="shared" si="24"/>
        <v>0</v>
      </c>
      <c r="I85" s="271">
        <f t="shared" si="25"/>
        <v>36322.639999999999</v>
      </c>
      <c r="J85" s="117">
        <f t="shared" si="30"/>
        <v>3.3099999999999997E-2</v>
      </c>
      <c r="K85" s="440">
        <f t="shared" si="26"/>
        <v>1202.2793839999999</v>
      </c>
      <c r="L85" s="440">
        <f t="shared" si="27"/>
        <v>37524.919384000001</v>
      </c>
      <c r="M85" s="1193">
        <f t="shared" ref="M85:M109" si="31">M83</f>
        <v>0</v>
      </c>
      <c r="N85" s="1201">
        <f t="shared" ref="N85:N109" si="32">+L85*M85</f>
        <v>0</v>
      </c>
      <c r="O85" s="1202">
        <f t="shared" ref="O85:O109" si="33">+L85+N85</f>
        <v>37524.919384000001</v>
      </c>
      <c r="P85" s="461">
        <f t="shared" si="22"/>
        <v>0</v>
      </c>
      <c r="Q85" s="461">
        <f t="shared" ref="Q85:Q109" si="34">+N85+K85</f>
        <v>1202.2793839999999</v>
      </c>
    </row>
    <row r="86" spans="1:17">
      <c r="A86" s="1209">
        <v>77</v>
      </c>
      <c r="B86" s="119" t="s">
        <v>1811</v>
      </c>
      <c r="D86" s="731">
        <v>6932.71</v>
      </c>
      <c r="H86" s="461">
        <f t="shared" si="24"/>
        <v>0</v>
      </c>
      <c r="I86" s="271">
        <f t="shared" si="25"/>
        <v>6932.71</v>
      </c>
      <c r="J86" s="117">
        <f>J84</f>
        <v>3.3099999999999997E-2</v>
      </c>
      <c r="K86" s="440">
        <f t="shared" si="26"/>
        <v>229.47270099999997</v>
      </c>
      <c r="L86" s="440">
        <f t="shared" si="27"/>
        <v>7162.1827009999997</v>
      </c>
      <c r="M86" s="1193">
        <f t="shared" si="31"/>
        <v>0</v>
      </c>
      <c r="N86" s="1201">
        <f t="shared" si="32"/>
        <v>0</v>
      </c>
      <c r="O86" s="1202">
        <f t="shared" si="33"/>
        <v>7162.1827009999997</v>
      </c>
      <c r="P86" s="461">
        <f t="shared" si="22"/>
        <v>0</v>
      </c>
      <c r="Q86" s="461">
        <f t="shared" si="34"/>
        <v>229.47270099999997</v>
      </c>
    </row>
    <row r="87" spans="1:17">
      <c r="A87" s="1209">
        <v>78</v>
      </c>
      <c r="B87" s="119" t="s">
        <v>1812</v>
      </c>
      <c r="D87" s="731">
        <v>151284.57</v>
      </c>
      <c r="H87" s="461">
        <f t="shared" si="24"/>
        <v>0</v>
      </c>
      <c r="I87" s="271">
        <f t="shared" si="25"/>
        <v>151284.57</v>
      </c>
      <c r="J87" s="117">
        <f t="shared" si="30"/>
        <v>3.3099999999999997E-2</v>
      </c>
      <c r="K87" s="440">
        <f t="shared" si="26"/>
        <v>5007.5192669999997</v>
      </c>
      <c r="L87" s="440">
        <f t="shared" si="27"/>
        <v>156292.089267</v>
      </c>
      <c r="M87" s="1193">
        <f t="shared" si="31"/>
        <v>0</v>
      </c>
      <c r="N87" s="1201">
        <f t="shared" si="32"/>
        <v>0</v>
      </c>
      <c r="O87" s="1202">
        <f t="shared" si="33"/>
        <v>156292.089267</v>
      </c>
      <c r="P87" s="461">
        <f t="shared" si="22"/>
        <v>0</v>
      </c>
      <c r="Q87" s="461">
        <f t="shared" si="34"/>
        <v>5007.5192669999997</v>
      </c>
    </row>
    <row r="88" spans="1:17">
      <c r="A88" s="1209">
        <v>79</v>
      </c>
      <c r="B88" s="119" t="s">
        <v>1813</v>
      </c>
      <c r="D88" s="731">
        <v>53531.42</v>
      </c>
      <c r="H88" s="461">
        <f t="shared" si="24"/>
        <v>0</v>
      </c>
      <c r="I88" s="271">
        <f t="shared" si="25"/>
        <v>53531.42</v>
      </c>
      <c r="J88" s="117">
        <f t="shared" si="30"/>
        <v>3.3099999999999997E-2</v>
      </c>
      <c r="K88" s="440">
        <f t="shared" si="26"/>
        <v>1771.8900019999999</v>
      </c>
      <c r="L88" s="440">
        <f t="shared" si="27"/>
        <v>55303.310001999998</v>
      </c>
      <c r="M88" s="1193">
        <f t="shared" si="31"/>
        <v>0</v>
      </c>
      <c r="N88" s="1201">
        <f t="shared" si="32"/>
        <v>0</v>
      </c>
      <c r="O88" s="1202">
        <f t="shared" si="33"/>
        <v>55303.310001999998</v>
      </c>
      <c r="P88" s="461">
        <f t="shared" si="22"/>
        <v>0</v>
      </c>
      <c r="Q88" s="461">
        <f t="shared" si="34"/>
        <v>1771.8900019999999</v>
      </c>
    </row>
    <row r="89" spans="1:17">
      <c r="A89" s="1209">
        <v>80</v>
      </c>
      <c r="B89" s="119" t="s">
        <v>1814</v>
      </c>
      <c r="D89" s="731">
        <v>37089.01</v>
      </c>
      <c r="H89" s="461">
        <f t="shared" si="24"/>
        <v>0</v>
      </c>
      <c r="I89" s="271">
        <f t="shared" si="25"/>
        <v>37089.01</v>
      </c>
      <c r="J89" s="117">
        <f t="shared" si="30"/>
        <v>3.3099999999999997E-2</v>
      </c>
      <c r="K89" s="440">
        <f t="shared" si="26"/>
        <v>1227.6462309999999</v>
      </c>
      <c r="L89" s="440">
        <f t="shared" si="27"/>
        <v>38316.656231000001</v>
      </c>
      <c r="M89" s="1193">
        <f t="shared" si="31"/>
        <v>0</v>
      </c>
      <c r="N89" s="1201">
        <f t="shared" si="32"/>
        <v>0</v>
      </c>
      <c r="O89" s="1202">
        <f t="shared" si="33"/>
        <v>38316.656231000001</v>
      </c>
      <c r="P89" s="461">
        <f t="shared" si="22"/>
        <v>0</v>
      </c>
      <c r="Q89" s="461">
        <f t="shared" si="34"/>
        <v>1227.6462309999999</v>
      </c>
    </row>
    <row r="90" spans="1:17">
      <c r="A90" s="1209">
        <v>81</v>
      </c>
      <c r="B90" s="119" t="s">
        <v>1815</v>
      </c>
      <c r="D90" s="731">
        <v>62955.59</v>
      </c>
      <c r="H90" s="461">
        <f t="shared" si="24"/>
        <v>0</v>
      </c>
      <c r="I90" s="271">
        <f t="shared" si="25"/>
        <v>62955.59</v>
      </c>
      <c r="J90" s="117">
        <f t="shared" si="30"/>
        <v>3.3099999999999997E-2</v>
      </c>
      <c r="K90" s="440">
        <f t="shared" si="26"/>
        <v>2083.8300289999997</v>
      </c>
      <c r="L90" s="440">
        <f t="shared" si="27"/>
        <v>65039.420028999994</v>
      </c>
      <c r="M90" s="1193">
        <f t="shared" si="31"/>
        <v>0</v>
      </c>
      <c r="N90" s="1201">
        <f t="shared" si="32"/>
        <v>0</v>
      </c>
      <c r="O90" s="1202">
        <f t="shared" si="33"/>
        <v>65039.420028999994</v>
      </c>
      <c r="P90" s="461">
        <f t="shared" si="22"/>
        <v>0</v>
      </c>
      <c r="Q90" s="461">
        <f t="shared" si="34"/>
        <v>2083.8300289999997</v>
      </c>
    </row>
    <row r="91" spans="1:17">
      <c r="A91" s="1209">
        <v>82</v>
      </c>
      <c r="B91" s="119" t="s">
        <v>1816</v>
      </c>
      <c r="D91" s="731">
        <v>75455.38</v>
      </c>
      <c r="H91" s="461">
        <f t="shared" si="24"/>
        <v>0</v>
      </c>
      <c r="I91" s="271">
        <f t="shared" si="25"/>
        <v>75455.38</v>
      </c>
      <c r="J91" s="117">
        <f t="shared" si="30"/>
        <v>3.3099999999999997E-2</v>
      </c>
      <c r="K91" s="440">
        <f t="shared" si="26"/>
        <v>2497.5730779999999</v>
      </c>
      <c r="L91" s="440">
        <f t="shared" si="27"/>
        <v>77952.953078000006</v>
      </c>
      <c r="M91" s="1193">
        <f t="shared" si="31"/>
        <v>0</v>
      </c>
      <c r="N91" s="1201">
        <f t="shared" si="32"/>
        <v>0</v>
      </c>
      <c r="O91" s="1202">
        <f t="shared" si="33"/>
        <v>77952.953078000006</v>
      </c>
      <c r="P91" s="461">
        <f t="shared" si="22"/>
        <v>0</v>
      </c>
      <c r="Q91" s="461">
        <f t="shared" si="34"/>
        <v>2497.5730779999999</v>
      </c>
    </row>
    <row r="92" spans="1:17">
      <c r="A92" s="1209">
        <v>83</v>
      </c>
      <c r="B92" s="119" t="s">
        <v>1817</v>
      </c>
      <c r="D92" s="731">
        <v>105312.63</v>
      </c>
      <c r="H92" s="461">
        <f t="shared" si="24"/>
        <v>0</v>
      </c>
      <c r="I92" s="271">
        <f t="shared" si="25"/>
        <v>105312.63</v>
      </c>
      <c r="J92" s="117">
        <f t="shared" si="30"/>
        <v>3.3099999999999997E-2</v>
      </c>
      <c r="K92" s="440">
        <f t="shared" si="26"/>
        <v>3485.8480529999997</v>
      </c>
      <c r="L92" s="440">
        <f t="shared" si="27"/>
        <v>108798.478053</v>
      </c>
      <c r="M92" s="1193">
        <f t="shared" si="31"/>
        <v>0</v>
      </c>
      <c r="N92" s="1201">
        <f t="shared" si="32"/>
        <v>0</v>
      </c>
      <c r="O92" s="1202">
        <f t="shared" si="33"/>
        <v>108798.478053</v>
      </c>
      <c r="P92" s="461">
        <f>+H93</f>
        <v>0</v>
      </c>
      <c r="Q92" s="461">
        <f t="shared" si="34"/>
        <v>3485.8480529999997</v>
      </c>
    </row>
    <row r="93" spans="1:17">
      <c r="A93" s="1209">
        <v>84</v>
      </c>
      <c r="B93" s="119" t="s">
        <v>1818</v>
      </c>
      <c r="D93" s="731">
        <v>186074.03</v>
      </c>
      <c r="H93" s="461">
        <f t="shared" si="24"/>
        <v>0</v>
      </c>
      <c r="I93" s="271">
        <f t="shared" si="25"/>
        <v>186074.03</v>
      </c>
      <c r="J93" s="117">
        <f t="shared" si="30"/>
        <v>3.3099999999999997E-2</v>
      </c>
      <c r="K93" s="440">
        <f t="shared" si="26"/>
        <v>6159.0503929999995</v>
      </c>
      <c r="L93" s="440">
        <f t="shared" si="27"/>
        <v>192233.08039300001</v>
      </c>
      <c r="M93" s="1193">
        <f t="shared" si="31"/>
        <v>0</v>
      </c>
      <c r="N93" s="1201">
        <f t="shared" si="32"/>
        <v>0</v>
      </c>
      <c r="O93" s="1202">
        <f t="shared" si="33"/>
        <v>192233.08039300001</v>
      </c>
      <c r="P93" s="461">
        <f>+H94</f>
        <v>0</v>
      </c>
      <c r="Q93" s="461">
        <f t="shared" si="34"/>
        <v>6159.0503929999995</v>
      </c>
    </row>
    <row r="94" spans="1:17">
      <c r="A94" s="1209">
        <v>85</v>
      </c>
      <c r="B94" s="119" t="s">
        <v>1819</v>
      </c>
      <c r="D94" s="731">
        <v>147723.25</v>
      </c>
      <c r="H94" s="461">
        <f t="shared" si="24"/>
        <v>0</v>
      </c>
      <c r="I94" s="271">
        <f t="shared" si="25"/>
        <v>147723.25</v>
      </c>
      <c r="J94" s="117">
        <f t="shared" si="30"/>
        <v>3.3099999999999997E-2</v>
      </c>
      <c r="K94" s="440">
        <f t="shared" si="26"/>
        <v>4889.6395749999992</v>
      </c>
      <c r="L94" s="440">
        <f t="shared" si="27"/>
        <v>152612.88957500001</v>
      </c>
      <c r="M94" s="1193">
        <f t="shared" si="31"/>
        <v>0</v>
      </c>
      <c r="N94" s="1201">
        <f t="shared" si="32"/>
        <v>0</v>
      </c>
      <c r="O94" s="1202">
        <f t="shared" si="33"/>
        <v>152612.88957500001</v>
      </c>
      <c r="P94" s="461">
        <f t="shared" ref="P94:P109" si="35">+H94</f>
        <v>0</v>
      </c>
      <c r="Q94" s="461">
        <f t="shared" si="34"/>
        <v>4889.6395749999992</v>
      </c>
    </row>
    <row r="95" spans="1:17">
      <c r="A95" s="1209">
        <v>86</v>
      </c>
      <c r="B95" s="119" t="s">
        <v>1820</v>
      </c>
      <c r="D95" s="731">
        <v>84534.71</v>
      </c>
      <c r="H95" s="461">
        <f t="shared" si="24"/>
        <v>0</v>
      </c>
      <c r="I95" s="271">
        <f t="shared" si="25"/>
        <v>84534.71</v>
      </c>
      <c r="J95" s="117">
        <f t="shared" si="30"/>
        <v>3.3099999999999997E-2</v>
      </c>
      <c r="K95" s="440">
        <f t="shared" si="26"/>
        <v>2798.0989009999998</v>
      </c>
      <c r="L95" s="440">
        <f t="shared" si="27"/>
        <v>87332.808901000011</v>
      </c>
      <c r="M95" s="1193">
        <f t="shared" si="31"/>
        <v>0</v>
      </c>
      <c r="N95" s="1201">
        <f t="shared" si="32"/>
        <v>0</v>
      </c>
      <c r="O95" s="1202">
        <f t="shared" si="33"/>
        <v>87332.808901000011</v>
      </c>
      <c r="P95" s="461">
        <f t="shared" si="35"/>
        <v>0</v>
      </c>
      <c r="Q95" s="461">
        <f t="shared" si="34"/>
        <v>2798.0989009999998</v>
      </c>
    </row>
    <row r="96" spans="1:17">
      <c r="A96" s="1209">
        <v>87</v>
      </c>
      <c r="B96" s="119" t="s">
        <v>1821</v>
      </c>
      <c r="D96" s="731">
        <v>923884.78</v>
      </c>
      <c r="H96" s="461">
        <f t="shared" si="24"/>
        <v>0</v>
      </c>
      <c r="I96" s="271">
        <f t="shared" si="25"/>
        <v>923884.78</v>
      </c>
      <c r="J96" s="117">
        <f t="shared" si="30"/>
        <v>3.3099999999999997E-2</v>
      </c>
      <c r="K96" s="440">
        <f t="shared" si="26"/>
        <v>30580.586218</v>
      </c>
      <c r="L96" s="440">
        <f t="shared" si="27"/>
        <v>954465.36621800007</v>
      </c>
      <c r="M96" s="1193">
        <f t="shared" si="31"/>
        <v>0</v>
      </c>
      <c r="N96" s="1201">
        <f t="shared" si="32"/>
        <v>0</v>
      </c>
      <c r="O96" s="1202">
        <f t="shared" si="33"/>
        <v>954465.36621800007</v>
      </c>
      <c r="P96" s="461">
        <f t="shared" si="35"/>
        <v>0</v>
      </c>
      <c r="Q96" s="461">
        <f t="shared" si="34"/>
        <v>30580.586218</v>
      </c>
    </row>
    <row r="97" spans="1:17">
      <c r="A97" s="1209">
        <v>88</v>
      </c>
      <c r="B97" s="119" t="s">
        <v>1822</v>
      </c>
      <c r="D97" s="731">
        <v>221745.87</v>
      </c>
      <c r="H97" s="461">
        <f t="shared" si="24"/>
        <v>0</v>
      </c>
      <c r="I97" s="271">
        <f t="shared" si="25"/>
        <v>221745.87</v>
      </c>
      <c r="J97" s="117">
        <f t="shared" si="30"/>
        <v>3.3099999999999997E-2</v>
      </c>
      <c r="K97" s="440">
        <f t="shared" si="26"/>
        <v>7339.7882969999991</v>
      </c>
      <c r="L97" s="440">
        <f t="shared" si="27"/>
        <v>229085.65829699999</v>
      </c>
      <c r="M97" s="1193">
        <f t="shared" si="31"/>
        <v>0</v>
      </c>
      <c r="N97" s="1201">
        <f t="shared" si="32"/>
        <v>0</v>
      </c>
      <c r="O97" s="1202">
        <f t="shared" si="33"/>
        <v>229085.65829699999</v>
      </c>
      <c r="P97" s="461">
        <f t="shared" si="35"/>
        <v>0</v>
      </c>
      <c r="Q97" s="461">
        <f t="shared" si="34"/>
        <v>7339.7882969999991</v>
      </c>
    </row>
    <row r="98" spans="1:17">
      <c r="A98" s="1209">
        <v>89</v>
      </c>
      <c r="B98" s="119" t="s">
        <v>1823</v>
      </c>
      <c r="D98" s="731">
        <v>242112.12</v>
      </c>
      <c r="H98" s="461">
        <f t="shared" si="24"/>
        <v>0</v>
      </c>
      <c r="I98" s="271">
        <f t="shared" si="25"/>
        <v>242112.12</v>
      </c>
      <c r="J98" s="117">
        <f t="shared" si="30"/>
        <v>3.3099999999999997E-2</v>
      </c>
      <c r="K98" s="440">
        <f t="shared" si="26"/>
        <v>8013.9111719999992</v>
      </c>
      <c r="L98" s="440">
        <f t="shared" si="27"/>
        <v>250126.03117199999</v>
      </c>
      <c r="M98" s="1193">
        <f t="shared" si="31"/>
        <v>0</v>
      </c>
      <c r="N98" s="1201">
        <f t="shared" si="32"/>
        <v>0</v>
      </c>
      <c r="O98" s="1202">
        <f t="shared" si="33"/>
        <v>250126.03117199999</v>
      </c>
      <c r="P98" s="461">
        <f t="shared" si="35"/>
        <v>0</v>
      </c>
      <c r="Q98" s="461">
        <f t="shared" si="34"/>
        <v>8013.9111719999992</v>
      </c>
    </row>
    <row r="99" spans="1:17">
      <c r="A99" s="1209">
        <v>90</v>
      </c>
      <c r="B99" s="119" t="s">
        <v>1824</v>
      </c>
      <c r="D99" s="731">
        <v>12230.91</v>
      </c>
      <c r="H99" s="461">
        <f t="shared" si="24"/>
        <v>0</v>
      </c>
      <c r="I99" s="271">
        <f t="shared" si="25"/>
        <v>12230.91</v>
      </c>
      <c r="J99" s="117">
        <f t="shared" si="30"/>
        <v>3.3099999999999997E-2</v>
      </c>
      <c r="K99" s="440">
        <f t="shared" si="26"/>
        <v>404.84312099999994</v>
      </c>
      <c r="L99" s="440">
        <f t="shared" si="27"/>
        <v>12635.753121</v>
      </c>
      <c r="M99" s="1193">
        <f t="shared" si="31"/>
        <v>0</v>
      </c>
      <c r="N99" s="1201">
        <f t="shared" si="32"/>
        <v>0</v>
      </c>
      <c r="O99" s="1202">
        <f t="shared" si="33"/>
        <v>12635.753121</v>
      </c>
      <c r="P99" s="461">
        <f t="shared" si="35"/>
        <v>0</v>
      </c>
      <c r="Q99" s="461">
        <f t="shared" si="34"/>
        <v>404.84312099999994</v>
      </c>
    </row>
    <row r="100" spans="1:17">
      <c r="A100" s="1209">
        <v>91</v>
      </c>
      <c r="B100" s="119" t="s">
        <v>1825</v>
      </c>
      <c r="D100" s="731">
        <v>35470.07</v>
      </c>
      <c r="H100" s="461">
        <f t="shared" si="24"/>
        <v>0</v>
      </c>
      <c r="I100" s="271">
        <f t="shared" si="25"/>
        <v>35470.07</v>
      </c>
      <c r="J100" s="117">
        <f t="shared" si="30"/>
        <v>3.3099999999999997E-2</v>
      </c>
      <c r="K100" s="440">
        <f t="shared" si="26"/>
        <v>1174.059317</v>
      </c>
      <c r="L100" s="440">
        <f t="shared" si="27"/>
        <v>36644.129316999999</v>
      </c>
      <c r="M100" s="1193">
        <f t="shared" si="31"/>
        <v>0</v>
      </c>
      <c r="N100" s="1201">
        <f t="shared" si="32"/>
        <v>0</v>
      </c>
      <c r="O100" s="1202">
        <f t="shared" si="33"/>
        <v>36644.129316999999</v>
      </c>
      <c r="P100" s="461">
        <f t="shared" si="35"/>
        <v>0</v>
      </c>
      <c r="Q100" s="461">
        <f t="shared" si="34"/>
        <v>1174.059317</v>
      </c>
    </row>
    <row r="101" spans="1:17">
      <c r="A101" s="1209">
        <v>92</v>
      </c>
      <c r="B101" s="119" t="s">
        <v>1826</v>
      </c>
      <c r="D101" s="731">
        <v>355.98</v>
      </c>
      <c r="H101" s="461">
        <f t="shared" si="24"/>
        <v>0</v>
      </c>
      <c r="I101" s="271">
        <f t="shared" si="25"/>
        <v>355.98</v>
      </c>
      <c r="J101" s="117">
        <f t="shared" si="30"/>
        <v>3.3099999999999997E-2</v>
      </c>
      <c r="K101" s="440">
        <f t="shared" si="26"/>
        <v>11.782938</v>
      </c>
      <c r="L101" s="440">
        <f t="shared" si="27"/>
        <v>367.76293800000002</v>
      </c>
      <c r="M101" s="1193">
        <f t="shared" si="31"/>
        <v>0</v>
      </c>
      <c r="N101" s="1201">
        <f t="shared" si="32"/>
        <v>0</v>
      </c>
      <c r="O101" s="1202">
        <f t="shared" si="33"/>
        <v>367.76293800000002</v>
      </c>
      <c r="P101" s="461">
        <f t="shared" si="35"/>
        <v>0</v>
      </c>
      <c r="Q101" s="461">
        <f t="shared" si="34"/>
        <v>11.782938</v>
      </c>
    </row>
    <row r="102" spans="1:17">
      <c r="A102" s="1209">
        <v>93</v>
      </c>
      <c r="B102" s="119" t="s">
        <v>1827</v>
      </c>
      <c r="D102" s="731">
        <v>64967.25</v>
      </c>
      <c r="H102" s="461">
        <f t="shared" si="24"/>
        <v>0</v>
      </c>
      <c r="I102" s="271">
        <f t="shared" si="25"/>
        <v>64967.25</v>
      </c>
      <c r="J102" s="117">
        <f t="shared" si="30"/>
        <v>3.3099999999999997E-2</v>
      </c>
      <c r="K102" s="440">
        <f t="shared" si="26"/>
        <v>2150.4159749999999</v>
      </c>
      <c r="L102" s="440">
        <f t="shared" si="27"/>
        <v>67117.665974999996</v>
      </c>
      <c r="M102" s="1193">
        <f t="shared" si="31"/>
        <v>0</v>
      </c>
      <c r="N102" s="1201">
        <f t="shared" si="32"/>
        <v>0</v>
      </c>
      <c r="O102" s="1202">
        <f t="shared" si="33"/>
        <v>67117.665974999996</v>
      </c>
      <c r="P102" s="461">
        <f t="shared" si="35"/>
        <v>0</v>
      </c>
      <c r="Q102" s="461">
        <f t="shared" si="34"/>
        <v>2150.4159749999999</v>
      </c>
    </row>
    <row r="103" spans="1:17">
      <c r="A103" s="1209">
        <v>94</v>
      </c>
      <c r="B103" s="119" t="s">
        <v>1828</v>
      </c>
      <c r="D103" s="731">
        <v>92906.11</v>
      </c>
      <c r="H103" s="461">
        <f t="shared" si="24"/>
        <v>0</v>
      </c>
      <c r="I103" s="271">
        <f t="shared" si="25"/>
        <v>92906.11</v>
      </c>
      <c r="J103" s="117">
        <f t="shared" si="30"/>
        <v>3.3099999999999997E-2</v>
      </c>
      <c r="K103" s="440">
        <f t="shared" si="26"/>
        <v>3075.1922409999997</v>
      </c>
      <c r="L103" s="440">
        <f t="shared" si="27"/>
        <v>95981.302240999998</v>
      </c>
      <c r="M103" s="1193">
        <f t="shared" si="31"/>
        <v>0</v>
      </c>
      <c r="N103" s="1201">
        <f t="shared" si="32"/>
        <v>0</v>
      </c>
      <c r="O103" s="1202">
        <f t="shared" si="33"/>
        <v>95981.302240999998</v>
      </c>
      <c r="P103" s="461">
        <f t="shared" si="35"/>
        <v>0</v>
      </c>
      <c r="Q103" s="461">
        <f t="shared" si="34"/>
        <v>3075.1922409999997</v>
      </c>
    </row>
    <row r="104" spans="1:17">
      <c r="A104" s="1209">
        <v>95</v>
      </c>
      <c r="B104" s="119" t="s">
        <v>1829</v>
      </c>
      <c r="D104" s="731">
        <v>75878.990000000005</v>
      </c>
      <c r="H104" s="461">
        <f t="shared" si="24"/>
        <v>0</v>
      </c>
      <c r="I104" s="271">
        <f t="shared" si="25"/>
        <v>75878.990000000005</v>
      </c>
      <c r="J104" s="117">
        <f t="shared" si="30"/>
        <v>3.3099999999999997E-2</v>
      </c>
      <c r="K104" s="440">
        <f t="shared" si="26"/>
        <v>2511.5945689999999</v>
      </c>
      <c r="L104" s="440">
        <f t="shared" si="27"/>
        <v>78390.584568999999</v>
      </c>
      <c r="M104" s="1193">
        <f t="shared" si="31"/>
        <v>0</v>
      </c>
      <c r="N104" s="1201">
        <f t="shared" si="32"/>
        <v>0</v>
      </c>
      <c r="O104" s="1202">
        <f t="shared" si="33"/>
        <v>78390.584568999999</v>
      </c>
      <c r="P104" s="461">
        <f t="shared" si="35"/>
        <v>0</v>
      </c>
      <c r="Q104" s="461">
        <f t="shared" si="34"/>
        <v>2511.5945689999999</v>
      </c>
    </row>
    <row r="105" spans="1:17">
      <c r="A105" s="1209">
        <v>96</v>
      </c>
      <c r="B105" s="119" t="s">
        <v>1830</v>
      </c>
      <c r="D105" s="731">
        <v>58062.13</v>
      </c>
      <c r="H105" s="461">
        <f t="shared" si="24"/>
        <v>0</v>
      </c>
      <c r="I105" s="271">
        <f t="shared" si="25"/>
        <v>58062.13</v>
      </c>
      <c r="J105" s="117">
        <f t="shared" si="30"/>
        <v>3.3099999999999997E-2</v>
      </c>
      <c r="K105" s="440">
        <f t="shared" si="26"/>
        <v>1921.8565029999997</v>
      </c>
      <c r="L105" s="440">
        <f t="shared" si="27"/>
        <v>59983.986503</v>
      </c>
      <c r="M105" s="1193">
        <f t="shared" si="31"/>
        <v>0</v>
      </c>
      <c r="N105" s="1201">
        <f t="shared" si="32"/>
        <v>0</v>
      </c>
      <c r="O105" s="1202">
        <f t="shared" si="33"/>
        <v>59983.986503</v>
      </c>
      <c r="P105" s="461">
        <f t="shared" si="35"/>
        <v>0</v>
      </c>
      <c r="Q105" s="461">
        <f t="shared" si="34"/>
        <v>1921.8565029999997</v>
      </c>
    </row>
    <row r="106" spans="1:17">
      <c r="A106" s="1209">
        <v>97</v>
      </c>
      <c r="B106" s="119" t="s">
        <v>1831</v>
      </c>
      <c r="D106" s="731">
        <v>117363.31</v>
      </c>
      <c r="H106" s="461">
        <f t="shared" si="24"/>
        <v>0</v>
      </c>
      <c r="I106" s="271">
        <f t="shared" si="25"/>
        <v>117363.31</v>
      </c>
      <c r="J106" s="117">
        <f t="shared" si="30"/>
        <v>3.3099999999999997E-2</v>
      </c>
      <c r="K106" s="440">
        <f t="shared" si="26"/>
        <v>3884.7255609999997</v>
      </c>
      <c r="L106" s="440">
        <f t="shared" si="27"/>
        <v>121248.035561</v>
      </c>
      <c r="M106" s="1193">
        <f t="shared" si="31"/>
        <v>0</v>
      </c>
      <c r="N106" s="1201">
        <f t="shared" si="32"/>
        <v>0</v>
      </c>
      <c r="O106" s="1202">
        <f t="shared" si="33"/>
        <v>121248.035561</v>
      </c>
      <c r="P106" s="461">
        <f t="shared" si="35"/>
        <v>0</v>
      </c>
      <c r="Q106" s="461">
        <f t="shared" si="34"/>
        <v>3884.7255609999997</v>
      </c>
    </row>
    <row r="107" spans="1:17">
      <c r="A107" s="1209">
        <v>98</v>
      </c>
      <c r="B107" s="119" t="s">
        <v>1832</v>
      </c>
      <c r="D107" s="731">
        <v>215969.37</v>
      </c>
      <c r="H107" s="461">
        <f t="shared" si="24"/>
        <v>0</v>
      </c>
      <c r="I107" s="271">
        <f t="shared" si="25"/>
        <v>215969.37</v>
      </c>
      <c r="J107" s="117">
        <f t="shared" si="30"/>
        <v>3.3099999999999997E-2</v>
      </c>
      <c r="K107" s="440">
        <f t="shared" si="26"/>
        <v>7148.5861469999991</v>
      </c>
      <c r="L107" s="440">
        <f t="shared" si="27"/>
        <v>223117.95614699999</v>
      </c>
      <c r="M107" s="1193">
        <f t="shared" si="31"/>
        <v>0</v>
      </c>
      <c r="N107" s="1201">
        <f t="shared" si="32"/>
        <v>0</v>
      </c>
      <c r="O107" s="1202">
        <f t="shared" si="33"/>
        <v>223117.95614699999</v>
      </c>
      <c r="P107" s="461">
        <f t="shared" si="35"/>
        <v>0</v>
      </c>
      <c r="Q107" s="461">
        <f t="shared" si="34"/>
        <v>7148.5861469999991</v>
      </c>
    </row>
    <row r="108" spans="1:17">
      <c r="A108" s="1209">
        <v>99</v>
      </c>
      <c r="B108" s="1205" t="s">
        <v>1833</v>
      </c>
      <c r="D108" s="732">
        <v>47306.83</v>
      </c>
      <c r="H108" s="461">
        <f t="shared" si="24"/>
        <v>0</v>
      </c>
      <c r="I108" s="271">
        <f t="shared" si="25"/>
        <v>47306.83</v>
      </c>
      <c r="J108" s="117">
        <f t="shared" si="30"/>
        <v>3.3099999999999997E-2</v>
      </c>
      <c r="K108" s="440">
        <f t="shared" si="26"/>
        <v>1565.8560729999999</v>
      </c>
      <c r="L108" s="440">
        <f t="shared" si="27"/>
        <v>48872.686073000004</v>
      </c>
      <c r="M108" s="1193">
        <f t="shared" si="31"/>
        <v>0</v>
      </c>
      <c r="N108" s="1201">
        <f t="shared" si="32"/>
        <v>0</v>
      </c>
      <c r="O108" s="1202">
        <f t="shared" si="33"/>
        <v>48872.686073000004</v>
      </c>
      <c r="P108" s="461">
        <f t="shared" si="35"/>
        <v>0</v>
      </c>
      <c r="Q108" s="461">
        <f t="shared" si="34"/>
        <v>1565.8560729999999</v>
      </c>
    </row>
    <row r="109" spans="1:17">
      <c r="A109" s="1209">
        <v>100</v>
      </c>
      <c r="B109" s="119" t="s">
        <v>1834</v>
      </c>
      <c r="D109" s="733">
        <v>102322.91</v>
      </c>
      <c r="H109" s="461">
        <f t="shared" si="24"/>
        <v>0</v>
      </c>
      <c r="I109" s="624">
        <f t="shared" si="25"/>
        <v>102322.91</v>
      </c>
      <c r="J109" s="117">
        <f t="shared" si="30"/>
        <v>3.3099999999999997E-2</v>
      </c>
      <c r="K109" s="440">
        <f t="shared" si="26"/>
        <v>3386.8883209999999</v>
      </c>
      <c r="L109" s="440">
        <f t="shared" si="27"/>
        <v>105709.79832100001</v>
      </c>
      <c r="M109" s="1193">
        <f t="shared" si="31"/>
        <v>0</v>
      </c>
      <c r="N109" s="1201">
        <f t="shared" si="32"/>
        <v>0</v>
      </c>
      <c r="O109" s="1202">
        <f t="shared" si="33"/>
        <v>105709.79832100001</v>
      </c>
      <c r="P109" s="461">
        <f t="shared" si="35"/>
        <v>0</v>
      </c>
      <c r="Q109" s="461">
        <f t="shared" si="34"/>
        <v>3386.8883209999999</v>
      </c>
    </row>
    <row r="110" spans="1:17">
      <c r="A110" s="1209">
        <v>101</v>
      </c>
      <c r="B110" s="119" t="s">
        <v>1835</v>
      </c>
      <c r="D110" s="440">
        <f>SUM(D72:D109)</f>
        <v>5894572.6399999997</v>
      </c>
      <c r="I110" s="271">
        <f>SUM(I72:I109)</f>
        <v>5894572.6399999997</v>
      </c>
      <c r="K110" s="690">
        <f>SUM(K72:K109)</f>
        <v>195110.35438400001</v>
      </c>
      <c r="L110" s="690">
        <f>SUM(L72:L109)</f>
        <v>6089682.9943840001</v>
      </c>
      <c r="M110" s="1197"/>
      <c r="N110" s="1203">
        <f>SUM(N72:N109)</f>
        <v>0</v>
      </c>
      <c r="O110" s="1203">
        <f>SUM(O72:O109)</f>
        <v>6089682.9943840001</v>
      </c>
      <c r="P110" s="690">
        <f>SUM(P72:P109)</f>
        <v>0</v>
      </c>
      <c r="Q110" s="690">
        <f>SUM(Q72:Q109)</f>
        <v>195110.35438400001</v>
      </c>
    </row>
    <row r="111" spans="1:17">
      <c r="A111" s="1209"/>
      <c r="K111" s="440"/>
    </row>
    <row r="112" spans="1:17">
      <c r="A112" s="466" t="s">
        <v>1078</v>
      </c>
    </row>
    <row r="113" spans="1:1">
      <c r="A113" s="466" t="s">
        <v>1836</v>
      </c>
    </row>
    <row r="114" spans="1:1">
      <c r="A114" s="466" t="s">
        <v>1837</v>
      </c>
    </row>
    <row r="115" spans="1:1">
      <c r="A115" s="466" t="s">
        <v>1838</v>
      </c>
    </row>
    <row r="116" spans="1:1">
      <c r="A116" s="1209"/>
    </row>
    <row r="117" spans="1:1">
      <c r="A117" s="1209"/>
    </row>
    <row r="118" spans="1:1">
      <c r="A118" s="1209"/>
    </row>
    <row r="119" spans="1:1">
      <c r="A119" s="1209"/>
    </row>
  </sheetData>
  <mergeCells count="1">
    <mergeCell ref="B67:E70"/>
  </mergeCells>
  <printOptions horizontalCentered="1"/>
  <pageMargins left="0.31" right="0.3" top="1" bottom="1" header="0.5" footer="0.5"/>
  <pageSetup scale="40" fitToHeight="0" orientation="portrait" r:id="rId1"/>
  <headerFooter scaleWithDoc="0" alignWithMargins="0">
    <oddHeader>&amp;RPage &amp;P of &amp;N</oddHeader>
    <oddFooter>&amp;LElectronic Tab Name: &amp;A</oddFooter>
  </headerFooter>
  <rowBreaks count="1" manualBreakCount="1">
    <brk id="64" max="16" man="1"/>
  </rowBreaks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68">
    <tabColor theme="7" tint="0.79998168889431442"/>
    <pageSetUpPr fitToPage="1"/>
  </sheetPr>
  <dimension ref="A1:R45"/>
  <sheetViews>
    <sheetView view="pageBreakPreview" zoomScale="80" zoomScaleNormal="100" zoomScaleSheetLayoutView="80" workbookViewId="0">
      <selection activeCell="K16" sqref="K16"/>
    </sheetView>
  </sheetViews>
  <sheetFormatPr defaultColWidth="8.85546875" defaultRowHeight="15"/>
  <cols>
    <col min="1" max="1" width="5.140625" style="113" bestFit="1" customWidth="1"/>
    <col min="2" max="2" width="39.140625" style="113" customWidth="1"/>
    <col min="3" max="3" width="15.5703125" style="113" bestFit="1" customWidth="1"/>
    <col min="4" max="4" width="13.85546875" style="113" bestFit="1" customWidth="1"/>
    <col min="5" max="7" width="12.85546875" style="113" bestFit="1" customWidth="1"/>
    <col min="8" max="8" width="8.85546875" style="113"/>
    <col min="9" max="9" width="26.7109375" style="113" bestFit="1" customWidth="1"/>
    <col min="10" max="10" width="15.140625" style="113" bestFit="1" customWidth="1"/>
    <col min="11" max="11" width="13.85546875" style="113" bestFit="1" customWidth="1"/>
    <col min="12" max="12" width="9.5703125" style="113" bestFit="1" customWidth="1"/>
    <col min="13" max="13" width="8.85546875" style="113"/>
    <col min="14" max="14" width="13.42578125" style="113" bestFit="1" customWidth="1"/>
    <col min="15" max="15" width="9.5703125" style="113" bestFit="1" customWidth="1"/>
    <col min="16" max="16" width="8.85546875" style="113"/>
    <col min="17" max="17" width="10.28515625" style="113" bestFit="1" customWidth="1"/>
    <col min="18" max="16384" width="8.85546875" style="113"/>
  </cols>
  <sheetData>
    <row r="1" spans="1:8">
      <c r="A1" s="1505" t="str">
        <f>Company</f>
        <v>Cascade Natural Gas Corp.</v>
      </c>
      <c r="B1" s="1505"/>
      <c r="C1" s="1505"/>
      <c r="D1" s="1505"/>
      <c r="E1" s="1505"/>
      <c r="F1" s="1505"/>
      <c r="G1" s="1505"/>
      <c r="H1" s="209"/>
    </row>
    <row r="2" spans="1:8">
      <c r="A2" s="1505" t="str">
        <f>Title1</f>
        <v>Washington Jurisdiction</v>
      </c>
      <c r="B2" s="1505"/>
      <c r="C2" s="1505"/>
      <c r="D2" s="1505"/>
      <c r="E2" s="1505"/>
      <c r="F2" s="1505"/>
      <c r="G2" s="1505"/>
      <c r="H2" s="209"/>
    </row>
    <row r="3" spans="1:8">
      <c r="A3" s="1505" t="str">
        <f>Title2</f>
        <v>Twelve-Months ended December 31, 2020</v>
      </c>
      <c r="B3" s="1505"/>
      <c r="C3" s="1505"/>
      <c r="D3" s="1505"/>
      <c r="E3" s="1505"/>
      <c r="F3" s="1505"/>
      <c r="G3" s="1505"/>
      <c r="H3" s="209"/>
    </row>
    <row r="4" spans="1:8">
      <c r="A4" s="1505" t="str">
        <f>Title8</f>
        <v>UG-21____</v>
      </c>
      <c r="B4" s="1505"/>
      <c r="C4" s="1505"/>
      <c r="D4" s="1505"/>
      <c r="E4" s="1505"/>
      <c r="F4" s="1505"/>
      <c r="G4" s="1505"/>
      <c r="H4" s="209"/>
    </row>
    <row r="5" spans="1:8">
      <c r="A5" s="1505" t="s">
        <v>1137</v>
      </c>
      <c r="B5" s="1505"/>
      <c r="C5" s="1505"/>
      <c r="D5" s="1505"/>
      <c r="E5" s="1505"/>
      <c r="F5" s="1505"/>
      <c r="G5" s="1505"/>
      <c r="H5" s="209"/>
    </row>
    <row r="6" spans="1:8">
      <c r="A6" s="1505" t="s">
        <v>1136</v>
      </c>
      <c r="B6" s="1505"/>
      <c r="C6" s="1505"/>
      <c r="D6" s="1505"/>
      <c r="E6" s="1505"/>
      <c r="F6" s="1505"/>
      <c r="G6" s="1505"/>
      <c r="H6" s="209"/>
    </row>
    <row r="7" spans="1:8">
      <c r="A7" s="1214"/>
      <c r="B7" s="1214"/>
      <c r="C7" s="1214"/>
      <c r="D7" s="1214"/>
      <c r="E7" s="1214"/>
      <c r="F7" s="1214"/>
      <c r="G7" s="1214"/>
      <c r="H7" s="209"/>
    </row>
    <row r="8" spans="1:8" ht="30">
      <c r="A8" s="447" t="s">
        <v>8</v>
      </c>
      <c r="B8" s="1221" t="s">
        <v>1839</v>
      </c>
      <c r="C8" s="1568" t="s">
        <v>1840</v>
      </c>
      <c r="D8" s="1568"/>
      <c r="E8" s="1568"/>
      <c r="F8" s="1568"/>
      <c r="G8" s="1568"/>
      <c r="H8" s="209"/>
    </row>
    <row r="9" spans="1:8">
      <c r="A9" s="435"/>
      <c r="B9" s="121" t="s">
        <v>2</v>
      </c>
      <c r="C9" s="121" t="s">
        <v>3</v>
      </c>
      <c r="D9" s="121" t="s">
        <v>4</v>
      </c>
      <c r="E9" s="121" t="s">
        <v>5</v>
      </c>
      <c r="F9" s="121" t="s">
        <v>6</v>
      </c>
      <c r="G9" s="121" t="s">
        <v>273</v>
      </c>
    </row>
    <row r="10" spans="1:8">
      <c r="A10" s="1209">
        <v>1</v>
      </c>
      <c r="B10" s="113" t="s">
        <v>1841</v>
      </c>
      <c r="C10" s="452">
        <f>C23</f>
        <v>371530.14</v>
      </c>
      <c r="E10" s="448"/>
      <c r="F10" s="448"/>
      <c r="G10" s="448"/>
    </row>
    <row r="11" spans="1:8">
      <c r="A11" s="1209">
        <v>2</v>
      </c>
      <c r="B11" s="113" t="s">
        <v>1842</v>
      </c>
      <c r="C11" s="452">
        <f>C24</f>
        <v>430638.63</v>
      </c>
      <c r="E11" s="448"/>
      <c r="F11" s="448"/>
      <c r="G11" s="448"/>
    </row>
    <row r="12" spans="1:8">
      <c r="A12" s="1209">
        <v>3</v>
      </c>
      <c r="B12" s="113" t="s">
        <v>1843</v>
      </c>
      <c r="C12" s="452">
        <f>C22</f>
        <v>0</v>
      </c>
      <c r="E12" s="448"/>
      <c r="F12" s="448"/>
      <c r="G12" s="448"/>
    </row>
    <row r="13" spans="1:8">
      <c r="A13" s="1209">
        <v>4</v>
      </c>
      <c r="B13" s="113" t="s">
        <v>1844</v>
      </c>
      <c r="C13" s="452">
        <f>SUM(C18:C19)</f>
        <v>1098576.5900000001</v>
      </c>
      <c r="E13" s="448"/>
      <c r="F13" s="448"/>
      <c r="G13" s="448"/>
    </row>
    <row r="14" spans="1:8">
      <c r="A14" s="1209">
        <v>5</v>
      </c>
      <c r="B14" s="113" t="s">
        <v>1845</v>
      </c>
      <c r="C14" s="503">
        <f>SUM(C20:C21)</f>
        <v>952598.30999999994</v>
      </c>
      <c r="E14" s="448"/>
      <c r="F14" s="448"/>
      <c r="G14" s="448"/>
    </row>
    <row r="15" spans="1:8">
      <c r="A15" s="1209">
        <v>6</v>
      </c>
      <c r="B15" s="449" t="s">
        <v>294</v>
      </c>
      <c r="C15" s="286">
        <f>SUM(C10:C14)</f>
        <v>2853343.67</v>
      </c>
      <c r="E15" s="450"/>
      <c r="F15" s="450"/>
      <c r="G15" s="450"/>
    </row>
    <row r="16" spans="1:8">
      <c r="A16" s="1209">
        <v>7</v>
      </c>
    </row>
    <row r="17" spans="1:18">
      <c r="A17" s="1209">
        <v>8</v>
      </c>
    </row>
    <row r="18" spans="1:18">
      <c r="A18" s="1209">
        <v>9</v>
      </c>
      <c r="B18" s="113" t="s">
        <v>1846</v>
      </c>
      <c r="C18" s="232">
        <v>876976.42</v>
      </c>
    </row>
    <row r="19" spans="1:18">
      <c r="A19" s="1209">
        <v>10</v>
      </c>
      <c r="B19" s="113" t="s">
        <v>1847</v>
      </c>
      <c r="C19" s="232">
        <v>221600.17</v>
      </c>
      <c r="F19" s="289"/>
      <c r="I19" s="1365"/>
      <c r="J19" s="1366"/>
      <c r="K19" s="1367"/>
      <c r="L19" s="1367"/>
      <c r="M19" s="1365"/>
      <c r="N19" s="1365"/>
      <c r="O19" s="1367"/>
      <c r="P19" s="1365"/>
      <c r="Q19" s="1368"/>
      <c r="R19" s="1365"/>
    </row>
    <row r="20" spans="1:18">
      <c r="A20" s="1209">
        <v>11</v>
      </c>
      <c r="B20" s="113" t="s">
        <v>1848</v>
      </c>
      <c r="C20" s="232">
        <v>707909.22</v>
      </c>
      <c r="I20" s="1365"/>
      <c r="J20" s="1365"/>
      <c r="K20" s="286"/>
      <c r="L20" s="1369"/>
      <c r="M20" s="1365"/>
      <c r="N20" s="286"/>
      <c r="O20" s="1369"/>
      <c r="P20" s="1365"/>
      <c r="Q20" s="1369"/>
      <c r="R20" s="1365"/>
    </row>
    <row r="21" spans="1:18">
      <c r="A21" s="1209">
        <v>12</v>
      </c>
      <c r="B21" s="113" t="s">
        <v>1849</v>
      </c>
      <c r="C21" s="232">
        <v>244689.09</v>
      </c>
      <c r="F21" s="289"/>
      <c r="I21" s="1365"/>
      <c r="J21" s="1365"/>
      <c r="K21" s="286"/>
      <c r="L21" s="1365"/>
      <c r="M21" s="1365"/>
      <c r="N21" s="286"/>
      <c r="O21" s="1365"/>
      <c r="P21" s="1365"/>
      <c r="Q21" s="1369"/>
      <c r="R21" s="1365"/>
    </row>
    <row r="22" spans="1:18">
      <c r="A22" s="1209">
        <v>13</v>
      </c>
      <c r="B22" s="113" t="s">
        <v>1850</v>
      </c>
      <c r="C22" s="232">
        <v>0</v>
      </c>
      <c r="I22" s="1365"/>
      <c r="J22" s="1368"/>
      <c r="K22" s="286"/>
      <c r="L22" s="1369"/>
      <c r="M22" s="1365"/>
      <c r="N22" s="286"/>
      <c r="O22" s="1369"/>
      <c r="P22" s="1365"/>
      <c r="Q22" s="1369"/>
      <c r="R22" s="1365"/>
    </row>
    <row r="23" spans="1:18">
      <c r="A23" s="1209">
        <v>14</v>
      </c>
      <c r="B23" s="113" t="s">
        <v>1851</v>
      </c>
      <c r="C23" s="232">
        <v>371530.14</v>
      </c>
      <c r="F23" s="289"/>
      <c r="I23" s="1365"/>
      <c r="J23" s="1368"/>
      <c r="K23" s="286"/>
      <c r="L23" s="1365"/>
      <c r="M23" s="1365"/>
      <c r="N23" s="286"/>
      <c r="O23" s="1365"/>
      <c r="P23" s="1365"/>
      <c r="Q23" s="1369"/>
      <c r="R23" s="1365"/>
    </row>
    <row r="24" spans="1:18">
      <c r="A24" s="1209">
        <v>15</v>
      </c>
      <c r="B24" s="113" t="s">
        <v>1852</v>
      </c>
      <c r="C24" s="614">
        <v>430638.63</v>
      </c>
      <c r="F24" s="289"/>
      <c r="I24" s="1365"/>
      <c r="J24" s="1368"/>
      <c r="K24" s="286"/>
      <c r="L24" s="1369"/>
      <c r="M24" s="1365"/>
      <c r="N24" s="286"/>
      <c r="O24" s="1369"/>
      <c r="P24" s="1365"/>
      <c r="Q24" s="1369"/>
      <c r="R24" s="1365"/>
    </row>
    <row r="25" spans="1:18">
      <c r="A25" s="1209">
        <v>16</v>
      </c>
      <c r="B25" s="449" t="s">
        <v>294</v>
      </c>
      <c r="C25" s="286">
        <f>ROUND(SUM(C18:C24), 2)</f>
        <v>2853343.67</v>
      </c>
      <c r="I25" s="1365"/>
      <c r="J25" s="1368"/>
      <c r="K25" s="286"/>
      <c r="L25" s="1369"/>
      <c r="M25" s="1365"/>
      <c r="N25" s="286"/>
      <c r="O25" s="1369"/>
      <c r="P25" s="1365"/>
      <c r="Q25" s="1369"/>
      <c r="R25" s="1365"/>
    </row>
    <row r="26" spans="1:18">
      <c r="A26" s="1209">
        <v>17</v>
      </c>
      <c r="C26" s="452"/>
      <c r="I26" s="1365"/>
      <c r="J26" s="1368"/>
      <c r="K26" s="286"/>
      <c r="L26" s="1365"/>
      <c r="M26" s="1365"/>
      <c r="N26" s="286"/>
      <c r="O26" s="1365"/>
      <c r="P26" s="1365"/>
      <c r="Q26" s="1369"/>
      <c r="R26" s="1365"/>
    </row>
    <row r="27" spans="1:18">
      <c r="A27" s="1209">
        <v>18</v>
      </c>
      <c r="B27" s="113" t="s">
        <v>1853</v>
      </c>
      <c r="C27" s="452">
        <f>+C18+C20+C22</f>
        <v>1584885.6400000001</v>
      </c>
      <c r="I27" s="1365"/>
      <c r="J27" s="1368"/>
      <c r="K27" s="286"/>
      <c r="L27" s="1365"/>
      <c r="M27" s="1365"/>
      <c r="N27" s="286"/>
      <c r="O27" s="1365"/>
      <c r="P27" s="1365"/>
      <c r="Q27" s="1369"/>
      <c r="R27" s="1365"/>
    </row>
    <row r="28" spans="1:18">
      <c r="A28" s="1209">
        <v>19</v>
      </c>
      <c r="C28" s="452"/>
      <c r="I28" s="1365"/>
      <c r="J28" s="1368"/>
      <c r="K28" s="286"/>
      <c r="L28" s="286"/>
      <c r="M28" s="1365"/>
      <c r="N28" s="286"/>
      <c r="O28" s="286"/>
      <c r="P28" s="1365"/>
      <c r="Q28" s="1369"/>
      <c r="R28" s="1365"/>
    </row>
    <row r="29" spans="1:18">
      <c r="A29" s="1209">
        <v>20</v>
      </c>
      <c r="B29" s="113" t="s">
        <v>1854</v>
      </c>
      <c r="C29" s="453">
        <f>-C27</f>
        <v>-1584885.6400000001</v>
      </c>
      <c r="D29" s="259"/>
      <c r="E29" s="259"/>
      <c r="F29" s="259"/>
      <c r="G29" s="259"/>
      <c r="I29" s="1365"/>
      <c r="J29" s="1368"/>
      <c r="K29" s="1369"/>
      <c r="L29" s="1369"/>
      <c r="M29" s="1365"/>
      <c r="N29" s="1365"/>
      <c r="O29" s="1365"/>
      <c r="P29" s="1365"/>
      <c r="Q29" s="1365"/>
      <c r="R29" s="1365"/>
    </row>
    <row r="30" spans="1:18">
      <c r="A30" s="1209">
        <v>21</v>
      </c>
      <c r="C30" s="259"/>
      <c r="D30" s="259"/>
      <c r="E30" s="259"/>
      <c r="F30" s="259"/>
      <c r="G30" s="259"/>
      <c r="I30" s="1365"/>
      <c r="J30" s="1365"/>
      <c r="K30" s="1365"/>
      <c r="L30" s="1365"/>
      <c r="M30" s="1365"/>
      <c r="N30" s="1365"/>
      <c r="O30" s="1365"/>
      <c r="P30" s="1365"/>
      <c r="Q30" s="1365"/>
      <c r="R30" s="1365"/>
    </row>
    <row r="31" spans="1:18">
      <c r="A31" s="1209">
        <v>22</v>
      </c>
      <c r="C31" s="259"/>
      <c r="D31" s="259"/>
      <c r="E31" s="259"/>
      <c r="F31" s="259"/>
      <c r="G31" s="259"/>
      <c r="I31" s="1365"/>
      <c r="J31" s="1365"/>
      <c r="K31" s="1365"/>
      <c r="L31" s="1365"/>
      <c r="M31" s="1365"/>
      <c r="N31" s="1365"/>
      <c r="O31" s="1365"/>
      <c r="P31" s="1365"/>
      <c r="Q31" s="1365"/>
      <c r="R31" s="1365"/>
    </row>
    <row r="32" spans="1:18">
      <c r="A32" s="1209">
        <v>23</v>
      </c>
      <c r="B32" s="451"/>
      <c r="C32" s="613">
        <v>2016</v>
      </c>
      <c r="D32" s="113">
        <f>C32+1</f>
        <v>2017</v>
      </c>
      <c r="E32" s="113">
        <f>D32+1</f>
        <v>2018</v>
      </c>
      <c r="F32" s="113">
        <f>E32+1</f>
        <v>2019</v>
      </c>
      <c r="G32" s="113">
        <f>F32+1</f>
        <v>2020</v>
      </c>
      <c r="I32" s="1365"/>
      <c r="J32" s="1365"/>
      <c r="K32" s="1367"/>
      <c r="L32" s="1365"/>
      <c r="M32" s="1365"/>
      <c r="N32" s="1365"/>
      <c r="O32" s="1365"/>
      <c r="P32" s="1365"/>
      <c r="Q32" s="1365"/>
      <c r="R32" s="1365"/>
    </row>
    <row r="33" spans="1:18">
      <c r="A33" s="1209">
        <v>24</v>
      </c>
      <c r="B33" s="1208" t="s">
        <v>1855</v>
      </c>
      <c r="C33" s="232">
        <v>1765931</v>
      </c>
      <c r="D33" s="232">
        <v>2404155</v>
      </c>
      <c r="E33" s="232">
        <v>1799605</v>
      </c>
      <c r="F33" s="232">
        <v>2890621.39</v>
      </c>
      <c r="G33" s="232">
        <v>2853343.67</v>
      </c>
      <c r="I33" s="1365"/>
      <c r="J33" s="1370"/>
      <c r="K33" s="1369"/>
      <c r="L33" s="1365"/>
      <c r="M33" s="1365"/>
      <c r="N33" s="1365"/>
      <c r="O33" s="1365"/>
      <c r="P33" s="1365"/>
      <c r="Q33" s="1365"/>
      <c r="R33" s="1365"/>
    </row>
    <row r="34" spans="1:18">
      <c r="A34" s="1209">
        <v>25</v>
      </c>
      <c r="B34" s="1208" t="s">
        <v>1856</v>
      </c>
      <c r="C34" s="614">
        <v>818796</v>
      </c>
      <c r="D34" s="614">
        <v>933400</v>
      </c>
      <c r="E34" s="614">
        <v>894390</v>
      </c>
      <c r="F34" s="614">
        <v>1162983.27</v>
      </c>
      <c r="G34" s="614">
        <v>1584885.6400000001</v>
      </c>
      <c r="I34" s="1365"/>
      <c r="J34" s="1370"/>
      <c r="K34" s="1369"/>
      <c r="L34" s="1365"/>
      <c r="M34" s="1365"/>
      <c r="N34" s="1365"/>
      <c r="O34" s="1365"/>
      <c r="P34" s="1365"/>
      <c r="Q34" s="1365"/>
      <c r="R34" s="1365"/>
    </row>
    <row r="35" spans="1:18">
      <c r="A35" s="1209">
        <v>26</v>
      </c>
      <c r="B35" s="1208" t="s">
        <v>1857</v>
      </c>
      <c r="C35" s="452">
        <f>C33-C34</f>
        <v>947135</v>
      </c>
      <c r="D35" s="452">
        <f>D33-D34</f>
        <v>1470755</v>
      </c>
      <c r="E35" s="452">
        <f>E33-E34</f>
        <v>905215</v>
      </c>
      <c r="F35" s="452">
        <f>F33-F34</f>
        <v>1727638.12</v>
      </c>
      <c r="G35" s="452">
        <f>G33-G34</f>
        <v>1268458.0299999998</v>
      </c>
      <c r="I35" s="1365"/>
      <c r="J35" s="286"/>
      <c r="K35" s="1369"/>
      <c r="L35" s="1365"/>
      <c r="M35" s="1365"/>
      <c r="N35" s="1365"/>
      <c r="O35" s="1365"/>
      <c r="P35" s="1365"/>
      <c r="Q35" s="1365"/>
      <c r="R35" s="1365"/>
    </row>
    <row r="36" spans="1:18">
      <c r="A36" s="1209">
        <v>27</v>
      </c>
      <c r="F36" s="122"/>
      <c r="I36" s="1365"/>
      <c r="J36" s="1365"/>
      <c r="K36" s="1365"/>
      <c r="L36" s="1365"/>
      <c r="M36" s="1365"/>
      <c r="N36" s="1365"/>
      <c r="O36" s="1365"/>
      <c r="P36" s="1365"/>
      <c r="Q36" s="1365"/>
      <c r="R36" s="1365"/>
    </row>
    <row r="37" spans="1:18">
      <c r="A37" s="1209">
        <v>28</v>
      </c>
      <c r="B37" s="1208" t="s">
        <v>1858</v>
      </c>
      <c r="C37" s="452">
        <f>AVERAGE(C35:G35)</f>
        <v>1263840.23</v>
      </c>
      <c r="F37" s="122"/>
      <c r="G37" s="122"/>
      <c r="I37" s="1367"/>
      <c r="J37" s="286"/>
      <c r="K37" s="1369"/>
      <c r="L37" s="1365"/>
      <c r="M37" s="1365"/>
      <c r="N37" s="1365"/>
      <c r="O37" s="1365"/>
      <c r="P37" s="1365"/>
      <c r="Q37" s="1365"/>
      <c r="R37" s="1365"/>
    </row>
    <row r="38" spans="1:18">
      <c r="A38" s="1209">
        <v>29</v>
      </c>
      <c r="C38" s="452"/>
      <c r="D38" s="259"/>
      <c r="E38" s="259"/>
      <c r="F38" s="259"/>
      <c r="G38" s="259"/>
      <c r="I38" s="1367"/>
      <c r="J38" s="1365"/>
      <c r="K38" s="1365"/>
      <c r="L38" s="1365"/>
      <c r="M38" s="1365"/>
      <c r="N38" s="1365"/>
      <c r="O38" s="1365"/>
      <c r="P38" s="1365"/>
      <c r="Q38" s="1365"/>
      <c r="R38" s="1365"/>
    </row>
    <row r="39" spans="1:18">
      <c r="A39" s="1209">
        <v>30</v>
      </c>
      <c r="B39" s="113" t="s">
        <v>1859</v>
      </c>
      <c r="C39" s="453">
        <f>C37-G35</f>
        <v>-4617.7999999998137</v>
      </c>
      <c r="D39" s="259"/>
      <c r="E39" s="259"/>
      <c r="F39" s="259"/>
      <c r="G39" s="259"/>
      <c r="I39" s="1367"/>
      <c r="J39" s="1371"/>
      <c r="K39" s="1369"/>
      <c r="L39" s="1365"/>
      <c r="M39" s="1365"/>
      <c r="N39" s="1365"/>
      <c r="O39" s="1365"/>
      <c r="P39" s="1365"/>
      <c r="Q39" s="1365"/>
      <c r="R39" s="1365"/>
    </row>
    <row r="40" spans="1:18">
      <c r="A40" s="1209">
        <v>31</v>
      </c>
      <c r="C40" s="452"/>
      <c r="I40" s="1365"/>
      <c r="J40" s="1365"/>
      <c r="K40" s="1365"/>
      <c r="L40" s="1365"/>
      <c r="M40" s="1365"/>
      <c r="N40" s="1365"/>
      <c r="O40" s="1365"/>
      <c r="P40" s="1365"/>
      <c r="Q40" s="1365"/>
      <c r="R40" s="1365"/>
    </row>
    <row r="41" spans="1:18" ht="15.75" thickBot="1">
      <c r="A41" s="1209">
        <v>32</v>
      </c>
      <c r="B41" s="113" t="s">
        <v>1860</v>
      </c>
      <c r="C41" s="612">
        <f>C29+C39</f>
        <v>-1589503.44</v>
      </c>
      <c r="I41" s="1365"/>
      <c r="J41" s="1371"/>
      <c r="K41" s="1369"/>
      <c r="L41" s="1365"/>
      <c r="M41" s="1365"/>
      <c r="N41" s="1365"/>
      <c r="O41" s="1365"/>
      <c r="P41" s="1365"/>
      <c r="Q41" s="1365"/>
      <c r="R41" s="1365"/>
    </row>
    <row r="42" spans="1:18" ht="15.75" thickTop="1">
      <c r="I42" s="1365"/>
      <c r="J42" s="1365"/>
      <c r="K42" s="1365"/>
      <c r="L42" s="1365"/>
      <c r="M42" s="1365"/>
      <c r="N42" s="1365"/>
      <c r="O42" s="1365"/>
      <c r="P42" s="1365"/>
      <c r="Q42" s="1365"/>
      <c r="R42" s="1365"/>
    </row>
    <row r="45" spans="1:18">
      <c r="C45" s="454"/>
      <c r="D45" s="455"/>
      <c r="E45" s="455"/>
      <c r="F45" s="455"/>
      <c r="G45" s="455"/>
    </row>
  </sheetData>
  <mergeCells count="7">
    <mergeCell ref="C8:G8"/>
    <mergeCell ref="A3:G3"/>
    <mergeCell ref="A6:G6"/>
    <mergeCell ref="A5:G5"/>
    <mergeCell ref="A1:G1"/>
    <mergeCell ref="A4:G4"/>
    <mergeCell ref="A2:G2"/>
  </mergeCells>
  <printOptions horizontalCentered="1"/>
  <pageMargins left="0.31" right="0.3" top="1" bottom="1" header="0.5" footer="0.5"/>
  <pageSetup scale="89" fitToHeight="0" orientation="portrait" r:id="rId1"/>
  <headerFooter scaleWithDoc="0" alignWithMargins="0">
    <oddHeader>&amp;RPage &amp;P of &amp;N</oddHeader>
    <oddFooter>&amp;LElectronic Tab Name: 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29D55-97A8-4104-A8BE-ABADE51FED13}">
  <sheetPr codeName="Sheet43">
    <tabColor theme="2"/>
  </sheetPr>
  <dimension ref="A1:I14"/>
  <sheetViews>
    <sheetView zoomScale="80" zoomScaleNormal="80" workbookViewId="0">
      <selection activeCell="G16" sqref="G16"/>
    </sheetView>
  </sheetViews>
  <sheetFormatPr defaultColWidth="8.85546875" defaultRowHeight="15"/>
  <cols>
    <col min="1" max="1" width="24.28515625" style="113" customWidth="1"/>
    <col min="2" max="2" width="10.28515625" style="113" bestFit="1" customWidth="1"/>
    <col min="3" max="4" width="10.85546875" style="113" bestFit="1" customWidth="1"/>
    <col min="5" max="5" width="13" style="113" bestFit="1" customWidth="1"/>
    <col min="6" max="6" width="10.85546875" style="113" bestFit="1" customWidth="1"/>
    <col min="7" max="7" width="13.85546875" style="113" bestFit="1" customWidth="1"/>
    <col min="8" max="16384" width="8.85546875" style="113"/>
  </cols>
  <sheetData>
    <row r="1" spans="1:9">
      <c r="A1" s="17" t="str">
        <f ca="1">MID(CELL("filename",A1),FIND("]",CELL("filename",A1))+1,255)</f>
        <v>Summary Bill Impacts</v>
      </c>
    </row>
    <row r="2" spans="1:9">
      <c r="A2" s="22" t="str">
        <f>Company</f>
        <v>Cascade Natural Gas Corp.</v>
      </c>
      <c r="B2" s="22"/>
      <c r="C2" s="22"/>
      <c r="D2" s="22"/>
      <c r="E2" s="22"/>
      <c r="F2" s="22"/>
      <c r="G2" s="22"/>
    </row>
    <row r="3" spans="1:9">
      <c r="A3" s="22" t="s">
        <v>62</v>
      </c>
      <c r="B3" s="22"/>
      <c r="C3" s="22"/>
      <c r="D3" s="22"/>
      <c r="E3" s="22"/>
      <c r="F3" s="22"/>
      <c r="G3" s="22"/>
    </row>
    <row r="4" spans="1:9">
      <c r="A4" s="22" t="s">
        <v>7</v>
      </c>
      <c r="B4" s="22"/>
      <c r="C4" s="22"/>
      <c r="D4" s="22"/>
      <c r="E4" s="22"/>
      <c r="F4" s="22"/>
      <c r="G4" s="22"/>
    </row>
    <row r="5" spans="1:9">
      <c r="A5" s="18"/>
      <c r="C5" s="12"/>
    </row>
    <row r="6" spans="1:9" ht="55.15" customHeight="1">
      <c r="A6" s="629" t="s">
        <v>63</v>
      </c>
      <c r="B6" s="629" t="s">
        <v>64</v>
      </c>
      <c r="C6" s="629" t="s">
        <v>65</v>
      </c>
      <c r="D6" s="629" t="s">
        <v>66</v>
      </c>
      <c r="E6" s="629" t="s">
        <v>67</v>
      </c>
      <c r="F6" s="629" t="s">
        <v>68</v>
      </c>
      <c r="G6" s="629" t="s">
        <v>69</v>
      </c>
    </row>
    <row r="7" spans="1:9" ht="30">
      <c r="A7" s="28" t="str">
        <f>Title!B13&amp;" (Sch"&amp;Title!B12&amp;")"</f>
        <v>Residential Service (Sch503)</v>
      </c>
      <c r="B7" s="31">
        <f>'Exh PJA-3, RES Monthly Impact'!C27</f>
        <v>53.833333333333336</v>
      </c>
      <c r="C7" s="30">
        <f>'Exh PJA-3, RES Monthly Impact'!D27</f>
        <v>54.079563714333339</v>
      </c>
      <c r="D7" s="30">
        <f>'Exh PJA-3, RES Monthly Impact'!E27</f>
        <v>55.591681679279645</v>
      </c>
      <c r="E7" s="246">
        <f t="shared" ref="E7:E12" si="0">D7-C7</f>
        <v>1.5121179649463059</v>
      </c>
      <c r="F7" s="246">
        <f t="shared" ref="F7:F12" si="1">E7*12</f>
        <v>18.145415579355671</v>
      </c>
      <c r="G7" s="247">
        <f t="shared" ref="G7:G12" si="2">E7/C7</f>
        <v>2.7960986758950711E-2</v>
      </c>
      <c r="I7" s="248"/>
    </row>
    <row r="8" spans="1:9" ht="27.75" customHeight="1">
      <c r="A8" s="28" t="str">
        <f>Title!C13&amp;" (Sch"&amp;Title!C12&amp;")"</f>
        <v>Commercial Service (Sch504)</v>
      </c>
      <c r="B8" s="31">
        <f>'Exh PJA-4, Bill Impacts'!B76</f>
        <v>271.41360851124517</v>
      </c>
      <c r="C8" s="30">
        <f>'Exh PJA-4, Bill Impacts'!C76</f>
        <v>242.10836935259738</v>
      </c>
      <c r="D8" s="30">
        <f>'Exh PJA-4, Bill Impacts'!D76</f>
        <v>248.51541065210839</v>
      </c>
      <c r="E8" s="246">
        <f t="shared" si="0"/>
        <v>6.4070412995110075</v>
      </c>
      <c r="F8" s="246">
        <f t="shared" si="1"/>
        <v>76.88449559413209</v>
      </c>
      <c r="G8" s="247">
        <f t="shared" si="2"/>
        <v>2.6463526711792591E-2</v>
      </c>
      <c r="I8" s="248"/>
    </row>
    <row r="9" spans="1:9" ht="31.5" customHeight="1">
      <c r="A9" s="28" t="str">
        <f>Title!D13&amp;" (Sch"&amp;Title!D12&amp;")"</f>
        <v>Industrial Service (Sch505)</v>
      </c>
      <c r="B9" s="31">
        <f>'Exh PJA-4, Bill Impacts'!B118</f>
        <v>1992.4971459951169</v>
      </c>
      <c r="C9" s="30">
        <f>'Exh PJA-4, Bill Impacts'!C118</f>
        <v>1563.8912471966592</v>
      </c>
      <c r="D9" s="30">
        <f>'Exh PJA-4, Bill Impacts'!D118</f>
        <v>1595.2386272879498</v>
      </c>
      <c r="E9" s="246">
        <f t="shared" si="0"/>
        <v>31.347380091290688</v>
      </c>
      <c r="F9" s="246">
        <f t="shared" si="1"/>
        <v>376.16856109548826</v>
      </c>
      <c r="G9" s="247">
        <f t="shared" si="2"/>
        <v>2.0044475693231346E-2</v>
      </c>
      <c r="I9" s="248"/>
    </row>
    <row r="10" spans="1:9" ht="34.5" customHeight="1">
      <c r="A10" s="249" t="str">
        <f>Title!E13&amp;" (Sch"&amp;Title!E12&amp;")"</f>
        <v>Large Volume Service (Sch511)</v>
      </c>
      <c r="B10" s="31">
        <f>'Exh PJA-4, Bill Impacts'!B160</f>
        <v>16638.679756823894</v>
      </c>
      <c r="C10" s="30">
        <f>'Exh PJA-4, Bill Impacts'!C160</f>
        <v>12368.406112261295</v>
      </c>
      <c r="D10" s="30">
        <f>'Exh PJA-4, Bill Impacts'!D160</f>
        <v>12609.947637522608</v>
      </c>
      <c r="E10" s="246">
        <f t="shared" si="0"/>
        <v>241.54152526131293</v>
      </c>
      <c r="F10" s="246">
        <f t="shared" si="1"/>
        <v>2898.4983031357551</v>
      </c>
      <c r="G10" s="247">
        <f t="shared" si="2"/>
        <v>1.952891286629594E-2</v>
      </c>
    </row>
    <row r="11" spans="1:9" ht="30">
      <c r="A11" s="28" t="str">
        <f>Title!H13&amp;" (Sch"&amp;Title!H12&amp;")"</f>
        <v>Interruptible Service (Sch570)</v>
      </c>
      <c r="B11" s="31">
        <f>'Exh PJA-4, Bill Impacts'!B202</f>
        <v>23233.349240452259</v>
      </c>
      <c r="C11" s="30">
        <f>'Exh PJA-4, Bill Impacts'!C202</f>
        <v>16075.98556177056</v>
      </c>
      <c r="D11" s="30">
        <f>'Exh PJA-4, Bill Impacts'!D202</f>
        <v>16264.645258162373</v>
      </c>
      <c r="E11" s="246">
        <f t="shared" si="0"/>
        <v>188.65969639181276</v>
      </c>
      <c r="F11" s="246">
        <f t="shared" si="1"/>
        <v>2263.9163567017531</v>
      </c>
      <c r="G11" s="247">
        <f t="shared" si="2"/>
        <v>1.173549799898143E-2</v>
      </c>
    </row>
    <row r="12" spans="1:9" ht="30">
      <c r="A12" s="28" t="str">
        <f>Title!F13&amp;" (Sch"&amp;Title!F12&amp;")"</f>
        <v>Transportation Service (Sch663)</v>
      </c>
      <c r="B12" s="31">
        <f>'Exh PJA-4, Bill Impacts'!B242</f>
        <v>285880.57338241069</v>
      </c>
      <c r="C12" s="30">
        <f>'Exh PJA-4, Bill Impacts'!C242</f>
        <v>12940.934409573314</v>
      </c>
      <c r="D12" s="30">
        <f>'Exh PJA-4, Bill Impacts'!D242</f>
        <v>13868.986153339278</v>
      </c>
      <c r="E12" s="246">
        <f t="shared" si="0"/>
        <v>928.05174376596369</v>
      </c>
      <c r="F12" s="246">
        <f t="shared" si="1"/>
        <v>11136.620925191564</v>
      </c>
      <c r="G12" s="247">
        <f t="shared" si="2"/>
        <v>7.1714430688978606E-2</v>
      </c>
    </row>
    <row r="14" spans="1:9">
      <c r="A14" s="113" t="str">
        <f>"* "&amp;A12&amp;" - margin only since schedule doesn't pay PGA and other costs."</f>
        <v>* Transportation Service (Sch663) - margin only since schedule doesn't pay PGA and other costs.</v>
      </c>
    </row>
  </sheetData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6">
    <tabColor theme="2"/>
    <pageSetUpPr fitToPage="1"/>
  </sheetPr>
  <dimension ref="A1:M13"/>
  <sheetViews>
    <sheetView view="pageBreakPreview" zoomScale="80" zoomScaleNormal="100" zoomScaleSheetLayoutView="80" workbookViewId="0">
      <selection activeCell="L30" sqref="L30"/>
    </sheetView>
  </sheetViews>
  <sheetFormatPr defaultColWidth="9.140625" defaultRowHeight="15"/>
  <cols>
    <col min="1" max="1" width="5" style="275" bestFit="1" customWidth="1"/>
    <col min="2" max="2" width="16.5703125" style="113" bestFit="1" customWidth="1"/>
    <col min="3" max="3" width="10.85546875" style="113" bestFit="1" customWidth="1"/>
    <col min="4" max="5" width="15.42578125" style="113" bestFit="1" customWidth="1"/>
    <col min="6" max="6" width="11.85546875" style="113" customWidth="1"/>
    <col min="7" max="7" width="7.85546875" style="113" bestFit="1" customWidth="1"/>
    <col min="8" max="8" width="11.85546875" style="275" bestFit="1" customWidth="1"/>
    <col min="9" max="16384" width="9.140625" style="113"/>
  </cols>
  <sheetData>
    <row r="1" spans="1:13">
      <c r="A1" s="1505" t="str">
        <f>Company</f>
        <v>Cascade Natural Gas Corp.</v>
      </c>
      <c r="B1" s="1505"/>
      <c r="C1" s="1505"/>
      <c r="D1" s="1505"/>
      <c r="E1" s="1505"/>
      <c r="F1" s="1505"/>
      <c r="G1" s="1505"/>
      <c r="H1" s="1505"/>
      <c r="I1" s="209"/>
      <c r="J1" s="209"/>
      <c r="K1" s="442"/>
      <c r="L1" s="442"/>
      <c r="M1" s="442"/>
    </row>
    <row r="2" spans="1:13">
      <c r="A2" s="1505" t="str">
        <f>Title1</f>
        <v>Washington Jurisdiction</v>
      </c>
      <c r="B2" s="1505"/>
      <c r="C2" s="1505"/>
      <c r="D2" s="1505"/>
      <c r="E2" s="1505"/>
      <c r="F2" s="1505"/>
      <c r="G2" s="1505"/>
      <c r="H2" s="1505"/>
      <c r="I2" s="209"/>
      <c r="J2" s="209"/>
      <c r="K2" s="442"/>
      <c r="L2" s="442"/>
      <c r="M2" s="442"/>
    </row>
    <row r="3" spans="1:13">
      <c r="A3" s="1505" t="str">
        <f>Title2</f>
        <v>Twelve-Months ended December 31, 2020</v>
      </c>
      <c r="B3" s="1505"/>
      <c r="C3" s="1505"/>
      <c r="D3" s="1505"/>
      <c r="E3" s="1505"/>
      <c r="F3" s="1505"/>
      <c r="G3" s="1505"/>
      <c r="H3" s="1505"/>
      <c r="I3" s="209"/>
      <c r="J3" s="209"/>
      <c r="K3" s="442"/>
      <c r="L3" s="442"/>
      <c r="M3" s="442"/>
    </row>
    <row r="4" spans="1:13">
      <c r="A4" s="1505" t="str">
        <f>Title8</f>
        <v>UG-21____</v>
      </c>
      <c r="B4" s="1505"/>
      <c r="C4" s="1505"/>
      <c r="D4" s="1505"/>
      <c r="E4" s="1505"/>
      <c r="F4" s="1505"/>
      <c r="G4" s="1505"/>
      <c r="H4" s="1505"/>
      <c r="I4" s="209"/>
      <c r="J4" s="209"/>
      <c r="K4" s="442"/>
      <c r="L4" s="442"/>
      <c r="M4" s="442"/>
    </row>
    <row r="5" spans="1:13">
      <c r="A5" s="1505" t="s">
        <v>1139</v>
      </c>
      <c r="B5" s="1505"/>
      <c r="C5" s="1505"/>
      <c r="D5" s="1505"/>
      <c r="E5" s="1505"/>
      <c r="F5" s="1505"/>
      <c r="G5" s="1505"/>
      <c r="H5" s="1505"/>
      <c r="I5" s="209"/>
      <c r="J5" s="209"/>
      <c r="K5" s="442"/>
      <c r="L5" s="442"/>
      <c r="M5" s="442"/>
    </row>
    <row r="6" spans="1:13">
      <c r="A6" s="1505" t="s">
        <v>1138</v>
      </c>
      <c r="B6" s="1505"/>
      <c r="C6" s="1505"/>
      <c r="D6" s="1505"/>
      <c r="E6" s="1505"/>
      <c r="F6" s="1505"/>
      <c r="G6" s="1505"/>
      <c r="H6" s="1505"/>
      <c r="I6" s="209"/>
      <c r="J6" s="209"/>
      <c r="K6" s="442"/>
      <c r="L6" s="442"/>
      <c r="M6" s="442"/>
    </row>
    <row r="7" spans="1:13">
      <c r="A7" s="1209"/>
      <c r="H7" s="1209"/>
      <c r="K7" s="442"/>
      <c r="L7" s="442"/>
      <c r="M7" s="442"/>
    </row>
    <row r="8" spans="1:13" ht="30">
      <c r="A8" s="334" t="s">
        <v>8</v>
      </c>
      <c r="B8" s="334" t="s">
        <v>693</v>
      </c>
      <c r="C8" s="334" t="s">
        <v>1861</v>
      </c>
      <c r="D8" s="334" t="s">
        <v>1734</v>
      </c>
      <c r="E8" s="334" t="s">
        <v>1862</v>
      </c>
      <c r="F8" s="334" t="s">
        <v>1596</v>
      </c>
      <c r="G8" s="334" t="s">
        <v>1863</v>
      </c>
      <c r="H8" s="334" t="s">
        <v>1864</v>
      </c>
      <c r="K8" s="442"/>
      <c r="L8" s="442"/>
      <c r="M8" s="442"/>
    </row>
    <row r="9" spans="1:13" s="275" customFormat="1">
      <c r="A9" s="121"/>
      <c r="B9" s="121" t="s">
        <v>2</v>
      </c>
      <c r="C9" s="121" t="s">
        <v>3</v>
      </c>
      <c r="D9" s="121" t="s">
        <v>4</v>
      </c>
      <c r="E9" s="121" t="s">
        <v>5</v>
      </c>
      <c r="F9" s="121" t="s">
        <v>6</v>
      </c>
      <c r="G9" s="121" t="s">
        <v>273</v>
      </c>
      <c r="H9" s="121" t="s">
        <v>274</v>
      </c>
      <c r="I9" s="1209"/>
      <c r="J9" s="1209"/>
      <c r="K9" s="443"/>
      <c r="L9" s="443"/>
      <c r="M9" s="443"/>
    </row>
    <row r="10" spans="1:13" ht="15.75" thickBot="1">
      <c r="A10" s="1209">
        <v>1</v>
      </c>
      <c r="B10" s="84">
        <f>+'Exh MCG-2 ROO Summary'!I37</f>
        <v>470412306.18420315</v>
      </c>
      <c r="C10" s="1314">
        <f>+'WACC Calculation'!E10</f>
        <v>2.4330000000000001E-2</v>
      </c>
      <c r="D10" s="84">
        <f>B10*C10</f>
        <v>11445131.409461662</v>
      </c>
      <c r="E10" s="84">
        <f>+'Operating Report'!F161</f>
        <v>11766975.120000001</v>
      </c>
      <c r="F10" s="84">
        <f>+D10-E10</f>
        <v>-321843.71053833887</v>
      </c>
      <c r="G10" s="444">
        <f>+'Exh MCG-4, Conversion Factor'!C33</f>
        <v>0.21</v>
      </c>
      <c r="H10" s="615">
        <f>+F10*-G10</f>
        <v>67587.17921305116</v>
      </c>
      <c r="K10" s="442"/>
      <c r="L10" s="442"/>
      <c r="M10" s="442"/>
    </row>
    <row r="11" spans="1:13" ht="15.75" thickTop="1">
      <c r="A11" s="1209"/>
      <c r="B11" s="442"/>
      <c r="C11" s="442"/>
      <c r="D11" s="442"/>
      <c r="E11" s="442"/>
      <c r="F11" s="442"/>
      <c r="G11" s="445"/>
      <c r="H11" s="443"/>
      <c r="K11" s="442"/>
      <c r="L11" s="446"/>
      <c r="M11" s="442"/>
    </row>
    <row r="12" spans="1:13">
      <c r="A12" s="1209"/>
      <c r="B12" s="442"/>
      <c r="C12" s="442"/>
      <c r="D12" s="442"/>
      <c r="E12" s="442"/>
      <c r="F12" s="442"/>
      <c r="H12" s="1209"/>
      <c r="I12" s="442"/>
      <c r="J12" s="442"/>
      <c r="K12" s="442"/>
      <c r="L12" s="442"/>
      <c r="M12" s="443"/>
    </row>
    <row r="13" spans="1:13">
      <c r="A13" s="1209"/>
      <c r="G13" s="442"/>
      <c r="H13" s="443"/>
      <c r="I13" s="442"/>
      <c r="J13" s="442"/>
      <c r="K13" s="442"/>
      <c r="L13" s="442"/>
      <c r="M13" s="442"/>
    </row>
  </sheetData>
  <mergeCells count="6">
    <mergeCell ref="A1:H1"/>
    <mergeCell ref="A4:H4"/>
    <mergeCell ref="A5:H5"/>
    <mergeCell ref="A6:H6"/>
    <mergeCell ref="A3:H3"/>
    <mergeCell ref="A2:H2"/>
  </mergeCells>
  <printOptions horizontalCentered="1"/>
  <pageMargins left="0.31" right="0.3" top="1" bottom="1" header="0.5" footer="0.5"/>
  <pageSetup fitToHeight="0" orientation="portrait" r:id="rId1"/>
  <headerFooter scaleWithDoc="0" alignWithMargins="0">
    <oddHeader>&amp;RPage &amp;P of &amp;N</oddHeader>
    <oddFooter>&amp;LElectronic Tab Name: &amp;A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1">
    <tabColor theme="7" tint="0.79998168889431442"/>
    <pageSetUpPr fitToPage="1"/>
  </sheetPr>
  <dimension ref="A1:K24"/>
  <sheetViews>
    <sheetView zoomScale="80" zoomScaleNormal="80" zoomScaleSheetLayoutView="90" workbookViewId="0">
      <selection activeCell="G18" sqref="G18"/>
    </sheetView>
  </sheetViews>
  <sheetFormatPr defaultColWidth="9.140625" defaultRowHeight="15"/>
  <cols>
    <col min="1" max="1" width="5" style="113" bestFit="1" customWidth="1"/>
    <col min="2" max="2" width="37.140625" style="113" bestFit="1" customWidth="1"/>
    <col min="3" max="4" width="16.5703125" style="113" bestFit="1" customWidth="1"/>
    <col min="5" max="5" width="7.42578125" style="113" bestFit="1" customWidth="1"/>
    <col min="6" max="6" width="15.28515625" style="113" bestFit="1" customWidth="1"/>
    <col min="7" max="7" width="28.28515625" style="113" bestFit="1" customWidth="1"/>
    <col min="8" max="8" width="10.140625" style="113" bestFit="1" customWidth="1"/>
    <col min="9" max="16384" width="9.140625" style="113"/>
  </cols>
  <sheetData>
    <row r="1" spans="1:11">
      <c r="A1" s="1505" t="str">
        <f>Company</f>
        <v>Cascade Natural Gas Corp.</v>
      </c>
      <c r="B1" s="1505"/>
      <c r="C1" s="1505"/>
      <c r="D1" s="1505"/>
      <c r="E1" s="1505"/>
      <c r="F1" s="1505"/>
      <c r="G1" s="1505"/>
      <c r="H1" s="209"/>
      <c r="I1" s="209"/>
      <c r="J1" s="209"/>
      <c r="K1" s="209"/>
    </row>
    <row r="2" spans="1:11">
      <c r="A2" s="1505" t="str">
        <f>Title1</f>
        <v>Washington Jurisdiction</v>
      </c>
      <c r="B2" s="1505"/>
      <c r="C2" s="1505"/>
      <c r="D2" s="1505"/>
      <c r="E2" s="1505"/>
      <c r="F2" s="1505"/>
      <c r="G2" s="1505"/>
      <c r="H2" s="209"/>
      <c r="I2" s="209"/>
      <c r="J2" s="209"/>
      <c r="K2" s="209"/>
    </row>
    <row r="3" spans="1:11">
      <c r="A3" s="1505" t="str">
        <f>Title2</f>
        <v>Twelve-Months ended December 31, 2020</v>
      </c>
      <c r="B3" s="1505"/>
      <c r="C3" s="1505"/>
      <c r="D3" s="1505"/>
      <c r="E3" s="1505"/>
      <c r="F3" s="1505"/>
      <c r="G3" s="1505"/>
      <c r="H3" s="209"/>
      <c r="I3" s="209"/>
      <c r="J3" s="209"/>
      <c r="K3" s="209"/>
    </row>
    <row r="4" spans="1:11">
      <c r="A4" s="1505" t="str">
        <f>Title8</f>
        <v>UG-21____</v>
      </c>
      <c r="B4" s="1505"/>
      <c r="C4" s="1505"/>
      <c r="D4" s="1505"/>
      <c r="E4" s="1505"/>
      <c r="F4" s="1505"/>
      <c r="G4" s="1505"/>
      <c r="H4" s="209"/>
      <c r="I4" s="209"/>
      <c r="J4" s="209"/>
      <c r="K4" s="209"/>
    </row>
    <row r="5" spans="1:11">
      <c r="A5" s="1505" t="s">
        <v>1141</v>
      </c>
      <c r="B5" s="1505"/>
      <c r="C5" s="1505"/>
      <c r="D5" s="1505"/>
      <c r="E5" s="1505"/>
      <c r="F5" s="1505"/>
      <c r="G5" s="1505"/>
      <c r="H5" s="209"/>
      <c r="I5" s="209"/>
      <c r="J5" s="209"/>
      <c r="K5" s="209"/>
    </row>
    <row r="6" spans="1:11">
      <c r="A6" s="1505" t="s">
        <v>1140</v>
      </c>
      <c r="B6" s="1505"/>
      <c r="C6" s="1505"/>
      <c r="D6" s="1505"/>
      <c r="E6" s="1505"/>
      <c r="F6" s="1505"/>
      <c r="G6" s="1505"/>
      <c r="H6" s="209"/>
      <c r="I6" s="209"/>
      <c r="J6" s="209"/>
      <c r="K6" s="209"/>
    </row>
    <row r="8" spans="1:11" ht="30">
      <c r="A8" s="334" t="s">
        <v>8</v>
      </c>
      <c r="B8" s="334" t="s">
        <v>9</v>
      </c>
      <c r="C8" s="334" t="s">
        <v>1865</v>
      </c>
      <c r="D8" s="334" t="s">
        <v>1866</v>
      </c>
      <c r="E8" s="334" t="s">
        <v>1867</v>
      </c>
      <c r="F8" s="334" t="s">
        <v>1868</v>
      </c>
      <c r="G8" s="334" t="s">
        <v>1</v>
      </c>
    </row>
    <row r="9" spans="1:11">
      <c r="A9" s="121"/>
      <c r="B9" s="121" t="s">
        <v>2</v>
      </c>
      <c r="C9" s="121" t="s">
        <v>3</v>
      </c>
      <c r="D9" s="121" t="s">
        <v>4</v>
      </c>
      <c r="E9" s="121" t="s">
        <v>5</v>
      </c>
      <c r="F9" s="121" t="s">
        <v>6</v>
      </c>
      <c r="G9" s="121" t="s">
        <v>273</v>
      </c>
    </row>
    <row r="10" spans="1:11">
      <c r="A10" s="1209">
        <v>1</v>
      </c>
      <c r="B10" s="113" t="s">
        <v>1869</v>
      </c>
      <c r="C10" s="432">
        <v>5423017.3499999996</v>
      </c>
      <c r="D10" s="433">
        <v>4112454.86</v>
      </c>
      <c r="E10" s="341">
        <v>10</v>
      </c>
      <c r="F10" s="358">
        <f>C10/E10</f>
        <v>542301.73499999999</v>
      </c>
      <c r="G10" s="113" t="s">
        <v>1870</v>
      </c>
    </row>
    <row r="11" spans="1:11">
      <c r="A11" s="1209">
        <f t="shared" ref="A11:A20" si="0">A10+1</f>
        <v>2</v>
      </c>
      <c r="B11" s="113" t="s">
        <v>1871</v>
      </c>
      <c r="C11" s="221">
        <v>5432080</v>
      </c>
      <c r="D11" s="434">
        <v>4979406.46</v>
      </c>
      <c r="E11" s="341">
        <v>10</v>
      </c>
      <c r="F11" s="358">
        <f>C11/E11</f>
        <v>543208</v>
      </c>
      <c r="G11" s="113" t="s">
        <v>1872</v>
      </c>
    </row>
    <row r="12" spans="1:11">
      <c r="A12" s="1209">
        <f t="shared" si="0"/>
        <v>3</v>
      </c>
      <c r="B12" s="113" t="s">
        <v>1873</v>
      </c>
      <c r="C12" s="221">
        <v>2571965</v>
      </c>
      <c r="D12" s="434">
        <f>C12</f>
        <v>2571965</v>
      </c>
      <c r="E12" s="358">
        <v>10</v>
      </c>
      <c r="F12" s="358">
        <f>C12/E12</f>
        <v>257196.5</v>
      </c>
      <c r="G12" s="113" t="s">
        <v>1874</v>
      </c>
    </row>
    <row r="13" spans="1:11">
      <c r="A13" s="1209">
        <f t="shared" si="0"/>
        <v>4</v>
      </c>
      <c r="B13" s="435"/>
      <c r="C13" s="436"/>
      <c r="D13" s="437"/>
      <c r="E13" s="341">
        <v>10</v>
      </c>
      <c r="F13" s="438">
        <f>C13/E13</f>
        <v>0</v>
      </c>
    </row>
    <row r="14" spans="1:11">
      <c r="A14" s="1209">
        <f t="shared" si="0"/>
        <v>5</v>
      </c>
      <c r="B14" s="113" t="s">
        <v>1875</v>
      </c>
      <c r="C14" s="341">
        <f>SUM(C10:C13)</f>
        <v>13427062.35</v>
      </c>
      <c r="D14" s="341">
        <f>SUM(D10:D13)</f>
        <v>11663826.32</v>
      </c>
      <c r="F14" s="341">
        <f>+F10+F11+F12+F13</f>
        <v>1342706.2349999999</v>
      </c>
    </row>
    <row r="15" spans="1:11">
      <c r="A15" s="1209">
        <f t="shared" si="0"/>
        <v>6</v>
      </c>
      <c r="F15" s="358"/>
    </row>
    <row r="16" spans="1:11">
      <c r="A16" s="1209">
        <f t="shared" si="0"/>
        <v>7</v>
      </c>
      <c r="B16" s="113" t="s">
        <v>1876</v>
      </c>
      <c r="F16" s="358">
        <f>F14</f>
        <v>1342706.2349999999</v>
      </c>
    </row>
    <row r="17" spans="1:7">
      <c r="A17" s="1209">
        <f t="shared" si="0"/>
        <v>8</v>
      </c>
      <c r="B17" s="113" t="s">
        <v>1877</v>
      </c>
      <c r="F17" s="341">
        <f>-859324.07-45267.33</f>
        <v>-904591.39999999991</v>
      </c>
    </row>
    <row r="18" spans="1:7" ht="15.75" thickBot="1">
      <c r="A18" s="1209">
        <f t="shared" si="0"/>
        <v>9</v>
      </c>
      <c r="B18" s="113" t="s">
        <v>174</v>
      </c>
      <c r="F18" s="194">
        <f>+F16+F17</f>
        <v>438114.83499999996</v>
      </c>
    </row>
    <row r="19" spans="1:7" ht="15.75" thickTop="1">
      <c r="A19" s="1209">
        <f t="shared" si="0"/>
        <v>10</v>
      </c>
    </row>
    <row r="20" spans="1:7">
      <c r="A20" s="1209">
        <f t="shared" si="0"/>
        <v>11</v>
      </c>
      <c r="B20" s="1485"/>
      <c r="C20" s="1485"/>
      <c r="D20" s="1485"/>
      <c r="E20" s="1485"/>
      <c r="F20" s="1485"/>
      <c r="G20" s="1485"/>
    </row>
    <row r="22" spans="1:7">
      <c r="A22" s="1209"/>
    </row>
    <row r="23" spans="1:7">
      <c r="F23" s="289"/>
    </row>
    <row r="24" spans="1:7">
      <c r="F24" s="289"/>
    </row>
  </sheetData>
  <mergeCells count="7">
    <mergeCell ref="B20:G20"/>
    <mergeCell ref="A1:G1"/>
    <mergeCell ref="A4:G4"/>
    <mergeCell ref="A5:G5"/>
    <mergeCell ref="A6:G6"/>
    <mergeCell ref="A3:G3"/>
    <mergeCell ref="A2:G2"/>
  </mergeCells>
  <printOptions horizontalCentered="1"/>
  <pageMargins left="0.31" right="0.3" top="1" bottom="1" header="0.5" footer="0.5"/>
  <pageSetup scale="79" fitToHeight="0" orientation="portrait" r:id="rId1"/>
  <headerFooter scaleWithDoc="0" alignWithMargins="0">
    <oddHeader>&amp;RPage &amp;P of &amp;N</oddHeader>
    <oddFooter>&amp;LElectronic Tab Name: &amp;A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69">
    <tabColor theme="7" tint="0.79998168889431442"/>
  </sheetPr>
  <dimension ref="A1:AI936"/>
  <sheetViews>
    <sheetView view="pageBreakPreview" zoomScale="82" zoomScaleNormal="100" zoomScaleSheetLayoutView="82" workbookViewId="0">
      <pane xSplit="5" ySplit="14" topLeftCell="X168" activePane="bottomRight" state="frozen"/>
      <selection pane="topRight" activeCell="F1" sqref="F1"/>
      <selection pane="bottomLeft" activeCell="A15" sqref="A15"/>
      <selection pane="bottomRight" activeCell="AH175" sqref="AH175"/>
    </sheetView>
  </sheetViews>
  <sheetFormatPr defaultColWidth="9.140625" defaultRowHeight="15"/>
  <cols>
    <col min="1" max="1" width="5.28515625" style="113" customWidth="1"/>
    <col min="2" max="2" width="9.5703125" style="113" bestFit="1" customWidth="1"/>
    <col min="3" max="3" width="21.28515625" style="113" bestFit="1" customWidth="1"/>
    <col min="4" max="4" width="8.140625" style="113" customWidth="1"/>
    <col min="5" max="5" width="46.85546875" style="113" customWidth="1"/>
    <col min="6" max="6" width="18.28515625" style="113" bestFit="1" customWidth="1"/>
    <col min="7" max="7" width="17.42578125" style="113" bestFit="1" customWidth="1"/>
    <col min="8" max="19" width="18.28515625" style="113" bestFit="1" customWidth="1"/>
    <col min="20" max="20" width="9.140625" style="113"/>
    <col min="21" max="21" width="13" style="113" bestFit="1" customWidth="1"/>
    <col min="22" max="23" width="16.5703125" style="271" bestFit="1" customWidth="1"/>
    <col min="24" max="24" width="17.42578125" style="271" bestFit="1" customWidth="1"/>
    <col min="25" max="25" width="29.5703125" style="271" bestFit="1" customWidth="1"/>
    <col min="26" max="26" width="16.5703125" style="271" bestFit="1" customWidth="1"/>
    <col min="27" max="27" width="10.85546875" style="113" bestFit="1" customWidth="1"/>
    <col min="28" max="28" width="15.85546875" style="271" bestFit="1" customWidth="1"/>
    <col min="29" max="29" width="16.85546875" style="113" bestFit="1" customWidth="1"/>
    <col min="30" max="30" width="16.5703125" style="113" bestFit="1" customWidth="1"/>
    <col min="31" max="31" width="61" style="113" customWidth="1"/>
    <col min="32" max="32" width="12.7109375" style="113" bestFit="1" customWidth="1"/>
    <col min="33" max="33" width="9.140625" style="113"/>
    <col min="34" max="34" width="14.7109375" style="113" bestFit="1" customWidth="1"/>
    <col min="35" max="16384" width="9.140625" style="113"/>
  </cols>
  <sheetData>
    <row r="1" spans="1:32">
      <c r="A1" s="616" t="str">
        <f>Company</f>
        <v>Cascade Natural Gas Corp.</v>
      </c>
      <c r="F1" s="340" t="s">
        <v>1150</v>
      </c>
      <c r="G1" s="340" t="s">
        <v>1150</v>
      </c>
      <c r="H1" s="340" t="s">
        <v>1150</v>
      </c>
      <c r="I1" s="340" t="s">
        <v>1150</v>
      </c>
      <c r="J1" s="340" t="s">
        <v>1150</v>
      </c>
      <c r="K1" s="340" t="s">
        <v>1150</v>
      </c>
      <c r="L1" s="340" t="s">
        <v>1150</v>
      </c>
      <c r="M1" s="340" t="s">
        <v>1150</v>
      </c>
      <c r="N1" s="340" t="s">
        <v>1150</v>
      </c>
      <c r="O1" s="340" t="s">
        <v>1150</v>
      </c>
      <c r="P1" s="340" t="s">
        <v>1150</v>
      </c>
      <c r="Q1" s="340" t="s">
        <v>1150</v>
      </c>
      <c r="R1" s="340" t="s">
        <v>1150</v>
      </c>
      <c r="S1" s="341"/>
      <c r="U1" s="341"/>
      <c r="V1" s="342"/>
      <c r="W1" s="342"/>
      <c r="X1" s="342"/>
      <c r="Y1" s="342"/>
      <c r="Z1" s="342"/>
      <c r="AA1" s="341"/>
      <c r="AB1" s="342"/>
    </row>
    <row r="2" spans="1:32">
      <c r="A2" s="616" t="str">
        <f>Title1</f>
        <v>Washington Jurisdiction</v>
      </c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1"/>
      <c r="U2" s="341"/>
      <c r="V2" s="342"/>
      <c r="W2" s="342"/>
      <c r="X2" s="342"/>
      <c r="Y2" s="342"/>
      <c r="Z2" s="342"/>
      <c r="AA2" s="341"/>
      <c r="AB2" s="342"/>
    </row>
    <row r="3" spans="1:32">
      <c r="A3" s="616" t="str">
        <f>Title2</f>
        <v>Twelve-Months ended December 31, 2020</v>
      </c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1"/>
      <c r="U3" s="341"/>
      <c r="V3" s="342"/>
      <c r="W3" s="342"/>
      <c r="X3" s="342"/>
      <c r="Y3" s="342"/>
      <c r="Z3" s="342"/>
      <c r="AA3" s="341"/>
      <c r="AB3" s="342"/>
    </row>
    <row r="4" spans="1:32">
      <c r="A4" s="339" t="s">
        <v>1142</v>
      </c>
      <c r="F4" s="340"/>
      <c r="G4" s="340"/>
      <c r="H4" s="340"/>
      <c r="I4" s="340"/>
      <c r="J4" s="340"/>
      <c r="K4" s="340"/>
      <c r="L4" s="340"/>
      <c r="M4" s="340"/>
      <c r="N4" s="340"/>
      <c r="O4" s="340"/>
      <c r="P4" s="340"/>
      <c r="Q4" s="340"/>
      <c r="R4" s="340"/>
      <c r="S4" s="341"/>
      <c r="U4" s="341"/>
      <c r="V4" s="342"/>
      <c r="W4" s="342"/>
      <c r="X4" s="342"/>
      <c r="Y4" s="342"/>
      <c r="Z4" s="342"/>
      <c r="AA4" s="341"/>
      <c r="AB4" s="342"/>
    </row>
    <row r="5" spans="1:32">
      <c r="A5" s="209" t="s">
        <v>1143</v>
      </c>
      <c r="B5" s="209"/>
      <c r="C5" s="209"/>
      <c r="D5" s="209"/>
      <c r="E5" s="209"/>
      <c r="F5" s="209"/>
      <c r="G5" s="209"/>
      <c r="H5" s="340"/>
      <c r="I5" s="340"/>
      <c r="J5" s="340"/>
      <c r="K5" s="340"/>
      <c r="L5" s="340"/>
      <c r="M5" s="340"/>
      <c r="N5" s="340"/>
      <c r="O5" s="340"/>
      <c r="P5" s="340"/>
      <c r="Q5" s="340"/>
      <c r="R5" s="340"/>
      <c r="S5" s="341"/>
      <c r="U5" s="341"/>
      <c r="V5" s="342"/>
      <c r="W5" s="342"/>
      <c r="X5" s="342"/>
      <c r="Y5" s="342"/>
      <c r="Z5" s="342"/>
      <c r="AA5" s="341"/>
      <c r="AB5" s="342"/>
    </row>
    <row r="6" spans="1:32">
      <c r="F6" s="343" t="s">
        <v>1498</v>
      </c>
      <c r="G6" s="343" t="s">
        <v>1499</v>
      </c>
      <c r="H6" s="343" t="s">
        <v>1499</v>
      </c>
      <c r="I6" s="343" t="s">
        <v>1499</v>
      </c>
      <c r="J6" s="343" t="s">
        <v>1499</v>
      </c>
      <c r="K6" s="343" t="s">
        <v>1499</v>
      </c>
      <c r="L6" s="343" t="s">
        <v>1499</v>
      </c>
      <c r="M6" s="343" t="s">
        <v>1499</v>
      </c>
      <c r="N6" s="343" t="s">
        <v>1499</v>
      </c>
      <c r="O6" s="343" t="s">
        <v>1499</v>
      </c>
      <c r="P6" s="343" t="s">
        <v>1499</v>
      </c>
      <c r="Q6" s="343" t="s">
        <v>1499</v>
      </c>
      <c r="R6" s="343" t="s">
        <v>1499</v>
      </c>
      <c r="S6" s="341"/>
      <c r="U6" s="341"/>
      <c r="V6" s="342"/>
      <c r="W6" s="342"/>
      <c r="X6" s="342"/>
      <c r="Y6" s="342"/>
      <c r="Z6" s="342"/>
      <c r="AA6" s="341"/>
      <c r="AB6" s="342"/>
    </row>
    <row r="7" spans="1:32">
      <c r="F7" s="340" t="s">
        <v>1467</v>
      </c>
      <c r="G7" s="340" t="s">
        <v>1467</v>
      </c>
      <c r="H7" s="340" t="s">
        <v>1467</v>
      </c>
      <c r="I7" s="340" t="s">
        <v>1467</v>
      </c>
      <c r="J7" s="340" t="s">
        <v>1467</v>
      </c>
      <c r="K7" s="340" t="s">
        <v>1467</v>
      </c>
      <c r="L7" s="340" t="s">
        <v>1467</v>
      </c>
      <c r="M7" s="340" t="s">
        <v>1467</v>
      </c>
      <c r="N7" s="340" t="s">
        <v>1467</v>
      </c>
      <c r="O7" s="340" t="s">
        <v>1467</v>
      </c>
      <c r="P7" s="340" t="s">
        <v>1467</v>
      </c>
      <c r="Q7" s="340" t="s">
        <v>1467</v>
      </c>
      <c r="R7" s="340" t="s">
        <v>1467</v>
      </c>
      <c r="S7" s="341"/>
      <c r="U7" s="341"/>
      <c r="V7" s="344"/>
      <c r="W7" s="342"/>
      <c r="X7" s="342"/>
      <c r="Y7" s="342" t="s">
        <v>1878</v>
      </c>
      <c r="Z7" s="342"/>
      <c r="AA7" s="341"/>
      <c r="AB7" s="342"/>
    </row>
    <row r="8" spans="1:32">
      <c r="F8" s="340" t="s">
        <v>583</v>
      </c>
      <c r="G8" s="340" t="s">
        <v>583</v>
      </c>
      <c r="H8" s="340" t="s">
        <v>583</v>
      </c>
      <c r="I8" s="340" t="s">
        <v>583</v>
      </c>
      <c r="J8" s="340" t="s">
        <v>583</v>
      </c>
      <c r="K8" s="340" t="s">
        <v>583</v>
      </c>
      <c r="L8" s="340" t="s">
        <v>583</v>
      </c>
      <c r="M8" s="340" t="s">
        <v>583</v>
      </c>
      <c r="N8" s="340" t="s">
        <v>583</v>
      </c>
      <c r="O8" s="340" t="s">
        <v>583</v>
      </c>
      <c r="P8" s="340" t="s">
        <v>583</v>
      </c>
      <c r="Q8" s="340" t="s">
        <v>583</v>
      </c>
      <c r="R8" s="340" t="s">
        <v>583</v>
      </c>
      <c r="S8" s="341"/>
      <c r="U8" s="341"/>
      <c r="V8" s="344"/>
      <c r="W8" s="342"/>
      <c r="X8" s="342"/>
      <c r="Y8" s="342" t="s">
        <v>1495</v>
      </c>
      <c r="Z8" s="345">
        <v>0.75049999999999994</v>
      </c>
      <c r="AA8" s="341"/>
      <c r="AB8" s="342">
        <f>AB615*'Operating Report'!G10</f>
        <v>-35287292.435924999</v>
      </c>
    </row>
    <row r="9" spans="1:32">
      <c r="E9" s="346"/>
      <c r="F9" s="347" t="s">
        <v>387</v>
      </c>
      <c r="G9" s="347" t="s">
        <v>1503</v>
      </c>
      <c r="H9" s="347" t="s">
        <v>1504</v>
      </c>
      <c r="I9" s="347" t="s">
        <v>1505</v>
      </c>
      <c r="J9" s="347" t="s">
        <v>1506</v>
      </c>
      <c r="K9" s="347" t="s">
        <v>1507</v>
      </c>
      <c r="L9" s="347" t="s">
        <v>1508</v>
      </c>
      <c r="M9" s="347" t="s">
        <v>1509</v>
      </c>
      <c r="N9" s="347" t="s">
        <v>1510</v>
      </c>
      <c r="O9" s="347" t="s">
        <v>1511</v>
      </c>
      <c r="P9" s="347" t="s">
        <v>385</v>
      </c>
      <c r="Q9" s="347" t="s">
        <v>386</v>
      </c>
      <c r="R9" s="347" t="s">
        <v>387</v>
      </c>
      <c r="S9" s="341"/>
      <c r="U9" s="341"/>
      <c r="V9" s="342"/>
      <c r="W9" s="342"/>
      <c r="X9" s="342"/>
      <c r="Y9" s="342" t="s">
        <v>1496</v>
      </c>
      <c r="Z9" s="345">
        <v>0.2495</v>
      </c>
      <c r="AA9" s="341"/>
      <c r="AB9" s="342"/>
    </row>
    <row r="10" spans="1:32">
      <c r="E10" s="346"/>
      <c r="F10" s="340" t="s">
        <v>1513</v>
      </c>
      <c r="G10" s="340" t="s">
        <v>1513</v>
      </c>
      <c r="H10" s="340" t="s">
        <v>1513</v>
      </c>
      <c r="I10" s="340" t="s">
        <v>1513</v>
      </c>
      <c r="J10" s="340" t="s">
        <v>1513</v>
      </c>
      <c r="K10" s="340" t="s">
        <v>1513</v>
      </c>
      <c r="L10" s="340" t="s">
        <v>1513</v>
      </c>
      <c r="M10" s="340" t="s">
        <v>1513</v>
      </c>
      <c r="N10" s="340" t="s">
        <v>1513</v>
      </c>
      <c r="O10" s="340" t="s">
        <v>1513</v>
      </c>
      <c r="P10" s="340" t="s">
        <v>1513</v>
      </c>
      <c r="Q10" s="340" t="s">
        <v>1513</v>
      </c>
      <c r="R10" s="340" t="s">
        <v>1513</v>
      </c>
      <c r="S10" s="341"/>
      <c r="U10" s="341"/>
      <c r="V10" s="342"/>
      <c r="W10" s="342"/>
      <c r="X10" s="342"/>
      <c r="Y10" s="342"/>
      <c r="Z10" s="342"/>
      <c r="AA10" s="341"/>
      <c r="AB10" s="342"/>
    </row>
    <row r="11" spans="1:32">
      <c r="E11" s="346"/>
      <c r="F11" s="340" t="s">
        <v>1522</v>
      </c>
      <c r="G11" s="340" t="s">
        <v>1522</v>
      </c>
      <c r="H11" s="340" t="s">
        <v>1522</v>
      </c>
      <c r="I11" s="340" t="s">
        <v>1522</v>
      </c>
      <c r="J11" s="340" t="s">
        <v>1522</v>
      </c>
      <c r="K11" s="340" t="s">
        <v>1522</v>
      </c>
      <c r="L11" s="340" t="s">
        <v>1522</v>
      </c>
      <c r="M11" s="340" t="s">
        <v>1522</v>
      </c>
      <c r="N11" s="340" t="s">
        <v>1522</v>
      </c>
      <c r="O11" s="340" t="s">
        <v>1522</v>
      </c>
      <c r="P11" s="340" t="s">
        <v>1522</v>
      </c>
      <c r="Q11" s="340" t="s">
        <v>1522</v>
      </c>
      <c r="R11" s="340" t="s">
        <v>1522</v>
      </c>
      <c r="S11" s="341"/>
      <c r="U11" s="341"/>
      <c r="V11" s="342"/>
      <c r="W11" s="342"/>
      <c r="X11" s="342"/>
      <c r="Y11" s="342"/>
      <c r="Z11" s="342"/>
      <c r="AA11" s="341"/>
      <c r="AB11" s="342"/>
    </row>
    <row r="12" spans="1:32">
      <c r="B12" s="1552" t="s">
        <v>1879</v>
      </c>
      <c r="C12" s="1208"/>
      <c r="D12" s="1552" t="s">
        <v>1880</v>
      </c>
      <c r="S12" s="341"/>
      <c r="U12" s="341"/>
      <c r="V12" s="342"/>
      <c r="W12" s="342"/>
      <c r="X12" s="342"/>
      <c r="Y12" s="691" t="s">
        <v>1881</v>
      </c>
      <c r="Z12" s="692"/>
      <c r="AA12" s="438"/>
      <c r="AB12" s="342"/>
    </row>
    <row r="13" spans="1:32">
      <c r="A13" s="250" t="s">
        <v>1882</v>
      </c>
      <c r="B13" s="1552"/>
      <c r="C13" s="1208" t="s">
        <v>1883</v>
      </c>
      <c r="D13" s="1552"/>
      <c r="S13" s="341"/>
      <c r="U13" s="348" t="s">
        <v>74</v>
      </c>
      <c r="V13" s="349" t="s">
        <v>74</v>
      </c>
      <c r="W13" s="349" t="s">
        <v>1884</v>
      </c>
      <c r="X13" s="349" t="s">
        <v>294</v>
      </c>
      <c r="Y13" s="342"/>
      <c r="Z13" s="342"/>
      <c r="AA13" s="341"/>
      <c r="AB13" s="342"/>
    </row>
    <row r="14" spans="1:32">
      <c r="A14" s="250" t="s">
        <v>1885</v>
      </c>
      <c r="B14" s="1208" t="s">
        <v>1886</v>
      </c>
      <c r="C14" s="1208" t="s">
        <v>1885</v>
      </c>
      <c r="D14" s="1208" t="s">
        <v>1883</v>
      </c>
      <c r="F14" s="693" t="s">
        <v>1887</v>
      </c>
      <c r="G14" s="694" t="s">
        <v>1888</v>
      </c>
      <c r="H14" s="693" t="s">
        <v>1889</v>
      </c>
      <c r="I14" s="693" t="s">
        <v>1890</v>
      </c>
      <c r="J14" s="693" t="s">
        <v>1891</v>
      </c>
      <c r="K14" s="693" t="s">
        <v>1892</v>
      </c>
      <c r="L14" s="693" t="s">
        <v>1893</v>
      </c>
      <c r="M14" s="693" t="s">
        <v>1894</v>
      </c>
      <c r="N14" s="693" t="s">
        <v>1895</v>
      </c>
      <c r="O14" s="693" t="s">
        <v>1896</v>
      </c>
      <c r="P14" s="693" t="s">
        <v>1897</v>
      </c>
      <c r="Q14" s="693" t="s">
        <v>1898</v>
      </c>
      <c r="R14" s="693" t="s">
        <v>1899</v>
      </c>
      <c r="S14" s="695" t="s">
        <v>1900</v>
      </c>
      <c r="U14" s="348" t="s">
        <v>1901</v>
      </c>
      <c r="V14" s="349" t="s">
        <v>1902</v>
      </c>
      <c r="W14" s="349" t="s">
        <v>1903</v>
      </c>
      <c r="X14" s="349" t="s">
        <v>1080</v>
      </c>
      <c r="Y14" s="349" t="s">
        <v>1904</v>
      </c>
      <c r="Z14" s="349" t="s">
        <v>1905</v>
      </c>
      <c r="AA14" s="348" t="s">
        <v>1625</v>
      </c>
      <c r="AB14" s="349" t="s">
        <v>1906</v>
      </c>
      <c r="AC14" s="113" t="s">
        <v>1907</v>
      </c>
      <c r="AD14" s="113" t="s">
        <v>1908</v>
      </c>
    </row>
    <row r="15" spans="1:32">
      <c r="A15" s="250"/>
      <c r="B15" s="1208"/>
      <c r="C15" s="1208"/>
      <c r="D15" s="1208"/>
      <c r="F15" s="350"/>
      <c r="G15" s="351"/>
      <c r="H15" s="350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2" t="s">
        <v>1909</v>
      </c>
      <c r="U15" s="353" t="s">
        <v>1910</v>
      </c>
      <c r="V15" s="354" t="s">
        <v>1911</v>
      </c>
      <c r="W15" s="354" t="s">
        <v>1912</v>
      </c>
      <c r="X15" s="354" t="s">
        <v>1913</v>
      </c>
      <c r="Y15" s="354" t="s">
        <v>1914</v>
      </c>
      <c r="Z15" s="354" t="s">
        <v>1915</v>
      </c>
      <c r="AA15" s="353"/>
      <c r="AB15" s="354" t="s">
        <v>1916</v>
      </c>
    </row>
    <row r="16" spans="1:32">
      <c r="A16" s="113">
        <v>1</v>
      </c>
      <c r="B16" s="119" t="s">
        <v>1530</v>
      </c>
      <c r="C16" s="119" t="s">
        <v>1917</v>
      </c>
      <c r="D16" s="113" t="s">
        <v>1526</v>
      </c>
      <c r="E16" s="355" t="s">
        <v>1918</v>
      </c>
      <c r="F16" s="356">
        <v>1079798325.22</v>
      </c>
      <c r="G16" s="356">
        <v>1085038586.6400001</v>
      </c>
      <c r="H16" s="356">
        <v>1087217966.3299999</v>
      </c>
      <c r="I16" s="356">
        <v>1092714463.04</v>
      </c>
      <c r="J16" s="356">
        <v>1096282634.4200001</v>
      </c>
      <c r="K16" s="356">
        <v>1106761076.78</v>
      </c>
      <c r="L16" s="356">
        <v>1106666508.03</v>
      </c>
      <c r="M16" s="356">
        <v>1111171887.8699999</v>
      </c>
      <c r="N16" s="356">
        <v>1114472874.1199999</v>
      </c>
      <c r="O16" s="356">
        <v>1116166185.8599999</v>
      </c>
      <c r="P16" s="356">
        <v>1116932697.9000001</v>
      </c>
      <c r="Q16" s="356">
        <v>1118156214.0899999</v>
      </c>
      <c r="R16" s="356">
        <v>1181190214.3099999</v>
      </c>
      <c r="S16" s="357">
        <f>((F16+R16)+((G16+H16+I16+J16+K16+L16+M16+N16+O16+P16+Q16)*2))/24</f>
        <v>1106839613.7370832</v>
      </c>
      <c r="U16" s="358"/>
      <c r="V16" s="359"/>
      <c r="W16" s="359"/>
      <c r="X16" s="360">
        <f>+S16</f>
        <v>1106839613.7370832</v>
      </c>
      <c r="Y16" s="359">
        <f>+X16*Z8</f>
        <v>830683130.10968089</v>
      </c>
      <c r="Z16" s="359">
        <f>+X16*Z9</f>
        <v>276156483.62740225</v>
      </c>
      <c r="AA16" s="358"/>
      <c r="AB16" s="359"/>
      <c r="AE16" s="113" t="s">
        <v>1919</v>
      </c>
      <c r="AF16" s="289">
        <f t="shared" ref="AF16:AF86" si="0">+U16+V16-AD16</f>
        <v>0</v>
      </c>
    </row>
    <row r="17" spans="1:32">
      <c r="A17" s="113">
        <v>2</v>
      </c>
      <c r="B17" s="119" t="s">
        <v>1530</v>
      </c>
      <c r="C17" s="119" t="s">
        <v>1917</v>
      </c>
      <c r="D17" s="113">
        <v>20</v>
      </c>
      <c r="E17" s="355" t="s">
        <v>1920</v>
      </c>
      <c r="F17" s="356">
        <v>0</v>
      </c>
      <c r="G17" s="356">
        <v>0</v>
      </c>
      <c r="H17" s="356">
        <v>0</v>
      </c>
      <c r="I17" s="356">
        <v>0</v>
      </c>
      <c r="J17" s="356">
        <v>0</v>
      </c>
      <c r="K17" s="356">
        <v>0</v>
      </c>
      <c r="L17" s="356">
        <v>0</v>
      </c>
      <c r="M17" s="356">
        <v>0</v>
      </c>
      <c r="N17" s="356">
        <v>0</v>
      </c>
      <c r="O17" s="356">
        <v>0</v>
      </c>
      <c r="P17" s="356">
        <v>0</v>
      </c>
      <c r="Q17" s="356">
        <v>0</v>
      </c>
      <c r="R17" s="356">
        <v>0</v>
      </c>
      <c r="S17" s="357">
        <f>((F17+R17)+((G17+H17+I17+J17+K17+L17+M17+N17+O17+P17+Q17)*2))/24</f>
        <v>0</v>
      </c>
      <c r="U17" s="358"/>
      <c r="V17" s="359"/>
      <c r="W17" s="359"/>
      <c r="X17" s="360"/>
      <c r="Y17" s="359"/>
      <c r="Z17" s="359"/>
      <c r="AA17" s="358"/>
      <c r="AB17" s="359"/>
      <c r="AF17" s="289"/>
    </row>
    <row r="18" spans="1:32">
      <c r="A18" s="113">
        <v>3</v>
      </c>
      <c r="B18" s="119" t="s">
        <v>1530</v>
      </c>
      <c r="C18" s="361">
        <v>1014</v>
      </c>
      <c r="E18" s="355" t="s">
        <v>1921</v>
      </c>
      <c r="F18" s="356">
        <v>26337831.030000001</v>
      </c>
      <c r="G18" s="356">
        <v>26337831.030000001</v>
      </c>
      <c r="H18" s="356">
        <v>26337831.030000001</v>
      </c>
      <c r="I18" s="356">
        <v>26337831.030000001</v>
      </c>
      <c r="J18" s="356">
        <v>26337831.030000001</v>
      </c>
      <c r="K18" s="356">
        <v>26337831.030000001</v>
      </c>
      <c r="L18" s="356">
        <v>26337831.030000001</v>
      </c>
      <c r="M18" s="356">
        <v>26337831.030000001</v>
      </c>
      <c r="N18" s="356">
        <v>26337831.030000001</v>
      </c>
      <c r="O18" s="356">
        <v>26337831.030000001</v>
      </c>
      <c r="P18" s="356">
        <v>26337831.030000001</v>
      </c>
      <c r="Q18" s="356">
        <v>26337831.030000001</v>
      </c>
      <c r="R18" s="356">
        <v>41519971.93</v>
      </c>
      <c r="S18" s="357">
        <f>((F18+R18)+((G18+H18+I18+J18+K18+L18+M18+N18+O18+P18+Q18)*2))/24</f>
        <v>26970420.234166671</v>
      </c>
      <c r="U18" s="358"/>
      <c r="V18" s="359"/>
      <c r="W18" s="359"/>
      <c r="X18" s="360">
        <f>+S18</f>
        <v>26970420.234166671</v>
      </c>
      <c r="Y18" s="359">
        <f>+X18*Z8</f>
        <v>20241300.385742083</v>
      </c>
      <c r="Z18" s="359">
        <f>+X18*Z9</f>
        <v>6729119.8484245846</v>
      </c>
      <c r="AA18" s="358"/>
      <c r="AB18" s="359"/>
      <c r="AF18" s="289"/>
    </row>
    <row r="19" spans="1:32">
      <c r="A19" s="113">
        <v>4</v>
      </c>
      <c r="B19" s="119" t="s">
        <v>1530</v>
      </c>
      <c r="C19" s="119" t="s">
        <v>1922</v>
      </c>
      <c r="D19" s="113" t="s">
        <v>1526</v>
      </c>
      <c r="E19" s="355" t="s">
        <v>1923</v>
      </c>
      <c r="F19" s="356">
        <v>42079945.729999997</v>
      </c>
      <c r="G19" s="356">
        <v>44670632.780000001</v>
      </c>
      <c r="H19" s="356">
        <v>46314705.280000001</v>
      </c>
      <c r="I19" s="356">
        <v>46492676.619999997</v>
      </c>
      <c r="J19" s="356">
        <v>44539367.369999997</v>
      </c>
      <c r="K19" s="356">
        <v>37085700.079999998</v>
      </c>
      <c r="L19" s="356">
        <v>41528661.189999998</v>
      </c>
      <c r="M19" s="356">
        <v>42658430.850000001</v>
      </c>
      <c r="N19" s="356">
        <v>49067844.539999999</v>
      </c>
      <c r="O19" s="356">
        <v>54532434.450000003</v>
      </c>
      <c r="P19" s="356">
        <v>61047627.030000001</v>
      </c>
      <c r="Q19" s="356">
        <v>71392210.099999994</v>
      </c>
      <c r="R19" s="356">
        <v>50743909.159999996</v>
      </c>
      <c r="S19" s="357">
        <f>((F19+R19)+((G19+H19+I19+J19+K19+L19+M19+N19+O19+P19+Q19)*2))/24</f>
        <v>48811851.47791668</v>
      </c>
      <c r="U19" s="358"/>
      <c r="V19" s="359"/>
      <c r="W19" s="359"/>
      <c r="X19" s="360">
        <f>+S19</f>
        <v>48811851.47791668</v>
      </c>
      <c r="Y19" s="359">
        <f>+X19*Z8</f>
        <v>36633294.534176469</v>
      </c>
      <c r="Z19" s="359">
        <f>+X19*Z9</f>
        <v>12178556.943740211</v>
      </c>
      <c r="AA19" s="358"/>
      <c r="AB19" s="359"/>
      <c r="AF19" s="289">
        <f t="shared" si="0"/>
        <v>0</v>
      </c>
    </row>
    <row r="20" spans="1:32">
      <c r="A20" s="113">
        <v>5</v>
      </c>
      <c r="B20" s="119" t="s">
        <v>1530</v>
      </c>
      <c r="C20" s="119" t="s">
        <v>1924</v>
      </c>
      <c r="D20" s="119" t="s">
        <v>1526</v>
      </c>
      <c r="E20" s="355" t="s">
        <v>1925</v>
      </c>
      <c r="F20" s="356">
        <v>31106071.859999999</v>
      </c>
      <c r="G20" s="356">
        <v>29785649.440000001</v>
      </c>
      <c r="H20" s="356">
        <v>31669477.690000001</v>
      </c>
      <c r="I20" s="356">
        <v>33515130.940000001</v>
      </c>
      <c r="J20" s="356">
        <v>36218296.920000002</v>
      </c>
      <c r="K20" s="356">
        <v>39403558.780000001</v>
      </c>
      <c r="L20" s="356">
        <v>41645401.909999996</v>
      </c>
      <c r="M20" s="356">
        <v>44013560.740000002</v>
      </c>
      <c r="N20" s="356">
        <v>42738936.82</v>
      </c>
      <c r="O20" s="356">
        <v>45009545.090000004</v>
      </c>
      <c r="P20" s="356">
        <v>48549183.509999998</v>
      </c>
      <c r="Q20" s="356">
        <v>42890821.390000001</v>
      </c>
      <c r="R20" s="356">
        <v>7469181.9500000002</v>
      </c>
      <c r="S20" s="357">
        <f>((F20+R20)+((G20+H20+I20+J20+K20+L20+M20+N20+O20+P20+Q20)*2))/24</f>
        <v>37893932.511249997</v>
      </c>
      <c r="U20" s="358"/>
      <c r="V20" s="359"/>
      <c r="W20" s="359"/>
      <c r="X20" s="360">
        <f>+S20</f>
        <v>37893932.511249997</v>
      </c>
      <c r="Y20" s="359"/>
      <c r="Z20" s="359"/>
      <c r="AA20" s="358"/>
      <c r="AB20" s="359">
        <f>+S20</f>
        <v>37893932.511249997</v>
      </c>
      <c r="AF20" s="289">
        <f t="shared" si="0"/>
        <v>0</v>
      </c>
    </row>
    <row r="21" spans="1:32">
      <c r="A21" s="113">
        <v>6</v>
      </c>
      <c r="E21" s="355" t="s">
        <v>1926</v>
      </c>
      <c r="F21" s="696">
        <f t="shared" ref="F21:S21" si="1">SUM(F16:F20)</f>
        <v>1179322173.8399999</v>
      </c>
      <c r="G21" s="696">
        <f t="shared" si="1"/>
        <v>1185832699.8900001</v>
      </c>
      <c r="H21" s="696">
        <f t="shared" si="1"/>
        <v>1191539980.3299999</v>
      </c>
      <c r="I21" s="696">
        <f t="shared" si="1"/>
        <v>1199060101.6299999</v>
      </c>
      <c r="J21" s="696">
        <f t="shared" si="1"/>
        <v>1203378129.74</v>
      </c>
      <c r="K21" s="696">
        <f t="shared" si="1"/>
        <v>1209588166.6699998</v>
      </c>
      <c r="L21" s="696">
        <f t="shared" si="1"/>
        <v>1216178402.1600001</v>
      </c>
      <c r="M21" s="696">
        <f t="shared" si="1"/>
        <v>1224181710.4899998</v>
      </c>
      <c r="N21" s="696">
        <f t="shared" si="1"/>
        <v>1232617486.5099998</v>
      </c>
      <c r="O21" s="696">
        <f t="shared" si="1"/>
        <v>1242045996.4299998</v>
      </c>
      <c r="P21" s="696">
        <f t="shared" si="1"/>
        <v>1252867339.47</v>
      </c>
      <c r="Q21" s="696">
        <f t="shared" si="1"/>
        <v>1258777076.6099999</v>
      </c>
      <c r="R21" s="696">
        <f t="shared" si="1"/>
        <v>1280923277.3500001</v>
      </c>
      <c r="S21" s="697">
        <f t="shared" si="1"/>
        <v>1220515817.9604166</v>
      </c>
      <c r="U21" s="358"/>
      <c r="V21" s="359"/>
      <c r="W21" s="359"/>
      <c r="X21" s="360"/>
      <c r="Y21" s="359"/>
      <c r="Z21" s="359"/>
      <c r="AA21" s="358"/>
      <c r="AB21" s="359"/>
      <c r="AF21" s="289">
        <f t="shared" si="0"/>
        <v>0</v>
      </c>
    </row>
    <row r="22" spans="1:32">
      <c r="A22" s="113">
        <v>7</v>
      </c>
      <c r="E22" s="355"/>
      <c r="F22" s="362"/>
      <c r="G22" s="363"/>
      <c r="H22" s="364"/>
      <c r="I22" s="364"/>
      <c r="J22" s="365"/>
      <c r="K22" s="366"/>
      <c r="L22" s="367"/>
      <c r="M22" s="368"/>
      <c r="N22" s="369"/>
      <c r="O22" s="370"/>
      <c r="P22" s="371"/>
      <c r="Q22" s="372"/>
      <c r="R22" s="362"/>
      <c r="S22" s="96"/>
      <c r="U22" s="358"/>
      <c r="V22" s="359"/>
      <c r="W22" s="359"/>
      <c r="X22" s="360"/>
      <c r="Y22" s="359"/>
      <c r="Z22" s="359"/>
      <c r="AA22" s="358"/>
      <c r="AB22" s="359"/>
      <c r="AF22" s="289">
        <f t="shared" si="0"/>
        <v>0</v>
      </c>
    </row>
    <row r="23" spans="1:32">
      <c r="A23" s="113">
        <v>8</v>
      </c>
      <c r="B23" s="119" t="s">
        <v>1530</v>
      </c>
      <c r="C23" s="119" t="s">
        <v>1927</v>
      </c>
      <c r="D23" s="119" t="s">
        <v>1510</v>
      </c>
      <c r="E23" s="373" t="s">
        <v>1928</v>
      </c>
      <c r="F23" s="356">
        <v>4047450.78</v>
      </c>
      <c r="G23" s="356">
        <v>4188744.64</v>
      </c>
      <c r="H23" s="356">
        <v>3999433.48</v>
      </c>
      <c r="I23" s="356">
        <v>4220917.3099999996</v>
      </c>
      <c r="J23" s="356">
        <v>2171725.64</v>
      </c>
      <c r="K23" s="356">
        <v>2124432.2599999998</v>
      </c>
      <c r="L23" s="356">
        <v>2435076.1800000002</v>
      </c>
      <c r="M23" s="356">
        <v>2511885.7999999998</v>
      </c>
      <c r="N23" s="356">
        <v>2379960.7599999998</v>
      </c>
      <c r="O23" s="356">
        <v>2392018.02</v>
      </c>
      <c r="P23" s="356">
        <v>2216441.59</v>
      </c>
      <c r="Q23" s="356">
        <v>2630635.06</v>
      </c>
      <c r="R23" s="356">
        <v>361121.20999999897</v>
      </c>
      <c r="S23" s="357">
        <f t="shared" ref="S23:S28" si="2">((F23+R23)+((G23+H23+I23+J23+K23+L23+M23+N23+O23+P23+Q23)*2))/24</f>
        <v>2789629.7279166668</v>
      </c>
      <c r="U23" s="358"/>
      <c r="V23" s="359"/>
      <c r="W23" s="359"/>
      <c r="X23" s="360">
        <f>+S23</f>
        <v>2789629.7279166668</v>
      </c>
      <c r="Y23" s="359">
        <f>+X23*Z8</f>
        <v>2093617.1108014584</v>
      </c>
      <c r="Z23" s="359">
        <f>+X23*Z9</f>
        <v>696012.61711520841</v>
      </c>
      <c r="AA23" s="358"/>
      <c r="AB23" s="359"/>
      <c r="AF23" s="289">
        <f t="shared" si="0"/>
        <v>0</v>
      </c>
    </row>
    <row r="24" spans="1:32">
      <c r="A24" s="113">
        <v>9</v>
      </c>
      <c r="B24" s="119" t="s">
        <v>1530</v>
      </c>
      <c r="C24" s="119" t="s">
        <v>1927</v>
      </c>
      <c r="D24" s="119"/>
      <c r="E24" s="355" t="s">
        <v>1929</v>
      </c>
      <c r="F24" s="356">
        <v>-341582191.66000003</v>
      </c>
      <c r="G24" s="356">
        <v>-343102902.42000002</v>
      </c>
      <c r="H24" s="356">
        <v>-344656144.30000001</v>
      </c>
      <c r="I24" s="356">
        <v>-346262533.31</v>
      </c>
      <c r="J24" s="356">
        <v>-347341216.80000001</v>
      </c>
      <c r="K24" s="356">
        <v>-348722827.23000002</v>
      </c>
      <c r="L24" s="356">
        <v>-350113767.22000003</v>
      </c>
      <c r="M24" s="356">
        <v>-351786312.51999998</v>
      </c>
      <c r="N24" s="356">
        <v>-353632615.36000001</v>
      </c>
      <c r="O24" s="356">
        <v>-355573536.50999999</v>
      </c>
      <c r="P24" s="356">
        <v>-357480153.54000002</v>
      </c>
      <c r="Q24" s="356">
        <v>-359513297.08999997</v>
      </c>
      <c r="R24" s="356">
        <v>-360812241.13</v>
      </c>
      <c r="S24" s="357">
        <f t="shared" si="2"/>
        <v>-350781876.89125001</v>
      </c>
      <c r="U24" s="358"/>
      <c r="V24" s="359"/>
      <c r="W24" s="359"/>
      <c r="X24" s="360"/>
      <c r="Y24" s="359"/>
      <c r="Z24" s="359"/>
      <c r="AA24" s="358"/>
      <c r="AB24" s="359"/>
      <c r="AF24" s="289">
        <f t="shared" si="0"/>
        <v>0</v>
      </c>
    </row>
    <row r="25" spans="1:32">
      <c r="A25" s="113">
        <v>10</v>
      </c>
      <c r="B25" s="119" t="s">
        <v>1530</v>
      </c>
      <c r="C25" s="119" t="s">
        <v>1927</v>
      </c>
      <c r="D25" s="119">
        <v>20</v>
      </c>
      <c r="E25" s="355" t="s">
        <v>1930</v>
      </c>
      <c r="F25" s="356">
        <v>0</v>
      </c>
      <c r="G25" s="356">
        <v>0</v>
      </c>
      <c r="H25" s="356">
        <v>0</v>
      </c>
      <c r="I25" s="356">
        <v>0</v>
      </c>
      <c r="J25" s="356">
        <v>0</v>
      </c>
      <c r="K25" s="356">
        <v>0</v>
      </c>
      <c r="L25" s="356">
        <v>0</v>
      </c>
      <c r="M25" s="356">
        <v>0</v>
      </c>
      <c r="N25" s="356">
        <v>0</v>
      </c>
      <c r="O25" s="356">
        <v>0</v>
      </c>
      <c r="P25" s="356">
        <v>0</v>
      </c>
      <c r="Q25" s="356">
        <v>0</v>
      </c>
      <c r="R25" s="356">
        <v>0</v>
      </c>
      <c r="S25" s="357">
        <f t="shared" si="2"/>
        <v>0</v>
      </c>
      <c r="U25" s="358"/>
      <c r="V25" s="359"/>
      <c r="W25" s="359"/>
      <c r="X25" s="360"/>
      <c r="Y25" s="359"/>
      <c r="Z25" s="359"/>
      <c r="AA25" s="358"/>
      <c r="AB25" s="359"/>
      <c r="AF25" s="289"/>
    </row>
    <row r="26" spans="1:32">
      <c r="A26" s="113">
        <v>11</v>
      </c>
      <c r="B26" s="119" t="s">
        <v>1530</v>
      </c>
      <c r="C26" s="119" t="s">
        <v>1931</v>
      </c>
      <c r="D26" s="119"/>
      <c r="E26" s="355" t="s">
        <v>1932</v>
      </c>
      <c r="F26" s="356">
        <v>-4689205.91</v>
      </c>
      <c r="G26" s="356">
        <v>-4719585.3099999996</v>
      </c>
      <c r="H26" s="356">
        <v>-4749964.72</v>
      </c>
      <c r="I26" s="356">
        <v>-4780344.1100000003</v>
      </c>
      <c r="J26" s="356">
        <v>-4810723.54</v>
      </c>
      <c r="K26" s="356">
        <v>-4841102.97</v>
      </c>
      <c r="L26" s="356">
        <v>-4871482.4000000004</v>
      </c>
      <c r="M26" s="356">
        <v>-4901861.76</v>
      </c>
      <c r="N26" s="356">
        <v>-4932241.1500000004</v>
      </c>
      <c r="O26" s="356">
        <v>-4962620.5599999996</v>
      </c>
      <c r="P26" s="356">
        <v>-4993000.04</v>
      </c>
      <c r="Q26" s="356">
        <v>-5023379.4400000004</v>
      </c>
      <c r="R26" s="356">
        <v>-8491329.4499999993</v>
      </c>
      <c r="S26" s="357">
        <f t="shared" si="2"/>
        <v>-5014714.4733333327</v>
      </c>
      <c r="U26" s="358"/>
      <c r="V26" s="359"/>
      <c r="W26" s="359"/>
      <c r="X26" s="360"/>
      <c r="Y26" s="359"/>
      <c r="Z26" s="359"/>
      <c r="AA26" s="358"/>
      <c r="AB26" s="359"/>
      <c r="AF26" s="289"/>
    </row>
    <row r="27" spans="1:32">
      <c r="A27" s="113">
        <v>12</v>
      </c>
      <c r="B27" s="119" t="s">
        <v>1530</v>
      </c>
      <c r="C27" s="119" t="s">
        <v>1933</v>
      </c>
      <c r="D27" s="119"/>
      <c r="E27" s="355" t="s">
        <v>1934</v>
      </c>
      <c r="F27" s="356">
        <v>-20671419.25</v>
      </c>
      <c r="G27" s="356">
        <v>-20967436.879999999</v>
      </c>
      <c r="H27" s="356">
        <v>-21263606.379999999</v>
      </c>
      <c r="I27" s="356">
        <v>-21563256.41</v>
      </c>
      <c r="J27" s="356">
        <v>-21863028.780000001</v>
      </c>
      <c r="K27" s="356">
        <v>-22162839.98</v>
      </c>
      <c r="L27" s="356">
        <v>-22461871.149999999</v>
      </c>
      <c r="M27" s="356">
        <v>-22763624.890000001</v>
      </c>
      <c r="N27" s="356">
        <v>-23065432.120000001</v>
      </c>
      <c r="O27" s="356">
        <v>-23367182.390000001</v>
      </c>
      <c r="P27" s="356">
        <v>-23656494.52</v>
      </c>
      <c r="Q27" s="356">
        <v>-23922460.760000002</v>
      </c>
      <c r="R27" s="356">
        <v>-24188839.18</v>
      </c>
      <c r="S27" s="357">
        <f t="shared" si="2"/>
        <v>-22457280.289583337</v>
      </c>
      <c r="U27" s="358"/>
      <c r="V27" s="359"/>
      <c r="W27" s="359"/>
      <c r="X27" s="360"/>
      <c r="Y27" s="359"/>
      <c r="Z27" s="359"/>
      <c r="AA27" s="358"/>
      <c r="AB27" s="359"/>
      <c r="AF27" s="289">
        <f t="shared" si="0"/>
        <v>0</v>
      </c>
    </row>
    <row r="28" spans="1:32">
      <c r="A28" s="113">
        <v>13</v>
      </c>
      <c r="B28" s="119" t="s">
        <v>1530</v>
      </c>
      <c r="C28" s="119" t="s">
        <v>1935</v>
      </c>
      <c r="D28" s="119"/>
      <c r="E28" s="355" t="s">
        <v>1936</v>
      </c>
      <c r="F28" s="698">
        <v>0</v>
      </c>
      <c r="G28" s="698">
        <v>0</v>
      </c>
      <c r="H28" s="698">
        <v>0</v>
      </c>
      <c r="I28" s="698">
        <v>0</v>
      </c>
      <c r="J28" s="698">
        <v>0</v>
      </c>
      <c r="K28" s="698">
        <v>0</v>
      </c>
      <c r="L28" s="698">
        <v>0</v>
      </c>
      <c r="M28" s="698">
        <v>0</v>
      </c>
      <c r="N28" s="698">
        <v>0</v>
      </c>
      <c r="O28" s="698">
        <v>0</v>
      </c>
      <c r="P28" s="698">
        <v>0</v>
      </c>
      <c r="Q28" s="698">
        <v>0</v>
      </c>
      <c r="R28" s="698">
        <v>0</v>
      </c>
      <c r="S28" s="357">
        <f t="shared" si="2"/>
        <v>0</v>
      </c>
      <c r="U28" s="358"/>
      <c r="V28" s="359"/>
      <c r="W28" s="359"/>
      <c r="X28" s="360"/>
      <c r="Y28" s="359"/>
      <c r="Z28" s="359"/>
      <c r="AA28" s="358"/>
      <c r="AB28" s="359"/>
      <c r="AF28" s="289">
        <f t="shared" si="0"/>
        <v>0</v>
      </c>
    </row>
    <row r="29" spans="1:32">
      <c r="A29" s="113">
        <v>14</v>
      </c>
      <c r="E29" s="355" t="s">
        <v>1937</v>
      </c>
      <c r="F29" s="356">
        <f>SUM(F23:F28)</f>
        <v>-362895366.04000008</v>
      </c>
      <c r="G29" s="356">
        <f t="shared" ref="G29:R29" si="3">SUM(G23:G28)</f>
        <v>-364601179.97000003</v>
      </c>
      <c r="H29" s="356">
        <f t="shared" si="3"/>
        <v>-366670281.92000002</v>
      </c>
      <c r="I29" s="356">
        <f t="shared" si="3"/>
        <v>-368385216.52000004</v>
      </c>
      <c r="J29" s="356">
        <f t="shared" si="3"/>
        <v>-371843243.48000002</v>
      </c>
      <c r="K29" s="356">
        <f t="shared" si="3"/>
        <v>-373602337.92000008</v>
      </c>
      <c r="L29" s="356">
        <f t="shared" si="3"/>
        <v>-375012044.58999997</v>
      </c>
      <c r="M29" s="356">
        <f t="shared" si="3"/>
        <v>-376939913.36999995</v>
      </c>
      <c r="N29" s="356">
        <f t="shared" si="3"/>
        <v>-379250327.87</v>
      </c>
      <c r="O29" s="356">
        <f t="shared" si="3"/>
        <v>-381511321.44</v>
      </c>
      <c r="P29" s="356">
        <f t="shared" si="3"/>
        <v>-383913206.51000005</v>
      </c>
      <c r="Q29" s="356">
        <f t="shared" si="3"/>
        <v>-385828502.22999996</v>
      </c>
      <c r="R29" s="356">
        <f t="shared" si="3"/>
        <v>-393131288.55000001</v>
      </c>
      <c r="S29" s="357">
        <f>SUM(S23:S28)</f>
        <v>-375464241.92625004</v>
      </c>
      <c r="U29" s="358"/>
      <c r="V29" s="359"/>
      <c r="W29" s="359"/>
      <c r="X29" s="360"/>
      <c r="Y29" s="359"/>
      <c r="Z29" s="359"/>
      <c r="AA29" s="358"/>
      <c r="AB29" s="359"/>
      <c r="AF29" s="289">
        <f t="shared" si="0"/>
        <v>0</v>
      </c>
    </row>
    <row r="30" spans="1:32">
      <c r="A30" s="113">
        <v>15</v>
      </c>
      <c r="E30" s="355"/>
      <c r="F30" s="362"/>
      <c r="G30" s="363"/>
      <c r="H30" s="364"/>
      <c r="I30" s="364"/>
      <c r="J30" s="365"/>
      <c r="K30" s="366"/>
      <c r="L30" s="367"/>
      <c r="M30" s="368"/>
      <c r="N30" s="369"/>
      <c r="O30" s="370"/>
      <c r="P30" s="371"/>
      <c r="Q30" s="372"/>
      <c r="R30" s="362"/>
      <c r="S30" s="96"/>
      <c r="U30" s="358"/>
      <c r="V30" s="359"/>
      <c r="W30" s="359"/>
      <c r="X30" s="360"/>
      <c r="Y30" s="359"/>
      <c r="Z30" s="359"/>
      <c r="AA30" s="358"/>
      <c r="AB30" s="359"/>
      <c r="AF30" s="289">
        <f t="shared" si="0"/>
        <v>0</v>
      </c>
    </row>
    <row r="31" spans="1:32">
      <c r="A31" s="113">
        <v>16</v>
      </c>
      <c r="B31" s="119" t="s">
        <v>1530</v>
      </c>
      <c r="C31" s="119" t="s">
        <v>1938</v>
      </c>
      <c r="D31" s="119"/>
      <c r="E31" s="355" t="s">
        <v>1939</v>
      </c>
      <c r="F31" s="356">
        <v>-3185032.92</v>
      </c>
      <c r="G31" s="356">
        <v>-3066802.91</v>
      </c>
      <c r="H31" s="356">
        <v>-3068477.79</v>
      </c>
      <c r="I31" s="356">
        <v>-3083048.28</v>
      </c>
      <c r="J31" s="356">
        <v>-1159323.19</v>
      </c>
      <c r="K31" s="356">
        <v>-1117791.93</v>
      </c>
      <c r="L31" s="356">
        <v>-1138745.76</v>
      </c>
      <c r="M31" s="356">
        <v>-1160109.51</v>
      </c>
      <c r="N31" s="356">
        <v>-1147859.24</v>
      </c>
      <c r="O31" s="356">
        <v>-1116022.25</v>
      </c>
      <c r="P31" s="356">
        <v>-1135830.5</v>
      </c>
      <c r="Q31" s="356">
        <v>-1158006.53</v>
      </c>
      <c r="R31" s="356">
        <v>-952412.58</v>
      </c>
      <c r="S31" s="357">
        <f>((F31+R31)+((G31+H31+I31+J31+K31+L31+M31+N31+O31+P31+Q31)*2))/24</f>
        <v>-1701728.3866666667</v>
      </c>
      <c r="U31" s="358"/>
      <c r="V31" s="359"/>
      <c r="W31" s="359"/>
      <c r="X31" s="360"/>
      <c r="Y31" s="359"/>
      <c r="Z31" s="359"/>
      <c r="AA31" s="358"/>
      <c r="AB31" s="359"/>
      <c r="AF31" s="289">
        <f t="shared" si="0"/>
        <v>0</v>
      </c>
    </row>
    <row r="32" spans="1:32">
      <c r="A32" s="113">
        <v>17</v>
      </c>
      <c r="B32" s="119" t="s">
        <v>1530</v>
      </c>
      <c r="C32" s="119" t="s">
        <v>1940</v>
      </c>
      <c r="D32" s="119"/>
      <c r="E32" s="356" t="s">
        <v>1941</v>
      </c>
      <c r="F32" s="698">
        <v>-142248746.72</v>
      </c>
      <c r="G32" s="698">
        <v>-142729337.06</v>
      </c>
      <c r="H32" s="698">
        <v>-142989160.58000001</v>
      </c>
      <c r="I32" s="698">
        <v>-143215381.13999999</v>
      </c>
      <c r="J32" s="698">
        <v>-143526787.02000001</v>
      </c>
      <c r="K32" s="698">
        <v>-143859470.31999999</v>
      </c>
      <c r="L32" s="698">
        <v>-144406051.34999999</v>
      </c>
      <c r="M32" s="698">
        <v>-144717228.87</v>
      </c>
      <c r="N32" s="698">
        <v>-144858065.99000001</v>
      </c>
      <c r="O32" s="698">
        <v>-145245081.83000001</v>
      </c>
      <c r="P32" s="698">
        <v>-145730762.49000001</v>
      </c>
      <c r="Q32" s="698">
        <v>-146162343.5</v>
      </c>
      <c r="R32" s="698">
        <v>-145311809.69999999</v>
      </c>
      <c r="S32" s="357">
        <f>((F32+R32)+((G32+H32+I32+J32+K32+L32+M32+N32+O32+P32+Q32)*2))/24</f>
        <v>-144268329.03</v>
      </c>
      <c r="U32" s="358"/>
      <c r="V32" s="359"/>
      <c r="W32" s="359"/>
      <c r="X32" s="360"/>
      <c r="Y32" s="359"/>
      <c r="Z32" s="359"/>
      <c r="AA32" s="358"/>
      <c r="AB32" s="359"/>
      <c r="AF32" s="289">
        <f t="shared" si="0"/>
        <v>0</v>
      </c>
    </row>
    <row r="33" spans="1:32">
      <c r="A33" s="113">
        <v>18</v>
      </c>
      <c r="E33" s="355" t="s">
        <v>1942</v>
      </c>
      <c r="F33" s="699">
        <f>+F31+F32</f>
        <v>-145433779.63999999</v>
      </c>
      <c r="G33" s="699">
        <f t="shared" ref="G33:R33" si="4">+G31+G32</f>
        <v>-145796139.97</v>
      </c>
      <c r="H33" s="699">
        <f t="shared" si="4"/>
        <v>-146057638.37</v>
      </c>
      <c r="I33" s="699">
        <f t="shared" si="4"/>
        <v>-146298429.41999999</v>
      </c>
      <c r="J33" s="699">
        <f t="shared" si="4"/>
        <v>-144686110.21000001</v>
      </c>
      <c r="K33" s="699">
        <f t="shared" si="4"/>
        <v>-144977262.25</v>
      </c>
      <c r="L33" s="699">
        <f t="shared" si="4"/>
        <v>-145544797.10999998</v>
      </c>
      <c r="M33" s="699">
        <f t="shared" si="4"/>
        <v>-145877338.38</v>
      </c>
      <c r="N33" s="699">
        <f t="shared" si="4"/>
        <v>-146005925.23000002</v>
      </c>
      <c r="O33" s="699">
        <f t="shared" si="4"/>
        <v>-146361104.08000001</v>
      </c>
      <c r="P33" s="699">
        <f t="shared" si="4"/>
        <v>-146866592.99000001</v>
      </c>
      <c r="Q33" s="699">
        <f t="shared" si="4"/>
        <v>-147320350.03</v>
      </c>
      <c r="R33" s="699">
        <f t="shared" si="4"/>
        <v>-146264222.28</v>
      </c>
      <c r="S33" s="235">
        <f>+S31+S32</f>
        <v>-145970057.41666666</v>
      </c>
      <c r="U33" s="358"/>
      <c r="V33" s="359"/>
      <c r="W33" s="359"/>
      <c r="X33" s="360"/>
      <c r="Y33" s="359"/>
      <c r="Z33" s="359"/>
      <c r="AA33" s="358"/>
      <c r="AB33" s="359"/>
      <c r="AF33" s="289">
        <f t="shared" si="0"/>
        <v>0</v>
      </c>
    </row>
    <row r="34" spans="1:32">
      <c r="A34" s="113">
        <v>19</v>
      </c>
      <c r="E34" s="355"/>
      <c r="F34" s="362"/>
      <c r="G34" s="363"/>
      <c r="H34" s="364"/>
      <c r="I34" s="364"/>
      <c r="J34" s="365"/>
      <c r="K34" s="366"/>
      <c r="L34" s="367"/>
      <c r="M34" s="368"/>
      <c r="N34" s="369"/>
      <c r="O34" s="370"/>
      <c r="P34" s="371"/>
      <c r="Q34" s="372"/>
      <c r="R34" s="362"/>
      <c r="S34" s="96"/>
      <c r="U34" s="358"/>
      <c r="V34" s="359"/>
      <c r="W34" s="359"/>
      <c r="X34" s="360"/>
      <c r="Y34" s="359"/>
      <c r="Z34" s="359"/>
      <c r="AA34" s="358"/>
      <c r="AB34" s="359"/>
      <c r="AF34" s="289">
        <f t="shared" si="0"/>
        <v>0</v>
      </c>
    </row>
    <row r="35" spans="1:32">
      <c r="A35" s="113">
        <v>20</v>
      </c>
      <c r="E35" s="355" t="s">
        <v>1943</v>
      </c>
      <c r="F35" s="698">
        <f>+F33+F29</f>
        <v>-508329145.68000007</v>
      </c>
      <c r="G35" s="698">
        <f t="shared" ref="G35:R35" si="5">+G33+G29</f>
        <v>-510397319.94000006</v>
      </c>
      <c r="H35" s="698">
        <f t="shared" si="5"/>
        <v>-512727920.29000002</v>
      </c>
      <c r="I35" s="698">
        <f t="shared" si="5"/>
        <v>-514683645.94000006</v>
      </c>
      <c r="J35" s="698">
        <f t="shared" si="5"/>
        <v>-516529353.69000006</v>
      </c>
      <c r="K35" s="698">
        <f t="shared" si="5"/>
        <v>-518579600.17000008</v>
      </c>
      <c r="L35" s="698">
        <f t="shared" si="5"/>
        <v>-520556841.69999993</v>
      </c>
      <c r="M35" s="698">
        <f t="shared" si="5"/>
        <v>-522817251.74999994</v>
      </c>
      <c r="N35" s="698">
        <f t="shared" si="5"/>
        <v>-525256253.10000002</v>
      </c>
      <c r="O35" s="698">
        <f t="shared" si="5"/>
        <v>-527872425.51999998</v>
      </c>
      <c r="P35" s="698">
        <f t="shared" si="5"/>
        <v>-530779799.50000006</v>
      </c>
      <c r="Q35" s="698">
        <f t="shared" si="5"/>
        <v>-533148852.25999999</v>
      </c>
      <c r="R35" s="698">
        <f t="shared" si="5"/>
        <v>-539395510.83000004</v>
      </c>
      <c r="S35" s="700">
        <f>+S33+S29</f>
        <v>-521434299.34291673</v>
      </c>
      <c r="U35" s="358"/>
      <c r="V35" s="359"/>
      <c r="W35" s="359"/>
      <c r="X35" s="360">
        <f>+S35-S23</f>
        <v>-524223929.07083338</v>
      </c>
      <c r="Y35" s="359">
        <f>+X35*Z8</f>
        <v>-393430058.76766044</v>
      </c>
      <c r="Z35" s="359">
        <f>+X35*Z9</f>
        <v>-130793870.30317293</v>
      </c>
      <c r="AA35" s="358"/>
      <c r="AB35" s="359"/>
      <c r="AE35" s="113" t="s">
        <v>1944</v>
      </c>
      <c r="AF35" s="289">
        <f t="shared" si="0"/>
        <v>0</v>
      </c>
    </row>
    <row r="36" spans="1:32">
      <c r="A36" s="113">
        <v>21</v>
      </c>
      <c r="E36" s="374"/>
      <c r="F36" s="375"/>
      <c r="G36" s="376"/>
      <c r="H36" s="377"/>
      <c r="I36" s="377"/>
      <c r="J36" s="378"/>
      <c r="K36" s="379"/>
      <c r="L36" s="380"/>
      <c r="M36" s="381"/>
      <c r="N36" s="382"/>
      <c r="P36" s="383"/>
      <c r="Q36" s="384"/>
      <c r="R36" s="375"/>
      <c r="S36" s="96"/>
      <c r="U36" s="358"/>
      <c r="V36" s="359"/>
      <c r="W36" s="359"/>
      <c r="X36" s="360"/>
      <c r="Y36" s="359"/>
      <c r="Z36" s="359"/>
      <c r="AA36" s="358"/>
      <c r="AB36" s="359"/>
      <c r="AF36" s="289">
        <f t="shared" si="0"/>
        <v>0</v>
      </c>
    </row>
    <row r="37" spans="1:32">
      <c r="A37" s="113">
        <v>22</v>
      </c>
      <c r="E37" s="374" t="s">
        <v>1945</v>
      </c>
      <c r="F37" s="385">
        <f>+F21+F35</f>
        <v>670993028.15999985</v>
      </c>
      <c r="G37" s="385">
        <f t="shared" ref="G37:S37" si="6">+G21+G35</f>
        <v>675435379.95000005</v>
      </c>
      <c r="H37" s="385">
        <f t="shared" si="6"/>
        <v>678812060.03999996</v>
      </c>
      <c r="I37" s="385">
        <f t="shared" si="6"/>
        <v>684376455.68999982</v>
      </c>
      <c r="J37" s="385">
        <f t="shared" si="6"/>
        <v>686848776.04999995</v>
      </c>
      <c r="K37" s="385">
        <f t="shared" si="6"/>
        <v>691008566.49999976</v>
      </c>
      <c r="L37" s="385">
        <f t="shared" si="6"/>
        <v>695621560.46000016</v>
      </c>
      <c r="M37" s="385">
        <f t="shared" si="6"/>
        <v>701364458.73999977</v>
      </c>
      <c r="N37" s="385">
        <f t="shared" si="6"/>
        <v>707361233.40999973</v>
      </c>
      <c r="O37" s="385">
        <f t="shared" si="6"/>
        <v>714173570.90999985</v>
      </c>
      <c r="P37" s="385">
        <f t="shared" si="6"/>
        <v>722087539.97000003</v>
      </c>
      <c r="Q37" s="385">
        <f t="shared" si="6"/>
        <v>725628224.3499999</v>
      </c>
      <c r="R37" s="385">
        <f t="shared" si="6"/>
        <v>741527766.5200001</v>
      </c>
      <c r="S37" s="357">
        <f t="shared" si="6"/>
        <v>699081518.61749983</v>
      </c>
      <c r="U37" s="358"/>
      <c r="V37" s="359"/>
      <c r="W37" s="359"/>
      <c r="X37" s="360"/>
      <c r="Y37" s="359"/>
      <c r="Z37" s="359"/>
      <c r="AA37" s="358"/>
      <c r="AB37" s="359"/>
      <c r="AF37" s="289">
        <f t="shared" si="0"/>
        <v>0</v>
      </c>
    </row>
    <row r="38" spans="1:32">
      <c r="A38" s="113">
        <v>23</v>
      </c>
      <c r="E38" s="374"/>
      <c r="F38" s="362"/>
      <c r="G38" s="363"/>
      <c r="H38" s="364"/>
      <c r="I38" s="364"/>
      <c r="J38" s="365"/>
      <c r="K38" s="366"/>
      <c r="L38" s="367"/>
      <c r="M38" s="368"/>
      <c r="N38" s="369"/>
      <c r="O38" s="370"/>
      <c r="P38" s="371"/>
      <c r="Q38" s="372"/>
      <c r="R38" s="362"/>
      <c r="S38" s="96"/>
      <c r="U38" s="358"/>
      <c r="V38" s="359"/>
      <c r="W38" s="359"/>
      <c r="X38" s="360"/>
      <c r="Y38" s="359"/>
      <c r="Z38" s="359"/>
      <c r="AA38" s="358"/>
      <c r="AB38" s="359"/>
      <c r="AF38" s="289">
        <f t="shared" si="0"/>
        <v>0</v>
      </c>
    </row>
    <row r="39" spans="1:32">
      <c r="A39" s="113">
        <v>24</v>
      </c>
      <c r="B39" s="119" t="s">
        <v>1530</v>
      </c>
      <c r="C39" s="119" t="s">
        <v>1946</v>
      </c>
      <c r="D39" s="119"/>
      <c r="E39" s="355" t="s">
        <v>1947</v>
      </c>
      <c r="F39" s="698">
        <v>0</v>
      </c>
      <c r="G39" s="698">
        <v>0</v>
      </c>
      <c r="H39" s="698">
        <v>0</v>
      </c>
      <c r="I39" s="698">
        <v>0</v>
      </c>
      <c r="J39" s="698">
        <v>0</v>
      </c>
      <c r="K39" s="698">
        <v>0</v>
      </c>
      <c r="L39" s="698">
        <v>0</v>
      </c>
      <c r="M39" s="698">
        <v>0</v>
      </c>
      <c r="N39" s="698">
        <v>0</v>
      </c>
      <c r="O39" s="698">
        <v>0</v>
      </c>
      <c r="P39" s="698">
        <v>0</v>
      </c>
      <c r="Q39" s="698">
        <v>0</v>
      </c>
      <c r="R39" s="698">
        <v>0</v>
      </c>
      <c r="S39" s="96">
        <f>((F39+R39)+((G39+H39+I39+J39+K39+L39+M39+N39+O39+P39+Q39)*2))/24</f>
        <v>0</v>
      </c>
      <c r="U39" s="358">
        <f>+S39</f>
        <v>0</v>
      </c>
      <c r="V39" s="359"/>
      <c r="W39" s="359"/>
      <c r="X39" s="360"/>
      <c r="Y39" s="359"/>
      <c r="Z39" s="359"/>
      <c r="AA39" s="358"/>
      <c r="AB39" s="359"/>
      <c r="AF39" s="289">
        <f t="shared" si="0"/>
        <v>0</v>
      </c>
    </row>
    <row r="40" spans="1:32">
      <c r="A40" s="113">
        <v>25</v>
      </c>
      <c r="E40" s="374" t="s">
        <v>1948</v>
      </c>
      <c r="F40" s="696">
        <f>+F39</f>
        <v>0</v>
      </c>
      <c r="G40" s="701">
        <v>0</v>
      </c>
      <c r="H40" s="702">
        <v>0</v>
      </c>
      <c r="I40" s="702">
        <v>0</v>
      </c>
      <c r="J40" s="703">
        <v>0</v>
      </c>
      <c r="K40" s="704">
        <v>0</v>
      </c>
      <c r="L40" s="705">
        <v>0</v>
      </c>
      <c r="M40" s="706">
        <v>0</v>
      </c>
      <c r="N40" s="707">
        <v>0</v>
      </c>
      <c r="O40" s="708">
        <v>0</v>
      </c>
      <c r="P40" s="709">
        <v>0</v>
      </c>
      <c r="Q40" s="710">
        <v>0</v>
      </c>
      <c r="R40" s="696">
        <v>0</v>
      </c>
      <c r="S40" s="96">
        <f>((F40+R40)+((G40+H40+I40+J40+K40+L40+M40+N40+O40+P40+Q40)*2))/24</f>
        <v>0</v>
      </c>
      <c r="U40" s="358"/>
      <c r="V40" s="359"/>
      <c r="W40" s="359"/>
      <c r="X40" s="360"/>
      <c r="Y40" s="359"/>
      <c r="Z40" s="359"/>
      <c r="AA40" s="358"/>
      <c r="AB40" s="359"/>
      <c r="AF40" s="289">
        <f t="shared" si="0"/>
        <v>0</v>
      </c>
    </row>
    <row r="41" spans="1:32">
      <c r="A41" s="113">
        <v>26</v>
      </c>
      <c r="E41" s="374"/>
      <c r="F41" s="356"/>
      <c r="G41" s="386"/>
      <c r="H41" s="387"/>
      <c r="I41" s="387"/>
      <c r="J41" s="388"/>
      <c r="K41" s="389"/>
      <c r="L41" s="390"/>
      <c r="M41" s="391"/>
      <c r="N41" s="392"/>
      <c r="O41" s="373"/>
      <c r="P41" s="393"/>
      <c r="Q41" s="394"/>
      <c r="R41" s="356"/>
      <c r="S41" s="96"/>
      <c r="U41" s="358"/>
      <c r="V41" s="359"/>
      <c r="W41" s="359"/>
      <c r="X41" s="360"/>
      <c r="Y41" s="359"/>
      <c r="Z41" s="359"/>
      <c r="AA41" s="358"/>
      <c r="AB41" s="359"/>
      <c r="AF41" s="289">
        <f t="shared" si="0"/>
        <v>0</v>
      </c>
    </row>
    <row r="42" spans="1:32">
      <c r="A42" s="113">
        <v>27</v>
      </c>
      <c r="B42" s="119" t="s">
        <v>1530</v>
      </c>
      <c r="C42" s="119" t="s">
        <v>1949</v>
      </c>
      <c r="D42" s="119" t="s">
        <v>376</v>
      </c>
      <c r="E42" s="355" t="s">
        <v>1950</v>
      </c>
      <c r="F42" s="356">
        <v>528752.93000000005</v>
      </c>
      <c r="G42" s="356">
        <v>529407.99</v>
      </c>
      <c r="H42" s="356">
        <v>530021.97</v>
      </c>
      <c r="I42" s="356">
        <v>530367.85</v>
      </c>
      <c r="J42" s="356">
        <v>530446.56999999995</v>
      </c>
      <c r="K42" s="356">
        <v>530484.14</v>
      </c>
      <c r="L42" s="356">
        <v>530509.41</v>
      </c>
      <c r="M42" s="356">
        <v>530530.28</v>
      </c>
      <c r="N42" s="356">
        <v>530538.11</v>
      </c>
      <c r="O42" s="356">
        <v>530542.47</v>
      </c>
      <c r="P42" s="356">
        <v>530546.98</v>
      </c>
      <c r="Q42" s="356">
        <v>530551.34</v>
      </c>
      <c r="R42" s="356">
        <v>530557.93999999994</v>
      </c>
      <c r="S42" s="387">
        <f>((F42+R42)+((G42+H42+I42+J42+K42+L42+M42+N42+O42+P42+Q42)*2))/24</f>
        <v>530300.21208333329</v>
      </c>
      <c r="U42" s="358"/>
      <c r="V42" s="359"/>
      <c r="W42" s="359"/>
      <c r="X42" s="360">
        <f>+S42</f>
        <v>530300.21208333329</v>
      </c>
      <c r="Y42" s="359"/>
      <c r="Z42" s="359"/>
      <c r="AA42" s="358"/>
      <c r="AB42" s="359">
        <f>+S42</f>
        <v>530300.21208333329</v>
      </c>
      <c r="AF42" s="289">
        <f t="shared" si="0"/>
        <v>0</v>
      </c>
    </row>
    <row r="43" spans="1:32">
      <c r="A43" s="113">
        <v>28</v>
      </c>
      <c r="B43" s="119" t="s">
        <v>1530</v>
      </c>
      <c r="C43" s="119" t="s">
        <v>1949</v>
      </c>
      <c r="D43" s="119" t="s">
        <v>377</v>
      </c>
      <c r="E43" s="355" t="s">
        <v>1951</v>
      </c>
      <c r="F43" s="356">
        <v>11462788.92</v>
      </c>
      <c r="G43" s="356">
        <v>11551133.380000001</v>
      </c>
      <c r="H43" s="356">
        <v>11489083.07</v>
      </c>
      <c r="I43" s="356">
        <v>11323317.58</v>
      </c>
      <c r="J43" s="356">
        <v>11558794.199999999</v>
      </c>
      <c r="K43" s="356">
        <v>11679450.689999999</v>
      </c>
      <c r="L43" s="356">
        <v>11782103.310000001</v>
      </c>
      <c r="M43" s="356">
        <v>11898197.6</v>
      </c>
      <c r="N43" s="356">
        <v>11968468.01</v>
      </c>
      <c r="O43" s="356">
        <v>12097438.98</v>
      </c>
      <c r="P43" s="356">
        <v>12051098.880000001</v>
      </c>
      <c r="Q43" s="356">
        <v>12213349.59</v>
      </c>
      <c r="R43" s="356">
        <v>12327925.800000001</v>
      </c>
      <c r="S43" s="387">
        <f>((F43+R43)+((G43+H43+I43+J43+K43+L43+M43+N43+O43+P43+Q43)*2))/24</f>
        <v>11792316.054166667</v>
      </c>
      <c r="U43" s="358"/>
      <c r="V43" s="359"/>
      <c r="W43" s="359"/>
      <c r="X43" s="360">
        <f>+S43</f>
        <v>11792316.054166667</v>
      </c>
      <c r="Y43" s="359"/>
      <c r="Z43" s="359"/>
      <c r="AA43" s="358"/>
      <c r="AB43" s="359">
        <f>+S43</f>
        <v>11792316.054166667</v>
      </c>
      <c r="AF43" s="289">
        <f t="shared" si="0"/>
        <v>0</v>
      </c>
    </row>
    <row r="44" spans="1:32">
      <c r="A44" s="113">
        <v>29</v>
      </c>
      <c r="B44" s="119" t="s">
        <v>1530</v>
      </c>
      <c r="C44" s="119" t="s">
        <v>1949</v>
      </c>
      <c r="D44" s="119" t="s">
        <v>379</v>
      </c>
      <c r="E44" s="355" t="s">
        <v>1952</v>
      </c>
      <c r="F44" s="356">
        <v>0</v>
      </c>
      <c r="G44" s="356">
        <v>0</v>
      </c>
      <c r="H44" s="356">
        <v>0</v>
      </c>
      <c r="I44" s="356">
        <v>0</v>
      </c>
      <c r="J44" s="356">
        <v>0</v>
      </c>
      <c r="K44" s="356">
        <v>0</v>
      </c>
      <c r="L44" s="356">
        <v>0</v>
      </c>
      <c r="M44" s="356">
        <v>0</v>
      </c>
      <c r="N44" s="356">
        <v>0</v>
      </c>
      <c r="O44" s="356">
        <v>0</v>
      </c>
      <c r="P44" s="356">
        <v>0</v>
      </c>
      <c r="Q44" s="356">
        <v>0</v>
      </c>
      <c r="R44" s="356">
        <v>0</v>
      </c>
      <c r="S44" s="387">
        <f>((F44+R44)+((G44+H44+I44+J44+K44+L44+M44+N44+O44+P44+Q44)*2))/24</f>
        <v>0</v>
      </c>
      <c r="U44" s="358"/>
      <c r="V44" s="359"/>
      <c r="W44" s="359"/>
      <c r="X44" s="360">
        <f>+S44</f>
        <v>0</v>
      </c>
      <c r="Y44" s="359"/>
      <c r="Z44" s="359"/>
      <c r="AA44" s="358"/>
      <c r="AB44" s="359">
        <f>+S44</f>
        <v>0</v>
      </c>
      <c r="AF44" s="289">
        <f t="shared" si="0"/>
        <v>0</v>
      </c>
    </row>
    <row r="45" spans="1:32">
      <c r="A45" s="113">
        <v>30</v>
      </c>
      <c r="B45" s="119" t="s">
        <v>1530</v>
      </c>
      <c r="C45" s="119" t="s">
        <v>1953</v>
      </c>
      <c r="D45" s="119"/>
      <c r="E45" s="355" t="s">
        <v>1954</v>
      </c>
      <c r="F45" s="356">
        <v>197964.51</v>
      </c>
      <c r="G45" s="356">
        <v>197964.51</v>
      </c>
      <c r="H45" s="356">
        <v>197964.51</v>
      </c>
      <c r="I45" s="356">
        <v>197964.51</v>
      </c>
      <c r="J45" s="356">
        <v>197964.51</v>
      </c>
      <c r="K45" s="356">
        <v>197964.51</v>
      </c>
      <c r="L45" s="356">
        <v>197964.51</v>
      </c>
      <c r="M45" s="356">
        <v>197964.51</v>
      </c>
      <c r="N45" s="356">
        <v>197964.51</v>
      </c>
      <c r="O45" s="356">
        <v>197964.51</v>
      </c>
      <c r="P45" s="356">
        <v>197964.51</v>
      </c>
      <c r="Q45" s="356">
        <v>197964.51</v>
      </c>
      <c r="R45" s="356">
        <v>197964.51</v>
      </c>
      <c r="S45" s="387">
        <f>((F45+R45)+((G45+H45+I45+J45+K45+L45+M45+N45+O45+P45+Q45)*2))/24</f>
        <v>197964.51</v>
      </c>
      <c r="U45" s="358"/>
      <c r="V45" s="359"/>
      <c r="W45" s="359"/>
      <c r="X45" s="360">
        <f>+S45</f>
        <v>197964.51</v>
      </c>
      <c r="Y45" s="359"/>
      <c r="Z45" s="359"/>
      <c r="AA45" s="358"/>
      <c r="AB45" s="359">
        <f>+S45</f>
        <v>197964.51</v>
      </c>
      <c r="AF45" s="289">
        <f t="shared" si="0"/>
        <v>0</v>
      </c>
    </row>
    <row r="46" spans="1:32">
      <c r="A46" s="113">
        <v>31</v>
      </c>
      <c r="B46" s="119" t="s">
        <v>1530</v>
      </c>
      <c r="C46" s="119" t="s">
        <v>1955</v>
      </c>
      <c r="D46" s="119"/>
      <c r="E46" s="355" t="s">
        <v>1956</v>
      </c>
      <c r="F46" s="698">
        <v>0</v>
      </c>
      <c r="G46" s="698">
        <v>0</v>
      </c>
      <c r="H46" s="698">
        <v>0</v>
      </c>
      <c r="I46" s="698">
        <v>0</v>
      </c>
      <c r="J46" s="698">
        <v>0</v>
      </c>
      <c r="K46" s="698">
        <v>0</v>
      </c>
      <c r="L46" s="698">
        <v>0</v>
      </c>
      <c r="M46" s="698">
        <v>0</v>
      </c>
      <c r="N46" s="698">
        <v>0</v>
      </c>
      <c r="O46" s="698">
        <v>0</v>
      </c>
      <c r="P46" s="698">
        <v>0</v>
      </c>
      <c r="Q46" s="698">
        <v>0</v>
      </c>
      <c r="R46" s="698">
        <v>0</v>
      </c>
      <c r="S46" s="387">
        <f>((F46+R46)+((G46+H46+I46+J46+K46+L46+M46+N46+O46+P46+Q46)*2))/24</f>
        <v>0</v>
      </c>
      <c r="U46" s="358">
        <f>+S46</f>
        <v>0</v>
      </c>
      <c r="V46" s="359"/>
      <c r="W46" s="359"/>
      <c r="X46" s="360"/>
      <c r="Y46" s="359"/>
      <c r="Z46" s="359"/>
      <c r="AA46" s="358"/>
      <c r="AB46" s="359">
        <f>+S46</f>
        <v>0</v>
      </c>
      <c r="AF46" s="289">
        <f t="shared" si="0"/>
        <v>0</v>
      </c>
    </row>
    <row r="47" spans="1:32">
      <c r="A47" s="113">
        <v>32</v>
      </c>
      <c r="E47" s="374" t="s">
        <v>1957</v>
      </c>
      <c r="F47" s="696">
        <f t="shared" ref="F47:S47" si="7">SUM(F42:F46)</f>
        <v>12189506.359999999</v>
      </c>
      <c r="G47" s="696">
        <f t="shared" si="7"/>
        <v>12278505.880000001</v>
      </c>
      <c r="H47" s="696">
        <f t="shared" si="7"/>
        <v>12217069.550000001</v>
      </c>
      <c r="I47" s="696">
        <f t="shared" si="7"/>
        <v>12051649.939999999</v>
      </c>
      <c r="J47" s="696">
        <f t="shared" si="7"/>
        <v>12287205.279999999</v>
      </c>
      <c r="K47" s="696">
        <f t="shared" si="7"/>
        <v>12407899.34</v>
      </c>
      <c r="L47" s="696">
        <f t="shared" si="7"/>
        <v>12510577.23</v>
      </c>
      <c r="M47" s="696">
        <f t="shared" si="7"/>
        <v>12626692.389999999</v>
      </c>
      <c r="N47" s="696">
        <f t="shared" si="7"/>
        <v>12696970.629999999</v>
      </c>
      <c r="O47" s="696">
        <f t="shared" si="7"/>
        <v>12825945.960000001</v>
      </c>
      <c r="P47" s="696">
        <f t="shared" si="7"/>
        <v>12779610.370000001</v>
      </c>
      <c r="Q47" s="696">
        <f t="shared" si="7"/>
        <v>12941865.439999999</v>
      </c>
      <c r="R47" s="696">
        <f t="shared" si="7"/>
        <v>13056448.25</v>
      </c>
      <c r="S47" s="697">
        <f t="shared" si="7"/>
        <v>12520580.776250001</v>
      </c>
      <c r="U47" s="358"/>
      <c r="V47" s="359"/>
      <c r="W47" s="359"/>
      <c r="X47" s="360"/>
      <c r="Y47" s="359"/>
      <c r="Z47" s="359"/>
      <c r="AA47" s="358"/>
      <c r="AB47" s="359"/>
      <c r="AF47" s="289">
        <f t="shared" si="0"/>
        <v>0</v>
      </c>
    </row>
    <row r="48" spans="1:32">
      <c r="A48" s="113">
        <v>33</v>
      </c>
      <c r="E48" s="374"/>
      <c r="F48" s="356"/>
      <c r="G48" s="386"/>
      <c r="H48" s="387"/>
      <c r="I48" s="387"/>
      <c r="J48" s="388"/>
      <c r="K48" s="389"/>
      <c r="L48" s="390"/>
      <c r="M48" s="391"/>
      <c r="N48" s="392"/>
      <c r="O48" s="373"/>
      <c r="P48" s="393"/>
      <c r="Q48" s="394"/>
      <c r="R48" s="356"/>
      <c r="S48" s="96"/>
      <c r="U48" s="358"/>
      <c r="V48" s="359"/>
      <c r="W48" s="359"/>
      <c r="X48" s="360"/>
      <c r="Y48" s="359"/>
      <c r="Z48" s="359"/>
      <c r="AA48" s="358"/>
      <c r="AB48" s="359"/>
      <c r="AF48" s="289">
        <f t="shared" si="0"/>
        <v>0</v>
      </c>
    </row>
    <row r="49" spans="1:32">
      <c r="A49" s="113">
        <v>34</v>
      </c>
      <c r="C49" s="1208" t="s">
        <v>1958</v>
      </c>
      <c r="D49" s="1208" t="s">
        <v>1526</v>
      </c>
      <c r="E49" s="374" t="s">
        <v>1959</v>
      </c>
      <c r="F49" s="356">
        <v>0</v>
      </c>
      <c r="G49" s="386">
        <v>0</v>
      </c>
      <c r="H49" s="387">
        <v>0</v>
      </c>
      <c r="I49" s="387">
        <v>0</v>
      </c>
      <c r="J49" s="388">
        <v>0</v>
      </c>
      <c r="K49" s="389">
        <v>0</v>
      </c>
      <c r="L49" s="390">
        <v>0</v>
      </c>
      <c r="M49" s="391">
        <v>0</v>
      </c>
      <c r="N49" s="392">
        <v>0</v>
      </c>
      <c r="O49" s="373">
        <v>594517.18999999994</v>
      </c>
      <c r="P49" s="393">
        <v>0</v>
      </c>
      <c r="Q49" s="394">
        <v>0</v>
      </c>
      <c r="R49" s="1452">
        <v>0</v>
      </c>
      <c r="S49" s="357">
        <f t="shared" ref="S49:S59" si="8">((F49+R49)+((G49+H49+I49+J49+K49+L49+M49+N49+O49+P49+Q49)*2))/24</f>
        <v>49543.09916666666</v>
      </c>
      <c r="U49" s="358">
        <f t="shared" ref="U49:U59" si="9">+S49</f>
        <v>49543.09916666666</v>
      </c>
      <c r="V49" s="359"/>
      <c r="W49" s="359"/>
      <c r="X49" s="360"/>
      <c r="Y49" s="359"/>
      <c r="Z49" s="359"/>
      <c r="AA49" s="358"/>
      <c r="AB49" s="359"/>
      <c r="AD49" s="1409">
        <f>+S49</f>
        <v>49543.09916666666</v>
      </c>
      <c r="AF49" s="289">
        <f t="shared" si="0"/>
        <v>0</v>
      </c>
    </row>
    <row r="50" spans="1:32">
      <c r="A50" s="113">
        <v>35</v>
      </c>
      <c r="B50" s="119" t="s">
        <v>1530</v>
      </c>
      <c r="C50" s="119" t="s">
        <v>1958</v>
      </c>
      <c r="D50" s="119" t="s">
        <v>1960</v>
      </c>
      <c r="E50" s="355" t="s">
        <v>1961</v>
      </c>
      <c r="F50" s="356">
        <v>2461509.84</v>
      </c>
      <c r="G50" s="356">
        <v>1836649.82</v>
      </c>
      <c r="H50" s="356">
        <v>1058991.1399999999</v>
      </c>
      <c r="I50" s="356">
        <v>1905257.03</v>
      </c>
      <c r="J50" s="356">
        <v>921642.42</v>
      </c>
      <c r="K50" s="356">
        <v>477302.11</v>
      </c>
      <c r="L50" s="356">
        <v>1013780.38</v>
      </c>
      <c r="M50" s="356">
        <v>337570.22</v>
      </c>
      <c r="N50" s="356">
        <v>576204.07999999996</v>
      </c>
      <c r="O50" s="356">
        <v>-119686.53</v>
      </c>
      <c r="P50" s="356">
        <v>500818.9</v>
      </c>
      <c r="Q50" s="356">
        <v>339528.83</v>
      </c>
      <c r="R50" s="1452">
        <v>2523372.85</v>
      </c>
      <c r="S50" s="357">
        <f t="shared" si="8"/>
        <v>945041.64541666675</v>
      </c>
      <c r="U50" s="358">
        <f t="shared" si="9"/>
        <v>945041.64541666675</v>
      </c>
      <c r="V50" s="359"/>
      <c r="W50" s="359"/>
      <c r="X50" s="360"/>
      <c r="Y50" s="359"/>
      <c r="Z50" s="359"/>
      <c r="AA50" s="358"/>
      <c r="AB50" s="359"/>
      <c r="AD50" s="1409">
        <f t="shared" ref="AD50:AD59" si="10">+U50</f>
        <v>945041.64541666675</v>
      </c>
      <c r="AF50" s="289">
        <f t="shared" si="0"/>
        <v>0</v>
      </c>
    </row>
    <row r="51" spans="1:32">
      <c r="A51" s="113">
        <v>36</v>
      </c>
      <c r="B51" s="119" t="s">
        <v>1530</v>
      </c>
      <c r="C51" s="119" t="s">
        <v>1958</v>
      </c>
      <c r="D51" s="119" t="s">
        <v>1962</v>
      </c>
      <c r="E51" s="355" t="s">
        <v>1963</v>
      </c>
      <c r="F51" s="356">
        <v>-518690.26</v>
      </c>
      <c r="G51" s="356">
        <v>-2521427.02</v>
      </c>
      <c r="H51" s="356">
        <v>-564510.23</v>
      </c>
      <c r="I51" s="356">
        <v>-923796.81</v>
      </c>
      <c r="J51" s="356">
        <v>-1303301.01</v>
      </c>
      <c r="K51" s="356">
        <v>-706920.61</v>
      </c>
      <c r="L51" s="356">
        <v>-617300.66</v>
      </c>
      <c r="M51" s="356">
        <v>-613702.06999999995</v>
      </c>
      <c r="N51" s="356">
        <v>-456273.33</v>
      </c>
      <c r="O51" s="356">
        <v>-755930</v>
      </c>
      <c r="P51" s="356">
        <v>-862685.39</v>
      </c>
      <c r="Q51" s="356">
        <v>-537742.41</v>
      </c>
      <c r="R51" s="1452">
        <v>-852173.71</v>
      </c>
      <c r="S51" s="357">
        <f t="shared" si="8"/>
        <v>-879085.12708333356</v>
      </c>
      <c r="U51" s="358">
        <f t="shared" si="9"/>
        <v>-879085.12708333356</v>
      </c>
      <c r="V51" s="359"/>
      <c r="W51" s="359"/>
      <c r="X51" s="360"/>
      <c r="Y51" s="359"/>
      <c r="Z51" s="359"/>
      <c r="AA51" s="358"/>
      <c r="AB51" s="359"/>
      <c r="AD51" s="1409">
        <f t="shared" si="10"/>
        <v>-879085.12708333356</v>
      </c>
      <c r="AF51" s="289">
        <f t="shared" si="0"/>
        <v>0</v>
      </c>
    </row>
    <row r="52" spans="1:32">
      <c r="A52" s="113">
        <v>37</v>
      </c>
      <c r="B52" s="119" t="s">
        <v>1530</v>
      </c>
      <c r="C52" s="119" t="s">
        <v>1958</v>
      </c>
      <c r="D52" s="119" t="s">
        <v>1964</v>
      </c>
      <c r="E52" s="355" t="s">
        <v>1965</v>
      </c>
      <c r="F52" s="356">
        <v>0</v>
      </c>
      <c r="G52" s="356">
        <v>0</v>
      </c>
      <c r="H52" s="356">
        <v>-4977.84</v>
      </c>
      <c r="I52" s="356">
        <v>0</v>
      </c>
      <c r="J52" s="356">
        <v>0</v>
      </c>
      <c r="K52" s="356">
        <v>0</v>
      </c>
      <c r="L52" s="356">
        <v>0</v>
      </c>
      <c r="M52" s="356">
        <v>0</v>
      </c>
      <c r="N52" s="356">
        <v>0</v>
      </c>
      <c r="O52" s="356">
        <v>-573.24</v>
      </c>
      <c r="P52" s="356">
        <v>0</v>
      </c>
      <c r="Q52" s="356">
        <v>0</v>
      </c>
      <c r="R52" s="1452">
        <v>0</v>
      </c>
      <c r="S52" s="357">
        <f t="shared" si="8"/>
        <v>-462.59</v>
      </c>
      <c r="U52" s="358">
        <f t="shared" si="9"/>
        <v>-462.59</v>
      </c>
      <c r="V52" s="359"/>
      <c r="W52" s="359"/>
      <c r="X52" s="360"/>
      <c r="Y52" s="359"/>
      <c r="Z52" s="359"/>
      <c r="AA52" s="358"/>
      <c r="AB52" s="359"/>
      <c r="AD52" s="1409">
        <f t="shared" si="10"/>
        <v>-462.59</v>
      </c>
      <c r="AF52" s="289">
        <f t="shared" si="0"/>
        <v>0</v>
      </c>
    </row>
    <row r="53" spans="1:32">
      <c r="A53" s="113">
        <v>38</v>
      </c>
      <c r="B53" s="119" t="s">
        <v>1530</v>
      </c>
      <c r="C53" s="119" t="s">
        <v>1958</v>
      </c>
      <c r="D53" s="119" t="s">
        <v>1966</v>
      </c>
      <c r="E53" s="355" t="s">
        <v>1967</v>
      </c>
      <c r="F53" s="356">
        <v>5000</v>
      </c>
      <c r="G53" s="356">
        <v>1857.92</v>
      </c>
      <c r="H53" s="356">
        <v>1857.92</v>
      </c>
      <c r="I53" s="356">
        <v>740352.04</v>
      </c>
      <c r="J53" s="356">
        <v>517631.63</v>
      </c>
      <c r="K53" s="356">
        <v>428284.07</v>
      </c>
      <c r="L53" s="356">
        <v>2003822.76</v>
      </c>
      <c r="M53" s="356">
        <v>506054.96</v>
      </c>
      <c r="N53" s="356">
        <v>380663.68</v>
      </c>
      <c r="O53" s="356">
        <v>281672.58</v>
      </c>
      <c r="P53" s="356">
        <v>2833374.09</v>
      </c>
      <c r="Q53" s="356">
        <v>591846.66</v>
      </c>
      <c r="R53" s="1452">
        <v>2157006.89</v>
      </c>
      <c r="S53" s="357">
        <f t="shared" si="8"/>
        <v>780701.81291666662</v>
      </c>
      <c r="U53" s="358">
        <f>+S53</f>
        <v>780701.81291666662</v>
      </c>
      <c r="V53" s="359"/>
      <c r="W53" s="359"/>
      <c r="X53" s="360">
        <f>+S53-U53</f>
        <v>0</v>
      </c>
      <c r="Y53" s="359"/>
      <c r="Z53" s="359"/>
      <c r="AA53" s="358"/>
      <c r="AB53" s="359">
        <f>+X53</f>
        <v>0</v>
      </c>
      <c r="AD53" s="1409">
        <f t="shared" si="10"/>
        <v>780701.81291666662</v>
      </c>
      <c r="AF53" s="289">
        <f t="shared" si="0"/>
        <v>0</v>
      </c>
    </row>
    <row r="54" spans="1:32">
      <c r="A54" s="113">
        <v>39</v>
      </c>
      <c r="B54" s="119" t="s">
        <v>1530</v>
      </c>
      <c r="C54" s="119" t="s">
        <v>1958</v>
      </c>
      <c r="D54" s="119" t="s">
        <v>1968</v>
      </c>
      <c r="E54" s="355" t="s">
        <v>1969</v>
      </c>
      <c r="F54" s="356">
        <v>1163.8699999999999</v>
      </c>
      <c r="G54" s="356">
        <v>1163.8699999999999</v>
      </c>
      <c r="H54" s="356">
        <v>0</v>
      </c>
      <c r="I54" s="356">
        <v>0</v>
      </c>
      <c r="J54" s="356">
        <v>0</v>
      </c>
      <c r="K54" s="356">
        <v>0</v>
      </c>
      <c r="L54" s="356">
        <v>0</v>
      </c>
      <c r="M54" s="356">
        <v>0</v>
      </c>
      <c r="N54" s="356">
        <v>0</v>
      </c>
      <c r="O54" s="356">
        <v>0</v>
      </c>
      <c r="P54" s="356">
        <v>0</v>
      </c>
      <c r="Q54" s="356">
        <v>0</v>
      </c>
      <c r="R54" s="1452">
        <v>0</v>
      </c>
      <c r="S54" s="357">
        <f t="shared" si="8"/>
        <v>145.48374999999999</v>
      </c>
      <c r="U54" s="358">
        <f t="shared" si="9"/>
        <v>145.48374999999999</v>
      </c>
      <c r="V54" s="359"/>
      <c r="W54" s="359"/>
      <c r="X54" s="360"/>
      <c r="Y54" s="359"/>
      <c r="Z54" s="359"/>
      <c r="AA54" s="358"/>
      <c r="AB54" s="359"/>
      <c r="AD54" s="1409">
        <f t="shared" si="10"/>
        <v>145.48374999999999</v>
      </c>
      <c r="AF54" s="289">
        <f t="shared" si="0"/>
        <v>0</v>
      </c>
    </row>
    <row r="55" spans="1:32">
      <c r="A55" s="113">
        <v>40</v>
      </c>
      <c r="B55" s="119"/>
      <c r="C55" s="119" t="s">
        <v>1958</v>
      </c>
      <c r="D55" s="119" t="s">
        <v>1970</v>
      </c>
      <c r="E55" s="355" t="s">
        <v>1971</v>
      </c>
      <c r="F55" s="356">
        <v>4947993.17</v>
      </c>
      <c r="G55" s="356">
        <v>1863012.57</v>
      </c>
      <c r="H55" s="356">
        <v>778439.69</v>
      </c>
      <c r="I55" s="356">
        <v>0</v>
      </c>
      <c r="J55" s="356">
        <v>0</v>
      </c>
      <c r="K55" s="356">
        <v>0</v>
      </c>
      <c r="L55" s="356">
        <v>0</v>
      </c>
      <c r="M55" s="356">
        <v>0</v>
      </c>
      <c r="N55" s="356">
        <v>0</v>
      </c>
      <c r="O55" s="356">
        <v>0</v>
      </c>
      <c r="P55" s="356">
        <v>0</v>
      </c>
      <c r="Q55" s="356">
        <v>0</v>
      </c>
      <c r="R55" s="1452">
        <v>0</v>
      </c>
      <c r="S55" s="357">
        <f t="shared" si="8"/>
        <v>426287.40375</v>
      </c>
      <c r="U55" s="358">
        <f>+S55</f>
        <v>426287.40375</v>
      </c>
      <c r="V55" s="359"/>
      <c r="W55" s="359"/>
      <c r="X55" s="360"/>
      <c r="Y55" s="359"/>
      <c r="Z55" s="359"/>
      <c r="AA55" s="358"/>
      <c r="AB55" s="359"/>
      <c r="AD55" s="1409">
        <f t="shared" si="10"/>
        <v>426287.40375</v>
      </c>
      <c r="AF55" s="289">
        <f t="shared" si="0"/>
        <v>0</v>
      </c>
    </row>
    <row r="56" spans="1:32">
      <c r="A56" s="113">
        <v>41</v>
      </c>
      <c r="B56" s="119" t="s">
        <v>1530</v>
      </c>
      <c r="C56" s="119" t="s">
        <v>1972</v>
      </c>
      <c r="D56" s="119" t="s">
        <v>1973</v>
      </c>
      <c r="E56" s="355" t="s">
        <v>1974</v>
      </c>
      <c r="F56" s="356">
        <v>0</v>
      </c>
      <c r="G56" s="356">
        <v>0</v>
      </c>
      <c r="H56" s="356">
        <v>0</v>
      </c>
      <c r="I56" s="356">
        <v>0</v>
      </c>
      <c r="J56" s="356">
        <v>0</v>
      </c>
      <c r="K56" s="356">
        <v>0</v>
      </c>
      <c r="L56" s="356">
        <v>0</v>
      </c>
      <c r="M56" s="356">
        <v>0</v>
      </c>
      <c r="N56" s="356">
        <v>0</v>
      </c>
      <c r="O56" s="356">
        <v>0</v>
      </c>
      <c r="P56" s="356">
        <v>0</v>
      </c>
      <c r="Q56" s="356">
        <v>0</v>
      </c>
      <c r="R56" s="356">
        <v>0</v>
      </c>
      <c r="S56" s="357">
        <f t="shared" si="8"/>
        <v>0</v>
      </c>
      <c r="U56" s="358">
        <f t="shared" si="9"/>
        <v>0</v>
      </c>
      <c r="V56" s="359"/>
      <c r="W56" s="359"/>
      <c r="X56" s="360"/>
      <c r="Y56" s="359"/>
      <c r="Z56" s="359"/>
      <c r="AA56" s="358"/>
      <c r="AB56" s="359"/>
      <c r="AD56" s="271">
        <f t="shared" si="10"/>
        <v>0</v>
      </c>
      <c r="AF56" s="289">
        <f t="shared" si="0"/>
        <v>0</v>
      </c>
    </row>
    <row r="57" spans="1:32">
      <c r="A57" s="113">
        <v>42</v>
      </c>
      <c r="B57" s="119" t="s">
        <v>1530</v>
      </c>
      <c r="C57" s="119" t="s">
        <v>1972</v>
      </c>
      <c r="D57" s="119" t="s">
        <v>1975</v>
      </c>
      <c r="E57" s="355" t="s">
        <v>1976</v>
      </c>
      <c r="F57" s="356">
        <v>0</v>
      </c>
      <c r="G57" s="356">
        <v>0</v>
      </c>
      <c r="H57" s="356">
        <v>0</v>
      </c>
      <c r="I57" s="356">
        <v>0</v>
      </c>
      <c r="J57" s="356">
        <v>0</v>
      </c>
      <c r="K57" s="356">
        <v>0</v>
      </c>
      <c r="L57" s="356">
        <v>0</v>
      </c>
      <c r="M57" s="356">
        <v>0</v>
      </c>
      <c r="N57" s="356">
        <v>0</v>
      </c>
      <c r="O57" s="356">
        <v>0</v>
      </c>
      <c r="P57" s="356">
        <v>0</v>
      </c>
      <c r="Q57" s="356">
        <v>0</v>
      </c>
      <c r="R57" s="356">
        <v>0</v>
      </c>
      <c r="S57" s="357">
        <f t="shared" si="8"/>
        <v>0</v>
      </c>
      <c r="U57" s="358">
        <f t="shared" si="9"/>
        <v>0</v>
      </c>
      <c r="V57" s="359"/>
      <c r="W57" s="359"/>
      <c r="X57" s="360"/>
      <c r="Y57" s="359"/>
      <c r="Z57" s="359"/>
      <c r="AA57" s="358"/>
      <c r="AB57" s="359"/>
      <c r="AD57" s="271">
        <f t="shared" si="10"/>
        <v>0</v>
      </c>
      <c r="AF57" s="289">
        <f t="shared" si="0"/>
        <v>0</v>
      </c>
    </row>
    <row r="58" spans="1:32">
      <c r="A58" s="113">
        <v>43</v>
      </c>
      <c r="B58" s="119" t="s">
        <v>1530</v>
      </c>
      <c r="C58" s="119" t="s">
        <v>1972</v>
      </c>
      <c r="D58" s="395" t="s">
        <v>1977</v>
      </c>
      <c r="E58" s="355" t="s">
        <v>1978</v>
      </c>
      <c r="F58" s="356">
        <v>0</v>
      </c>
      <c r="G58" s="356">
        <v>0</v>
      </c>
      <c r="H58" s="356">
        <v>0</v>
      </c>
      <c r="I58" s="356">
        <v>0</v>
      </c>
      <c r="J58" s="356">
        <v>0</v>
      </c>
      <c r="K58" s="356">
        <v>0</v>
      </c>
      <c r="L58" s="356">
        <v>0</v>
      </c>
      <c r="M58" s="356">
        <v>0</v>
      </c>
      <c r="N58" s="356">
        <v>0</v>
      </c>
      <c r="O58" s="356">
        <v>0</v>
      </c>
      <c r="P58" s="356">
        <v>0</v>
      </c>
      <c r="Q58" s="356">
        <v>0</v>
      </c>
      <c r="R58" s="356">
        <v>0</v>
      </c>
      <c r="S58" s="357">
        <f t="shared" si="8"/>
        <v>0</v>
      </c>
      <c r="U58" s="358">
        <f t="shared" si="9"/>
        <v>0</v>
      </c>
      <c r="V58" s="359"/>
      <c r="W58" s="359"/>
      <c r="X58" s="360"/>
      <c r="Y58" s="359"/>
      <c r="Z58" s="359"/>
      <c r="AA58" s="358"/>
      <c r="AB58" s="359"/>
      <c r="AD58" s="271">
        <f t="shared" si="10"/>
        <v>0</v>
      </c>
      <c r="AF58" s="289">
        <f t="shared" si="0"/>
        <v>0</v>
      </c>
    </row>
    <row r="59" spans="1:32">
      <c r="A59" s="113">
        <v>44</v>
      </c>
      <c r="B59" s="119" t="s">
        <v>1530</v>
      </c>
      <c r="C59" s="119" t="s">
        <v>1972</v>
      </c>
      <c r="D59" s="119" t="s">
        <v>1979</v>
      </c>
      <c r="E59" s="355" t="s">
        <v>1980</v>
      </c>
      <c r="F59" s="356">
        <v>0</v>
      </c>
      <c r="G59" s="356">
        <v>0</v>
      </c>
      <c r="H59" s="356">
        <v>0</v>
      </c>
      <c r="I59" s="356">
        <v>0</v>
      </c>
      <c r="J59" s="356">
        <v>0</v>
      </c>
      <c r="K59" s="356">
        <v>0</v>
      </c>
      <c r="L59" s="356">
        <v>0</v>
      </c>
      <c r="M59" s="356">
        <v>0</v>
      </c>
      <c r="N59" s="356">
        <v>0</v>
      </c>
      <c r="O59" s="356">
        <v>0</v>
      </c>
      <c r="P59" s="356">
        <v>0</v>
      </c>
      <c r="Q59" s="356">
        <v>0</v>
      </c>
      <c r="R59" s="356">
        <v>0</v>
      </c>
      <c r="S59" s="357">
        <f t="shared" si="8"/>
        <v>0</v>
      </c>
      <c r="U59" s="358">
        <f t="shared" si="9"/>
        <v>0</v>
      </c>
      <c r="V59" s="359"/>
      <c r="W59" s="359"/>
      <c r="X59" s="360"/>
      <c r="Y59" s="359"/>
      <c r="Z59" s="359"/>
      <c r="AA59" s="358"/>
      <c r="AB59" s="359"/>
      <c r="AD59" s="271">
        <f t="shared" si="10"/>
        <v>0</v>
      </c>
      <c r="AF59" s="289">
        <f t="shared" si="0"/>
        <v>0</v>
      </c>
    </row>
    <row r="60" spans="1:32">
      <c r="A60" s="113">
        <v>45</v>
      </c>
      <c r="C60" s="113" t="s">
        <v>1972</v>
      </c>
      <c r="D60" s="113" t="s">
        <v>1979</v>
      </c>
      <c r="E60" s="374" t="s">
        <v>1981</v>
      </c>
      <c r="F60" s="696">
        <f t="shared" ref="F60:S60" si="11">SUM(F49:F59)</f>
        <v>6896976.6200000001</v>
      </c>
      <c r="G60" s="696">
        <f t="shared" si="11"/>
        <v>1181257.1600000001</v>
      </c>
      <c r="H60" s="696">
        <f t="shared" si="11"/>
        <v>1269800.6799999997</v>
      </c>
      <c r="I60" s="696">
        <f t="shared" si="11"/>
        <v>1721812.26</v>
      </c>
      <c r="J60" s="696">
        <f t="shared" si="11"/>
        <v>135973.04000000004</v>
      </c>
      <c r="K60" s="696">
        <f t="shared" si="11"/>
        <v>198665.57</v>
      </c>
      <c r="L60" s="696">
        <f t="shared" si="11"/>
        <v>2400302.48</v>
      </c>
      <c r="M60" s="696">
        <f t="shared" si="11"/>
        <v>229923.11000000004</v>
      </c>
      <c r="N60" s="696">
        <f t="shared" si="11"/>
        <v>500594.42999999993</v>
      </c>
      <c r="O60" s="696">
        <f t="shared" si="11"/>
        <v>-5.8207660913467407E-11</v>
      </c>
      <c r="P60" s="696">
        <f t="shared" si="11"/>
        <v>2471507.5999999996</v>
      </c>
      <c r="Q60" s="696">
        <f t="shared" si="11"/>
        <v>393633.08</v>
      </c>
      <c r="R60" s="696">
        <f t="shared" si="11"/>
        <v>3828206.0300000003</v>
      </c>
      <c r="S60" s="697">
        <f t="shared" si="11"/>
        <v>1322171.7279166665</v>
      </c>
      <c r="U60" s="358"/>
      <c r="V60" s="359"/>
      <c r="W60" s="359"/>
      <c r="X60" s="360"/>
      <c r="Y60" s="359"/>
      <c r="Z60" s="359"/>
      <c r="AA60" s="358"/>
      <c r="AB60" s="359"/>
      <c r="AF60" s="289">
        <f t="shared" si="0"/>
        <v>0</v>
      </c>
    </row>
    <row r="61" spans="1:32">
      <c r="A61" s="113">
        <v>46</v>
      </c>
      <c r="E61" s="374"/>
      <c r="F61" s="356"/>
      <c r="G61" s="386"/>
      <c r="H61" s="387"/>
      <c r="I61" s="387"/>
      <c r="J61" s="388"/>
      <c r="K61" s="389"/>
      <c r="L61" s="390"/>
      <c r="M61" s="391"/>
      <c r="N61" s="392"/>
      <c r="O61" s="373"/>
      <c r="P61" s="393"/>
      <c r="Q61" s="394"/>
      <c r="R61" s="356"/>
      <c r="S61" s="96"/>
      <c r="U61" s="358"/>
      <c r="V61" s="359"/>
      <c r="W61" s="359"/>
      <c r="X61" s="360"/>
      <c r="Y61" s="359"/>
      <c r="Z61" s="359"/>
      <c r="AA61" s="358"/>
      <c r="AB61" s="359"/>
      <c r="AF61" s="289">
        <f t="shared" si="0"/>
        <v>0</v>
      </c>
    </row>
    <row r="62" spans="1:32">
      <c r="A62" s="113">
        <v>47</v>
      </c>
      <c r="B62" s="119" t="s">
        <v>1530</v>
      </c>
      <c r="C62" s="119" t="s">
        <v>1982</v>
      </c>
      <c r="D62" s="119" t="s">
        <v>1983</v>
      </c>
      <c r="E62" s="355" t="s">
        <v>1984</v>
      </c>
      <c r="F62" s="396">
        <v>0</v>
      </c>
      <c r="G62" s="396">
        <v>0</v>
      </c>
      <c r="H62" s="396">
        <v>0</v>
      </c>
      <c r="I62" s="396">
        <v>0</v>
      </c>
      <c r="J62" s="396">
        <v>0</v>
      </c>
      <c r="K62" s="396">
        <v>0</v>
      </c>
      <c r="L62" s="396">
        <v>0</v>
      </c>
      <c r="M62" s="396">
        <v>0</v>
      </c>
      <c r="N62" s="396">
        <v>0</v>
      </c>
      <c r="O62" s="396">
        <v>0</v>
      </c>
      <c r="P62" s="396">
        <v>0</v>
      </c>
      <c r="Q62" s="396">
        <v>0</v>
      </c>
      <c r="R62" s="396">
        <v>0</v>
      </c>
      <c r="S62" s="357">
        <f>((F62+R62)+((G62+H62+I62+J62+K62+L62+M62+N62+O62+P62+Q62)*2))/24</f>
        <v>0</v>
      </c>
      <c r="U62" s="358">
        <f>+S62</f>
        <v>0</v>
      </c>
      <c r="V62" s="359"/>
      <c r="W62" s="359"/>
      <c r="X62" s="360"/>
      <c r="Y62" s="359"/>
      <c r="Z62" s="359"/>
      <c r="AA62" s="358"/>
      <c r="AB62" s="359"/>
      <c r="AD62" s="289">
        <f>+U62</f>
        <v>0</v>
      </c>
      <c r="AF62" s="289">
        <f t="shared" si="0"/>
        <v>0</v>
      </c>
    </row>
    <row r="63" spans="1:32">
      <c r="A63" s="113">
        <v>48</v>
      </c>
      <c r="B63" s="119"/>
      <c r="C63" s="119" t="s">
        <v>1982</v>
      </c>
      <c r="D63" s="119" t="s">
        <v>1985</v>
      </c>
      <c r="E63" s="355" t="s">
        <v>1986</v>
      </c>
      <c r="F63" s="698">
        <v>0</v>
      </c>
      <c r="G63" s="698">
        <v>0</v>
      </c>
      <c r="H63" s="698">
        <v>0</v>
      </c>
      <c r="I63" s="698">
        <v>0</v>
      </c>
      <c r="J63" s="698">
        <v>0</v>
      </c>
      <c r="K63" s="698">
        <v>0</v>
      </c>
      <c r="L63" s="698">
        <v>0</v>
      </c>
      <c r="M63" s="698">
        <v>0</v>
      </c>
      <c r="N63" s="698">
        <v>0</v>
      </c>
      <c r="O63" s="698">
        <v>0</v>
      </c>
      <c r="P63" s="698">
        <v>0</v>
      </c>
      <c r="Q63" s="698">
        <v>0</v>
      </c>
      <c r="R63" s="698">
        <v>0</v>
      </c>
      <c r="S63" s="357">
        <f>((F63+R63)+((G63+H63+I63+J63+K63+L63+M63+N63+O63+P63+Q63)*2))/24</f>
        <v>0</v>
      </c>
      <c r="U63" s="358"/>
      <c r="V63" s="359"/>
      <c r="W63" s="359"/>
      <c r="X63" s="360"/>
      <c r="Y63" s="359"/>
      <c r="Z63" s="359"/>
      <c r="AA63" s="358"/>
      <c r="AB63" s="359"/>
      <c r="AD63" s="289"/>
      <c r="AF63" s="289"/>
    </row>
    <row r="64" spans="1:32">
      <c r="A64" s="113">
        <v>49</v>
      </c>
      <c r="E64" s="374" t="s">
        <v>1987</v>
      </c>
      <c r="F64" s="396">
        <f t="shared" ref="F64:S64" si="12">+F62</f>
        <v>0</v>
      </c>
      <c r="G64" s="396">
        <f t="shared" si="12"/>
        <v>0</v>
      </c>
      <c r="H64" s="396">
        <f t="shared" si="12"/>
        <v>0</v>
      </c>
      <c r="I64" s="396">
        <f t="shared" si="12"/>
        <v>0</v>
      </c>
      <c r="J64" s="396">
        <f t="shared" si="12"/>
        <v>0</v>
      </c>
      <c r="K64" s="396">
        <f t="shared" si="12"/>
        <v>0</v>
      </c>
      <c r="L64" s="396">
        <f t="shared" si="12"/>
        <v>0</v>
      </c>
      <c r="M64" s="396">
        <f t="shared" si="12"/>
        <v>0</v>
      </c>
      <c r="N64" s="396">
        <f t="shared" si="12"/>
        <v>0</v>
      </c>
      <c r="O64" s="396">
        <f t="shared" si="12"/>
        <v>0</v>
      </c>
      <c r="P64" s="396">
        <f t="shared" si="12"/>
        <v>0</v>
      </c>
      <c r="Q64" s="396">
        <f t="shared" si="12"/>
        <v>0</v>
      </c>
      <c r="R64" s="396">
        <f t="shared" si="12"/>
        <v>0</v>
      </c>
      <c r="S64" s="697">
        <f t="shared" si="12"/>
        <v>0</v>
      </c>
      <c r="U64" s="358"/>
      <c r="V64" s="359"/>
      <c r="W64" s="359"/>
      <c r="X64" s="360"/>
      <c r="Y64" s="359"/>
      <c r="Z64" s="359"/>
      <c r="AA64" s="358"/>
      <c r="AB64" s="359"/>
      <c r="AF64" s="289">
        <f t="shared" si="0"/>
        <v>0</v>
      </c>
    </row>
    <row r="65" spans="1:32">
      <c r="A65" s="113">
        <v>50</v>
      </c>
      <c r="E65" s="374"/>
      <c r="F65" s="356"/>
      <c r="G65" s="386"/>
      <c r="H65" s="387"/>
      <c r="I65" s="387"/>
      <c r="J65" s="388"/>
      <c r="K65" s="389"/>
      <c r="L65" s="390"/>
      <c r="M65" s="391"/>
      <c r="N65" s="392"/>
      <c r="O65" s="373"/>
      <c r="P65" s="393"/>
      <c r="Q65" s="394"/>
      <c r="R65" s="356"/>
      <c r="S65" s="96"/>
      <c r="U65" s="358"/>
      <c r="V65" s="359"/>
      <c r="W65" s="359"/>
      <c r="X65" s="360"/>
      <c r="Y65" s="359"/>
      <c r="Z65" s="359"/>
      <c r="AA65" s="358"/>
      <c r="AB65" s="359"/>
      <c r="AF65" s="289">
        <f t="shared" si="0"/>
        <v>0</v>
      </c>
    </row>
    <row r="66" spans="1:32">
      <c r="A66" s="113">
        <v>51</v>
      </c>
      <c r="B66" s="119" t="s">
        <v>1530</v>
      </c>
      <c r="C66" s="119" t="s">
        <v>1988</v>
      </c>
      <c r="D66" s="119" t="s">
        <v>1503</v>
      </c>
      <c r="E66" s="355" t="s">
        <v>1989</v>
      </c>
      <c r="F66" s="356">
        <v>-36000.230000000003</v>
      </c>
      <c r="G66" s="356">
        <v>-10493.02</v>
      </c>
      <c r="H66" s="356">
        <v>-4887.6099999999997</v>
      </c>
      <c r="I66" s="356">
        <v>-11709.56</v>
      </c>
      <c r="J66" s="356">
        <v>-11419.42</v>
      </c>
      <c r="K66" s="356">
        <v>-6012.8700000000099</v>
      </c>
      <c r="L66" s="356">
        <v>-27315.7</v>
      </c>
      <c r="M66" s="356">
        <v>-5467.7700000000104</v>
      </c>
      <c r="N66" s="356">
        <v>-47631.63</v>
      </c>
      <c r="O66" s="356">
        <v>-9926.48</v>
      </c>
      <c r="P66" s="356">
        <v>-15549.33</v>
      </c>
      <c r="Q66" s="356">
        <v>-10545.98</v>
      </c>
      <c r="R66" s="356">
        <v>-24214.47</v>
      </c>
      <c r="S66" s="357">
        <f>((F66+R66)+((G66+H66+I66+J66+K66+L66+M66+N66+O66+P66+Q66)*2))/24</f>
        <v>-15922.226666666669</v>
      </c>
      <c r="U66" s="358">
        <f t="shared" ref="U66:U80" si="13">+S66</f>
        <v>-15922.226666666669</v>
      </c>
      <c r="V66" s="359"/>
      <c r="W66" s="359"/>
      <c r="X66" s="360"/>
      <c r="Y66" s="359"/>
      <c r="Z66" s="359"/>
      <c r="AA66" s="358"/>
      <c r="AB66" s="359"/>
      <c r="AD66" s="271">
        <f t="shared" ref="AD66:AD81" si="14">+U66</f>
        <v>-15922.226666666669</v>
      </c>
      <c r="AF66" s="289">
        <f t="shared" si="0"/>
        <v>0</v>
      </c>
    </row>
    <row r="67" spans="1:32">
      <c r="A67" s="113">
        <v>52</v>
      </c>
      <c r="B67" s="119" t="s">
        <v>1543</v>
      </c>
      <c r="C67" s="119" t="s">
        <v>1988</v>
      </c>
      <c r="D67" s="119" t="s">
        <v>1503</v>
      </c>
      <c r="E67" s="355" t="s">
        <v>1990</v>
      </c>
      <c r="F67" s="356">
        <v>3791764.54</v>
      </c>
      <c r="G67" s="356">
        <v>5530886.3700000001</v>
      </c>
      <c r="H67" s="356">
        <v>4256310.8600000003</v>
      </c>
      <c r="I67" s="356">
        <v>4491542.66</v>
      </c>
      <c r="J67" s="356">
        <v>3889865.78</v>
      </c>
      <c r="K67" s="356">
        <v>2146984.46</v>
      </c>
      <c r="L67" s="356">
        <v>1728655.19</v>
      </c>
      <c r="M67" s="356">
        <v>1151049.3999999999</v>
      </c>
      <c r="N67" s="356">
        <v>577180.97</v>
      </c>
      <c r="O67" s="356">
        <v>490255.71</v>
      </c>
      <c r="P67" s="356">
        <v>488631.43</v>
      </c>
      <c r="Q67" s="356">
        <v>2084360.55</v>
      </c>
      <c r="R67" s="356">
        <v>4526229.6500000004</v>
      </c>
      <c r="S67" s="357">
        <f t="shared" ref="S67:S75" si="15">((F67+R67)+((G67+H67+I67+J67+K67+L67+M67+N67+O67+P67+Q67)*2))/24</f>
        <v>2582893.3729166668</v>
      </c>
      <c r="U67" s="358">
        <f t="shared" si="13"/>
        <v>2582893.3729166668</v>
      </c>
      <c r="V67" s="359"/>
      <c r="W67" s="359"/>
      <c r="X67" s="360"/>
      <c r="Y67" s="359"/>
      <c r="Z67" s="359"/>
      <c r="AA67" s="358"/>
      <c r="AB67" s="359"/>
      <c r="AD67" s="271">
        <f t="shared" si="14"/>
        <v>2582893.3729166668</v>
      </c>
      <c r="AF67" s="289">
        <f t="shared" si="0"/>
        <v>0</v>
      </c>
    </row>
    <row r="68" spans="1:32">
      <c r="A68" s="113">
        <v>53</v>
      </c>
      <c r="B68" s="119" t="s">
        <v>1523</v>
      </c>
      <c r="C68" s="119" t="s">
        <v>1988</v>
      </c>
      <c r="D68" s="119" t="s">
        <v>1503</v>
      </c>
      <c r="E68" s="355" t="s">
        <v>1990</v>
      </c>
      <c r="F68" s="356">
        <v>11509546.060000001</v>
      </c>
      <c r="G68" s="356">
        <v>18829584.199999999</v>
      </c>
      <c r="H68" s="356">
        <v>15686260.84</v>
      </c>
      <c r="I68" s="356">
        <v>16344272.060000001</v>
      </c>
      <c r="J68" s="356">
        <v>14378818.77</v>
      </c>
      <c r="K68" s="356">
        <v>9218856.0700000003</v>
      </c>
      <c r="L68" s="356">
        <v>6580430.3600000003</v>
      </c>
      <c r="M68" s="356">
        <v>5594880.4100000001</v>
      </c>
      <c r="N68" s="356">
        <v>2545328.66</v>
      </c>
      <c r="O68" s="356">
        <v>1728277.3</v>
      </c>
      <c r="P68" s="356">
        <v>1529001.3</v>
      </c>
      <c r="Q68" s="356">
        <v>6471737.1100000003</v>
      </c>
      <c r="R68" s="356">
        <v>13408823.939999999</v>
      </c>
      <c r="S68" s="357">
        <f t="shared" si="15"/>
        <v>9280552.6733333319</v>
      </c>
      <c r="U68" s="358">
        <f t="shared" si="13"/>
        <v>9280552.6733333319</v>
      </c>
      <c r="V68" s="359"/>
      <c r="W68" s="359"/>
      <c r="X68" s="360"/>
      <c r="Y68" s="359"/>
      <c r="Z68" s="359"/>
      <c r="AA68" s="358"/>
      <c r="AB68" s="359"/>
      <c r="AD68" s="271">
        <f t="shared" si="14"/>
        <v>9280552.6733333319</v>
      </c>
      <c r="AF68" s="289">
        <f t="shared" si="0"/>
        <v>0</v>
      </c>
    </row>
    <row r="69" spans="1:32">
      <c r="A69" s="113">
        <v>54</v>
      </c>
      <c r="B69" s="119" t="s">
        <v>1543</v>
      </c>
      <c r="C69" s="119" t="s">
        <v>1988</v>
      </c>
      <c r="D69" s="119" t="s">
        <v>1504</v>
      </c>
      <c r="E69" s="355" t="s">
        <v>1991</v>
      </c>
      <c r="F69" s="356">
        <v>23387.360000000001</v>
      </c>
      <c r="G69" s="356">
        <v>20039.59</v>
      </c>
      <c r="H69" s="356">
        <v>165312.26</v>
      </c>
      <c r="I69" s="356">
        <v>10350.15</v>
      </c>
      <c r="J69" s="356">
        <v>47706.63</v>
      </c>
      <c r="K69" s="356">
        <v>48633.25</v>
      </c>
      <c r="L69" s="356">
        <v>12796.47</v>
      </c>
      <c r="M69" s="356">
        <v>57618.32</v>
      </c>
      <c r="N69" s="356">
        <v>34489.83</v>
      </c>
      <c r="O69" s="356">
        <v>75705.55</v>
      </c>
      <c r="P69" s="356">
        <v>21093.439999999999</v>
      </c>
      <c r="Q69" s="356">
        <v>292235.65000000002</v>
      </c>
      <c r="R69" s="356">
        <v>30899.66</v>
      </c>
      <c r="S69" s="357">
        <f t="shared" si="15"/>
        <v>67760.387499999997</v>
      </c>
      <c r="U69" s="358">
        <f t="shared" si="13"/>
        <v>67760.387499999997</v>
      </c>
      <c r="V69" s="359"/>
      <c r="W69" s="359"/>
      <c r="X69" s="360"/>
      <c r="Y69" s="359"/>
      <c r="Z69" s="359"/>
      <c r="AA69" s="358"/>
      <c r="AB69" s="359"/>
      <c r="AD69" s="271">
        <f t="shared" si="14"/>
        <v>67760.387499999997</v>
      </c>
      <c r="AF69" s="289">
        <f t="shared" si="0"/>
        <v>0</v>
      </c>
    </row>
    <row r="70" spans="1:32">
      <c r="A70" s="113">
        <v>55</v>
      </c>
      <c r="B70" s="119" t="s">
        <v>1523</v>
      </c>
      <c r="C70" s="119" t="s">
        <v>1988</v>
      </c>
      <c r="D70" s="119" t="s">
        <v>1504</v>
      </c>
      <c r="E70" s="355" t="s">
        <v>1991</v>
      </c>
      <c r="F70" s="356">
        <v>266649.46999999997</v>
      </c>
      <c r="G70" s="356">
        <v>106242.63</v>
      </c>
      <c r="H70" s="356">
        <v>150435.17000000001</v>
      </c>
      <c r="I70" s="356">
        <v>131981.66</v>
      </c>
      <c r="J70" s="356">
        <v>233407.28</v>
      </c>
      <c r="K70" s="356">
        <v>327060.17</v>
      </c>
      <c r="L70" s="356">
        <v>244827.69</v>
      </c>
      <c r="M70" s="356">
        <v>206276.3</v>
      </c>
      <c r="N70" s="356">
        <v>180169.08</v>
      </c>
      <c r="O70" s="356">
        <v>236409.73</v>
      </c>
      <c r="P70" s="356">
        <v>252521.38</v>
      </c>
      <c r="Q70" s="356">
        <v>1372894.86</v>
      </c>
      <c r="R70" s="356">
        <v>288410.87</v>
      </c>
      <c r="S70" s="357">
        <f t="shared" si="15"/>
        <v>309979.6766666667</v>
      </c>
      <c r="U70" s="358">
        <f t="shared" si="13"/>
        <v>309979.6766666667</v>
      </c>
      <c r="V70" s="359"/>
      <c r="W70" s="359"/>
      <c r="X70" s="360"/>
      <c r="Y70" s="359"/>
      <c r="Z70" s="359"/>
      <c r="AA70" s="358"/>
      <c r="AB70" s="359"/>
      <c r="AD70" s="271">
        <f t="shared" si="14"/>
        <v>309979.6766666667</v>
      </c>
      <c r="AF70" s="289">
        <f t="shared" si="0"/>
        <v>0</v>
      </c>
    </row>
    <row r="71" spans="1:32">
      <c r="A71" s="113">
        <v>56</v>
      </c>
      <c r="B71" s="119" t="s">
        <v>1543</v>
      </c>
      <c r="C71" s="119" t="s">
        <v>1988</v>
      </c>
      <c r="D71" s="119" t="s">
        <v>1506</v>
      </c>
      <c r="E71" s="355" t="s">
        <v>1992</v>
      </c>
      <c r="F71" s="356">
        <v>0</v>
      </c>
      <c r="G71" s="356">
        <v>0</v>
      </c>
      <c r="H71" s="356">
        <v>0</v>
      </c>
      <c r="I71" s="356">
        <v>0</v>
      </c>
      <c r="J71" s="356">
        <v>0</v>
      </c>
      <c r="K71" s="356">
        <v>0</v>
      </c>
      <c r="L71" s="356">
        <v>0</v>
      </c>
      <c r="M71" s="356">
        <v>0</v>
      </c>
      <c r="N71" s="356">
        <v>0</v>
      </c>
      <c r="O71" s="356">
        <v>0</v>
      </c>
      <c r="P71" s="356">
        <v>0</v>
      </c>
      <c r="Q71" s="356">
        <v>0</v>
      </c>
      <c r="R71" s="356">
        <v>0</v>
      </c>
      <c r="S71" s="357">
        <f t="shared" si="15"/>
        <v>0</v>
      </c>
      <c r="U71" s="358">
        <f t="shared" si="13"/>
        <v>0</v>
      </c>
      <c r="V71" s="359"/>
      <c r="W71" s="359"/>
      <c r="X71" s="360"/>
      <c r="Y71" s="359"/>
      <c r="Z71" s="359"/>
      <c r="AA71" s="358"/>
      <c r="AB71" s="359"/>
      <c r="AD71" s="271">
        <f t="shared" si="14"/>
        <v>0</v>
      </c>
      <c r="AF71" s="289">
        <f t="shared" si="0"/>
        <v>0</v>
      </c>
    </row>
    <row r="72" spans="1:32">
      <c r="A72" s="113">
        <v>57</v>
      </c>
      <c r="B72" s="119" t="s">
        <v>1523</v>
      </c>
      <c r="C72" s="119" t="s">
        <v>1988</v>
      </c>
      <c r="D72" s="119" t="s">
        <v>1506</v>
      </c>
      <c r="E72" s="355" t="s">
        <v>1992</v>
      </c>
      <c r="F72" s="356">
        <v>0</v>
      </c>
      <c r="G72" s="356">
        <v>0</v>
      </c>
      <c r="H72" s="356">
        <v>0</v>
      </c>
      <c r="I72" s="356">
        <v>0</v>
      </c>
      <c r="J72" s="356">
        <v>0</v>
      </c>
      <c r="K72" s="356">
        <v>0</v>
      </c>
      <c r="L72" s="356">
        <v>0</v>
      </c>
      <c r="M72" s="356">
        <v>0</v>
      </c>
      <c r="N72" s="356">
        <v>0</v>
      </c>
      <c r="O72" s="356">
        <v>0</v>
      </c>
      <c r="P72" s="356">
        <v>0</v>
      </c>
      <c r="Q72" s="356">
        <v>0</v>
      </c>
      <c r="R72" s="356">
        <v>0</v>
      </c>
      <c r="S72" s="357">
        <f t="shared" si="15"/>
        <v>0</v>
      </c>
      <c r="U72" s="358">
        <f t="shared" si="13"/>
        <v>0</v>
      </c>
      <c r="V72" s="359"/>
      <c r="W72" s="359"/>
      <c r="X72" s="360"/>
      <c r="Y72" s="359"/>
      <c r="Z72" s="359"/>
      <c r="AA72" s="358"/>
      <c r="AB72" s="359"/>
      <c r="AD72" s="271">
        <f t="shared" si="14"/>
        <v>0</v>
      </c>
      <c r="AF72" s="289">
        <f t="shared" si="0"/>
        <v>0</v>
      </c>
    </row>
    <row r="73" spans="1:32">
      <c r="A73" s="113">
        <v>58</v>
      </c>
      <c r="B73" s="119" t="s">
        <v>1530</v>
      </c>
      <c r="C73" s="119" t="s">
        <v>1993</v>
      </c>
      <c r="D73" s="119" t="s">
        <v>1994</v>
      </c>
      <c r="E73" s="355" t="s">
        <v>1995</v>
      </c>
      <c r="F73" s="356">
        <v>1539318.94</v>
      </c>
      <c r="G73" s="356">
        <v>1366860.76</v>
      </c>
      <c r="H73" s="356">
        <v>764463.86</v>
      </c>
      <c r="I73" s="356">
        <v>634446.19999999995</v>
      </c>
      <c r="J73" s="356">
        <v>182991.06</v>
      </c>
      <c r="K73" s="356">
        <v>604480.79</v>
      </c>
      <c r="L73" s="356">
        <v>1252449.79</v>
      </c>
      <c r="M73" s="356">
        <v>915335.33</v>
      </c>
      <c r="N73" s="356">
        <v>809436.86</v>
      </c>
      <c r="O73" s="356">
        <v>1782798.65</v>
      </c>
      <c r="P73" s="356">
        <v>1433647.07</v>
      </c>
      <c r="Q73" s="356">
        <v>1786995.48</v>
      </c>
      <c r="R73" s="356">
        <v>1434094.23</v>
      </c>
      <c r="S73" s="357">
        <f t="shared" si="15"/>
        <v>1085051.0362500001</v>
      </c>
      <c r="U73" s="358">
        <f t="shared" si="13"/>
        <v>1085051.0362500001</v>
      </c>
      <c r="V73" s="359"/>
      <c r="W73" s="359"/>
      <c r="X73" s="360"/>
      <c r="Y73" s="359"/>
      <c r="Z73" s="359"/>
      <c r="AA73" s="358"/>
      <c r="AB73" s="359"/>
      <c r="AD73" s="271">
        <f t="shared" si="14"/>
        <v>1085051.0362500001</v>
      </c>
      <c r="AF73" s="289">
        <f t="shared" si="0"/>
        <v>0</v>
      </c>
    </row>
    <row r="74" spans="1:32">
      <c r="A74" s="113">
        <v>59</v>
      </c>
      <c r="B74" s="119" t="s">
        <v>1530</v>
      </c>
      <c r="C74" s="119" t="s">
        <v>1993</v>
      </c>
      <c r="D74" s="119" t="s">
        <v>376</v>
      </c>
      <c r="E74" s="355" t="s">
        <v>1996</v>
      </c>
      <c r="F74" s="356">
        <v>-1908.26</v>
      </c>
      <c r="G74" s="356">
        <v>-1908.26</v>
      </c>
      <c r="H74" s="356">
        <v>-1908.26</v>
      </c>
      <c r="I74" s="356">
        <v>-1908.63</v>
      </c>
      <c r="J74" s="356">
        <v>-1908.26</v>
      </c>
      <c r="K74" s="356">
        <v>-1908.63</v>
      </c>
      <c r="L74" s="356">
        <v>-1908.63</v>
      </c>
      <c r="M74" s="356">
        <v>-1908.63</v>
      </c>
      <c r="N74" s="356">
        <v>-1908.63</v>
      </c>
      <c r="O74" s="356">
        <v>-1908.63</v>
      </c>
      <c r="P74" s="356">
        <v>-1908.63</v>
      </c>
      <c r="Q74" s="356">
        <v>-1908.63</v>
      </c>
      <c r="R74" s="356">
        <v>-1908.63</v>
      </c>
      <c r="S74" s="357">
        <f>((F74+R74)+((G74+H74+I74+J74+K74+L74+M74+N74+O74+P74+Q74)*2))/24</f>
        <v>-1908.522083333334</v>
      </c>
      <c r="U74" s="358">
        <f t="shared" si="13"/>
        <v>-1908.522083333334</v>
      </c>
      <c r="V74" s="359"/>
      <c r="W74" s="359"/>
      <c r="X74" s="360"/>
      <c r="Y74" s="359"/>
      <c r="Z74" s="359"/>
      <c r="AA74" s="358"/>
      <c r="AB74" s="359"/>
      <c r="AD74" s="271">
        <f t="shared" si="14"/>
        <v>-1908.522083333334</v>
      </c>
      <c r="AF74" s="289">
        <f t="shared" si="0"/>
        <v>0</v>
      </c>
    </row>
    <row r="75" spans="1:32">
      <c r="A75" s="113">
        <v>60</v>
      </c>
      <c r="B75" s="119" t="s">
        <v>1530</v>
      </c>
      <c r="C75" s="119" t="s">
        <v>1993</v>
      </c>
      <c r="D75" s="119" t="s">
        <v>378</v>
      </c>
      <c r="E75" s="355" t="s">
        <v>1997</v>
      </c>
      <c r="F75" s="356">
        <v>658.36</v>
      </c>
      <c r="G75" s="356">
        <v>569.03</v>
      </c>
      <c r="H75" s="356">
        <v>343.07</v>
      </c>
      <c r="I75" s="356">
        <v>871.27</v>
      </c>
      <c r="J75" s="356">
        <v>274.64</v>
      </c>
      <c r="K75" s="356">
        <v>759.85</v>
      </c>
      <c r="L75" s="356">
        <v>271.92</v>
      </c>
      <c r="M75" s="356">
        <v>683.39</v>
      </c>
      <c r="N75" s="356">
        <v>238</v>
      </c>
      <c r="O75" s="356">
        <v>324.86</v>
      </c>
      <c r="P75" s="356">
        <v>128.31</v>
      </c>
      <c r="Q75" s="356">
        <v>183.76</v>
      </c>
      <c r="R75" s="356">
        <v>14.1099999999999</v>
      </c>
      <c r="S75" s="357">
        <f t="shared" si="15"/>
        <v>415.36124999999998</v>
      </c>
      <c r="U75" s="358">
        <f t="shared" si="13"/>
        <v>415.36124999999998</v>
      </c>
      <c r="V75" s="359"/>
      <c r="W75" s="359"/>
      <c r="X75" s="360"/>
      <c r="Y75" s="359"/>
      <c r="Z75" s="359"/>
      <c r="AA75" s="358"/>
      <c r="AB75" s="359"/>
      <c r="AD75" s="271">
        <f t="shared" si="14"/>
        <v>415.36124999999998</v>
      </c>
      <c r="AF75" s="289">
        <f t="shared" si="0"/>
        <v>0</v>
      </c>
    </row>
    <row r="76" spans="1:32">
      <c r="A76" s="113">
        <v>61</v>
      </c>
      <c r="B76" s="119" t="s">
        <v>1530</v>
      </c>
      <c r="C76" s="119" t="s">
        <v>1993</v>
      </c>
      <c r="D76" s="119" t="s">
        <v>379</v>
      </c>
      <c r="E76" s="355" t="s">
        <v>1998</v>
      </c>
      <c r="F76" s="356">
        <v>8084.0099999999902</v>
      </c>
      <c r="G76" s="356">
        <v>8104.01</v>
      </c>
      <c r="H76" s="356">
        <v>8084.01</v>
      </c>
      <c r="I76" s="356">
        <v>8084.01</v>
      </c>
      <c r="J76" s="356">
        <v>8084.01</v>
      </c>
      <c r="K76" s="356">
        <v>8148.05</v>
      </c>
      <c r="L76" s="356">
        <v>8084.01</v>
      </c>
      <c r="M76" s="356">
        <v>8084.01</v>
      </c>
      <c r="N76" s="356">
        <v>8084.01</v>
      </c>
      <c r="O76" s="356">
        <v>8084.01</v>
      </c>
      <c r="P76" s="356">
        <v>8084.01</v>
      </c>
      <c r="Q76" s="356">
        <v>8084.01</v>
      </c>
      <c r="R76" s="356">
        <v>18914.39</v>
      </c>
      <c r="S76" s="357">
        <f t="shared" ref="S76:S81" si="16">((F76+R76)+((G76+H76+I76+J76+K76+L76+M76+N76+O76+P76+Q76)*2))/24</f>
        <v>8542.2791666666653</v>
      </c>
      <c r="U76" s="358">
        <f t="shared" si="13"/>
        <v>8542.2791666666653</v>
      </c>
      <c r="V76" s="359"/>
      <c r="W76" s="359"/>
      <c r="X76" s="360"/>
      <c r="Y76" s="359"/>
      <c r="Z76" s="359"/>
      <c r="AA76" s="358"/>
      <c r="AB76" s="359"/>
      <c r="AD76" s="271">
        <f t="shared" si="14"/>
        <v>8542.2791666666653</v>
      </c>
      <c r="AF76" s="289">
        <f t="shared" si="0"/>
        <v>0</v>
      </c>
    </row>
    <row r="77" spans="1:32">
      <c r="A77" s="113">
        <v>62</v>
      </c>
      <c r="B77" s="119" t="s">
        <v>1530</v>
      </c>
      <c r="C77" s="119" t="s">
        <v>1993</v>
      </c>
      <c r="D77" s="119" t="s">
        <v>381</v>
      </c>
      <c r="E77" s="355" t="s">
        <v>1999</v>
      </c>
      <c r="F77" s="356">
        <v>3362650.77</v>
      </c>
      <c r="G77" s="356">
        <v>1130069.67</v>
      </c>
      <c r="H77" s="356">
        <v>0</v>
      </c>
      <c r="I77" s="356">
        <v>0</v>
      </c>
      <c r="J77" s="356">
        <v>0</v>
      </c>
      <c r="K77" s="356">
        <v>0</v>
      </c>
      <c r="L77" s="356">
        <v>0</v>
      </c>
      <c r="M77" s="356">
        <v>3942514.35</v>
      </c>
      <c r="N77" s="356">
        <v>5267126.2300000004</v>
      </c>
      <c r="O77" s="356">
        <v>7602542.7800000003</v>
      </c>
      <c r="P77" s="356">
        <v>7328243.0499999998</v>
      </c>
      <c r="Q77" s="356">
        <v>5185959.7</v>
      </c>
      <c r="R77" s="356">
        <v>9.3132257461547893E-10</v>
      </c>
      <c r="S77" s="357">
        <f t="shared" si="16"/>
        <v>2678148.4304166669</v>
      </c>
      <c r="U77" s="358">
        <f t="shared" si="13"/>
        <v>2678148.4304166669</v>
      </c>
      <c r="V77" s="359"/>
      <c r="W77" s="359"/>
      <c r="X77" s="360"/>
      <c r="Y77" s="359"/>
      <c r="Z77" s="359"/>
      <c r="AA77" s="358"/>
      <c r="AB77" s="359"/>
      <c r="AD77" s="271">
        <f t="shared" si="14"/>
        <v>2678148.4304166669</v>
      </c>
      <c r="AF77" s="289"/>
    </row>
    <row r="78" spans="1:32">
      <c r="A78" s="113">
        <v>63</v>
      </c>
      <c r="B78" s="119" t="s">
        <v>1543</v>
      </c>
      <c r="C78" s="119" t="s">
        <v>1993</v>
      </c>
      <c r="D78" s="119" t="s">
        <v>382</v>
      </c>
      <c r="E78" s="355" t="s">
        <v>2000</v>
      </c>
      <c r="F78" s="356">
        <v>282015.99</v>
      </c>
      <c r="G78" s="356">
        <v>86222.12</v>
      </c>
      <c r="H78" s="356">
        <v>0</v>
      </c>
      <c r="I78" s="356">
        <v>0</v>
      </c>
      <c r="J78" s="356">
        <v>0</v>
      </c>
      <c r="K78" s="356">
        <v>0</v>
      </c>
      <c r="L78" s="356">
        <v>0</v>
      </c>
      <c r="M78" s="356">
        <v>418499.47</v>
      </c>
      <c r="N78" s="356">
        <v>533483.42000000004</v>
      </c>
      <c r="O78" s="356">
        <v>708650.39</v>
      </c>
      <c r="P78" s="356">
        <v>685132.24</v>
      </c>
      <c r="Q78" s="356">
        <v>498244.93</v>
      </c>
      <c r="R78" s="356">
        <v>-1.16415321826935E-10</v>
      </c>
      <c r="S78" s="357">
        <f t="shared" si="16"/>
        <v>255936.71375</v>
      </c>
      <c r="U78" s="358">
        <f t="shared" si="13"/>
        <v>255936.71375</v>
      </c>
      <c r="V78" s="359"/>
      <c r="W78" s="359"/>
      <c r="X78" s="360"/>
      <c r="Y78" s="359"/>
      <c r="Z78" s="359"/>
      <c r="AA78" s="358"/>
      <c r="AB78" s="359"/>
      <c r="AD78" s="271">
        <f t="shared" si="14"/>
        <v>255936.71375</v>
      </c>
      <c r="AF78" s="289"/>
    </row>
    <row r="79" spans="1:32">
      <c r="A79" s="113">
        <v>64</v>
      </c>
      <c r="B79" s="119" t="s">
        <v>1530</v>
      </c>
      <c r="C79" s="119" t="s">
        <v>1993</v>
      </c>
      <c r="D79" s="119" t="s">
        <v>2001</v>
      </c>
      <c r="E79" s="355" t="s">
        <v>2002</v>
      </c>
      <c r="F79" s="356">
        <v>-103941.2</v>
      </c>
      <c r="G79" s="356">
        <v>-103941.2</v>
      </c>
      <c r="H79" s="356">
        <v>0</v>
      </c>
      <c r="I79" s="356">
        <v>0</v>
      </c>
      <c r="J79" s="356">
        <v>0</v>
      </c>
      <c r="K79" s="356">
        <v>0</v>
      </c>
      <c r="L79" s="356">
        <v>0</v>
      </c>
      <c r="M79" s="356">
        <v>-128355.2</v>
      </c>
      <c r="N79" s="356">
        <v>-128355.2</v>
      </c>
      <c r="O79" s="356">
        <v>-110576.21</v>
      </c>
      <c r="P79" s="356">
        <v>-110576.21</v>
      </c>
      <c r="Q79" s="356">
        <v>-86189.01</v>
      </c>
      <c r="R79" s="356">
        <v>0</v>
      </c>
      <c r="S79" s="357">
        <f t="shared" si="16"/>
        <v>-59996.969166666669</v>
      </c>
      <c r="U79" s="358">
        <f t="shared" si="13"/>
        <v>-59996.969166666669</v>
      </c>
      <c r="V79" s="359"/>
      <c r="W79" s="359"/>
      <c r="X79" s="360"/>
      <c r="Y79" s="359"/>
      <c r="Z79" s="359"/>
      <c r="AA79" s="358"/>
      <c r="AB79" s="359"/>
      <c r="AD79" s="271">
        <f t="shared" si="14"/>
        <v>-59996.969166666669</v>
      </c>
      <c r="AF79" s="289"/>
    </row>
    <row r="80" spans="1:32">
      <c r="A80" s="113">
        <v>65</v>
      </c>
      <c r="B80" s="119" t="s">
        <v>2003</v>
      </c>
      <c r="C80" s="119" t="s">
        <v>1993</v>
      </c>
      <c r="D80" s="119" t="s">
        <v>2004</v>
      </c>
      <c r="E80" s="355" t="s">
        <v>2005</v>
      </c>
      <c r="F80" s="356">
        <v>0</v>
      </c>
      <c r="G80" s="356">
        <v>0</v>
      </c>
      <c r="H80" s="356">
        <v>0</v>
      </c>
      <c r="I80" s="356">
        <v>0</v>
      </c>
      <c r="J80" s="356">
        <v>0</v>
      </c>
      <c r="K80" s="356">
        <v>0</v>
      </c>
      <c r="L80" s="356">
        <v>0</v>
      </c>
      <c r="M80" s="356">
        <v>0</v>
      </c>
      <c r="N80" s="356">
        <v>0</v>
      </c>
      <c r="O80" s="356">
        <v>0</v>
      </c>
      <c r="P80" s="356">
        <v>0</v>
      </c>
      <c r="Q80" s="356">
        <v>0</v>
      </c>
      <c r="R80" s="356">
        <v>0</v>
      </c>
      <c r="S80" s="357">
        <f t="shared" si="16"/>
        <v>0</v>
      </c>
      <c r="U80" s="358">
        <f t="shared" si="13"/>
        <v>0</v>
      </c>
      <c r="V80" s="359"/>
      <c r="W80" s="359"/>
      <c r="X80" s="360"/>
      <c r="Y80" s="359"/>
      <c r="Z80" s="359"/>
      <c r="AA80" s="358"/>
      <c r="AB80" s="359"/>
      <c r="AD80" s="271">
        <f t="shared" si="14"/>
        <v>0</v>
      </c>
      <c r="AF80" s="289"/>
    </row>
    <row r="81" spans="1:32">
      <c r="A81" s="113">
        <v>66</v>
      </c>
      <c r="B81" s="119" t="s">
        <v>2003</v>
      </c>
      <c r="C81" s="119" t="s">
        <v>1988</v>
      </c>
      <c r="D81" s="119" t="s">
        <v>1526</v>
      </c>
      <c r="E81" s="355" t="s">
        <v>1992</v>
      </c>
      <c r="F81" s="356">
        <v>6456802.7800000003</v>
      </c>
      <c r="G81" s="356">
        <v>4602968.38</v>
      </c>
      <c r="H81" s="356">
        <v>3671757.41</v>
      </c>
      <c r="I81" s="356">
        <v>2871172.9</v>
      </c>
      <c r="J81" s="356">
        <v>2527000.69</v>
      </c>
      <c r="K81" s="356">
        <v>2892480.72</v>
      </c>
      <c r="L81" s="356">
        <v>3421158.03</v>
      </c>
      <c r="M81" s="356">
        <v>4165739.57</v>
      </c>
      <c r="N81" s="356">
        <v>5222899.6399999997</v>
      </c>
      <c r="O81" s="356">
        <v>6385870.5800000001</v>
      </c>
      <c r="P81" s="356">
        <v>7649368.5199999996</v>
      </c>
      <c r="Q81" s="356">
        <v>7564745.1600000001</v>
      </c>
      <c r="R81" s="356">
        <v>6465598.1600000001</v>
      </c>
      <c r="S81" s="357">
        <f t="shared" si="16"/>
        <v>4786363.5058333324</v>
      </c>
      <c r="U81" s="358">
        <f>+S81</f>
        <v>4786363.5058333324</v>
      </c>
      <c r="V81" s="359"/>
      <c r="W81" s="359"/>
      <c r="X81" s="360"/>
      <c r="Y81" s="359"/>
      <c r="Z81" s="359"/>
      <c r="AA81" s="358"/>
      <c r="AB81" s="359"/>
      <c r="AD81" s="271">
        <f t="shared" si="14"/>
        <v>4786363.5058333324</v>
      </c>
      <c r="AF81" s="289"/>
    </row>
    <row r="82" spans="1:32">
      <c r="A82" s="113">
        <v>67</v>
      </c>
      <c r="E82" s="374" t="s">
        <v>2006</v>
      </c>
      <c r="F82" s="356">
        <f t="shared" ref="F82:Q82" si="17">SUM(F66:F81)</f>
        <v>27099028.59</v>
      </c>
      <c r="G82" s="356">
        <f t="shared" si="17"/>
        <v>31565204.280000005</v>
      </c>
      <c r="H82" s="356">
        <f t="shared" si="17"/>
        <v>24696171.610000003</v>
      </c>
      <c r="I82" s="356">
        <f t="shared" si="17"/>
        <v>24479102.719999999</v>
      </c>
      <c r="J82" s="356">
        <f t="shared" si="17"/>
        <v>21254821.18</v>
      </c>
      <c r="K82" s="356">
        <f t="shared" si="17"/>
        <v>15239481.860000001</v>
      </c>
      <c r="L82" s="356">
        <f t="shared" si="17"/>
        <v>13219449.129999999</v>
      </c>
      <c r="M82" s="356">
        <f t="shared" si="17"/>
        <v>16324948.950000001</v>
      </c>
      <c r="N82" s="356">
        <f t="shared" si="17"/>
        <v>15000541.240000002</v>
      </c>
      <c r="O82" s="356">
        <f t="shared" si="17"/>
        <v>18896508.240000002</v>
      </c>
      <c r="P82" s="356">
        <f t="shared" si="17"/>
        <v>19267816.579999998</v>
      </c>
      <c r="Q82" s="356">
        <f t="shared" si="17"/>
        <v>25166797.589999996</v>
      </c>
      <c r="R82" s="356">
        <f>SUM(R66:R81)</f>
        <v>26146861.910000004</v>
      </c>
      <c r="S82" s="357">
        <f>SUM(S66:S81)</f>
        <v>20977815.719166666</v>
      </c>
      <c r="U82" s="358"/>
      <c r="V82" s="359"/>
      <c r="W82" s="359"/>
      <c r="X82" s="360"/>
      <c r="Y82" s="359"/>
      <c r="Z82" s="359"/>
      <c r="AA82" s="358"/>
      <c r="AB82" s="359"/>
      <c r="AF82" s="289">
        <f t="shared" si="0"/>
        <v>0</v>
      </c>
    </row>
    <row r="83" spans="1:32">
      <c r="A83" s="113">
        <v>68</v>
      </c>
      <c r="E83" s="374" t="s">
        <v>2007</v>
      </c>
      <c r="F83" s="356"/>
      <c r="G83" s="386"/>
      <c r="H83" s="387"/>
      <c r="I83" s="387"/>
      <c r="J83" s="388"/>
      <c r="K83" s="389"/>
      <c r="L83" s="390"/>
      <c r="M83" s="391"/>
      <c r="N83" s="392"/>
      <c r="O83" s="373"/>
      <c r="P83" s="393"/>
      <c r="Q83" s="394"/>
      <c r="R83" s="356"/>
      <c r="S83" s="96"/>
      <c r="U83" s="358"/>
      <c r="V83" s="359"/>
      <c r="W83" s="359"/>
      <c r="X83" s="360"/>
      <c r="Y83" s="359"/>
      <c r="Z83" s="359"/>
      <c r="AA83" s="358"/>
      <c r="AB83" s="359"/>
      <c r="AF83" s="289">
        <f t="shared" si="0"/>
        <v>0</v>
      </c>
    </row>
    <row r="84" spans="1:32">
      <c r="A84" s="113">
        <v>69</v>
      </c>
      <c r="B84" s="119" t="s">
        <v>1530</v>
      </c>
      <c r="C84" s="119" t="s">
        <v>2008</v>
      </c>
      <c r="D84" s="119" t="s">
        <v>2009</v>
      </c>
      <c r="E84" s="374" t="s">
        <v>2010</v>
      </c>
      <c r="F84" s="356">
        <v>0</v>
      </c>
      <c r="G84" s="356">
        <v>0</v>
      </c>
      <c r="H84" s="356">
        <v>0</v>
      </c>
      <c r="I84" s="356">
        <v>0</v>
      </c>
      <c r="J84" s="356">
        <v>0</v>
      </c>
      <c r="K84" s="356">
        <v>0</v>
      </c>
      <c r="L84" s="356">
        <v>0</v>
      </c>
      <c r="M84" s="356">
        <v>0</v>
      </c>
      <c r="N84" s="356">
        <v>0</v>
      </c>
      <c r="O84" s="356">
        <v>0</v>
      </c>
      <c r="P84" s="356">
        <v>0</v>
      </c>
      <c r="Q84" s="356">
        <v>0</v>
      </c>
      <c r="R84" s="356">
        <v>0</v>
      </c>
      <c r="S84" s="357">
        <f>((F84+R84)+((G84+H84+I84+J84+K84+L84+M84+N84+O84+P84+Q84)*2))/24</f>
        <v>0</v>
      </c>
      <c r="U84" s="358">
        <f>+S84</f>
        <v>0</v>
      </c>
      <c r="V84" s="359"/>
      <c r="W84" s="359"/>
      <c r="X84" s="360"/>
      <c r="Y84" s="359"/>
      <c r="Z84" s="359"/>
      <c r="AA84" s="358"/>
      <c r="AB84" s="359"/>
      <c r="AF84" s="289">
        <f t="shared" si="0"/>
        <v>0</v>
      </c>
    </row>
    <row r="85" spans="1:32">
      <c r="A85" s="113">
        <v>70</v>
      </c>
      <c r="B85" s="119" t="s">
        <v>1530</v>
      </c>
      <c r="C85" s="119" t="s">
        <v>2008</v>
      </c>
      <c r="D85" s="119" t="s">
        <v>2011</v>
      </c>
      <c r="E85" s="374" t="s">
        <v>2012</v>
      </c>
      <c r="F85" s="356">
        <v>0</v>
      </c>
      <c r="G85" s="356">
        <v>0</v>
      </c>
      <c r="H85" s="356">
        <v>0</v>
      </c>
      <c r="I85" s="356">
        <v>0</v>
      </c>
      <c r="J85" s="356">
        <v>0</v>
      </c>
      <c r="K85" s="356">
        <v>0</v>
      </c>
      <c r="L85" s="356">
        <v>0</v>
      </c>
      <c r="M85" s="356">
        <v>0</v>
      </c>
      <c r="N85" s="356">
        <v>0</v>
      </c>
      <c r="O85" s="356">
        <v>0</v>
      </c>
      <c r="P85" s="356">
        <v>0</v>
      </c>
      <c r="Q85" s="356">
        <v>0</v>
      </c>
      <c r="R85" s="356">
        <v>0</v>
      </c>
      <c r="S85" s="357">
        <f>((F85+R85)+((G85+H85+I85+J85+K85+L85+M85+N85+O85+P85+Q85)*2))/24</f>
        <v>0</v>
      </c>
      <c r="U85" s="358">
        <f>+S85</f>
        <v>0</v>
      </c>
      <c r="V85" s="359"/>
      <c r="W85" s="359"/>
      <c r="X85" s="360"/>
      <c r="Y85" s="359"/>
      <c r="Z85" s="359"/>
      <c r="AA85" s="358"/>
      <c r="AB85" s="359"/>
      <c r="AF85" s="289">
        <f t="shared" si="0"/>
        <v>0</v>
      </c>
    </row>
    <row r="86" spans="1:32">
      <c r="A86" s="113">
        <v>71</v>
      </c>
      <c r="E86" s="374"/>
      <c r="F86" s="356"/>
      <c r="G86" s="386"/>
      <c r="H86" s="387"/>
      <c r="I86" s="387"/>
      <c r="J86" s="388"/>
      <c r="K86" s="389"/>
      <c r="L86" s="390"/>
      <c r="M86" s="391"/>
      <c r="N86" s="392"/>
      <c r="O86" s="373"/>
      <c r="P86" s="393"/>
      <c r="Q86" s="394"/>
      <c r="R86" s="356"/>
      <c r="S86" s="357"/>
      <c r="U86" s="358"/>
      <c r="V86" s="359"/>
      <c r="W86" s="359"/>
      <c r="X86" s="360">
        <f>+S86</f>
        <v>0</v>
      </c>
      <c r="Y86" s="359"/>
      <c r="Z86" s="359"/>
      <c r="AA86" s="358"/>
      <c r="AB86" s="359"/>
      <c r="AF86" s="289">
        <f t="shared" si="0"/>
        <v>0</v>
      </c>
    </row>
    <row r="87" spans="1:32">
      <c r="A87" s="113">
        <v>72</v>
      </c>
      <c r="B87" s="119" t="s">
        <v>1530</v>
      </c>
      <c r="C87" s="119" t="s">
        <v>2013</v>
      </c>
      <c r="D87" s="119" t="s">
        <v>2014</v>
      </c>
      <c r="E87" s="374" t="s">
        <v>2015</v>
      </c>
      <c r="F87" s="356">
        <v>13039.55</v>
      </c>
      <c r="G87" s="356">
        <v>13039.55</v>
      </c>
      <c r="H87" s="356">
        <v>0</v>
      </c>
      <c r="I87" s="356">
        <v>0</v>
      </c>
      <c r="J87" s="356">
        <v>0</v>
      </c>
      <c r="K87" s="356">
        <v>0</v>
      </c>
      <c r="L87" s="356">
        <v>0</v>
      </c>
      <c r="M87" s="356">
        <v>0</v>
      </c>
      <c r="N87" s="356">
        <v>0</v>
      </c>
      <c r="O87" s="356">
        <v>31360.13</v>
      </c>
      <c r="P87" s="356">
        <v>31360.13</v>
      </c>
      <c r="Q87" s="356">
        <v>8452.1200000000008</v>
      </c>
      <c r="R87" s="356">
        <v>1.8189894035458601E-12</v>
      </c>
      <c r="S87" s="357">
        <f t="shared" ref="S87:S95" si="18">((F87+R87)+((G87+H87+I87+J87+K87+L87+M87+N87+O87+P87+Q87)*2))/24</f>
        <v>7560.9754166666653</v>
      </c>
      <c r="U87" s="358"/>
      <c r="V87" s="359"/>
      <c r="W87" s="359"/>
      <c r="X87" s="360">
        <f>+S87</f>
        <v>7560.9754166666653</v>
      </c>
      <c r="Y87" s="359"/>
      <c r="Z87" s="359"/>
      <c r="AA87" s="358"/>
      <c r="AB87" s="359">
        <f t="shared" ref="AB87:AB95" si="19">+S87</f>
        <v>7560.9754166666653</v>
      </c>
      <c r="AF87" s="289">
        <f t="shared" ref="AF87:AF150" si="20">+U87+V87-AD87</f>
        <v>0</v>
      </c>
    </row>
    <row r="88" spans="1:32">
      <c r="A88" s="113">
        <v>73</v>
      </c>
      <c r="B88" s="119" t="s">
        <v>1530</v>
      </c>
      <c r="C88" s="119" t="s">
        <v>2013</v>
      </c>
      <c r="D88" s="119" t="s">
        <v>2016</v>
      </c>
      <c r="E88" s="374" t="s">
        <v>2017</v>
      </c>
      <c r="F88" s="356">
        <v>74428.789999999994</v>
      </c>
      <c r="G88" s="356">
        <v>13457.54</v>
      </c>
      <c r="H88" s="356">
        <v>13457.54</v>
      </c>
      <c r="I88" s="356">
        <v>13457.54</v>
      </c>
      <c r="J88" s="356">
        <v>9500.5799999999908</v>
      </c>
      <c r="K88" s="356">
        <v>9500.5799999999908</v>
      </c>
      <c r="L88" s="356">
        <v>179016.37</v>
      </c>
      <c r="M88" s="356">
        <v>176006.51</v>
      </c>
      <c r="N88" s="356">
        <v>287578.21999999997</v>
      </c>
      <c r="O88" s="356">
        <v>5.8207660913467401E-11</v>
      </c>
      <c r="P88" s="356">
        <v>5.8207660913467401E-11</v>
      </c>
      <c r="Q88" s="356">
        <v>76906.220000000103</v>
      </c>
      <c r="R88" s="356">
        <v>223678.02</v>
      </c>
      <c r="S88" s="357">
        <f t="shared" si="18"/>
        <v>77327.875416666662</v>
      </c>
      <c r="U88" s="358"/>
      <c r="V88" s="359"/>
      <c r="W88" s="359"/>
      <c r="X88" s="360">
        <f>+S88</f>
        <v>77327.875416666662</v>
      </c>
      <c r="Y88" s="359"/>
      <c r="Z88" s="359"/>
      <c r="AA88" s="358"/>
      <c r="AB88" s="359">
        <f t="shared" si="19"/>
        <v>77327.875416666662</v>
      </c>
      <c r="AF88" s="289">
        <f t="shared" si="20"/>
        <v>0</v>
      </c>
    </row>
    <row r="89" spans="1:32">
      <c r="A89" s="113">
        <v>74</v>
      </c>
      <c r="B89" s="119" t="s">
        <v>1530</v>
      </c>
      <c r="C89" s="119" t="s">
        <v>2013</v>
      </c>
      <c r="D89" s="119" t="s">
        <v>2018</v>
      </c>
      <c r="E89" s="374" t="s">
        <v>2019</v>
      </c>
      <c r="F89" s="356">
        <v>34554.699999999997</v>
      </c>
      <c r="G89" s="356">
        <v>34554.699999999997</v>
      </c>
      <c r="H89" s="356">
        <v>34554.699999999997</v>
      </c>
      <c r="I89" s="356">
        <v>0</v>
      </c>
      <c r="J89" s="356">
        <v>0</v>
      </c>
      <c r="K89" s="356">
        <v>0</v>
      </c>
      <c r="L89" s="356">
        <v>0</v>
      </c>
      <c r="M89" s="356">
        <v>0</v>
      </c>
      <c r="N89" s="356">
        <v>0</v>
      </c>
      <c r="O89" s="356">
        <v>0</v>
      </c>
      <c r="P89" s="356">
        <v>0</v>
      </c>
      <c r="Q89" s="356">
        <v>0</v>
      </c>
      <c r="R89" s="356">
        <v>0</v>
      </c>
      <c r="S89" s="357">
        <f t="shared" si="18"/>
        <v>7198.895833333333</v>
      </c>
      <c r="U89" s="358"/>
      <c r="V89" s="359"/>
      <c r="W89" s="359"/>
      <c r="X89" s="360">
        <f t="shared" ref="X89:X95" si="21">+S89</f>
        <v>7198.895833333333</v>
      </c>
      <c r="Y89" s="359"/>
      <c r="Z89" s="359"/>
      <c r="AA89" s="358"/>
      <c r="AB89" s="359">
        <f t="shared" si="19"/>
        <v>7198.895833333333</v>
      </c>
      <c r="AF89" s="289">
        <f t="shared" si="20"/>
        <v>0</v>
      </c>
    </row>
    <row r="90" spans="1:32">
      <c r="A90" s="113">
        <v>75</v>
      </c>
      <c r="B90" s="119" t="s">
        <v>1530</v>
      </c>
      <c r="C90" s="119" t="s">
        <v>2013</v>
      </c>
      <c r="D90" s="119" t="s">
        <v>2020</v>
      </c>
      <c r="E90" s="374" t="s">
        <v>2021</v>
      </c>
      <c r="F90" s="356">
        <v>0</v>
      </c>
      <c r="G90" s="356">
        <v>0</v>
      </c>
      <c r="H90" s="356">
        <v>0</v>
      </c>
      <c r="I90" s="356">
        <v>0</v>
      </c>
      <c r="J90" s="356">
        <v>0</v>
      </c>
      <c r="K90" s="356">
        <v>0</v>
      </c>
      <c r="L90" s="356">
        <v>0</v>
      </c>
      <c r="M90" s="356">
        <v>0</v>
      </c>
      <c r="N90" s="356">
        <v>0</v>
      </c>
      <c r="O90" s="356">
        <v>0</v>
      </c>
      <c r="P90" s="356">
        <v>0</v>
      </c>
      <c r="Q90" s="356">
        <v>0</v>
      </c>
      <c r="R90" s="356">
        <v>0</v>
      </c>
      <c r="S90" s="357">
        <f t="shared" si="18"/>
        <v>0</v>
      </c>
      <c r="U90" s="358"/>
      <c r="V90" s="359"/>
      <c r="W90" s="359"/>
      <c r="X90" s="360">
        <f t="shared" si="21"/>
        <v>0</v>
      </c>
      <c r="Y90" s="359"/>
      <c r="Z90" s="359"/>
      <c r="AA90" s="358"/>
      <c r="AB90" s="359">
        <f t="shared" si="19"/>
        <v>0</v>
      </c>
      <c r="AF90" s="289">
        <f t="shared" si="20"/>
        <v>0</v>
      </c>
    </row>
    <row r="91" spans="1:32">
      <c r="A91" s="113">
        <v>76</v>
      </c>
      <c r="B91" s="119" t="s">
        <v>1530</v>
      </c>
      <c r="C91" s="119" t="s">
        <v>2013</v>
      </c>
      <c r="D91" s="119" t="s">
        <v>2022</v>
      </c>
      <c r="E91" s="374" t="s">
        <v>2023</v>
      </c>
      <c r="F91" s="356">
        <v>0</v>
      </c>
      <c r="G91" s="356">
        <v>0</v>
      </c>
      <c r="H91" s="356">
        <v>13116</v>
      </c>
      <c r="I91" s="356">
        <v>6558</v>
      </c>
      <c r="J91" s="356">
        <v>13116</v>
      </c>
      <c r="K91" s="356">
        <v>6558</v>
      </c>
      <c r="L91" s="356">
        <v>6558</v>
      </c>
      <c r="M91" s="356">
        <v>6558</v>
      </c>
      <c r="N91" s="356">
        <v>0</v>
      </c>
      <c r="O91" s="356">
        <v>-6558</v>
      </c>
      <c r="P91" s="356">
        <v>0</v>
      </c>
      <c r="Q91" s="356">
        <v>-6558</v>
      </c>
      <c r="R91" s="356">
        <v>0</v>
      </c>
      <c r="S91" s="357">
        <f t="shared" si="18"/>
        <v>3279</v>
      </c>
      <c r="U91" s="358"/>
      <c r="V91" s="359"/>
      <c r="W91" s="359"/>
      <c r="X91" s="360">
        <f t="shared" si="21"/>
        <v>3279</v>
      </c>
      <c r="Y91" s="359"/>
      <c r="Z91" s="359"/>
      <c r="AA91" s="358"/>
      <c r="AB91" s="359">
        <f t="shared" si="19"/>
        <v>3279</v>
      </c>
      <c r="AF91" s="289">
        <f t="shared" si="20"/>
        <v>0</v>
      </c>
    </row>
    <row r="92" spans="1:32">
      <c r="A92" s="113">
        <v>77</v>
      </c>
      <c r="B92" s="119" t="s">
        <v>1530</v>
      </c>
      <c r="C92" s="119" t="s">
        <v>2013</v>
      </c>
      <c r="D92" s="119" t="s">
        <v>2024</v>
      </c>
      <c r="E92" s="374" t="s">
        <v>2025</v>
      </c>
      <c r="F92" s="356">
        <v>0</v>
      </c>
      <c r="G92" s="356">
        <v>0</v>
      </c>
      <c r="H92" s="356">
        <v>0</v>
      </c>
      <c r="I92" s="356">
        <v>0</v>
      </c>
      <c r="J92" s="356">
        <v>0</v>
      </c>
      <c r="K92" s="356">
        <v>0</v>
      </c>
      <c r="L92" s="356">
        <v>0</v>
      </c>
      <c r="M92" s="356">
        <v>0</v>
      </c>
      <c r="N92" s="356">
        <v>0</v>
      </c>
      <c r="O92" s="356">
        <v>0</v>
      </c>
      <c r="P92" s="356">
        <v>0</v>
      </c>
      <c r="Q92" s="356">
        <v>0</v>
      </c>
      <c r="R92" s="356">
        <v>0</v>
      </c>
      <c r="S92" s="357">
        <f t="shared" si="18"/>
        <v>0</v>
      </c>
      <c r="U92" s="358"/>
      <c r="V92" s="359"/>
      <c r="W92" s="359"/>
      <c r="X92" s="360">
        <f t="shared" si="21"/>
        <v>0</v>
      </c>
      <c r="Y92" s="359"/>
      <c r="Z92" s="359"/>
      <c r="AA92" s="358"/>
      <c r="AB92" s="359">
        <f t="shared" si="19"/>
        <v>0</v>
      </c>
      <c r="AF92" s="289">
        <f t="shared" si="20"/>
        <v>0</v>
      </c>
    </row>
    <row r="93" spans="1:32">
      <c r="A93" s="113">
        <v>78</v>
      </c>
      <c r="B93" s="119" t="s">
        <v>1530</v>
      </c>
      <c r="C93" s="119" t="s">
        <v>2013</v>
      </c>
      <c r="D93" s="119" t="s">
        <v>2026</v>
      </c>
      <c r="E93" s="374" t="s">
        <v>2027</v>
      </c>
      <c r="F93" s="356">
        <v>0</v>
      </c>
      <c r="G93" s="356">
        <v>0</v>
      </c>
      <c r="H93" s="356">
        <v>0</v>
      </c>
      <c r="I93" s="356">
        <v>0</v>
      </c>
      <c r="J93" s="356">
        <v>0</v>
      </c>
      <c r="K93" s="356">
        <v>0</v>
      </c>
      <c r="L93" s="356">
        <v>0</v>
      </c>
      <c r="M93" s="356">
        <v>0</v>
      </c>
      <c r="N93" s="356">
        <v>0</v>
      </c>
      <c r="O93" s="356">
        <v>8452.1200000000008</v>
      </c>
      <c r="P93" s="356">
        <v>173092.12</v>
      </c>
      <c r="Q93" s="356">
        <v>196000.13</v>
      </c>
      <c r="R93" s="356">
        <v>0</v>
      </c>
      <c r="S93" s="357">
        <f t="shared" si="18"/>
        <v>31462.030833333334</v>
      </c>
      <c r="U93" s="358"/>
      <c r="V93" s="359"/>
      <c r="W93" s="359"/>
      <c r="X93" s="360">
        <f t="shared" si="21"/>
        <v>31462.030833333334</v>
      </c>
      <c r="Y93" s="359"/>
      <c r="Z93" s="359"/>
      <c r="AA93" s="358"/>
      <c r="AB93" s="359">
        <f t="shared" si="19"/>
        <v>31462.030833333334</v>
      </c>
      <c r="AF93" s="289">
        <f t="shared" si="20"/>
        <v>0</v>
      </c>
    </row>
    <row r="94" spans="1:32">
      <c r="A94" s="113">
        <v>79</v>
      </c>
      <c r="B94" s="119" t="s">
        <v>1530</v>
      </c>
      <c r="C94" s="119" t="s">
        <v>2013</v>
      </c>
      <c r="D94" s="119" t="s">
        <v>2028</v>
      </c>
      <c r="E94" s="374" t="s">
        <v>2029</v>
      </c>
      <c r="F94" s="356">
        <v>0</v>
      </c>
      <c r="G94" s="356">
        <v>0</v>
      </c>
      <c r="H94" s="356">
        <v>0</v>
      </c>
      <c r="I94" s="356">
        <v>0</v>
      </c>
      <c r="J94" s="356">
        <v>0</v>
      </c>
      <c r="K94" s="356">
        <v>0</v>
      </c>
      <c r="L94" s="356">
        <v>0</v>
      </c>
      <c r="M94" s="356">
        <v>0</v>
      </c>
      <c r="N94" s="356">
        <v>0</v>
      </c>
      <c r="O94" s="356">
        <v>0</v>
      </c>
      <c r="P94" s="356">
        <v>0</v>
      </c>
      <c r="Q94" s="356">
        <v>-284.52999999999997</v>
      </c>
      <c r="R94" s="356">
        <v>-284.52999999999997</v>
      </c>
      <c r="S94" s="357">
        <f t="shared" si="18"/>
        <v>-35.566249999999997</v>
      </c>
      <c r="U94" s="358"/>
      <c r="V94" s="359"/>
      <c r="W94" s="359"/>
      <c r="X94" s="360">
        <f t="shared" si="21"/>
        <v>-35.566249999999997</v>
      </c>
      <c r="Y94" s="359"/>
      <c r="Z94" s="359"/>
      <c r="AA94" s="358"/>
      <c r="AB94" s="359">
        <f t="shared" si="19"/>
        <v>-35.566249999999997</v>
      </c>
      <c r="AF94" s="289">
        <f t="shared" si="20"/>
        <v>0</v>
      </c>
    </row>
    <row r="95" spans="1:32">
      <c r="A95" s="113">
        <v>80</v>
      </c>
      <c r="B95" s="119" t="s">
        <v>1530</v>
      </c>
      <c r="C95" s="119" t="s">
        <v>2013</v>
      </c>
      <c r="D95" s="119" t="s">
        <v>2030</v>
      </c>
      <c r="E95" s="374" t="s">
        <v>2031</v>
      </c>
      <c r="F95" s="698">
        <v>18085.240000000002</v>
      </c>
      <c r="G95" s="698">
        <v>18085.240000000002</v>
      </c>
      <c r="H95" s="698">
        <v>18085.240000000002</v>
      </c>
      <c r="I95" s="698">
        <v>18085.240000000002</v>
      </c>
      <c r="J95" s="698">
        <v>18085.240000000002</v>
      </c>
      <c r="K95" s="698">
        <v>18085.240000000002</v>
      </c>
      <c r="L95" s="698">
        <v>18085.240000000002</v>
      </c>
      <c r="M95" s="698">
        <v>18085.240000000002</v>
      </c>
      <c r="N95" s="698">
        <v>18085.240000000002</v>
      </c>
      <c r="O95" s="698">
        <v>18085.240000000002</v>
      </c>
      <c r="P95" s="698">
        <v>0</v>
      </c>
      <c r="Q95" s="698">
        <v>18611.349999999999</v>
      </c>
      <c r="R95" s="698">
        <v>0</v>
      </c>
      <c r="S95" s="357">
        <f t="shared" si="18"/>
        <v>15868.4275</v>
      </c>
      <c r="U95" s="358"/>
      <c r="V95" s="359"/>
      <c r="W95" s="359"/>
      <c r="X95" s="360">
        <f t="shared" si="21"/>
        <v>15868.4275</v>
      </c>
      <c r="Y95" s="359"/>
      <c r="Z95" s="359"/>
      <c r="AA95" s="358"/>
      <c r="AB95" s="359">
        <f t="shared" si="19"/>
        <v>15868.4275</v>
      </c>
      <c r="AF95" s="289">
        <f t="shared" si="20"/>
        <v>0</v>
      </c>
    </row>
    <row r="96" spans="1:32">
      <c r="A96" s="113">
        <v>81</v>
      </c>
      <c r="E96" s="374" t="s">
        <v>2032</v>
      </c>
      <c r="F96" s="696">
        <f t="shared" ref="F96:S96" si="22">SUM(F84:F95)</f>
        <v>140108.28</v>
      </c>
      <c r="G96" s="696">
        <f t="shared" si="22"/>
        <v>79137.03</v>
      </c>
      <c r="H96" s="696">
        <f t="shared" si="22"/>
        <v>79213.48</v>
      </c>
      <c r="I96" s="696">
        <f t="shared" si="22"/>
        <v>38100.78</v>
      </c>
      <c r="J96" s="696">
        <f t="shared" si="22"/>
        <v>40701.819999999992</v>
      </c>
      <c r="K96" s="696">
        <f t="shared" si="22"/>
        <v>34143.819999999992</v>
      </c>
      <c r="L96" s="696">
        <f t="shared" si="22"/>
        <v>203659.61</v>
      </c>
      <c r="M96" s="696">
        <f t="shared" si="22"/>
        <v>200649.75</v>
      </c>
      <c r="N96" s="696">
        <f t="shared" si="22"/>
        <v>305663.45999999996</v>
      </c>
      <c r="O96" s="696">
        <f t="shared" si="22"/>
        <v>51339.490000000063</v>
      </c>
      <c r="P96" s="696">
        <f t="shared" si="22"/>
        <v>204452.25000000006</v>
      </c>
      <c r="Q96" s="696">
        <f t="shared" si="22"/>
        <v>293127.29000000004</v>
      </c>
      <c r="R96" s="696">
        <f t="shared" si="22"/>
        <v>223393.49</v>
      </c>
      <c r="S96" s="697">
        <f t="shared" si="22"/>
        <v>142661.63874999998</v>
      </c>
      <c r="U96" s="358"/>
      <c r="V96" s="359"/>
      <c r="W96" s="359"/>
      <c r="X96" s="360"/>
      <c r="Y96" s="359"/>
      <c r="Z96" s="359"/>
      <c r="AA96" s="358"/>
      <c r="AB96" s="359"/>
      <c r="AF96" s="289">
        <f t="shared" si="20"/>
        <v>0</v>
      </c>
    </row>
    <row r="97" spans="1:32">
      <c r="A97" s="113">
        <v>82</v>
      </c>
      <c r="E97" s="374"/>
      <c r="F97" s="356"/>
      <c r="G97" s="386"/>
      <c r="H97" s="387"/>
      <c r="I97" s="387"/>
      <c r="J97" s="388"/>
      <c r="K97" s="389"/>
      <c r="L97" s="390"/>
      <c r="M97" s="391"/>
      <c r="N97" s="392"/>
      <c r="O97" s="397"/>
      <c r="P97" s="393"/>
      <c r="Q97" s="394"/>
      <c r="R97" s="356"/>
      <c r="S97" s="96"/>
      <c r="U97" s="358"/>
      <c r="V97" s="359"/>
      <c r="W97" s="359"/>
      <c r="X97" s="360"/>
      <c r="Y97" s="359"/>
      <c r="Z97" s="359"/>
      <c r="AA97" s="358"/>
      <c r="AB97" s="359"/>
      <c r="AF97" s="289">
        <f t="shared" si="20"/>
        <v>0</v>
      </c>
    </row>
    <row r="98" spans="1:32">
      <c r="A98" s="113">
        <v>83</v>
      </c>
      <c r="B98" s="119" t="s">
        <v>1530</v>
      </c>
      <c r="C98" s="119" t="s">
        <v>2033</v>
      </c>
      <c r="E98" s="374" t="s">
        <v>2034</v>
      </c>
      <c r="F98" s="356">
        <v>0</v>
      </c>
      <c r="G98" s="356">
        <v>0</v>
      </c>
      <c r="H98" s="356">
        <v>0</v>
      </c>
      <c r="I98" s="356">
        <v>0</v>
      </c>
      <c r="J98" s="356">
        <v>0</v>
      </c>
      <c r="K98" s="356">
        <v>0</v>
      </c>
      <c r="L98" s="356">
        <v>0</v>
      </c>
      <c r="M98" s="356">
        <v>0</v>
      </c>
      <c r="N98" s="356">
        <v>0</v>
      </c>
      <c r="O98" s="356">
        <v>0</v>
      </c>
      <c r="P98" s="356">
        <v>0</v>
      </c>
      <c r="Q98" s="356">
        <v>0</v>
      </c>
      <c r="R98" s="356">
        <v>0</v>
      </c>
      <c r="S98" s="96">
        <f>((F98+R98)+((G98+H98+I98+J98+K98+L98+M98+N98+O98+P98+Q98)*2))/24</f>
        <v>0</v>
      </c>
      <c r="U98" s="358"/>
      <c r="V98" s="359"/>
      <c r="W98" s="359"/>
      <c r="X98" s="360"/>
      <c r="Y98" s="359"/>
      <c r="Z98" s="359"/>
      <c r="AA98" s="358"/>
      <c r="AB98" s="359"/>
      <c r="AF98" s="289">
        <f t="shared" si="20"/>
        <v>0</v>
      </c>
    </row>
    <row r="99" spans="1:32">
      <c r="A99" s="113">
        <v>84</v>
      </c>
      <c r="E99" s="374"/>
      <c r="F99" s="356"/>
      <c r="G99" s="386"/>
      <c r="H99" s="387"/>
      <c r="I99" s="387"/>
      <c r="J99" s="388"/>
      <c r="K99" s="389"/>
      <c r="L99" s="390"/>
      <c r="M99" s="391"/>
      <c r="N99" s="392"/>
      <c r="O99" s="373"/>
      <c r="P99" s="393"/>
      <c r="Q99" s="394"/>
      <c r="R99" s="356"/>
      <c r="S99" s="96"/>
      <c r="U99" s="358"/>
      <c r="V99" s="359"/>
      <c r="W99" s="359"/>
      <c r="X99" s="360"/>
      <c r="Y99" s="359"/>
      <c r="Z99" s="359"/>
      <c r="AA99" s="358"/>
      <c r="AB99" s="359"/>
      <c r="AF99" s="289">
        <f t="shared" si="20"/>
        <v>0</v>
      </c>
    </row>
    <row r="100" spans="1:32">
      <c r="A100" s="113">
        <v>85</v>
      </c>
      <c r="E100" s="374" t="s">
        <v>2035</v>
      </c>
      <c r="F100" s="356">
        <f t="shared" ref="F100:S100" si="23">+F98+F96+F82</f>
        <v>27239136.870000001</v>
      </c>
      <c r="G100" s="356">
        <f t="shared" si="23"/>
        <v>31644341.310000006</v>
      </c>
      <c r="H100" s="356">
        <f t="shared" si="23"/>
        <v>24775385.090000004</v>
      </c>
      <c r="I100" s="356">
        <f t="shared" si="23"/>
        <v>24517203.5</v>
      </c>
      <c r="J100" s="356">
        <f t="shared" si="23"/>
        <v>21295523</v>
      </c>
      <c r="K100" s="356">
        <f t="shared" si="23"/>
        <v>15273625.680000002</v>
      </c>
      <c r="L100" s="356">
        <f t="shared" si="23"/>
        <v>13423108.739999998</v>
      </c>
      <c r="M100" s="356">
        <f t="shared" si="23"/>
        <v>16525598.700000001</v>
      </c>
      <c r="N100" s="356">
        <f t="shared" si="23"/>
        <v>15306204.700000003</v>
      </c>
      <c r="O100" s="356">
        <f t="shared" si="23"/>
        <v>18947847.73</v>
      </c>
      <c r="P100" s="356">
        <f t="shared" si="23"/>
        <v>19472268.829999998</v>
      </c>
      <c r="Q100" s="356">
        <f t="shared" si="23"/>
        <v>25459924.879999995</v>
      </c>
      <c r="R100" s="356">
        <f t="shared" si="23"/>
        <v>26370255.400000002</v>
      </c>
      <c r="S100" s="357">
        <f t="shared" si="23"/>
        <v>21120477.357916668</v>
      </c>
      <c r="U100" s="358"/>
      <c r="V100" s="359"/>
      <c r="W100" s="359"/>
      <c r="X100" s="360"/>
      <c r="Y100" s="359"/>
      <c r="Z100" s="359"/>
      <c r="AA100" s="358"/>
      <c r="AB100" s="359"/>
      <c r="AF100" s="289">
        <f t="shared" si="20"/>
        <v>0</v>
      </c>
    </row>
    <row r="101" spans="1:32">
      <c r="A101" s="113">
        <v>86</v>
      </c>
      <c r="E101" s="374"/>
      <c r="F101" s="356"/>
      <c r="G101" s="386"/>
      <c r="H101" s="387"/>
      <c r="I101" s="387"/>
      <c r="J101" s="388"/>
      <c r="K101" s="389"/>
      <c r="L101" s="390"/>
      <c r="M101" s="391"/>
      <c r="N101" s="392"/>
      <c r="O101" s="373"/>
      <c r="P101" s="393"/>
      <c r="Q101" s="394"/>
      <c r="R101" s="356"/>
      <c r="S101" s="96">
        <f>((F101+R101)+((G101+H101+I101+J101+K101+L101+M101+N101+O101+P101+Q101)*2))/24</f>
        <v>0</v>
      </c>
      <c r="U101" s="358"/>
      <c r="V101" s="359"/>
      <c r="W101" s="359"/>
      <c r="X101" s="360"/>
      <c r="Y101" s="359"/>
      <c r="Z101" s="359"/>
      <c r="AA101" s="358"/>
      <c r="AB101" s="359"/>
      <c r="AF101" s="289">
        <f t="shared" si="20"/>
        <v>0</v>
      </c>
    </row>
    <row r="102" spans="1:32">
      <c r="A102" s="113">
        <v>87</v>
      </c>
      <c r="B102" s="119" t="s">
        <v>1543</v>
      </c>
      <c r="C102" s="119" t="s">
        <v>2036</v>
      </c>
      <c r="D102" s="119" t="s">
        <v>2014</v>
      </c>
      <c r="E102" s="355" t="s">
        <v>2037</v>
      </c>
      <c r="F102" s="356">
        <v>-124312.5</v>
      </c>
      <c r="G102" s="356">
        <v>-128198.71</v>
      </c>
      <c r="H102" s="356">
        <v>-128198.71</v>
      </c>
      <c r="I102" s="356">
        <v>-128198.71</v>
      </c>
      <c r="J102" s="356">
        <v>-128198.71</v>
      </c>
      <c r="K102" s="356">
        <v>-128198.71</v>
      </c>
      <c r="L102" s="356">
        <v>-128198.71</v>
      </c>
      <c r="M102" s="356">
        <v>-128198.71</v>
      </c>
      <c r="N102" s="356">
        <v>-128198.71</v>
      </c>
      <c r="O102" s="356">
        <v>-128198.71</v>
      </c>
      <c r="P102" s="356">
        <v>-128198.71</v>
      </c>
      <c r="Q102" s="356">
        <v>-128198.71</v>
      </c>
      <c r="R102" s="356">
        <v>-128198.71</v>
      </c>
      <c r="S102" s="357">
        <f>((F102+R102)+((G102+H102+I102+J102+K102+L102+M102+N102+O102+P102+Q102)*2))/24</f>
        <v>-128036.78458333331</v>
      </c>
      <c r="U102" s="358">
        <f t="shared" ref="U102:U120" si="24">+S102</f>
        <v>-128036.78458333331</v>
      </c>
      <c r="V102" s="359"/>
      <c r="W102" s="359"/>
      <c r="X102" s="360"/>
      <c r="Y102" s="359"/>
      <c r="Z102" s="359"/>
      <c r="AA102" s="358"/>
      <c r="AB102" s="359"/>
      <c r="AD102" s="271">
        <f t="shared" ref="AD102:AD120" si="25">+U102</f>
        <v>-128036.78458333331</v>
      </c>
      <c r="AF102" s="289">
        <f t="shared" si="20"/>
        <v>0</v>
      </c>
    </row>
    <row r="103" spans="1:32">
      <c r="A103" s="113">
        <v>88</v>
      </c>
      <c r="B103" s="119" t="s">
        <v>1523</v>
      </c>
      <c r="C103" s="119" t="s">
        <v>2036</v>
      </c>
      <c r="D103" s="119" t="s">
        <v>2014</v>
      </c>
      <c r="E103" s="355" t="s">
        <v>2037</v>
      </c>
      <c r="F103" s="356">
        <v>-286609.34000000003</v>
      </c>
      <c r="G103" s="356">
        <v>-340156.45</v>
      </c>
      <c r="H103" s="356">
        <v>-340156.45</v>
      </c>
      <c r="I103" s="356">
        <v>-340156.45</v>
      </c>
      <c r="J103" s="356">
        <v>-340156.45</v>
      </c>
      <c r="K103" s="356">
        <v>-340156.45</v>
      </c>
      <c r="L103" s="356">
        <v>-340156.45</v>
      </c>
      <c r="M103" s="356">
        <v>-340156.45</v>
      </c>
      <c r="N103" s="356">
        <v>-340156.45</v>
      </c>
      <c r="O103" s="356">
        <v>-340156.45</v>
      </c>
      <c r="P103" s="356">
        <v>-340156.45</v>
      </c>
      <c r="Q103" s="356">
        <v>-340156.45</v>
      </c>
      <c r="R103" s="356">
        <v>-340156.45</v>
      </c>
      <c r="S103" s="357">
        <f t="shared" ref="S103:S115" si="26">((F103+R103)+((G103+H103+I103+J103+K103+L103+M103+N103+O103+P103+Q103)*2))/24</f>
        <v>-337925.32041666674</v>
      </c>
      <c r="U103" s="358">
        <f t="shared" si="24"/>
        <v>-337925.32041666674</v>
      </c>
      <c r="V103" s="359"/>
      <c r="W103" s="359"/>
      <c r="X103" s="360"/>
      <c r="Y103" s="359"/>
      <c r="Z103" s="359"/>
      <c r="AA103" s="358"/>
      <c r="AB103" s="359"/>
      <c r="AD103" s="271">
        <f t="shared" si="25"/>
        <v>-337925.32041666674</v>
      </c>
      <c r="AF103" s="289">
        <f t="shared" si="20"/>
        <v>0</v>
      </c>
    </row>
    <row r="104" spans="1:32">
      <c r="A104" s="113">
        <v>89</v>
      </c>
      <c r="B104" s="119" t="s">
        <v>1543</v>
      </c>
      <c r="C104" s="119" t="s">
        <v>2036</v>
      </c>
      <c r="D104" s="119" t="s">
        <v>2004</v>
      </c>
      <c r="E104" s="355" t="s">
        <v>2038</v>
      </c>
      <c r="F104" s="356">
        <v>325220.74</v>
      </c>
      <c r="G104" s="356">
        <v>11371.37</v>
      </c>
      <c r="H104" s="356">
        <v>19722.330000000002</v>
      </c>
      <c r="I104" s="356">
        <v>37134.53</v>
      </c>
      <c r="J104" s="356">
        <v>54634.99</v>
      </c>
      <c r="K104" s="356">
        <v>75461.34</v>
      </c>
      <c r="L104" s="356">
        <v>101498.04</v>
      </c>
      <c r="M104" s="356">
        <v>138389.54</v>
      </c>
      <c r="N104" s="356">
        <v>151777.60999999999</v>
      </c>
      <c r="O104" s="356">
        <v>166632.99</v>
      </c>
      <c r="P104" s="356">
        <v>187630.14</v>
      </c>
      <c r="Q104" s="356">
        <v>201301.82</v>
      </c>
      <c r="R104" s="356">
        <v>215926.51</v>
      </c>
      <c r="S104" s="357">
        <f t="shared" si="26"/>
        <v>118010.69374999999</v>
      </c>
      <c r="U104" s="358">
        <f t="shared" si="24"/>
        <v>118010.69374999999</v>
      </c>
      <c r="V104" s="359"/>
      <c r="W104" s="359"/>
      <c r="X104" s="360"/>
      <c r="Y104" s="359"/>
      <c r="Z104" s="359"/>
      <c r="AA104" s="358"/>
      <c r="AB104" s="359"/>
      <c r="AD104" s="271">
        <f t="shared" si="25"/>
        <v>118010.69374999999</v>
      </c>
      <c r="AF104" s="289">
        <f t="shared" si="20"/>
        <v>0</v>
      </c>
    </row>
    <row r="105" spans="1:32">
      <c r="A105" s="113">
        <v>90</v>
      </c>
      <c r="B105" s="119" t="s">
        <v>1523</v>
      </c>
      <c r="C105" s="119" t="s">
        <v>2036</v>
      </c>
      <c r="D105" s="119" t="s">
        <v>2004</v>
      </c>
      <c r="E105" s="355" t="s">
        <v>2038</v>
      </c>
      <c r="F105" s="356">
        <v>1144052.1599999999</v>
      </c>
      <c r="G105" s="356">
        <v>31333.559999999801</v>
      </c>
      <c r="H105" s="356">
        <v>62999.109999999797</v>
      </c>
      <c r="I105" s="356">
        <v>110337.77</v>
      </c>
      <c r="J105" s="356">
        <v>148602.35999999999</v>
      </c>
      <c r="K105" s="356">
        <v>214618.4</v>
      </c>
      <c r="L105" s="356">
        <v>306599.77</v>
      </c>
      <c r="M105" s="356">
        <v>391144.84</v>
      </c>
      <c r="N105" s="356">
        <v>436571.16</v>
      </c>
      <c r="O105" s="356">
        <v>471108.29</v>
      </c>
      <c r="P105" s="356">
        <v>502403.61</v>
      </c>
      <c r="Q105" s="356">
        <v>537962.71</v>
      </c>
      <c r="R105" s="356">
        <v>573545.80000000005</v>
      </c>
      <c r="S105" s="357">
        <f t="shared" si="26"/>
        <v>339373.37999999995</v>
      </c>
      <c r="U105" s="358">
        <f t="shared" si="24"/>
        <v>339373.37999999995</v>
      </c>
      <c r="V105" s="359"/>
      <c r="W105" s="359"/>
      <c r="X105" s="360"/>
      <c r="Y105" s="359"/>
      <c r="Z105" s="359"/>
      <c r="AA105" s="358"/>
      <c r="AB105" s="359"/>
      <c r="AD105" s="271">
        <f t="shared" si="25"/>
        <v>339373.37999999995</v>
      </c>
      <c r="AF105" s="289">
        <f t="shared" si="20"/>
        <v>0</v>
      </c>
    </row>
    <row r="106" spans="1:32">
      <c r="A106" s="113">
        <v>91</v>
      </c>
      <c r="B106" s="119" t="s">
        <v>1543</v>
      </c>
      <c r="C106" s="119" t="s">
        <v>2036</v>
      </c>
      <c r="D106" s="119" t="s">
        <v>1531</v>
      </c>
      <c r="E106" s="355" t="s">
        <v>2039</v>
      </c>
      <c r="F106" s="356">
        <v>-105119.37</v>
      </c>
      <c r="G106" s="356">
        <v>-6281.7</v>
      </c>
      <c r="H106" s="356">
        <v>-11199.72</v>
      </c>
      <c r="I106" s="356">
        <v>-15675.81</v>
      </c>
      <c r="J106" s="356">
        <v>-21679.17</v>
      </c>
      <c r="K106" s="356">
        <v>-28204.98</v>
      </c>
      <c r="L106" s="356">
        <v>-31880.6</v>
      </c>
      <c r="M106" s="356">
        <v>-35293.410000000003</v>
      </c>
      <c r="N106" s="356">
        <v>-41287.040000000001</v>
      </c>
      <c r="O106" s="356">
        <v>-47341.55</v>
      </c>
      <c r="P106" s="356">
        <v>-55390.2</v>
      </c>
      <c r="Q106" s="356">
        <v>-59973.43</v>
      </c>
      <c r="R106" s="356">
        <v>-63995.82</v>
      </c>
      <c r="S106" s="357">
        <f t="shared" si="26"/>
        <v>-36563.767083333332</v>
      </c>
      <c r="U106" s="358">
        <f t="shared" si="24"/>
        <v>-36563.767083333332</v>
      </c>
      <c r="V106" s="359"/>
      <c r="W106" s="359"/>
      <c r="X106" s="360"/>
      <c r="Y106" s="359"/>
      <c r="Z106" s="359"/>
      <c r="AA106" s="358"/>
      <c r="AB106" s="359"/>
      <c r="AD106" s="271">
        <f t="shared" si="25"/>
        <v>-36563.767083333332</v>
      </c>
      <c r="AF106" s="289">
        <f t="shared" si="20"/>
        <v>0</v>
      </c>
    </row>
    <row r="107" spans="1:32">
      <c r="A107" s="113">
        <v>92</v>
      </c>
      <c r="B107" s="119" t="s">
        <v>1523</v>
      </c>
      <c r="C107" s="119" t="s">
        <v>2036</v>
      </c>
      <c r="D107" s="119" t="s">
        <v>1531</v>
      </c>
      <c r="E107" s="355" t="s">
        <v>2039</v>
      </c>
      <c r="F107" s="356">
        <v>-247474.88</v>
      </c>
      <c r="G107" s="356">
        <v>-23251.11</v>
      </c>
      <c r="H107" s="356">
        <v>-36472.370000000003</v>
      </c>
      <c r="I107" s="356">
        <v>-50424.76</v>
      </c>
      <c r="J107" s="356">
        <v>-64881.17</v>
      </c>
      <c r="K107" s="356">
        <v>-82424.37</v>
      </c>
      <c r="L107" s="356">
        <v>-93313.93</v>
      </c>
      <c r="M107" s="356">
        <v>-113128.74</v>
      </c>
      <c r="N107" s="356">
        <v>-125703.3</v>
      </c>
      <c r="O107" s="356">
        <v>-140796.48000000001</v>
      </c>
      <c r="P107" s="356">
        <v>-159806.22</v>
      </c>
      <c r="Q107" s="356">
        <v>-175045.94</v>
      </c>
      <c r="R107" s="356">
        <v>-186454.91</v>
      </c>
      <c r="S107" s="357">
        <f t="shared" si="26"/>
        <v>-106851.10708333332</v>
      </c>
      <c r="U107" s="358">
        <f t="shared" si="24"/>
        <v>-106851.10708333332</v>
      </c>
      <c r="V107" s="359"/>
      <c r="W107" s="359"/>
      <c r="X107" s="360"/>
      <c r="Y107" s="359"/>
      <c r="Z107" s="359"/>
      <c r="AA107" s="358"/>
      <c r="AB107" s="359"/>
      <c r="AD107" s="271">
        <f t="shared" si="25"/>
        <v>-106851.10708333332</v>
      </c>
      <c r="AF107" s="289">
        <f t="shared" si="20"/>
        <v>0</v>
      </c>
    </row>
    <row r="108" spans="1:32">
      <c r="A108" s="113">
        <v>93</v>
      </c>
      <c r="B108" s="119" t="s">
        <v>1543</v>
      </c>
      <c r="C108" s="119" t="s">
        <v>2036</v>
      </c>
      <c r="D108" s="119" t="s">
        <v>2040</v>
      </c>
      <c r="E108" s="355" t="s">
        <v>2041</v>
      </c>
      <c r="F108" s="356">
        <v>-223987.58</v>
      </c>
      <c r="G108" s="356">
        <v>-11626.38</v>
      </c>
      <c r="H108" s="356">
        <v>-25500.14</v>
      </c>
      <c r="I108" s="356">
        <v>-45894.29</v>
      </c>
      <c r="J108" s="356">
        <v>-77966.87</v>
      </c>
      <c r="K108" s="356">
        <v>-75789.98</v>
      </c>
      <c r="L108" s="356">
        <v>-87890.8</v>
      </c>
      <c r="M108" s="356">
        <v>-108306.85</v>
      </c>
      <c r="N108" s="356">
        <v>-103574.31</v>
      </c>
      <c r="O108" s="356">
        <v>-191267.21</v>
      </c>
      <c r="P108" s="356">
        <v>-200357.72</v>
      </c>
      <c r="Q108" s="356">
        <v>-221664.12</v>
      </c>
      <c r="R108" s="356">
        <v>-324721.8</v>
      </c>
      <c r="S108" s="357">
        <f t="shared" si="26"/>
        <v>-118682.77999999998</v>
      </c>
      <c r="U108" s="358">
        <f t="shared" si="24"/>
        <v>-118682.77999999998</v>
      </c>
      <c r="V108" s="359"/>
      <c r="W108" s="359"/>
      <c r="X108" s="360"/>
      <c r="Y108" s="359"/>
      <c r="Z108" s="359"/>
      <c r="AA108" s="358"/>
      <c r="AB108" s="359"/>
      <c r="AD108" s="271">
        <f t="shared" si="25"/>
        <v>-118682.77999999998</v>
      </c>
      <c r="AF108" s="289">
        <f t="shared" si="20"/>
        <v>0</v>
      </c>
    </row>
    <row r="109" spans="1:32">
      <c r="A109" s="113">
        <v>94</v>
      </c>
      <c r="B109" s="119" t="s">
        <v>1523</v>
      </c>
      <c r="C109" s="119" t="s">
        <v>2036</v>
      </c>
      <c r="D109" s="119" t="s">
        <v>2040</v>
      </c>
      <c r="E109" s="355" t="s">
        <v>2041</v>
      </c>
      <c r="F109" s="356">
        <v>-950124.39</v>
      </c>
      <c r="G109" s="356">
        <v>-116716.08</v>
      </c>
      <c r="H109" s="356">
        <v>-112887.55</v>
      </c>
      <c r="I109" s="356">
        <v>-221387.14</v>
      </c>
      <c r="J109" s="356">
        <v>-304482.17</v>
      </c>
      <c r="K109" s="356">
        <v>-299105.75</v>
      </c>
      <c r="L109" s="356">
        <v>-323704.90999999997</v>
      </c>
      <c r="M109" s="356">
        <v>-323857.36</v>
      </c>
      <c r="N109" s="356">
        <v>-317181.03999999998</v>
      </c>
      <c r="O109" s="356">
        <v>-554610.69999999995</v>
      </c>
      <c r="P109" s="356">
        <v>-541155.49</v>
      </c>
      <c r="Q109" s="356">
        <v>-636733.51</v>
      </c>
      <c r="R109" s="356">
        <v>-972458.08</v>
      </c>
      <c r="S109" s="357">
        <f t="shared" si="26"/>
        <v>-392759.41125000006</v>
      </c>
      <c r="U109" s="358">
        <f t="shared" si="24"/>
        <v>-392759.41125000006</v>
      </c>
      <c r="V109" s="359"/>
      <c r="W109" s="359"/>
      <c r="X109" s="360"/>
      <c r="Y109" s="359"/>
      <c r="Z109" s="359"/>
      <c r="AA109" s="358"/>
      <c r="AB109" s="359"/>
      <c r="AD109" s="271">
        <f t="shared" si="25"/>
        <v>-392759.41125000006</v>
      </c>
      <c r="AF109" s="289">
        <f t="shared" si="20"/>
        <v>0</v>
      </c>
    </row>
    <row r="110" spans="1:32">
      <c r="A110" s="113">
        <v>95</v>
      </c>
      <c r="B110" s="119" t="s">
        <v>1543</v>
      </c>
      <c r="C110" s="119" t="s">
        <v>2042</v>
      </c>
      <c r="D110" s="119" t="s">
        <v>2014</v>
      </c>
      <c r="E110" s="355" t="s">
        <v>2043</v>
      </c>
      <c r="F110" s="356">
        <v>-10060</v>
      </c>
      <c r="G110" s="356">
        <v>-7449</v>
      </c>
      <c r="H110" s="356">
        <v>-7449</v>
      </c>
      <c r="I110" s="356">
        <v>-7449</v>
      </c>
      <c r="J110" s="356">
        <v>-7449</v>
      </c>
      <c r="K110" s="356">
        <v>-7449</v>
      </c>
      <c r="L110" s="356">
        <v>-7449</v>
      </c>
      <c r="M110" s="356">
        <v>-7449</v>
      </c>
      <c r="N110" s="356">
        <v>-7449</v>
      </c>
      <c r="O110" s="356">
        <v>-7449</v>
      </c>
      <c r="P110" s="356">
        <v>-7449</v>
      </c>
      <c r="Q110" s="356">
        <v>-7449</v>
      </c>
      <c r="R110" s="356">
        <v>-7449</v>
      </c>
      <c r="S110" s="357">
        <f t="shared" si="26"/>
        <v>-7557.791666666667</v>
      </c>
      <c r="U110" s="358">
        <f t="shared" si="24"/>
        <v>-7557.791666666667</v>
      </c>
      <c r="V110" s="359"/>
      <c r="W110" s="359"/>
      <c r="X110" s="360"/>
      <c r="Y110" s="359"/>
      <c r="Z110" s="359"/>
      <c r="AA110" s="358"/>
      <c r="AB110" s="359"/>
      <c r="AD110" s="271">
        <f t="shared" si="25"/>
        <v>-7557.791666666667</v>
      </c>
      <c r="AF110" s="289">
        <f t="shared" si="20"/>
        <v>0</v>
      </c>
    </row>
    <row r="111" spans="1:32">
      <c r="A111" s="113">
        <v>96</v>
      </c>
      <c r="B111" s="119" t="s">
        <v>1523</v>
      </c>
      <c r="C111" s="119" t="s">
        <v>2042</v>
      </c>
      <c r="D111" s="119" t="s">
        <v>2014</v>
      </c>
      <c r="E111" s="355" t="s">
        <v>2043</v>
      </c>
      <c r="F111" s="356">
        <v>-29940</v>
      </c>
      <c r="G111" s="356">
        <v>-22551</v>
      </c>
      <c r="H111" s="356">
        <v>-22551</v>
      </c>
      <c r="I111" s="356">
        <v>-22551</v>
      </c>
      <c r="J111" s="356">
        <v>-22551</v>
      </c>
      <c r="K111" s="356">
        <v>-22551</v>
      </c>
      <c r="L111" s="356">
        <v>-22551</v>
      </c>
      <c r="M111" s="356">
        <v>-22551</v>
      </c>
      <c r="N111" s="356">
        <v>-22551</v>
      </c>
      <c r="O111" s="356">
        <v>-22551</v>
      </c>
      <c r="P111" s="356">
        <v>-22551</v>
      </c>
      <c r="Q111" s="356">
        <v>-22551</v>
      </c>
      <c r="R111" s="356">
        <v>-22551</v>
      </c>
      <c r="S111" s="357">
        <f t="shared" si="26"/>
        <v>-22858.875</v>
      </c>
      <c r="U111" s="358">
        <f t="shared" si="24"/>
        <v>-22858.875</v>
      </c>
      <c r="V111" s="359"/>
      <c r="W111" s="359"/>
      <c r="X111" s="360"/>
      <c r="Y111" s="359"/>
      <c r="Z111" s="359"/>
      <c r="AA111" s="358"/>
      <c r="AB111" s="359"/>
      <c r="AD111" s="271">
        <f t="shared" si="25"/>
        <v>-22858.875</v>
      </c>
      <c r="AF111" s="289">
        <f t="shared" si="20"/>
        <v>0</v>
      </c>
    </row>
    <row r="112" spans="1:32">
      <c r="A112" s="113">
        <v>97</v>
      </c>
      <c r="B112" s="119" t="s">
        <v>1543</v>
      </c>
      <c r="C112" s="119" t="s">
        <v>2042</v>
      </c>
      <c r="D112" s="119" t="s">
        <v>2004</v>
      </c>
      <c r="E112" s="355" t="s">
        <v>2044</v>
      </c>
      <c r="F112" s="356">
        <v>0</v>
      </c>
      <c r="G112" s="356">
        <v>0</v>
      </c>
      <c r="H112" s="356">
        <v>0</v>
      </c>
      <c r="I112" s="356">
        <v>0</v>
      </c>
      <c r="J112" s="356">
        <v>0</v>
      </c>
      <c r="K112" s="356">
        <v>0</v>
      </c>
      <c r="L112" s="356">
        <v>5</v>
      </c>
      <c r="M112" s="356">
        <v>5</v>
      </c>
      <c r="N112" s="356">
        <v>5</v>
      </c>
      <c r="O112" s="356">
        <v>5</v>
      </c>
      <c r="P112" s="356">
        <v>5</v>
      </c>
      <c r="Q112" s="356">
        <v>5</v>
      </c>
      <c r="R112" s="356">
        <v>5</v>
      </c>
      <c r="S112" s="357">
        <f>((F112+R112)+((G112+H112+I112+J112+K112+L112+M112+N112+O112+P112+Q112)*2))/24</f>
        <v>2.7083333333333335</v>
      </c>
      <c r="U112" s="358">
        <f t="shared" si="24"/>
        <v>2.7083333333333335</v>
      </c>
      <c r="V112" s="359"/>
      <c r="W112" s="359"/>
      <c r="X112" s="360"/>
      <c r="Y112" s="359"/>
      <c r="Z112" s="359"/>
      <c r="AA112" s="358"/>
      <c r="AB112" s="359"/>
      <c r="AD112" s="271">
        <f t="shared" si="25"/>
        <v>2.7083333333333335</v>
      </c>
      <c r="AF112" s="289">
        <f t="shared" si="20"/>
        <v>0</v>
      </c>
    </row>
    <row r="113" spans="1:32">
      <c r="A113" s="113">
        <v>98</v>
      </c>
      <c r="B113" s="119" t="s">
        <v>1523</v>
      </c>
      <c r="C113" s="119" t="s">
        <v>2042</v>
      </c>
      <c r="D113" s="119" t="s">
        <v>2004</v>
      </c>
      <c r="E113" s="355" t="s">
        <v>2044</v>
      </c>
      <c r="F113" s="356">
        <v>21528.560000000001</v>
      </c>
      <c r="G113" s="356">
        <v>429.47000000000099</v>
      </c>
      <c r="H113" s="356">
        <v>429.47000000000099</v>
      </c>
      <c r="I113" s="356">
        <v>429.47000000000099</v>
      </c>
      <c r="J113" s="356">
        <v>429.47000000000099</v>
      </c>
      <c r="K113" s="356">
        <v>429.47000000000099</v>
      </c>
      <c r="L113" s="356">
        <v>429.47000000000099</v>
      </c>
      <c r="M113" s="356">
        <v>429.47000000000099</v>
      </c>
      <c r="N113" s="356">
        <v>429.47000000000099</v>
      </c>
      <c r="O113" s="356">
        <v>429.47000000000099</v>
      </c>
      <c r="P113" s="356">
        <v>429.47000000000099</v>
      </c>
      <c r="Q113" s="356">
        <v>429.47000000000099</v>
      </c>
      <c r="R113" s="356">
        <v>-5566.04</v>
      </c>
      <c r="S113" s="357">
        <f t="shared" si="26"/>
        <v>1058.7858333333343</v>
      </c>
      <c r="U113" s="358">
        <f t="shared" si="24"/>
        <v>1058.7858333333343</v>
      </c>
      <c r="V113" s="359"/>
      <c r="W113" s="359"/>
      <c r="X113" s="360"/>
      <c r="Y113" s="359"/>
      <c r="Z113" s="359"/>
      <c r="AA113" s="358"/>
      <c r="AB113" s="359"/>
      <c r="AD113" s="271">
        <f t="shared" si="25"/>
        <v>1058.7858333333343</v>
      </c>
      <c r="AF113" s="289">
        <f t="shared" si="20"/>
        <v>0</v>
      </c>
    </row>
    <row r="114" spans="1:32">
      <c r="A114" s="113">
        <v>99</v>
      </c>
      <c r="B114" s="119" t="s">
        <v>1523</v>
      </c>
      <c r="C114" s="119" t="s">
        <v>2042</v>
      </c>
      <c r="D114" s="119" t="s">
        <v>1531</v>
      </c>
      <c r="E114" s="355" t="s">
        <v>2045</v>
      </c>
      <c r="F114" s="356">
        <v>0</v>
      </c>
      <c r="G114" s="356">
        <v>0</v>
      </c>
      <c r="H114" s="356">
        <v>0</v>
      </c>
      <c r="I114" s="356">
        <v>-180.6</v>
      </c>
      <c r="J114" s="356">
        <v>-180.6</v>
      </c>
      <c r="K114" s="356">
        <v>-180.6</v>
      </c>
      <c r="L114" s="356">
        <v>-180.6</v>
      </c>
      <c r="M114" s="356">
        <v>-180.6</v>
      </c>
      <c r="N114" s="356">
        <v>-180.6</v>
      </c>
      <c r="O114" s="356">
        <v>-180.6</v>
      </c>
      <c r="P114" s="356">
        <v>-180.6</v>
      </c>
      <c r="Q114" s="356">
        <v>-180.6</v>
      </c>
      <c r="R114" s="356">
        <v>-180.6</v>
      </c>
      <c r="S114" s="357">
        <f t="shared" si="26"/>
        <v>-142.97499999999997</v>
      </c>
      <c r="U114" s="358">
        <f t="shared" si="24"/>
        <v>-142.97499999999997</v>
      </c>
      <c r="V114" s="359"/>
      <c r="W114" s="359"/>
      <c r="X114" s="360"/>
      <c r="Y114" s="359"/>
      <c r="Z114" s="359"/>
      <c r="AA114" s="358"/>
      <c r="AB114" s="359"/>
      <c r="AD114" s="271">
        <f t="shared" si="25"/>
        <v>-142.97499999999997</v>
      </c>
      <c r="AF114" s="289">
        <f t="shared" si="20"/>
        <v>0</v>
      </c>
    </row>
    <row r="115" spans="1:32">
      <c r="A115" s="113">
        <v>100</v>
      </c>
      <c r="B115" s="119" t="s">
        <v>1543</v>
      </c>
      <c r="C115" s="119" t="s">
        <v>2042</v>
      </c>
      <c r="D115" s="119" t="s">
        <v>2040</v>
      </c>
      <c r="E115" s="355" t="s">
        <v>2046</v>
      </c>
      <c r="F115" s="356">
        <v>2611</v>
      </c>
      <c r="G115" s="356">
        <v>0</v>
      </c>
      <c r="H115" s="356">
        <v>0</v>
      </c>
      <c r="I115" s="356">
        <v>0</v>
      </c>
      <c r="J115" s="356">
        <v>0</v>
      </c>
      <c r="K115" s="356">
        <v>0</v>
      </c>
      <c r="L115" s="356">
        <v>0</v>
      </c>
      <c r="M115" s="356">
        <v>0</v>
      </c>
      <c r="N115" s="356">
        <v>0</v>
      </c>
      <c r="O115" s="356">
        <v>0</v>
      </c>
      <c r="P115" s="356">
        <v>0</v>
      </c>
      <c r="Q115" s="356">
        <v>0</v>
      </c>
      <c r="R115" s="356">
        <v>5525.04</v>
      </c>
      <c r="S115" s="357">
        <f t="shared" si="26"/>
        <v>339.00166666666667</v>
      </c>
      <c r="U115" s="358">
        <f t="shared" si="24"/>
        <v>339.00166666666667</v>
      </c>
      <c r="V115" s="359"/>
      <c r="W115" s="359"/>
      <c r="X115" s="360"/>
      <c r="Y115" s="359"/>
      <c r="Z115" s="359"/>
      <c r="AA115" s="358"/>
      <c r="AB115" s="359"/>
      <c r="AD115" s="271">
        <f t="shared" si="25"/>
        <v>339.00166666666667</v>
      </c>
      <c r="AF115" s="289">
        <f t="shared" si="20"/>
        <v>0</v>
      </c>
    </row>
    <row r="116" spans="1:32">
      <c r="A116" s="113">
        <v>101</v>
      </c>
      <c r="B116" s="119" t="s">
        <v>1523</v>
      </c>
      <c r="C116" s="119" t="s">
        <v>2042</v>
      </c>
      <c r="D116" s="119" t="s">
        <v>2040</v>
      </c>
      <c r="E116" s="355" t="s">
        <v>2046</v>
      </c>
      <c r="F116" s="356">
        <v>-14139.56</v>
      </c>
      <c r="G116" s="356">
        <v>0</v>
      </c>
      <c r="H116" s="356">
        <v>0</v>
      </c>
      <c r="I116" s="356">
        <v>0</v>
      </c>
      <c r="J116" s="356">
        <v>0</v>
      </c>
      <c r="K116" s="356">
        <v>0</v>
      </c>
      <c r="L116" s="356">
        <v>0</v>
      </c>
      <c r="M116" s="356">
        <v>0</v>
      </c>
      <c r="N116" s="356">
        <v>0</v>
      </c>
      <c r="O116" s="356">
        <v>0</v>
      </c>
      <c r="P116" s="356">
        <v>0</v>
      </c>
      <c r="Q116" s="356">
        <v>0</v>
      </c>
      <c r="R116" s="356">
        <v>216.6</v>
      </c>
      <c r="S116" s="357">
        <f>((F116+R116)+((G116+H116+I116+J116+K116+L116+M116+N116+O116+P116+Q116)*2))/24</f>
        <v>-580.12333333333333</v>
      </c>
      <c r="U116" s="358">
        <f t="shared" si="24"/>
        <v>-580.12333333333333</v>
      </c>
      <c r="V116" s="359"/>
      <c r="W116" s="359"/>
      <c r="X116" s="360"/>
      <c r="Y116" s="359"/>
      <c r="Z116" s="359"/>
      <c r="AA116" s="358"/>
      <c r="AB116" s="359"/>
      <c r="AD116" s="271">
        <f t="shared" si="25"/>
        <v>-580.12333333333333</v>
      </c>
      <c r="AF116" s="289">
        <f t="shared" si="20"/>
        <v>0</v>
      </c>
    </row>
    <row r="117" spans="1:32">
      <c r="A117" s="113">
        <v>102</v>
      </c>
      <c r="B117" s="119" t="s">
        <v>1530</v>
      </c>
      <c r="C117" s="119" t="s">
        <v>2047</v>
      </c>
      <c r="D117" s="119" t="s">
        <v>2014</v>
      </c>
      <c r="E117" s="355" t="s">
        <v>2048</v>
      </c>
      <c r="F117" s="356">
        <v>-10000</v>
      </c>
      <c r="G117" s="356">
        <v>-14410</v>
      </c>
      <c r="H117" s="356">
        <v>-14410</v>
      </c>
      <c r="I117" s="356">
        <v>-14410</v>
      </c>
      <c r="J117" s="356">
        <v>-15000</v>
      </c>
      <c r="K117" s="356">
        <v>-15000</v>
      </c>
      <c r="L117" s="356">
        <v>-15000</v>
      </c>
      <c r="M117" s="356">
        <v>-15000</v>
      </c>
      <c r="N117" s="356">
        <v>-15000</v>
      </c>
      <c r="O117" s="356">
        <v>-15000</v>
      </c>
      <c r="P117" s="356">
        <v>-15000</v>
      </c>
      <c r="Q117" s="356">
        <v>-15000</v>
      </c>
      <c r="R117" s="356">
        <v>-15000</v>
      </c>
      <c r="S117" s="357">
        <f>((F117+R117)+((G117+H117+I117+J117+K117+L117+M117+N117+O117+P117+Q117)*2))/24</f>
        <v>-14644.166666666666</v>
      </c>
      <c r="U117" s="358">
        <f t="shared" si="24"/>
        <v>-14644.166666666666</v>
      </c>
      <c r="V117" s="359"/>
      <c r="W117" s="359"/>
      <c r="X117" s="360"/>
      <c r="Y117" s="359"/>
      <c r="Z117" s="359"/>
      <c r="AA117" s="358"/>
      <c r="AB117" s="359"/>
      <c r="AD117" s="271">
        <f t="shared" si="25"/>
        <v>-14644.166666666666</v>
      </c>
      <c r="AF117" s="289">
        <f t="shared" si="20"/>
        <v>0</v>
      </c>
    </row>
    <row r="118" spans="1:32">
      <c r="A118" s="113">
        <v>103</v>
      </c>
      <c r="B118" s="119" t="s">
        <v>1530</v>
      </c>
      <c r="C118" s="119" t="s">
        <v>2047</v>
      </c>
      <c r="D118" s="119" t="s">
        <v>2004</v>
      </c>
      <c r="E118" s="355" t="s">
        <v>2049</v>
      </c>
      <c r="F118" s="356">
        <v>34847.89</v>
      </c>
      <c r="G118" s="356">
        <v>0</v>
      </c>
      <c r="H118" s="356">
        <v>0</v>
      </c>
      <c r="I118" s="356">
        <v>4515</v>
      </c>
      <c r="J118" s="356">
        <v>5105</v>
      </c>
      <c r="K118" s="356">
        <v>5105</v>
      </c>
      <c r="L118" s="356">
        <v>5105</v>
      </c>
      <c r="M118" s="356">
        <v>5105</v>
      </c>
      <c r="N118" s="356">
        <v>5105</v>
      </c>
      <c r="O118" s="356">
        <v>5105</v>
      </c>
      <c r="P118" s="356">
        <v>11564.29</v>
      </c>
      <c r="Q118" s="356">
        <v>11564.29</v>
      </c>
      <c r="R118" s="356">
        <v>15785.61</v>
      </c>
      <c r="S118" s="357">
        <f>((F118+R118)+((G118+H118+I118+J118+K118+L118+M118+N118+O118+P118+Q118)*2))/24</f>
        <v>6965.8608333333332</v>
      </c>
      <c r="U118" s="358">
        <f t="shared" si="24"/>
        <v>6965.8608333333332</v>
      </c>
      <c r="V118" s="359"/>
      <c r="W118" s="359"/>
      <c r="X118" s="360"/>
      <c r="Y118" s="359"/>
      <c r="Z118" s="359"/>
      <c r="AA118" s="358"/>
      <c r="AB118" s="359"/>
      <c r="AD118" s="271">
        <f t="shared" si="25"/>
        <v>6965.8608333333332</v>
      </c>
      <c r="AF118" s="289">
        <f t="shared" si="20"/>
        <v>0</v>
      </c>
    </row>
    <row r="119" spans="1:32">
      <c r="A119" s="113">
        <v>104</v>
      </c>
      <c r="B119" s="119" t="s">
        <v>1530</v>
      </c>
      <c r="C119" s="119" t="s">
        <v>2047</v>
      </c>
      <c r="D119" s="119" t="s">
        <v>1531</v>
      </c>
      <c r="E119" s="355" t="s">
        <v>2050</v>
      </c>
      <c r="F119" s="356">
        <v>0</v>
      </c>
      <c r="G119" s="356">
        <v>0</v>
      </c>
      <c r="H119" s="356">
        <v>0</v>
      </c>
      <c r="I119" s="356">
        <v>0</v>
      </c>
      <c r="J119" s="356">
        <v>0</v>
      </c>
      <c r="K119" s="356">
        <v>0</v>
      </c>
      <c r="L119" s="356">
        <v>0</v>
      </c>
      <c r="M119" s="356">
        <v>0</v>
      </c>
      <c r="N119" s="356">
        <v>0</v>
      </c>
      <c r="O119" s="356">
        <v>0</v>
      </c>
      <c r="P119" s="356">
        <v>0</v>
      </c>
      <c r="Q119" s="356">
        <v>0</v>
      </c>
      <c r="R119" s="356">
        <v>0</v>
      </c>
      <c r="S119" s="357">
        <f>((F119+R119)+((G119+H119+I119+J119+K119+L119+M119+N119+O119+P119+Q119)*2))/24</f>
        <v>0</v>
      </c>
      <c r="U119" s="358">
        <f t="shared" si="24"/>
        <v>0</v>
      </c>
      <c r="V119" s="359"/>
      <c r="W119" s="359"/>
      <c r="X119" s="360"/>
      <c r="Y119" s="359"/>
      <c r="Z119" s="359"/>
      <c r="AA119" s="358"/>
      <c r="AB119" s="359"/>
      <c r="AD119" s="271">
        <f t="shared" si="25"/>
        <v>0</v>
      </c>
      <c r="AF119" s="289">
        <f t="shared" si="20"/>
        <v>0</v>
      </c>
    </row>
    <row r="120" spans="1:32">
      <c r="A120" s="113">
        <v>105</v>
      </c>
      <c r="B120" s="119" t="s">
        <v>1530</v>
      </c>
      <c r="C120" s="119" t="s">
        <v>2047</v>
      </c>
      <c r="D120" s="119" t="s">
        <v>2040</v>
      </c>
      <c r="E120" s="355" t="s">
        <v>2051</v>
      </c>
      <c r="F120" s="698">
        <v>-39847.89</v>
      </c>
      <c r="G120" s="698">
        <v>0</v>
      </c>
      <c r="H120" s="698">
        <v>0</v>
      </c>
      <c r="I120" s="698">
        <v>0</v>
      </c>
      <c r="J120" s="698">
        <v>0</v>
      </c>
      <c r="K120" s="698">
        <v>0</v>
      </c>
      <c r="L120" s="698">
        <v>0</v>
      </c>
      <c r="M120" s="698">
        <v>0</v>
      </c>
      <c r="N120" s="698">
        <v>0</v>
      </c>
      <c r="O120" s="698">
        <v>0</v>
      </c>
      <c r="P120" s="698">
        <v>0</v>
      </c>
      <c r="Q120" s="698">
        <v>0</v>
      </c>
      <c r="R120" s="698">
        <v>-15785.61</v>
      </c>
      <c r="S120" s="700">
        <f>((F120+R120)+((G120+H120+I120+J120+K120+L120+M120+N120+O120+P120+Q120)*2))/24</f>
        <v>-2318.0625</v>
      </c>
      <c r="U120" s="358">
        <f t="shared" si="24"/>
        <v>-2318.0625</v>
      </c>
      <c r="V120" s="359"/>
      <c r="W120" s="359"/>
      <c r="X120" s="360"/>
      <c r="Y120" s="359"/>
      <c r="Z120" s="359"/>
      <c r="AA120" s="358"/>
      <c r="AB120" s="359"/>
      <c r="AD120" s="271">
        <f t="shared" si="25"/>
        <v>-2318.0625</v>
      </c>
      <c r="AF120" s="289">
        <f t="shared" si="20"/>
        <v>0</v>
      </c>
    </row>
    <row r="121" spans="1:32">
      <c r="A121" s="113">
        <v>106</v>
      </c>
      <c r="E121" s="374" t="s">
        <v>2052</v>
      </c>
      <c r="F121" s="396">
        <f t="shared" ref="F121:S121" si="27">SUM(F102:F120)</f>
        <v>-513355.16000000015</v>
      </c>
      <c r="G121" s="396">
        <f t="shared" si="27"/>
        <v>-627506.03000000026</v>
      </c>
      <c r="H121" s="396">
        <f t="shared" si="27"/>
        <v>-615674.03000000026</v>
      </c>
      <c r="I121" s="396">
        <f t="shared" si="27"/>
        <v>-693910.99</v>
      </c>
      <c r="J121" s="396">
        <f t="shared" si="27"/>
        <v>-773773.32</v>
      </c>
      <c r="K121" s="396">
        <f t="shared" si="27"/>
        <v>-703446.63</v>
      </c>
      <c r="L121" s="396">
        <f t="shared" si="27"/>
        <v>-636688.72000000009</v>
      </c>
      <c r="M121" s="396">
        <f t="shared" si="27"/>
        <v>-559048.2699999999</v>
      </c>
      <c r="N121" s="396">
        <f t="shared" si="27"/>
        <v>-507393.21000000008</v>
      </c>
      <c r="O121" s="396">
        <f t="shared" si="27"/>
        <v>-804270.95000000007</v>
      </c>
      <c r="P121" s="396">
        <f t="shared" si="27"/>
        <v>-768212.88</v>
      </c>
      <c r="Q121" s="396">
        <f t="shared" si="27"/>
        <v>-855689.47000000009</v>
      </c>
      <c r="R121" s="396">
        <f t="shared" si="27"/>
        <v>-1271513.46</v>
      </c>
      <c r="S121" s="236">
        <f t="shared" si="27"/>
        <v>-703170.73416666652</v>
      </c>
      <c r="U121" s="358"/>
      <c r="V121" s="359"/>
      <c r="W121" s="359"/>
      <c r="X121" s="360"/>
      <c r="Y121" s="359"/>
      <c r="Z121" s="359"/>
      <c r="AA121" s="358"/>
      <c r="AB121" s="359"/>
      <c r="AF121" s="289">
        <f t="shared" si="20"/>
        <v>0</v>
      </c>
    </row>
    <row r="122" spans="1:32">
      <c r="A122" s="113">
        <v>107</v>
      </c>
      <c r="E122" s="374"/>
      <c r="F122" s="362"/>
      <c r="G122" s="362"/>
      <c r="H122" s="362"/>
      <c r="I122" s="362"/>
      <c r="J122" s="362"/>
      <c r="K122" s="362"/>
      <c r="L122" s="362"/>
      <c r="M122" s="362"/>
      <c r="N122" s="362"/>
      <c r="O122" s="362"/>
      <c r="P122" s="362"/>
      <c r="Q122" s="362"/>
      <c r="R122" s="362"/>
      <c r="S122" s="96"/>
      <c r="U122" s="358"/>
      <c r="V122" s="359"/>
      <c r="W122" s="359"/>
      <c r="X122" s="360"/>
      <c r="Y122" s="359"/>
      <c r="Z122" s="359"/>
      <c r="AA122" s="358"/>
      <c r="AB122" s="359"/>
      <c r="AF122" s="289">
        <f t="shared" si="20"/>
        <v>0</v>
      </c>
    </row>
    <row r="123" spans="1:32">
      <c r="A123" s="113">
        <v>108</v>
      </c>
      <c r="E123" s="374" t="s">
        <v>2053</v>
      </c>
      <c r="F123" s="696">
        <f t="shared" ref="F123:S123" si="28">+F100+F121</f>
        <v>26725781.710000001</v>
      </c>
      <c r="G123" s="696">
        <f t="shared" si="28"/>
        <v>31016835.280000005</v>
      </c>
      <c r="H123" s="696">
        <f t="shared" si="28"/>
        <v>24159711.060000002</v>
      </c>
      <c r="I123" s="696">
        <f t="shared" si="28"/>
        <v>23823292.510000002</v>
      </c>
      <c r="J123" s="696">
        <f t="shared" si="28"/>
        <v>20521749.68</v>
      </c>
      <c r="K123" s="696">
        <f t="shared" si="28"/>
        <v>14570179.050000001</v>
      </c>
      <c r="L123" s="696">
        <f t="shared" si="28"/>
        <v>12786420.019999998</v>
      </c>
      <c r="M123" s="696">
        <f t="shared" si="28"/>
        <v>15966550.430000002</v>
      </c>
      <c r="N123" s="696">
        <f t="shared" si="28"/>
        <v>14798811.490000002</v>
      </c>
      <c r="O123" s="696">
        <f t="shared" si="28"/>
        <v>18143576.780000001</v>
      </c>
      <c r="P123" s="696">
        <f t="shared" si="28"/>
        <v>18704055.949999999</v>
      </c>
      <c r="Q123" s="696">
        <f t="shared" si="28"/>
        <v>24604235.409999996</v>
      </c>
      <c r="R123" s="696">
        <f t="shared" si="28"/>
        <v>25098741.940000001</v>
      </c>
      <c r="S123" s="697">
        <f t="shared" si="28"/>
        <v>20417306.623750001</v>
      </c>
      <c r="U123" s="358"/>
      <c r="V123" s="359"/>
      <c r="W123" s="359"/>
      <c r="X123" s="360"/>
      <c r="Y123" s="359"/>
      <c r="Z123" s="359"/>
      <c r="AA123" s="358"/>
      <c r="AB123" s="359"/>
      <c r="AF123" s="289">
        <f t="shared" si="20"/>
        <v>0</v>
      </c>
    </row>
    <row r="124" spans="1:32">
      <c r="A124" s="113">
        <v>109</v>
      </c>
      <c r="E124" s="374"/>
      <c r="F124" s="356"/>
      <c r="G124" s="386"/>
      <c r="H124" s="387"/>
      <c r="I124" s="387"/>
      <c r="J124" s="388"/>
      <c r="K124" s="389"/>
      <c r="L124" s="390"/>
      <c r="M124" s="391"/>
      <c r="N124" s="392"/>
      <c r="O124" s="373"/>
      <c r="P124" s="393"/>
      <c r="Q124" s="394"/>
      <c r="R124" s="356"/>
      <c r="S124" s="96"/>
      <c r="U124" s="358"/>
      <c r="V124" s="359"/>
      <c r="W124" s="359"/>
      <c r="X124" s="360"/>
      <c r="Y124" s="359"/>
      <c r="Z124" s="359"/>
      <c r="AA124" s="358"/>
      <c r="AB124" s="359"/>
      <c r="AF124" s="289">
        <f t="shared" si="20"/>
        <v>0</v>
      </c>
    </row>
    <row r="125" spans="1:32">
      <c r="A125" s="113">
        <v>110</v>
      </c>
      <c r="B125" s="119" t="s">
        <v>1530</v>
      </c>
      <c r="C125" s="119" t="s">
        <v>2054</v>
      </c>
      <c r="D125" s="119" t="s">
        <v>2055</v>
      </c>
      <c r="E125" s="355" t="s">
        <v>2056</v>
      </c>
      <c r="F125" s="356">
        <v>1079770.6299999999</v>
      </c>
      <c r="G125" s="356">
        <v>1105226.8500000001</v>
      </c>
      <c r="H125" s="356">
        <v>1073090.52</v>
      </c>
      <c r="I125" s="356">
        <v>1016498.52</v>
      </c>
      <c r="J125" s="356">
        <v>1026641.43</v>
      </c>
      <c r="K125" s="356">
        <v>1065613.24</v>
      </c>
      <c r="L125" s="356">
        <v>1136114.08</v>
      </c>
      <c r="M125" s="356">
        <v>1023403.43</v>
      </c>
      <c r="N125" s="356">
        <v>803830.27</v>
      </c>
      <c r="O125" s="356">
        <v>839752.87</v>
      </c>
      <c r="P125" s="356">
        <v>742786.37</v>
      </c>
      <c r="Q125" s="356">
        <v>738621.33</v>
      </c>
      <c r="R125" s="356">
        <v>838523.46</v>
      </c>
      <c r="S125" s="357">
        <f>((F125+R125)+((G125+H125+I125+J125+K125+L125+M125+N125+O125+P125+Q125)*2))/24</f>
        <v>960893.82958333322</v>
      </c>
      <c r="U125" s="358">
        <f t="shared" ref="U125:U149" si="29">+S125</f>
        <v>960893.82958333322</v>
      </c>
      <c r="V125" s="359"/>
      <c r="W125" s="359"/>
      <c r="X125" s="360"/>
      <c r="Y125" s="359"/>
      <c r="Z125" s="359"/>
      <c r="AA125" s="358"/>
      <c r="AB125" s="359"/>
      <c r="AD125" s="271">
        <f t="shared" ref="AD125:AD149" si="30">+U125</f>
        <v>960893.82958333322</v>
      </c>
      <c r="AF125" s="289">
        <f t="shared" si="20"/>
        <v>0</v>
      </c>
    </row>
    <row r="126" spans="1:32">
      <c r="A126" s="113">
        <v>111</v>
      </c>
      <c r="B126" s="119" t="s">
        <v>2057</v>
      </c>
      <c r="C126" s="119" t="s">
        <v>2054</v>
      </c>
      <c r="D126" s="119" t="s">
        <v>2055</v>
      </c>
      <c r="E126" s="355" t="s">
        <v>2058</v>
      </c>
      <c r="F126" s="356">
        <v>369715.35</v>
      </c>
      <c r="G126" s="356">
        <v>366038.12</v>
      </c>
      <c r="H126" s="356">
        <v>361834.79</v>
      </c>
      <c r="I126" s="356">
        <v>331792.07</v>
      </c>
      <c r="J126" s="356">
        <v>321627.53999999998</v>
      </c>
      <c r="K126" s="356">
        <v>321733.58</v>
      </c>
      <c r="L126" s="356">
        <v>321116.03999999998</v>
      </c>
      <c r="M126" s="356">
        <v>353561.54</v>
      </c>
      <c r="N126" s="356">
        <v>348070.69</v>
      </c>
      <c r="O126" s="356">
        <v>350204.64</v>
      </c>
      <c r="P126" s="356">
        <v>349576.85</v>
      </c>
      <c r="Q126" s="356">
        <v>349501.81</v>
      </c>
      <c r="R126" s="356">
        <v>348607.83</v>
      </c>
      <c r="S126" s="357">
        <f t="shared" ref="S126:S143" si="31">((F126+R126)+((G126+H126+I126+J126+K126+L126+M126+N126+O126+P126+Q126)*2))/24</f>
        <v>344518.27166666667</v>
      </c>
      <c r="U126" s="358">
        <f t="shared" si="29"/>
        <v>344518.27166666667</v>
      </c>
      <c r="V126" s="359"/>
      <c r="W126" s="359"/>
      <c r="X126" s="360"/>
      <c r="Y126" s="359"/>
      <c r="Z126" s="359"/>
      <c r="AA126" s="358"/>
      <c r="AB126" s="359"/>
      <c r="AD126" s="271">
        <f t="shared" si="30"/>
        <v>344518.27166666667</v>
      </c>
      <c r="AF126" s="289">
        <f t="shared" si="20"/>
        <v>0</v>
      </c>
    </row>
    <row r="127" spans="1:32">
      <c r="A127" s="113">
        <v>112</v>
      </c>
      <c r="B127" s="119" t="s">
        <v>2059</v>
      </c>
      <c r="C127" s="119" t="s">
        <v>2054</v>
      </c>
      <c r="D127" s="119" t="s">
        <v>2055</v>
      </c>
      <c r="E127" s="355" t="s">
        <v>2060</v>
      </c>
      <c r="F127" s="356">
        <v>759358.35</v>
      </c>
      <c r="G127" s="356">
        <v>760239.28</v>
      </c>
      <c r="H127" s="356">
        <v>798769.67</v>
      </c>
      <c r="I127" s="356">
        <v>774432.02</v>
      </c>
      <c r="J127" s="356">
        <v>753007.36</v>
      </c>
      <c r="K127" s="356">
        <v>782067.7</v>
      </c>
      <c r="L127" s="356">
        <v>737223.49</v>
      </c>
      <c r="M127" s="356">
        <v>754534.08</v>
      </c>
      <c r="N127" s="356">
        <v>767089.59</v>
      </c>
      <c r="O127" s="356">
        <v>773243.75</v>
      </c>
      <c r="P127" s="356">
        <v>639862.42000000004</v>
      </c>
      <c r="Q127" s="356">
        <v>602465.01</v>
      </c>
      <c r="R127" s="356">
        <v>536867.38</v>
      </c>
      <c r="S127" s="357">
        <f t="shared" si="31"/>
        <v>732587.26958333328</v>
      </c>
      <c r="U127" s="358">
        <f t="shared" si="29"/>
        <v>732587.26958333328</v>
      </c>
      <c r="V127" s="359"/>
      <c r="W127" s="359"/>
      <c r="X127" s="360"/>
      <c r="Y127" s="359"/>
      <c r="Z127" s="359"/>
      <c r="AA127" s="358"/>
      <c r="AB127" s="359"/>
      <c r="AD127" s="271">
        <f t="shared" si="30"/>
        <v>732587.26958333328</v>
      </c>
      <c r="AF127" s="289">
        <f t="shared" si="20"/>
        <v>0</v>
      </c>
    </row>
    <row r="128" spans="1:32">
      <c r="A128" s="113">
        <v>113</v>
      </c>
      <c r="B128" s="119" t="s">
        <v>2061</v>
      </c>
      <c r="C128" s="119" t="s">
        <v>2054</v>
      </c>
      <c r="D128" s="119" t="s">
        <v>2055</v>
      </c>
      <c r="E128" s="355" t="s">
        <v>2062</v>
      </c>
      <c r="F128" s="356">
        <v>555522.68999999994</v>
      </c>
      <c r="G128" s="356">
        <v>543432.73</v>
      </c>
      <c r="H128" s="356">
        <v>493955.5</v>
      </c>
      <c r="I128" s="356">
        <v>624722.14</v>
      </c>
      <c r="J128" s="356">
        <v>566251.30000000005</v>
      </c>
      <c r="K128" s="356">
        <v>728740.63</v>
      </c>
      <c r="L128" s="356">
        <v>722988.8</v>
      </c>
      <c r="M128" s="356">
        <v>699594.36</v>
      </c>
      <c r="N128" s="356">
        <v>598917.47</v>
      </c>
      <c r="O128" s="356">
        <v>638594.02</v>
      </c>
      <c r="P128" s="356">
        <v>695467</v>
      </c>
      <c r="Q128" s="356">
        <v>644298.36</v>
      </c>
      <c r="R128" s="356">
        <v>616072.66</v>
      </c>
      <c r="S128" s="357">
        <f t="shared" si="31"/>
        <v>628563.33208333328</v>
      </c>
      <c r="U128" s="358">
        <f t="shared" si="29"/>
        <v>628563.33208333328</v>
      </c>
      <c r="V128" s="359"/>
      <c r="W128" s="359"/>
      <c r="X128" s="360"/>
      <c r="Y128" s="359"/>
      <c r="Z128" s="359"/>
      <c r="AA128" s="358"/>
      <c r="AB128" s="359"/>
      <c r="AD128" s="271">
        <f t="shared" si="30"/>
        <v>628563.33208333328</v>
      </c>
      <c r="AF128" s="289">
        <f t="shared" si="20"/>
        <v>0</v>
      </c>
    </row>
    <row r="129" spans="1:32">
      <c r="A129" s="113">
        <v>114</v>
      </c>
      <c r="B129" s="119" t="s">
        <v>2063</v>
      </c>
      <c r="C129" s="119" t="s">
        <v>2054</v>
      </c>
      <c r="D129" s="119" t="s">
        <v>2055</v>
      </c>
      <c r="E129" s="355" t="s">
        <v>2064</v>
      </c>
      <c r="F129" s="356">
        <v>441378.52</v>
      </c>
      <c r="G129" s="356">
        <v>444940.77</v>
      </c>
      <c r="H129" s="356">
        <v>469526.83</v>
      </c>
      <c r="I129" s="356">
        <v>454557.24</v>
      </c>
      <c r="J129" s="356">
        <v>456165.28</v>
      </c>
      <c r="K129" s="356">
        <v>462202.56</v>
      </c>
      <c r="L129" s="356">
        <v>491746.08</v>
      </c>
      <c r="M129" s="356">
        <v>565725.46</v>
      </c>
      <c r="N129" s="356">
        <v>611580.24</v>
      </c>
      <c r="O129" s="356">
        <v>646793.18000000005</v>
      </c>
      <c r="P129" s="356">
        <v>624871.37</v>
      </c>
      <c r="Q129" s="356">
        <v>589435.04</v>
      </c>
      <c r="R129" s="356">
        <v>512563.57</v>
      </c>
      <c r="S129" s="357">
        <f t="shared" si="31"/>
        <v>524542.92458333331</v>
      </c>
      <c r="U129" s="358">
        <f t="shared" si="29"/>
        <v>524542.92458333331</v>
      </c>
      <c r="V129" s="359"/>
      <c r="W129" s="359"/>
      <c r="X129" s="360"/>
      <c r="Y129" s="359"/>
      <c r="Z129" s="359"/>
      <c r="AA129" s="358"/>
      <c r="AB129" s="359"/>
      <c r="AD129" s="271">
        <f t="shared" si="30"/>
        <v>524542.92458333331</v>
      </c>
      <c r="AF129" s="289">
        <f t="shared" si="20"/>
        <v>0</v>
      </c>
    </row>
    <row r="130" spans="1:32">
      <c r="A130" s="113">
        <v>115</v>
      </c>
      <c r="B130" s="119" t="s">
        <v>2065</v>
      </c>
      <c r="C130" s="119" t="s">
        <v>2054</v>
      </c>
      <c r="D130" s="119" t="s">
        <v>2055</v>
      </c>
      <c r="E130" s="355" t="s">
        <v>2066</v>
      </c>
      <c r="F130" s="356">
        <v>107415.88</v>
      </c>
      <c r="G130" s="356">
        <v>105598.55</v>
      </c>
      <c r="H130" s="356">
        <v>104424.95</v>
      </c>
      <c r="I130" s="356">
        <v>95196.82</v>
      </c>
      <c r="J130" s="356">
        <v>95641.11</v>
      </c>
      <c r="K130" s="356">
        <v>94599.58</v>
      </c>
      <c r="L130" s="356">
        <v>91228.24</v>
      </c>
      <c r="M130" s="356">
        <v>91636.4</v>
      </c>
      <c r="N130" s="356">
        <v>91124.71</v>
      </c>
      <c r="O130" s="356">
        <v>91094.399999999994</v>
      </c>
      <c r="P130" s="356">
        <v>96983.38</v>
      </c>
      <c r="Q130" s="356">
        <v>96941.57</v>
      </c>
      <c r="R130" s="356">
        <v>99132.08</v>
      </c>
      <c r="S130" s="357">
        <f t="shared" si="31"/>
        <v>96478.640833333324</v>
      </c>
      <c r="U130" s="358">
        <f t="shared" si="29"/>
        <v>96478.640833333324</v>
      </c>
      <c r="V130" s="359"/>
      <c r="W130" s="359"/>
      <c r="X130" s="360"/>
      <c r="Y130" s="359"/>
      <c r="Z130" s="359"/>
      <c r="AA130" s="358"/>
      <c r="AB130" s="359"/>
      <c r="AD130" s="271">
        <f t="shared" si="30"/>
        <v>96478.640833333324</v>
      </c>
      <c r="AF130" s="289">
        <f t="shared" si="20"/>
        <v>0</v>
      </c>
    </row>
    <row r="131" spans="1:32">
      <c r="A131" s="113">
        <v>116</v>
      </c>
      <c r="B131" s="119" t="s">
        <v>2067</v>
      </c>
      <c r="C131" s="119" t="s">
        <v>2054</v>
      </c>
      <c r="D131" s="119" t="s">
        <v>2055</v>
      </c>
      <c r="E131" s="355" t="s">
        <v>2068</v>
      </c>
      <c r="F131" s="356">
        <v>304137.73</v>
      </c>
      <c r="G131" s="356">
        <v>297120.07</v>
      </c>
      <c r="H131" s="356">
        <v>325619.09999999998</v>
      </c>
      <c r="I131" s="356">
        <v>313591.36</v>
      </c>
      <c r="J131" s="356">
        <v>319662.76</v>
      </c>
      <c r="K131" s="356">
        <v>314075.96999999997</v>
      </c>
      <c r="L131" s="356">
        <v>313667.55</v>
      </c>
      <c r="M131" s="356">
        <v>356694.95</v>
      </c>
      <c r="N131" s="356">
        <v>373421.02</v>
      </c>
      <c r="O131" s="356">
        <v>336424.47</v>
      </c>
      <c r="P131" s="356">
        <v>300765.96000000002</v>
      </c>
      <c r="Q131" s="356">
        <v>243296.42</v>
      </c>
      <c r="R131" s="356">
        <v>395535.87</v>
      </c>
      <c r="S131" s="357">
        <f t="shared" si="31"/>
        <v>320348.03583333333</v>
      </c>
      <c r="U131" s="358">
        <f t="shared" si="29"/>
        <v>320348.03583333333</v>
      </c>
      <c r="V131" s="359"/>
      <c r="W131" s="359"/>
      <c r="X131" s="360"/>
      <c r="Y131" s="359"/>
      <c r="Z131" s="359"/>
      <c r="AA131" s="358"/>
      <c r="AB131" s="359"/>
      <c r="AD131" s="271">
        <f t="shared" si="30"/>
        <v>320348.03583333333</v>
      </c>
      <c r="AF131" s="289">
        <f t="shared" si="20"/>
        <v>0</v>
      </c>
    </row>
    <row r="132" spans="1:32">
      <c r="A132" s="113">
        <v>117</v>
      </c>
      <c r="B132" s="119" t="s">
        <v>2069</v>
      </c>
      <c r="C132" s="119" t="s">
        <v>2054</v>
      </c>
      <c r="D132" s="119" t="s">
        <v>2055</v>
      </c>
      <c r="E132" s="355" t="s">
        <v>2070</v>
      </c>
      <c r="F132" s="356">
        <v>377671.84</v>
      </c>
      <c r="G132" s="356">
        <v>384387.72</v>
      </c>
      <c r="H132" s="356">
        <v>347713.5</v>
      </c>
      <c r="I132" s="356">
        <v>346480.91</v>
      </c>
      <c r="J132" s="356">
        <v>356380.19</v>
      </c>
      <c r="K132" s="356">
        <v>357468.43</v>
      </c>
      <c r="L132" s="356">
        <v>358331.38</v>
      </c>
      <c r="M132" s="356">
        <v>355069.46</v>
      </c>
      <c r="N132" s="356">
        <v>366101.08</v>
      </c>
      <c r="O132" s="356">
        <v>257116.02</v>
      </c>
      <c r="P132" s="356">
        <v>285835.65999999997</v>
      </c>
      <c r="Q132" s="356">
        <v>284281.18</v>
      </c>
      <c r="R132" s="356">
        <v>315890.34999999998</v>
      </c>
      <c r="S132" s="357">
        <f t="shared" si="31"/>
        <v>337162.21875</v>
      </c>
      <c r="U132" s="358">
        <f t="shared" si="29"/>
        <v>337162.21875</v>
      </c>
      <c r="V132" s="359"/>
      <c r="W132" s="359"/>
      <c r="X132" s="360"/>
      <c r="Y132" s="359"/>
      <c r="Z132" s="359"/>
      <c r="AA132" s="358"/>
      <c r="AB132" s="359"/>
      <c r="AD132" s="271">
        <f t="shared" si="30"/>
        <v>337162.21875</v>
      </c>
      <c r="AF132" s="289">
        <f t="shared" si="20"/>
        <v>0</v>
      </c>
    </row>
    <row r="133" spans="1:32">
      <c r="A133" s="113">
        <v>118</v>
      </c>
      <c r="B133" s="119" t="s">
        <v>2071</v>
      </c>
      <c r="C133" s="119" t="s">
        <v>2054</v>
      </c>
      <c r="D133" s="119" t="s">
        <v>2055</v>
      </c>
      <c r="E133" s="355" t="s">
        <v>2072</v>
      </c>
      <c r="F133" s="356">
        <v>132295.67999999999</v>
      </c>
      <c r="G133" s="356">
        <v>135893.18</v>
      </c>
      <c r="H133" s="356">
        <v>133608.75</v>
      </c>
      <c r="I133" s="356">
        <v>355564.88</v>
      </c>
      <c r="J133" s="356">
        <v>355401.4</v>
      </c>
      <c r="K133" s="356">
        <v>145125.16</v>
      </c>
      <c r="L133" s="356">
        <v>129182.28</v>
      </c>
      <c r="M133" s="356">
        <v>168330.71</v>
      </c>
      <c r="N133" s="356">
        <v>143175.16</v>
      </c>
      <c r="O133" s="356">
        <v>169509.3</v>
      </c>
      <c r="P133" s="356">
        <v>158741.06</v>
      </c>
      <c r="Q133" s="356">
        <v>163936.69</v>
      </c>
      <c r="R133" s="356">
        <v>163671.53</v>
      </c>
      <c r="S133" s="357">
        <f t="shared" si="31"/>
        <v>183871.01458333331</v>
      </c>
      <c r="U133" s="358">
        <f t="shared" si="29"/>
        <v>183871.01458333331</v>
      </c>
      <c r="V133" s="359"/>
      <c r="W133" s="359"/>
      <c r="X133" s="360"/>
      <c r="Y133" s="359"/>
      <c r="Z133" s="359"/>
      <c r="AA133" s="358"/>
      <c r="AB133" s="359"/>
      <c r="AD133" s="271">
        <f t="shared" si="30"/>
        <v>183871.01458333331</v>
      </c>
      <c r="AF133" s="289">
        <f t="shared" si="20"/>
        <v>0</v>
      </c>
    </row>
    <row r="134" spans="1:32">
      <c r="A134" s="113">
        <v>119</v>
      </c>
      <c r="B134" s="119" t="s">
        <v>2073</v>
      </c>
      <c r="C134" s="119" t="s">
        <v>2054</v>
      </c>
      <c r="D134" s="119" t="s">
        <v>2055</v>
      </c>
      <c r="E134" s="355" t="s">
        <v>2074</v>
      </c>
      <c r="F134" s="356">
        <v>748426.94</v>
      </c>
      <c r="G134" s="356">
        <v>748829.66</v>
      </c>
      <c r="H134" s="356">
        <v>765720.59</v>
      </c>
      <c r="I134" s="356">
        <v>698187.16</v>
      </c>
      <c r="J134" s="356">
        <v>733574.74</v>
      </c>
      <c r="K134" s="356">
        <v>671975.43</v>
      </c>
      <c r="L134" s="356">
        <v>697675.63</v>
      </c>
      <c r="M134" s="356">
        <v>695593.23</v>
      </c>
      <c r="N134" s="356">
        <v>640387.6</v>
      </c>
      <c r="O134" s="356">
        <v>680965.99</v>
      </c>
      <c r="P134" s="356">
        <v>648988.14</v>
      </c>
      <c r="Q134" s="356">
        <v>517961.54</v>
      </c>
      <c r="R134" s="356">
        <v>521911.43</v>
      </c>
      <c r="S134" s="357">
        <f t="shared" si="31"/>
        <v>677919.07458333333</v>
      </c>
      <c r="U134" s="358">
        <f t="shared" si="29"/>
        <v>677919.07458333333</v>
      </c>
      <c r="V134" s="359"/>
      <c r="W134" s="359"/>
      <c r="X134" s="360"/>
      <c r="Y134" s="359"/>
      <c r="Z134" s="359"/>
      <c r="AA134" s="358"/>
      <c r="AB134" s="359"/>
      <c r="AD134" s="271">
        <f t="shared" si="30"/>
        <v>677919.07458333333</v>
      </c>
      <c r="AF134" s="289">
        <f t="shared" si="20"/>
        <v>0</v>
      </c>
    </row>
    <row r="135" spans="1:32">
      <c r="A135" s="113">
        <v>120</v>
      </c>
      <c r="B135" s="119" t="s">
        <v>2075</v>
      </c>
      <c r="C135" s="119" t="s">
        <v>2054</v>
      </c>
      <c r="D135" s="119" t="s">
        <v>2055</v>
      </c>
      <c r="E135" s="355" t="s">
        <v>2076</v>
      </c>
      <c r="F135" s="356">
        <v>0</v>
      </c>
      <c r="G135" s="356">
        <v>0</v>
      </c>
      <c r="H135" s="356">
        <v>0</v>
      </c>
      <c r="I135" s="356">
        <v>0</v>
      </c>
      <c r="J135" s="356">
        <v>770.27</v>
      </c>
      <c r="K135" s="356">
        <v>0</v>
      </c>
      <c r="L135" s="356">
        <v>-0.01</v>
      </c>
      <c r="M135" s="356">
        <v>-0.01</v>
      </c>
      <c r="N135" s="356">
        <v>-0.01</v>
      </c>
      <c r="O135" s="356">
        <v>9126.7000000000007</v>
      </c>
      <c r="P135" s="356">
        <v>-68.360000000000596</v>
      </c>
      <c r="Q135" s="356">
        <v>-2.0000000000578701E-2</v>
      </c>
      <c r="R135" s="356">
        <v>-5.7866558766939095E-13</v>
      </c>
      <c r="S135" s="357">
        <f t="shared" si="31"/>
        <v>819.04666666666662</v>
      </c>
      <c r="U135" s="358">
        <f t="shared" si="29"/>
        <v>819.04666666666662</v>
      </c>
      <c r="V135" s="359"/>
      <c r="W135" s="359"/>
      <c r="X135" s="360"/>
      <c r="Y135" s="359"/>
      <c r="Z135" s="359"/>
      <c r="AA135" s="358"/>
      <c r="AB135" s="359"/>
      <c r="AD135" s="271">
        <f t="shared" si="30"/>
        <v>819.04666666666662</v>
      </c>
      <c r="AF135" s="289">
        <f t="shared" si="20"/>
        <v>0</v>
      </c>
    </row>
    <row r="136" spans="1:32">
      <c r="A136" s="113">
        <v>121</v>
      </c>
      <c r="B136" s="119" t="s">
        <v>2077</v>
      </c>
      <c r="C136" s="119" t="s">
        <v>2054</v>
      </c>
      <c r="D136" s="119" t="s">
        <v>2055</v>
      </c>
      <c r="E136" s="355" t="s">
        <v>2078</v>
      </c>
      <c r="F136" s="356">
        <v>335701.16</v>
      </c>
      <c r="G136" s="356">
        <v>377319.1</v>
      </c>
      <c r="H136" s="356">
        <v>377240.23</v>
      </c>
      <c r="I136" s="356">
        <v>361373.68</v>
      </c>
      <c r="J136" s="356">
        <v>314658.51</v>
      </c>
      <c r="K136" s="356">
        <v>312283.11</v>
      </c>
      <c r="L136" s="356">
        <v>307853.52</v>
      </c>
      <c r="M136" s="356">
        <v>320917.71000000002</v>
      </c>
      <c r="N136" s="356">
        <v>293037.65000000002</v>
      </c>
      <c r="O136" s="356">
        <v>291743.63</v>
      </c>
      <c r="P136" s="356">
        <v>296334.49</v>
      </c>
      <c r="Q136" s="356">
        <v>318175.26</v>
      </c>
      <c r="R136" s="356">
        <v>309707.19</v>
      </c>
      <c r="S136" s="357">
        <f t="shared" si="31"/>
        <v>324470.08874999994</v>
      </c>
      <c r="U136" s="358">
        <f t="shared" si="29"/>
        <v>324470.08874999994</v>
      </c>
      <c r="V136" s="359"/>
      <c r="W136" s="359"/>
      <c r="X136" s="360"/>
      <c r="Y136" s="359"/>
      <c r="Z136" s="359"/>
      <c r="AA136" s="358"/>
      <c r="AB136" s="359"/>
      <c r="AD136" s="271">
        <f t="shared" si="30"/>
        <v>324470.08874999994</v>
      </c>
      <c r="AF136" s="289">
        <f t="shared" si="20"/>
        <v>0</v>
      </c>
    </row>
    <row r="137" spans="1:32">
      <c r="A137" s="113">
        <v>122</v>
      </c>
      <c r="B137" s="119" t="s">
        <v>2079</v>
      </c>
      <c r="C137" s="119" t="s">
        <v>2054</v>
      </c>
      <c r="D137" s="119" t="s">
        <v>2055</v>
      </c>
      <c r="E137" s="355" t="s">
        <v>2080</v>
      </c>
      <c r="F137" s="356">
        <v>251761.23</v>
      </c>
      <c r="G137" s="356">
        <v>250142.31</v>
      </c>
      <c r="H137" s="356">
        <v>246737.06</v>
      </c>
      <c r="I137" s="356">
        <v>230076.64</v>
      </c>
      <c r="J137" s="356">
        <v>239631.4</v>
      </c>
      <c r="K137" s="356">
        <v>225047.65</v>
      </c>
      <c r="L137" s="356">
        <v>220321.14</v>
      </c>
      <c r="M137" s="356">
        <v>217847.05</v>
      </c>
      <c r="N137" s="356">
        <v>218577.96</v>
      </c>
      <c r="O137" s="356">
        <v>217039.55</v>
      </c>
      <c r="P137" s="356">
        <v>234465.33</v>
      </c>
      <c r="Q137" s="356">
        <v>241585.06</v>
      </c>
      <c r="R137" s="356">
        <v>247272.13</v>
      </c>
      <c r="S137" s="357">
        <f t="shared" si="31"/>
        <v>232582.31916666671</v>
      </c>
      <c r="U137" s="358">
        <f t="shared" si="29"/>
        <v>232582.31916666671</v>
      </c>
      <c r="V137" s="359"/>
      <c r="W137" s="359"/>
      <c r="X137" s="360"/>
      <c r="Y137" s="359"/>
      <c r="Z137" s="359"/>
      <c r="AA137" s="358"/>
      <c r="AB137" s="359"/>
      <c r="AD137" s="271">
        <f t="shared" si="30"/>
        <v>232582.31916666671</v>
      </c>
      <c r="AF137" s="289">
        <f t="shared" si="20"/>
        <v>0</v>
      </c>
    </row>
    <row r="138" spans="1:32">
      <c r="A138" s="113">
        <v>123</v>
      </c>
      <c r="B138" s="119" t="s">
        <v>2081</v>
      </c>
      <c r="C138" s="119" t="s">
        <v>2054</v>
      </c>
      <c r="D138" s="119" t="s">
        <v>2055</v>
      </c>
      <c r="E138" s="355" t="s">
        <v>2082</v>
      </c>
      <c r="F138" s="356">
        <v>142314.16</v>
      </c>
      <c r="G138" s="356">
        <v>142395.01999999999</v>
      </c>
      <c r="H138" s="356">
        <v>161059.92000000001</v>
      </c>
      <c r="I138" s="356">
        <v>139555.99</v>
      </c>
      <c r="J138" s="356">
        <v>139544.88</v>
      </c>
      <c r="K138" s="356">
        <v>144848.72</v>
      </c>
      <c r="L138" s="356">
        <v>145110.88</v>
      </c>
      <c r="M138" s="356">
        <v>153617.29</v>
      </c>
      <c r="N138" s="356">
        <v>164913.60999999999</v>
      </c>
      <c r="O138" s="356">
        <v>374702.56</v>
      </c>
      <c r="P138" s="356">
        <v>378283.61</v>
      </c>
      <c r="Q138" s="356">
        <v>162952.39000000001</v>
      </c>
      <c r="R138" s="356">
        <v>132183.98000000001</v>
      </c>
      <c r="S138" s="357">
        <f t="shared" si="31"/>
        <v>187019.495</v>
      </c>
      <c r="U138" s="358">
        <f t="shared" si="29"/>
        <v>187019.495</v>
      </c>
      <c r="V138" s="359"/>
      <c r="W138" s="359"/>
      <c r="X138" s="360"/>
      <c r="Y138" s="359"/>
      <c r="Z138" s="359"/>
      <c r="AA138" s="358"/>
      <c r="AB138" s="359"/>
      <c r="AD138" s="271">
        <f t="shared" si="30"/>
        <v>187019.495</v>
      </c>
      <c r="AF138" s="289">
        <f t="shared" si="20"/>
        <v>0</v>
      </c>
    </row>
    <row r="139" spans="1:32">
      <c r="A139" s="113">
        <v>124</v>
      </c>
      <c r="B139" s="119" t="s">
        <v>2083</v>
      </c>
      <c r="C139" s="119" t="s">
        <v>2054</v>
      </c>
      <c r="D139" s="119" t="s">
        <v>2055</v>
      </c>
      <c r="E139" s="355" t="s">
        <v>2084</v>
      </c>
      <c r="F139" s="356">
        <v>62373.23</v>
      </c>
      <c r="G139" s="356">
        <v>62373.23</v>
      </c>
      <c r="H139" s="356">
        <v>61490.41</v>
      </c>
      <c r="I139" s="356">
        <v>56117.34</v>
      </c>
      <c r="J139" s="356">
        <v>55217.42</v>
      </c>
      <c r="K139" s="356">
        <v>57467.25</v>
      </c>
      <c r="L139" s="356">
        <v>56828.87</v>
      </c>
      <c r="M139" s="356">
        <v>57221.83</v>
      </c>
      <c r="N139" s="356">
        <v>56493.03</v>
      </c>
      <c r="O139" s="356">
        <v>55175.94</v>
      </c>
      <c r="P139" s="356">
        <v>54228.62</v>
      </c>
      <c r="Q139" s="356">
        <v>59093.08</v>
      </c>
      <c r="R139" s="356">
        <v>58614.74</v>
      </c>
      <c r="S139" s="357">
        <f t="shared" si="31"/>
        <v>57683.417083333334</v>
      </c>
      <c r="U139" s="358">
        <f t="shared" si="29"/>
        <v>57683.417083333334</v>
      </c>
      <c r="V139" s="359"/>
      <c r="W139" s="359"/>
      <c r="X139" s="360"/>
      <c r="Y139" s="359"/>
      <c r="Z139" s="359"/>
      <c r="AA139" s="358"/>
      <c r="AB139" s="359"/>
      <c r="AD139" s="271">
        <f t="shared" si="30"/>
        <v>57683.417083333334</v>
      </c>
      <c r="AF139" s="289">
        <f t="shared" si="20"/>
        <v>0</v>
      </c>
    </row>
    <row r="140" spans="1:32">
      <c r="A140" s="113">
        <v>125</v>
      </c>
      <c r="B140" s="119" t="s">
        <v>2085</v>
      </c>
      <c r="C140" s="119" t="s">
        <v>2054</v>
      </c>
      <c r="D140" s="119" t="s">
        <v>2055</v>
      </c>
      <c r="E140" s="355" t="s">
        <v>2086</v>
      </c>
      <c r="F140" s="356">
        <v>446580.76</v>
      </c>
      <c r="G140" s="356">
        <v>431190.7</v>
      </c>
      <c r="H140" s="356">
        <v>412314.5</v>
      </c>
      <c r="I140" s="356">
        <v>423512.76</v>
      </c>
      <c r="J140" s="356">
        <v>383316.75</v>
      </c>
      <c r="K140" s="356">
        <v>407066.73</v>
      </c>
      <c r="L140" s="356">
        <v>387437.63</v>
      </c>
      <c r="M140" s="356">
        <v>391986.01</v>
      </c>
      <c r="N140" s="356">
        <v>385070.01</v>
      </c>
      <c r="O140" s="356">
        <v>399936.78</v>
      </c>
      <c r="P140" s="356">
        <v>395975.98</v>
      </c>
      <c r="Q140" s="356">
        <v>385246.13</v>
      </c>
      <c r="R140" s="356">
        <v>383543.8</v>
      </c>
      <c r="S140" s="357">
        <f t="shared" si="31"/>
        <v>401509.68833333341</v>
      </c>
      <c r="U140" s="358">
        <f t="shared" si="29"/>
        <v>401509.68833333341</v>
      </c>
      <c r="V140" s="359"/>
      <c r="W140" s="359"/>
      <c r="X140" s="360"/>
      <c r="Y140" s="359"/>
      <c r="Z140" s="359"/>
      <c r="AA140" s="358"/>
      <c r="AB140" s="359"/>
      <c r="AD140" s="271">
        <f t="shared" si="30"/>
        <v>401509.68833333341</v>
      </c>
      <c r="AF140" s="289">
        <f t="shared" si="20"/>
        <v>0</v>
      </c>
    </row>
    <row r="141" spans="1:32">
      <c r="A141" s="113">
        <v>126</v>
      </c>
      <c r="B141" s="119" t="s">
        <v>2087</v>
      </c>
      <c r="C141" s="119" t="s">
        <v>2054</v>
      </c>
      <c r="D141" s="119" t="s">
        <v>2055</v>
      </c>
      <c r="E141" s="355" t="s">
        <v>2088</v>
      </c>
      <c r="F141" s="356">
        <v>-2.1827852025868599E-13</v>
      </c>
      <c r="G141" s="356">
        <v>0</v>
      </c>
      <c r="H141" s="356">
        <v>0</v>
      </c>
      <c r="I141" s="356">
        <v>0</v>
      </c>
      <c r="J141" s="356">
        <v>0</v>
      </c>
      <c r="K141" s="356">
        <v>0</v>
      </c>
      <c r="L141" s="356">
        <v>0</v>
      </c>
      <c r="M141" s="356">
        <v>0</v>
      </c>
      <c r="N141" s="356">
        <v>-0.01</v>
      </c>
      <c r="O141" s="356">
        <v>-0.01</v>
      </c>
      <c r="P141" s="356">
        <v>-0.01</v>
      </c>
      <c r="Q141" s="356">
        <v>-0.01</v>
      </c>
      <c r="R141" s="356">
        <v>0</v>
      </c>
      <c r="S141" s="357">
        <f t="shared" si="31"/>
        <v>-3.3333333333424287E-3</v>
      </c>
      <c r="U141" s="358">
        <f t="shared" si="29"/>
        <v>-3.3333333333424287E-3</v>
      </c>
      <c r="V141" s="359"/>
      <c r="W141" s="359"/>
      <c r="X141" s="360"/>
      <c r="Y141" s="359"/>
      <c r="Z141" s="359"/>
      <c r="AA141" s="358"/>
      <c r="AB141" s="359"/>
      <c r="AD141" s="271">
        <f t="shared" si="30"/>
        <v>-3.3333333333424287E-3</v>
      </c>
      <c r="AF141" s="289">
        <f t="shared" si="20"/>
        <v>0</v>
      </c>
    </row>
    <row r="142" spans="1:32">
      <c r="A142" s="113">
        <v>127</v>
      </c>
      <c r="B142" s="119" t="s">
        <v>1530</v>
      </c>
      <c r="C142" s="119" t="s">
        <v>2054</v>
      </c>
      <c r="D142" s="119" t="s">
        <v>2089</v>
      </c>
      <c r="E142" s="355" t="s">
        <v>2090</v>
      </c>
      <c r="F142" s="356">
        <v>361977.49</v>
      </c>
      <c r="G142" s="356">
        <v>283836.36</v>
      </c>
      <c r="H142" s="356">
        <v>284031.56</v>
      </c>
      <c r="I142" s="356">
        <v>438381.31</v>
      </c>
      <c r="J142" s="356">
        <v>359206.67</v>
      </c>
      <c r="K142" s="356">
        <v>359206.99</v>
      </c>
      <c r="L142" s="356">
        <v>369993.59</v>
      </c>
      <c r="M142" s="356">
        <v>327579.96999999997</v>
      </c>
      <c r="N142" s="356">
        <v>327579.96999999997</v>
      </c>
      <c r="O142" s="356">
        <v>431265.29</v>
      </c>
      <c r="P142" s="356">
        <v>402327.86</v>
      </c>
      <c r="Q142" s="356">
        <v>402327.86</v>
      </c>
      <c r="R142" s="356">
        <v>402327.86</v>
      </c>
      <c r="S142" s="357">
        <f t="shared" si="31"/>
        <v>363990.84208333329</v>
      </c>
      <c r="U142" s="358">
        <f t="shared" si="29"/>
        <v>363990.84208333329</v>
      </c>
      <c r="V142" s="359"/>
      <c r="W142" s="359"/>
      <c r="X142" s="360"/>
      <c r="Y142" s="359"/>
      <c r="Z142" s="359"/>
      <c r="AA142" s="358"/>
      <c r="AB142" s="359"/>
      <c r="AD142" s="271">
        <f t="shared" si="30"/>
        <v>363990.84208333329</v>
      </c>
      <c r="AF142" s="289">
        <f t="shared" si="20"/>
        <v>0</v>
      </c>
    </row>
    <row r="143" spans="1:32">
      <c r="A143" s="113">
        <v>128</v>
      </c>
      <c r="B143" s="119"/>
      <c r="C143" s="119" t="s">
        <v>2054</v>
      </c>
      <c r="D143" s="119" t="s">
        <v>2091</v>
      </c>
      <c r="E143" s="355" t="s">
        <v>2092</v>
      </c>
      <c r="F143" s="356">
        <v>0</v>
      </c>
      <c r="G143" s="356">
        <v>0</v>
      </c>
      <c r="H143" s="356">
        <v>0</v>
      </c>
      <c r="I143" s="356">
        <v>0</v>
      </c>
      <c r="J143" s="356">
        <v>0</v>
      </c>
      <c r="K143" s="356">
        <v>0</v>
      </c>
      <c r="L143" s="356">
        <v>0</v>
      </c>
      <c r="M143" s="356">
        <v>0</v>
      </c>
      <c r="N143" s="356">
        <v>0</v>
      </c>
      <c r="O143" s="356">
        <v>0</v>
      </c>
      <c r="P143" s="356">
        <v>0</v>
      </c>
      <c r="Q143" s="356">
        <v>0</v>
      </c>
      <c r="R143" s="356">
        <v>0</v>
      </c>
      <c r="S143" s="357">
        <f t="shared" si="31"/>
        <v>0</v>
      </c>
      <c r="U143" s="358">
        <f>+S143</f>
        <v>0</v>
      </c>
      <c r="V143" s="359"/>
      <c r="W143" s="359"/>
      <c r="X143" s="360"/>
      <c r="Y143" s="359"/>
      <c r="Z143" s="359"/>
      <c r="AA143" s="358"/>
      <c r="AB143" s="359"/>
      <c r="AD143" s="271">
        <f t="shared" si="30"/>
        <v>0</v>
      </c>
      <c r="AF143" s="289">
        <f t="shared" si="20"/>
        <v>0</v>
      </c>
    </row>
    <row r="144" spans="1:32">
      <c r="A144" s="113">
        <v>129</v>
      </c>
      <c r="B144" s="119" t="s">
        <v>1530</v>
      </c>
      <c r="C144" s="119" t="s">
        <v>2093</v>
      </c>
      <c r="D144" s="119" t="s">
        <v>2094</v>
      </c>
      <c r="E144" s="355" t="s">
        <v>2095</v>
      </c>
      <c r="F144" s="356">
        <v>0</v>
      </c>
      <c r="G144" s="356">
        <v>3646.74</v>
      </c>
      <c r="H144" s="356">
        <v>7258.85</v>
      </c>
      <c r="I144" s="356">
        <v>8119.75</v>
      </c>
      <c r="J144" s="356">
        <v>9310.8799999999992</v>
      </c>
      <c r="K144" s="356">
        <v>11381.38</v>
      </c>
      <c r="L144" s="356">
        <v>12108.12</v>
      </c>
      <c r="M144" s="356">
        <v>15200.03</v>
      </c>
      <c r="N144" s="356">
        <v>16448.64</v>
      </c>
      <c r="O144" s="356">
        <v>19954.2</v>
      </c>
      <c r="P144" s="356">
        <v>21422.04</v>
      </c>
      <c r="Q144" s="356">
        <v>22693.34</v>
      </c>
      <c r="R144" s="356">
        <v>0</v>
      </c>
      <c r="S144" s="357">
        <f t="shared" ref="S144:S149" si="32">((F144+R144)+((G144+H144+I144+J144+K144+L144+M144+N144+O144+P144+Q144)*2))/24</f>
        <v>12295.330833333333</v>
      </c>
      <c r="U144" s="358">
        <f t="shared" si="29"/>
        <v>12295.330833333333</v>
      </c>
      <c r="V144" s="359"/>
      <c r="W144" s="359"/>
      <c r="X144" s="360"/>
      <c r="Y144" s="359"/>
      <c r="Z144" s="359"/>
      <c r="AA144" s="358"/>
      <c r="AB144" s="359"/>
      <c r="AD144" s="271">
        <f t="shared" si="30"/>
        <v>12295.330833333333</v>
      </c>
      <c r="AF144" s="289">
        <f t="shared" si="20"/>
        <v>0</v>
      </c>
    </row>
    <row r="145" spans="1:32">
      <c r="A145" s="113">
        <v>130</v>
      </c>
      <c r="B145" s="119" t="s">
        <v>1530</v>
      </c>
      <c r="C145" s="119" t="s">
        <v>2093</v>
      </c>
      <c r="D145" s="119" t="s">
        <v>2096</v>
      </c>
      <c r="E145" s="355" t="s">
        <v>2097</v>
      </c>
      <c r="F145" s="356">
        <v>0</v>
      </c>
      <c r="G145" s="356">
        <v>0</v>
      </c>
      <c r="H145" s="356">
        <v>0</v>
      </c>
      <c r="I145" s="356">
        <v>0</v>
      </c>
      <c r="J145" s="356">
        <v>0</v>
      </c>
      <c r="K145" s="356">
        <v>16467.55</v>
      </c>
      <c r="L145" s="356">
        <v>0</v>
      </c>
      <c r="M145" s="356">
        <v>10179.77</v>
      </c>
      <c r="N145" s="356">
        <v>0</v>
      </c>
      <c r="O145" s="356">
        <v>0</v>
      </c>
      <c r="P145" s="356">
        <v>2657.77</v>
      </c>
      <c r="Q145" s="356">
        <v>0</v>
      </c>
      <c r="R145" s="356">
        <v>0</v>
      </c>
      <c r="S145" s="357">
        <f t="shared" si="32"/>
        <v>2442.0908333333332</v>
      </c>
      <c r="U145" s="358">
        <f t="shared" si="29"/>
        <v>2442.0908333333332</v>
      </c>
      <c r="V145" s="359"/>
      <c r="W145" s="359"/>
      <c r="X145" s="360"/>
      <c r="Y145" s="359"/>
      <c r="Z145" s="359"/>
      <c r="AA145" s="358"/>
      <c r="AB145" s="359"/>
      <c r="AD145" s="271">
        <f t="shared" si="30"/>
        <v>2442.0908333333332</v>
      </c>
      <c r="AF145" s="289">
        <f t="shared" si="20"/>
        <v>0</v>
      </c>
    </row>
    <row r="146" spans="1:32">
      <c r="A146" s="113">
        <v>131</v>
      </c>
      <c r="B146" s="119" t="s">
        <v>1530</v>
      </c>
      <c r="C146" s="119" t="s">
        <v>2093</v>
      </c>
      <c r="D146" s="119" t="s">
        <v>2098</v>
      </c>
      <c r="E146" s="355" t="s">
        <v>2099</v>
      </c>
      <c r="F146" s="356">
        <v>0</v>
      </c>
      <c r="G146" s="356">
        <v>1799.68</v>
      </c>
      <c r="H146" s="356">
        <v>1666.86</v>
      </c>
      <c r="I146" s="356">
        <v>401.74</v>
      </c>
      <c r="J146" s="356">
        <v>-628.08000000000004</v>
      </c>
      <c r="K146" s="356">
        <v>-579.9</v>
      </c>
      <c r="L146" s="356">
        <v>14096.36</v>
      </c>
      <c r="M146" s="356">
        <v>15561.79</v>
      </c>
      <c r="N146" s="356">
        <v>18480.18</v>
      </c>
      <c r="O146" s="356">
        <v>18503.55</v>
      </c>
      <c r="P146" s="356">
        <v>19963.8</v>
      </c>
      <c r="Q146" s="356">
        <v>108871.14</v>
      </c>
      <c r="R146" s="356">
        <v>0</v>
      </c>
      <c r="S146" s="357">
        <f t="shared" si="32"/>
        <v>16511.426666666666</v>
      </c>
      <c r="U146" s="358">
        <f t="shared" si="29"/>
        <v>16511.426666666666</v>
      </c>
      <c r="V146" s="359"/>
      <c r="W146" s="359"/>
      <c r="X146" s="360"/>
      <c r="Y146" s="359"/>
      <c r="Z146" s="359"/>
      <c r="AA146" s="358"/>
      <c r="AB146" s="359"/>
      <c r="AD146" s="271">
        <f t="shared" si="30"/>
        <v>16511.426666666666</v>
      </c>
      <c r="AF146" s="289">
        <f t="shared" si="20"/>
        <v>0</v>
      </c>
    </row>
    <row r="147" spans="1:32">
      <c r="A147" s="113">
        <v>132</v>
      </c>
      <c r="B147" s="119" t="s">
        <v>1530</v>
      </c>
      <c r="C147" s="119" t="s">
        <v>2100</v>
      </c>
      <c r="D147" s="119" t="s">
        <v>377</v>
      </c>
      <c r="E147" s="355" t="s">
        <v>2101</v>
      </c>
      <c r="F147" s="356">
        <v>792674.16</v>
      </c>
      <c r="G147" s="356">
        <v>191298.26</v>
      </c>
      <c r="H147" s="356">
        <v>1188.47</v>
      </c>
      <c r="I147" s="356">
        <v>186177.06</v>
      </c>
      <c r="J147" s="356">
        <v>178907.65</v>
      </c>
      <c r="K147" s="356">
        <v>1063.3200000000099</v>
      </c>
      <c r="L147" s="356">
        <v>7.0485839387401898E-12</v>
      </c>
      <c r="M147" s="356">
        <v>115860.58</v>
      </c>
      <c r="N147" s="356">
        <v>187142.59</v>
      </c>
      <c r="O147" s="356">
        <v>249999.72</v>
      </c>
      <c r="P147" s="356">
        <v>403622.03</v>
      </c>
      <c r="Q147" s="356">
        <v>561446.74</v>
      </c>
      <c r="R147" s="356">
        <v>704148.41</v>
      </c>
      <c r="S147" s="357">
        <f t="shared" si="32"/>
        <v>235426.47541666668</v>
      </c>
      <c r="U147" s="358">
        <f t="shared" si="29"/>
        <v>235426.47541666668</v>
      </c>
      <c r="V147" s="359"/>
      <c r="W147" s="359"/>
      <c r="X147" s="360"/>
      <c r="Y147" s="359"/>
      <c r="Z147" s="359"/>
      <c r="AA147" s="358"/>
      <c r="AB147" s="359"/>
      <c r="AD147" s="271">
        <f t="shared" si="30"/>
        <v>235426.47541666668</v>
      </c>
      <c r="AF147" s="289">
        <f t="shared" si="20"/>
        <v>0</v>
      </c>
    </row>
    <row r="148" spans="1:32">
      <c r="A148" s="113">
        <v>133</v>
      </c>
      <c r="B148" s="119" t="s">
        <v>1530</v>
      </c>
      <c r="C148" s="119" t="s">
        <v>2100</v>
      </c>
      <c r="D148" s="119" t="s">
        <v>379</v>
      </c>
      <c r="E148" s="355" t="s">
        <v>2102</v>
      </c>
      <c r="F148" s="356">
        <v>100984.61</v>
      </c>
      <c r="G148" s="356">
        <v>127225.14</v>
      </c>
      <c r="H148" s="356">
        <v>153032.54</v>
      </c>
      <c r="I148" s="356">
        <v>177346.62</v>
      </c>
      <c r="J148" s="356">
        <v>200374.17</v>
      </c>
      <c r="K148" s="356">
        <v>216793.27</v>
      </c>
      <c r="L148" s="356">
        <v>37899.22</v>
      </c>
      <c r="M148" s="356">
        <v>58556.639999999999</v>
      </c>
      <c r="N148" s="356">
        <v>83723.56</v>
      </c>
      <c r="O148" s="356">
        <v>114006.99</v>
      </c>
      <c r="P148" s="356">
        <v>21946.95</v>
      </c>
      <c r="Q148" s="356">
        <v>52377.72</v>
      </c>
      <c r="R148" s="356">
        <v>85356.52</v>
      </c>
      <c r="S148" s="357">
        <f t="shared" si="32"/>
        <v>111371.11541666665</v>
      </c>
      <c r="U148" s="358">
        <f t="shared" si="29"/>
        <v>111371.11541666665</v>
      </c>
      <c r="V148" s="359"/>
      <c r="W148" s="359"/>
      <c r="X148" s="360"/>
      <c r="Y148" s="359"/>
      <c r="Z148" s="359"/>
      <c r="AA148" s="358"/>
      <c r="AB148" s="359"/>
      <c r="AD148" s="271">
        <f t="shared" si="30"/>
        <v>111371.11541666665</v>
      </c>
      <c r="AF148" s="289">
        <f t="shared" si="20"/>
        <v>0</v>
      </c>
    </row>
    <row r="149" spans="1:32">
      <c r="A149" s="113">
        <v>134</v>
      </c>
      <c r="B149" s="119" t="s">
        <v>1530</v>
      </c>
      <c r="C149" s="119" t="s">
        <v>2103</v>
      </c>
      <c r="D149" s="119" t="s">
        <v>376</v>
      </c>
      <c r="E149" s="355" t="s">
        <v>2104</v>
      </c>
      <c r="F149" s="356">
        <v>1844137.53</v>
      </c>
      <c r="G149" s="356">
        <v>1696821</v>
      </c>
      <c r="H149" s="356">
        <v>1671013.6</v>
      </c>
      <c r="I149" s="356">
        <v>1092584.52</v>
      </c>
      <c r="J149" s="356">
        <v>1069556.97</v>
      </c>
      <c r="K149" s="356">
        <v>1141243.19</v>
      </c>
      <c r="L149" s="356">
        <v>1375417.96</v>
      </c>
      <c r="M149" s="356">
        <v>1825729.27</v>
      </c>
      <c r="N149" s="356">
        <v>1800562.35</v>
      </c>
      <c r="O149" s="356">
        <v>1946410.87</v>
      </c>
      <c r="P149" s="356">
        <v>2071749.67</v>
      </c>
      <c r="Q149" s="356">
        <v>2041318.9</v>
      </c>
      <c r="R149" s="356">
        <v>2008340.1</v>
      </c>
      <c r="S149" s="357">
        <f t="shared" si="32"/>
        <v>1638220.5929166668</v>
      </c>
      <c r="U149" s="358">
        <f t="shared" si="29"/>
        <v>1638220.5929166668</v>
      </c>
      <c r="V149" s="359"/>
      <c r="W149" s="359"/>
      <c r="X149" s="360"/>
      <c r="Y149" s="359"/>
      <c r="Z149" s="359"/>
      <c r="AA149" s="358"/>
      <c r="AB149" s="359"/>
      <c r="AD149" s="271">
        <f t="shared" si="30"/>
        <v>1638220.5929166668</v>
      </c>
      <c r="AF149" s="289">
        <f t="shared" si="20"/>
        <v>0</v>
      </c>
    </row>
    <row r="150" spans="1:32">
      <c r="A150" s="113">
        <v>135</v>
      </c>
      <c r="E150" s="355" t="s">
        <v>2105</v>
      </c>
      <c r="F150" s="696">
        <f t="shared" ref="F150:S150" si="33">SUM(F125:F149)</f>
        <v>9214197.9400000013</v>
      </c>
      <c r="G150" s="696">
        <f t="shared" si="33"/>
        <v>8459754.4699999988</v>
      </c>
      <c r="H150" s="696">
        <f t="shared" si="33"/>
        <v>8251298.1999999993</v>
      </c>
      <c r="I150" s="696">
        <f t="shared" si="33"/>
        <v>8124670.5299999993</v>
      </c>
      <c r="J150" s="696">
        <f t="shared" si="33"/>
        <v>7934220.5999999996</v>
      </c>
      <c r="K150" s="696">
        <f t="shared" si="33"/>
        <v>7835891.5399999991</v>
      </c>
      <c r="L150" s="696">
        <f t="shared" si="33"/>
        <v>7926340.8499999996</v>
      </c>
      <c r="M150" s="696">
        <f t="shared" si="33"/>
        <v>8574401.5499999989</v>
      </c>
      <c r="N150" s="696">
        <f t="shared" si="33"/>
        <v>8295727.3599999994</v>
      </c>
      <c r="O150" s="696">
        <f t="shared" si="33"/>
        <v>8911564.4100000001</v>
      </c>
      <c r="P150" s="696">
        <f t="shared" si="33"/>
        <v>8846787.9900000021</v>
      </c>
      <c r="Q150" s="696">
        <f t="shared" si="33"/>
        <v>8586826.5399999991</v>
      </c>
      <c r="R150" s="696">
        <f t="shared" si="33"/>
        <v>8680270.8900000006</v>
      </c>
      <c r="S150" s="697">
        <f t="shared" si="33"/>
        <v>8391226.5379166678</v>
      </c>
      <c r="U150" s="358"/>
      <c r="V150" s="359"/>
      <c r="W150" s="359"/>
      <c r="X150" s="360"/>
      <c r="Y150" s="359"/>
      <c r="Z150" s="359"/>
      <c r="AA150" s="358"/>
      <c r="AB150" s="359"/>
      <c r="AF150" s="289">
        <f t="shared" si="20"/>
        <v>0</v>
      </c>
    </row>
    <row r="151" spans="1:32">
      <c r="A151" s="113">
        <v>136</v>
      </c>
      <c r="E151" s="374"/>
      <c r="F151" s="356"/>
      <c r="G151" s="386"/>
      <c r="H151" s="387"/>
      <c r="I151" s="387"/>
      <c r="J151" s="388"/>
      <c r="K151" s="389"/>
      <c r="L151" s="390"/>
      <c r="M151" s="391"/>
      <c r="N151" s="392"/>
      <c r="O151" s="373"/>
      <c r="P151" s="393"/>
      <c r="Q151" s="394"/>
      <c r="R151" s="356"/>
      <c r="S151" s="96"/>
      <c r="U151" s="358"/>
      <c r="V151" s="359"/>
      <c r="W151" s="359"/>
      <c r="X151" s="360"/>
      <c r="Y151" s="359"/>
      <c r="Z151" s="359"/>
      <c r="AA151" s="358"/>
      <c r="AB151" s="359"/>
      <c r="AF151" s="289">
        <f t="shared" ref="AF151:AF228" si="34">+U151+V151-AD151</f>
        <v>0</v>
      </c>
    </row>
    <row r="152" spans="1:32">
      <c r="A152" s="113">
        <v>137</v>
      </c>
      <c r="B152" s="119" t="s">
        <v>1530</v>
      </c>
      <c r="C152" s="119" t="s">
        <v>2106</v>
      </c>
      <c r="D152" s="119" t="s">
        <v>386</v>
      </c>
      <c r="E152" s="355" t="s">
        <v>2107</v>
      </c>
      <c r="F152" s="356">
        <v>138018.51999999999</v>
      </c>
      <c r="G152" s="356">
        <v>1142672</v>
      </c>
      <c r="H152" s="356">
        <v>1094231.72</v>
      </c>
      <c r="I152" s="356">
        <v>998945.2</v>
      </c>
      <c r="J152" s="356">
        <v>879283.15</v>
      </c>
      <c r="K152" s="356">
        <v>759621.1</v>
      </c>
      <c r="L152" s="356">
        <v>665331.66</v>
      </c>
      <c r="M152" s="356">
        <v>545669.61</v>
      </c>
      <c r="N152" s="356">
        <v>419280.05</v>
      </c>
      <c r="O152" s="356">
        <v>312127.48</v>
      </c>
      <c r="P152" s="356">
        <v>198995.66</v>
      </c>
      <c r="Q152" s="356">
        <v>299824.02</v>
      </c>
      <c r="R152" s="356">
        <v>182791.93</v>
      </c>
      <c r="S152" s="357">
        <f t="shared" ref="S152:S169" si="35">((F152+R152)+((G152+H152+I152+J152+K152+L152+M152+N152+O152+P152+Q152)*2))/24</f>
        <v>623032.23958333337</v>
      </c>
      <c r="U152" s="358">
        <f t="shared" ref="U152:U167" si="36">+S152</f>
        <v>623032.23958333337</v>
      </c>
      <c r="V152" s="359"/>
      <c r="W152" s="359"/>
      <c r="X152" s="360"/>
      <c r="Y152" s="359"/>
      <c r="Z152" s="359"/>
      <c r="AA152" s="358"/>
      <c r="AB152" s="359"/>
      <c r="AD152" s="271">
        <f t="shared" ref="AD152:AD169" si="37">+U152</f>
        <v>623032.23958333337</v>
      </c>
      <c r="AF152" s="289">
        <f t="shared" si="34"/>
        <v>0</v>
      </c>
    </row>
    <row r="153" spans="1:32">
      <c r="A153" s="113">
        <v>138</v>
      </c>
      <c r="B153" s="119" t="s">
        <v>1530</v>
      </c>
      <c r="C153" s="119" t="s">
        <v>2108</v>
      </c>
      <c r="D153" s="119" t="s">
        <v>2109</v>
      </c>
      <c r="E153" s="398" t="s">
        <v>2110</v>
      </c>
      <c r="F153" s="356">
        <v>0</v>
      </c>
      <c r="G153" s="356">
        <v>0</v>
      </c>
      <c r="H153" s="356">
        <v>0</v>
      </c>
      <c r="I153" s="356">
        <v>0</v>
      </c>
      <c r="J153" s="356">
        <v>0</v>
      </c>
      <c r="K153" s="356">
        <v>0</v>
      </c>
      <c r="L153" s="356">
        <v>0</v>
      </c>
      <c r="M153" s="356">
        <v>0</v>
      </c>
      <c r="N153" s="356">
        <v>0</v>
      </c>
      <c r="O153" s="356">
        <v>0</v>
      </c>
      <c r="P153" s="356">
        <v>0</v>
      </c>
      <c r="Q153" s="356">
        <v>0</v>
      </c>
      <c r="R153" s="356">
        <v>0</v>
      </c>
      <c r="S153" s="357">
        <f t="shared" si="35"/>
        <v>0</v>
      </c>
      <c r="U153" s="358">
        <f t="shared" si="36"/>
        <v>0</v>
      </c>
      <c r="V153" s="359"/>
      <c r="W153" s="359"/>
      <c r="X153" s="360"/>
      <c r="Y153" s="359"/>
      <c r="Z153" s="359"/>
      <c r="AA153" s="358"/>
      <c r="AB153" s="359"/>
      <c r="AD153" s="271">
        <f t="shared" si="37"/>
        <v>0</v>
      </c>
      <c r="AF153" s="289">
        <f t="shared" si="34"/>
        <v>0</v>
      </c>
    </row>
    <row r="154" spans="1:32">
      <c r="A154" s="113">
        <v>139</v>
      </c>
      <c r="B154" s="119" t="s">
        <v>1543</v>
      </c>
      <c r="C154" s="119" t="s">
        <v>2108</v>
      </c>
      <c r="D154" s="119" t="s">
        <v>2111</v>
      </c>
      <c r="E154" s="398" t="s">
        <v>2112</v>
      </c>
      <c r="F154" s="356">
        <v>0</v>
      </c>
      <c r="G154" s="356">
        <v>0</v>
      </c>
      <c r="H154" s="356">
        <v>0</v>
      </c>
      <c r="I154" s="356">
        <v>0</v>
      </c>
      <c r="J154" s="356">
        <v>0</v>
      </c>
      <c r="K154" s="356">
        <v>0</v>
      </c>
      <c r="L154" s="356">
        <v>0</v>
      </c>
      <c r="M154" s="356">
        <v>0</v>
      </c>
      <c r="N154" s="356">
        <v>0</v>
      </c>
      <c r="O154" s="356">
        <v>0</v>
      </c>
      <c r="P154" s="356">
        <v>0</v>
      </c>
      <c r="Q154" s="356">
        <v>0</v>
      </c>
      <c r="R154" s="356">
        <v>0</v>
      </c>
      <c r="S154" s="357">
        <f t="shared" si="35"/>
        <v>0</v>
      </c>
      <c r="U154" s="358">
        <f t="shared" si="36"/>
        <v>0</v>
      </c>
      <c r="V154" s="359"/>
      <c r="W154" s="359"/>
      <c r="X154" s="360"/>
      <c r="Y154" s="359"/>
      <c r="Z154" s="359"/>
      <c r="AA154" s="358"/>
      <c r="AB154" s="359"/>
      <c r="AD154" s="271">
        <f t="shared" si="37"/>
        <v>0</v>
      </c>
      <c r="AF154" s="289">
        <f t="shared" si="34"/>
        <v>0</v>
      </c>
    </row>
    <row r="155" spans="1:32">
      <c r="A155" s="113">
        <v>140</v>
      </c>
      <c r="B155" s="119" t="s">
        <v>1530</v>
      </c>
      <c r="C155" s="119" t="s">
        <v>2108</v>
      </c>
      <c r="D155" s="119" t="s">
        <v>2001</v>
      </c>
      <c r="E155" s="398" t="s">
        <v>2113</v>
      </c>
      <c r="F155" s="356">
        <v>0</v>
      </c>
      <c r="G155" s="356">
        <v>0</v>
      </c>
      <c r="H155" s="356">
        <v>0</v>
      </c>
      <c r="I155" s="356">
        <v>0</v>
      </c>
      <c r="J155" s="356">
        <v>0</v>
      </c>
      <c r="K155" s="356">
        <v>0</v>
      </c>
      <c r="L155" s="356">
        <v>0</v>
      </c>
      <c r="M155" s="356">
        <v>0</v>
      </c>
      <c r="N155" s="356">
        <v>0</v>
      </c>
      <c r="O155" s="356">
        <v>0</v>
      </c>
      <c r="P155" s="356">
        <v>0</v>
      </c>
      <c r="Q155" s="356">
        <v>0</v>
      </c>
      <c r="R155" s="356">
        <v>0</v>
      </c>
      <c r="S155" s="357">
        <f t="shared" si="35"/>
        <v>0</v>
      </c>
      <c r="U155" s="358">
        <f t="shared" si="36"/>
        <v>0</v>
      </c>
      <c r="V155" s="359"/>
      <c r="W155" s="359"/>
      <c r="X155" s="360"/>
      <c r="Y155" s="359"/>
      <c r="Z155" s="359"/>
      <c r="AA155" s="358"/>
      <c r="AB155" s="359"/>
      <c r="AD155" s="271">
        <f t="shared" si="37"/>
        <v>0</v>
      </c>
      <c r="AF155" s="289">
        <f t="shared" si="34"/>
        <v>0</v>
      </c>
    </row>
    <row r="156" spans="1:32">
      <c r="A156" s="113">
        <v>141</v>
      </c>
      <c r="B156" s="119" t="s">
        <v>1530</v>
      </c>
      <c r="C156" s="119" t="s">
        <v>2108</v>
      </c>
      <c r="D156" s="119" t="s">
        <v>2114</v>
      </c>
      <c r="E156" s="398" t="s">
        <v>2115</v>
      </c>
      <c r="F156" s="356">
        <v>3853770.95</v>
      </c>
      <c r="G156" s="356">
        <v>3606849.65</v>
      </c>
      <c r="H156" s="356">
        <v>1326883.08</v>
      </c>
      <c r="I156" s="356">
        <v>278117.46000000002</v>
      </c>
      <c r="J156" s="356">
        <v>964243.43</v>
      </c>
      <c r="K156" s="356">
        <v>1506918.3</v>
      </c>
      <c r="L156" s="356">
        <v>1930841.53</v>
      </c>
      <c r="M156" s="356">
        <v>2449205.9500000002</v>
      </c>
      <c r="N156" s="356">
        <v>3019442.62</v>
      </c>
      <c r="O156" s="356">
        <v>3359964.43</v>
      </c>
      <c r="P156" s="356">
        <v>2968197.33</v>
      </c>
      <c r="Q156" s="356">
        <v>2824385.07</v>
      </c>
      <c r="R156" s="356">
        <v>2990098.25</v>
      </c>
      <c r="S156" s="357">
        <f t="shared" si="35"/>
        <v>2304748.6208333336</v>
      </c>
      <c r="U156" s="358">
        <f t="shared" si="36"/>
        <v>2304748.6208333336</v>
      </c>
      <c r="V156" s="359"/>
      <c r="W156" s="359"/>
      <c r="X156" s="360"/>
      <c r="Y156" s="359"/>
      <c r="Z156" s="359"/>
      <c r="AA156" s="358"/>
      <c r="AB156" s="359"/>
      <c r="AD156" s="271">
        <f t="shared" si="37"/>
        <v>2304748.6208333336</v>
      </c>
      <c r="AF156" s="289">
        <f t="shared" si="34"/>
        <v>0</v>
      </c>
    </row>
    <row r="157" spans="1:32">
      <c r="A157" s="113">
        <v>142</v>
      </c>
      <c r="B157" s="119" t="s">
        <v>1530</v>
      </c>
      <c r="C157" s="119" t="s">
        <v>2108</v>
      </c>
      <c r="D157" s="119" t="s">
        <v>2116</v>
      </c>
      <c r="E157" s="398" t="s">
        <v>2117</v>
      </c>
      <c r="F157" s="356">
        <v>319155.09999999998</v>
      </c>
      <c r="G157" s="356">
        <v>45128</v>
      </c>
      <c r="H157" s="356">
        <v>0</v>
      </c>
      <c r="I157" s="356">
        <v>0</v>
      </c>
      <c r="J157" s="356">
        <v>0</v>
      </c>
      <c r="K157" s="356">
        <v>0</v>
      </c>
      <c r="L157" s="356">
        <v>0</v>
      </c>
      <c r="M157" s="356">
        <v>0</v>
      </c>
      <c r="N157" s="356">
        <v>0</v>
      </c>
      <c r="O157" s="356">
        <v>0</v>
      </c>
      <c r="P157" s="356">
        <v>46628.33</v>
      </c>
      <c r="Q157" s="356">
        <v>46628.33</v>
      </c>
      <c r="R157" s="356">
        <v>243628.33</v>
      </c>
      <c r="S157" s="357">
        <f t="shared" si="35"/>
        <v>34981.364583333336</v>
      </c>
      <c r="U157" s="358">
        <f t="shared" si="36"/>
        <v>34981.364583333336</v>
      </c>
      <c r="V157" s="359"/>
      <c r="W157" s="359"/>
      <c r="X157" s="360"/>
      <c r="Y157" s="359"/>
      <c r="Z157" s="359"/>
      <c r="AA157" s="358"/>
      <c r="AB157" s="359"/>
      <c r="AD157" s="271">
        <f t="shared" si="37"/>
        <v>34981.364583333336</v>
      </c>
      <c r="AF157" s="289">
        <f t="shared" si="34"/>
        <v>0</v>
      </c>
    </row>
    <row r="158" spans="1:32">
      <c r="A158" s="113">
        <v>143</v>
      </c>
      <c r="B158" s="119" t="s">
        <v>1530</v>
      </c>
      <c r="C158" s="119" t="s">
        <v>2108</v>
      </c>
      <c r="D158" s="119" t="s">
        <v>2118</v>
      </c>
      <c r="E158" s="355" t="s">
        <v>2119</v>
      </c>
      <c r="F158" s="356">
        <v>167630.71</v>
      </c>
      <c r="G158" s="356">
        <v>165666.81</v>
      </c>
      <c r="H158" s="356">
        <v>0</v>
      </c>
      <c r="I158" s="356">
        <v>0</v>
      </c>
      <c r="J158" s="356">
        <v>0</v>
      </c>
      <c r="K158" s="356">
        <v>0</v>
      </c>
      <c r="L158" s="356">
        <v>0</v>
      </c>
      <c r="M158" s="356">
        <v>0</v>
      </c>
      <c r="N158" s="356">
        <v>0</v>
      </c>
      <c r="O158" s="356">
        <v>0</v>
      </c>
      <c r="P158" s="356">
        <v>0</v>
      </c>
      <c r="Q158" s="356">
        <v>5308.07</v>
      </c>
      <c r="R158" s="356">
        <v>211022.38</v>
      </c>
      <c r="S158" s="357">
        <f t="shared" si="35"/>
        <v>30025.118749999998</v>
      </c>
      <c r="U158" s="358">
        <f t="shared" si="36"/>
        <v>30025.118749999998</v>
      </c>
      <c r="V158" s="359"/>
      <c r="W158" s="359"/>
      <c r="X158" s="360"/>
      <c r="Y158" s="359"/>
      <c r="Z158" s="359"/>
      <c r="AA158" s="358"/>
      <c r="AB158" s="359"/>
      <c r="AD158" s="271">
        <f t="shared" si="37"/>
        <v>30025.118749999998</v>
      </c>
      <c r="AF158" s="289">
        <f t="shared" si="34"/>
        <v>0</v>
      </c>
    </row>
    <row r="159" spans="1:32">
      <c r="A159" s="113">
        <v>144</v>
      </c>
      <c r="B159" s="119" t="s">
        <v>1530</v>
      </c>
      <c r="C159" s="119" t="s">
        <v>2108</v>
      </c>
      <c r="D159" s="119" t="s">
        <v>2120</v>
      </c>
      <c r="E159" s="355" t="s">
        <v>2121</v>
      </c>
      <c r="F159" s="356">
        <v>0</v>
      </c>
      <c r="G159" s="356">
        <v>0</v>
      </c>
      <c r="H159" s="356">
        <v>0</v>
      </c>
      <c r="I159" s="356">
        <v>0</v>
      </c>
      <c r="J159" s="356">
        <v>0</v>
      </c>
      <c r="K159" s="356">
        <v>0</v>
      </c>
      <c r="L159" s="356">
        <v>0</v>
      </c>
      <c r="M159" s="356">
        <v>0</v>
      </c>
      <c r="N159" s="356">
        <v>0</v>
      </c>
      <c r="O159" s="356">
        <v>0</v>
      </c>
      <c r="P159" s="356">
        <v>0</v>
      </c>
      <c r="Q159" s="356">
        <v>0</v>
      </c>
      <c r="R159" s="356">
        <v>0</v>
      </c>
      <c r="S159" s="357">
        <f t="shared" si="35"/>
        <v>0</v>
      </c>
      <c r="U159" s="358">
        <f t="shared" si="36"/>
        <v>0</v>
      </c>
      <c r="V159" s="359"/>
      <c r="W159" s="359"/>
      <c r="X159" s="360"/>
      <c r="Y159" s="359"/>
      <c r="Z159" s="359"/>
      <c r="AA159" s="358"/>
      <c r="AB159" s="359"/>
      <c r="AD159" s="271">
        <f t="shared" si="37"/>
        <v>0</v>
      </c>
      <c r="AF159" s="289">
        <f t="shared" si="34"/>
        <v>0</v>
      </c>
    </row>
    <row r="160" spans="1:32">
      <c r="A160" s="113">
        <v>145</v>
      </c>
      <c r="B160" s="119" t="s">
        <v>1543</v>
      </c>
      <c r="C160" s="119" t="s">
        <v>2108</v>
      </c>
      <c r="D160" s="119" t="s">
        <v>376</v>
      </c>
      <c r="E160" s="355" t="s">
        <v>2122</v>
      </c>
      <c r="F160" s="356">
        <v>-0.53999999999723503</v>
      </c>
      <c r="G160" s="356">
        <v>-0.54</v>
      </c>
      <c r="H160" s="356">
        <v>-0.54</v>
      </c>
      <c r="I160" s="356">
        <v>183394.79</v>
      </c>
      <c r="J160" s="356">
        <v>163017.59</v>
      </c>
      <c r="K160" s="356">
        <v>142640.39000000001</v>
      </c>
      <c r="L160" s="356">
        <v>122263.19</v>
      </c>
      <c r="M160" s="356">
        <v>101885.99</v>
      </c>
      <c r="N160" s="356">
        <v>81508.789999999994</v>
      </c>
      <c r="O160" s="356">
        <v>61131.59</v>
      </c>
      <c r="P160" s="356">
        <v>40754.39</v>
      </c>
      <c r="Q160" s="356">
        <v>20377.189999999999</v>
      </c>
      <c r="R160" s="356">
        <v>-1.00000000311411E-2</v>
      </c>
      <c r="S160" s="357">
        <f t="shared" si="35"/>
        <v>76414.379583333342</v>
      </c>
      <c r="U160" s="358">
        <f t="shared" si="36"/>
        <v>76414.379583333342</v>
      </c>
      <c r="V160" s="359"/>
      <c r="W160" s="359"/>
      <c r="X160" s="360"/>
      <c r="Y160" s="359"/>
      <c r="Z160" s="359"/>
      <c r="AA160" s="358"/>
      <c r="AB160" s="359"/>
      <c r="AD160" s="271">
        <f t="shared" si="37"/>
        <v>76414.379583333342</v>
      </c>
      <c r="AF160" s="289">
        <f t="shared" si="34"/>
        <v>0</v>
      </c>
    </row>
    <row r="161" spans="1:34">
      <c r="A161" s="113">
        <v>146</v>
      </c>
      <c r="B161" s="119" t="s">
        <v>1543</v>
      </c>
      <c r="C161" s="119" t="s">
        <v>2108</v>
      </c>
      <c r="D161" s="119" t="s">
        <v>377</v>
      </c>
      <c r="E161" s="355" t="s">
        <v>2123</v>
      </c>
      <c r="F161" s="356">
        <v>30388.94</v>
      </c>
      <c r="G161" s="356">
        <v>24311.16</v>
      </c>
      <c r="H161" s="356">
        <v>18233.38</v>
      </c>
      <c r="I161" s="356">
        <v>12155.6</v>
      </c>
      <c r="J161" s="356">
        <v>6077.82</v>
      </c>
      <c r="K161" s="356">
        <v>4.0000000002692097E-2</v>
      </c>
      <c r="L161" s="356">
        <v>72172.259999999995</v>
      </c>
      <c r="M161" s="356">
        <v>65611.100000000006</v>
      </c>
      <c r="N161" s="356">
        <v>59049.99</v>
      </c>
      <c r="O161" s="356">
        <v>52488.88</v>
      </c>
      <c r="P161" s="356">
        <v>45927.77</v>
      </c>
      <c r="Q161" s="356">
        <v>39366.660000000003</v>
      </c>
      <c r="R161" s="356">
        <v>32805.550000000003</v>
      </c>
      <c r="S161" s="357">
        <f t="shared" si="35"/>
        <v>35582.658750000002</v>
      </c>
      <c r="U161" s="358">
        <f t="shared" si="36"/>
        <v>35582.658750000002</v>
      </c>
      <c r="V161" s="359"/>
      <c r="W161" s="359"/>
      <c r="X161" s="360"/>
      <c r="Y161" s="359"/>
      <c r="Z161" s="359"/>
      <c r="AA161" s="358"/>
      <c r="AB161" s="359"/>
      <c r="AD161" s="271">
        <f t="shared" si="37"/>
        <v>35582.658750000002</v>
      </c>
      <c r="AF161" s="289">
        <f t="shared" si="34"/>
        <v>0</v>
      </c>
    </row>
    <row r="162" spans="1:34">
      <c r="A162" s="113">
        <v>147</v>
      </c>
      <c r="B162" s="119" t="s">
        <v>1543</v>
      </c>
      <c r="C162" s="119" t="s">
        <v>2108</v>
      </c>
      <c r="D162" s="119" t="s">
        <v>378</v>
      </c>
      <c r="E162" s="355" t="s">
        <v>2124</v>
      </c>
      <c r="F162" s="356">
        <v>939156</v>
      </c>
      <c r="G162" s="356">
        <v>782630</v>
      </c>
      <c r="H162" s="356">
        <v>626104</v>
      </c>
      <c r="I162" s="356">
        <v>469578</v>
      </c>
      <c r="J162" s="356">
        <v>313052</v>
      </c>
      <c r="K162" s="356">
        <v>156526</v>
      </c>
      <c r="L162" s="356">
        <v>0</v>
      </c>
      <c r="M162" s="356">
        <v>0</v>
      </c>
      <c r="N162" s="356">
        <v>0</v>
      </c>
      <c r="O162" s="356">
        <v>0</v>
      </c>
      <c r="P162" s="356">
        <v>0</v>
      </c>
      <c r="Q162" s="356">
        <v>1284577</v>
      </c>
      <c r="R162" s="356">
        <v>1101066</v>
      </c>
      <c r="S162" s="357">
        <f t="shared" si="35"/>
        <v>387714.83333333331</v>
      </c>
      <c r="U162" s="358">
        <f t="shared" si="36"/>
        <v>387714.83333333331</v>
      </c>
      <c r="V162" s="359"/>
      <c r="W162" s="359"/>
      <c r="X162" s="360"/>
      <c r="Y162" s="359"/>
      <c r="Z162" s="359"/>
      <c r="AA162" s="358"/>
      <c r="AB162" s="359"/>
      <c r="AD162" s="271">
        <f t="shared" si="37"/>
        <v>387714.83333333331</v>
      </c>
      <c r="AF162" s="289">
        <f t="shared" si="34"/>
        <v>0</v>
      </c>
    </row>
    <row r="163" spans="1:34">
      <c r="A163" s="113">
        <v>148</v>
      </c>
      <c r="B163" s="119" t="s">
        <v>1530</v>
      </c>
      <c r="C163" s="119" t="s">
        <v>2108</v>
      </c>
      <c r="D163" s="119" t="s">
        <v>379</v>
      </c>
      <c r="E163" s="355" t="s">
        <v>2125</v>
      </c>
      <c r="F163" s="356">
        <v>54525.75</v>
      </c>
      <c r="G163" s="356">
        <v>0</v>
      </c>
      <c r="H163" s="356">
        <v>0</v>
      </c>
      <c r="I163" s="356">
        <v>0</v>
      </c>
      <c r="J163" s="356">
        <v>0</v>
      </c>
      <c r="K163" s="356">
        <v>0</v>
      </c>
      <c r="L163" s="356">
        <v>0</v>
      </c>
      <c r="M163" s="356">
        <v>0</v>
      </c>
      <c r="N163" s="356">
        <v>0</v>
      </c>
      <c r="O163" s="356">
        <v>0</v>
      </c>
      <c r="P163" s="356">
        <v>0</v>
      </c>
      <c r="Q163" s="356">
        <v>0</v>
      </c>
      <c r="R163" s="356">
        <v>0</v>
      </c>
      <c r="S163" s="357">
        <f t="shared" si="35"/>
        <v>2271.90625</v>
      </c>
      <c r="U163" s="358">
        <f t="shared" si="36"/>
        <v>2271.90625</v>
      </c>
      <c r="V163" s="359"/>
      <c r="W163" s="359"/>
      <c r="X163" s="360"/>
      <c r="Y163" s="359"/>
      <c r="Z163" s="359"/>
      <c r="AA163" s="358"/>
      <c r="AB163" s="359"/>
      <c r="AD163" s="271">
        <f t="shared" si="37"/>
        <v>2271.90625</v>
      </c>
      <c r="AF163" s="289">
        <f t="shared" si="34"/>
        <v>0</v>
      </c>
    </row>
    <row r="164" spans="1:34">
      <c r="A164" s="113">
        <v>149</v>
      </c>
      <c r="B164" s="119" t="s">
        <v>1543</v>
      </c>
      <c r="C164" s="119" t="s">
        <v>2126</v>
      </c>
      <c r="D164" s="119" t="s">
        <v>2127</v>
      </c>
      <c r="E164" s="355" t="s">
        <v>2128</v>
      </c>
      <c r="F164" s="356">
        <v>0</v>
      </c>
      <c r="G164" s="356">
        <v>9483.2199999999993</v>
      </c>
      <c r="H164" s="356">
        <v>26889.57</v>
      </c>
      <c r="I164" s="356">
        <v>17716.62</v>
      </c>
      <c r="J164" s="356">
        <v>0</v>
      </c>
      <c r="K164" s="356">
        <v>0</v>
      </c>
      <c r="L164" s="356">
        <v>84.69</v>
      </c>
      <c r="M164" s="356">
        <v>0</v>
      </c>
      <c r="N164" s="356">
        <v>0</v>
      </c>
      <c r="O164" s="356">
        <v>0</v>
      </c>
      <c r="P164" s="356">
        <v>0</v>
      </c>
      <c r="Q164" s="356">
        <v>68260.69</v>
      </c>
      <c r="R164" s="356">
        <v>140934.53</v>
      </c>
      <c r="S164" s="357">
        <f t="shared" si="35"/>
        <v>16075.171249999999</v>
      </c>
      <c r="U164" s="358">
        <f t="shared" si="36"/>
        <v>16075.171249999999</v>
      </c>
      <c r="V164" s="359"/>
      <c r="W164" s="359"/>
      <c r="X164" s="360"/>
      <c r="Y164" s="359"/>
      <c r="Z164" s="359"/>
      <c r="AA164" s="358"/>
      <c r="AB164" s="359"/>
      <c r="AD164" s="271">
        <f t="shared" si="37"/>
        <v>16075.171249999999</v>
      </c>
      <c r="AF164" s="289">
        <f t="shared" si="34"/>
        <v>0</v>
      </c>
    </row>
    <row r="165" spans="1:34">
      <c r="A165" s="113">
        <v>150</v>
      </c>
      <c r="B165" s="119" t="s">
        <v>1523</v>
      </c>
      <c r="C165" s="119" t="s">
        <v>2126</v>
      </c>
      <c r="D165" s="119" t="s">
        <v>2129</v>
      </c>
      <c r="E165" s="355" t="s">
        <v>2128</v>
      </c>
      <c r="F165" s="356">
        <v>0</v>
      </c>
      <c r="G165" s="356">
        <v>34303.589999999997</v>
      </c>
      <c r="H165" s="356">
        <v>97267.5</v>
      </c>
      <c r="I165" s="356">
        <v>64086.25</v>
      </c>
      <c r="J165" s="356">
        <v>0</v>
      </c>
      <c r="K165" s="356">
        <v>0</v>
      </c>
      <c r="L165" s="356">
        <v>306.37</v>
      </c>
      <c r="M165" s="356">
        <v>0</v>
      </c>
      <c r="N165" s="356">
        <v>0</v>
      </c>
      <c r="O165" s="356">
        <v>0</v>
      </c>
      <c r="P165" s="356">
        <v>0</v>
      </c>
      <c r="Q165" s="356">
        <v>246304.71</v>
      </c>
      <c r="R165" s="356">
        <v>418063.31</v>
      </c>
      <c r="S165" s="357">
        <f t="shared" si="35"/>
        <v>54275.006249999999</v>
      </c>
      <c r="U165" s="358">
        <f t="shared" si="36"/>
        <v>54275.006249999999</v>
      </c>
      <c r="V165" s="359"/>
      <c r="W165" s="359"/>
      <c r="X165" s="360"/>
      <c r="Y165" s="359"/>
      <c r="Z165" s="359"/>
      <c r="AA165" s="358"/>
      <c r="AB165" s="359"/>
      <c r="AD165" s="271">
        <f t="shared" si="37"/>
        <v>54275.006249999999</v>
      </c>
      <c r="AF165" s="289">
        <f t="shared" si="34"/>
        <v>0</v>
      </c>
    </row>
    <row r="166" spans="1:34">
      <c r="A166" s="113">
        <v>151</v>
      </c>
      <c r="B166" s="119" t="s">
        <v>1530</v>
      </c>
      <c r="C166" s="119" t="s">
        <v>2130</v>
      </c>
      <c r="D166" s="119" t="s">
        <v>376</v>
      </c>
      <c r="E166" s="355" t="s">
        <v>2131</v>
      </c>
      <c r="F166" s="356">
        <v>0</v>
      </c>
      <c r="G166" s="356">
        <v>0</v>
      </c>
      <c r="H166" s="356">
        <v>0</v>
      </c>
      <c r="I166" s="356">
        <v>0</v>
      </c>
      <c r="J166" s="356">
        <v>0</v>
      </c>
      <c r="K166" s="356">
        <v>0</v>
      </c>
      <c r="L166" s="356">
        <v>0</v>
      </c>
      <c r="M166" s="356">
        <v>0</v>
      </c>
      <c r="N166" s="356">
        <v>0</v>
      </c>
      <c r="O166" s="356">
        <v>0</v>
      </c>
      <c r="P166" s="356">
        <v>0</v>
      </c>
      <c r="Q166" s="356">
        <v>0</v>
      </c>
      <c r="R166" s="356">
        <v>0</v>
      </c>
      <c r="S166" s="357">
        <f t="shared" si="35"/>
        <v>0</v>
      </c>
      <c r="U166" s="358">
        <f t="shared" si="36"/>
        <v>0</v>
      </c>
      <c r="V166" s="359"/>
      <c r="W166" s="359"/>
      <c r="X166" s="360"/>
      <c r="Y166" s="359"/>
      <c r="Z166" s="359"/>
      <c r="AA166" s="358"/>
      <c r="AB166" s="359"/>
      <c r="AD166" s="271">
        <f t="shared" si="37"/>
        <v>0</v>
      </c>
      <c r="AF166" s="289">
        <f t="shared" si="34"/>
        <v>0</v>
      </c>
    </row>
    <row r="167" spans="1:34">
      <c r="A167" s="113">
        <v>152</v>
      </c>
      <c r="B167" s="119" t="s">
        <v>1530</v>
      </c>
      <c r="C167" s="119" t="s">
        <v>2132</v>
      </c>
      <c r="D167" s="119" t="s">
        <v>376</v>
      </c>
      <c r="E167" s="355" t="s">
        <v>2133</v>
      </c>
      <c r="F167" s="356">
        <v>138098</v>
      </c>
      <c r="G167" s="356">
        <v>0</v>
      </c>
      <c r="H167" s="356">
        <v>0</v>
      </c>
      <c r="I167" s="356">
        <v>0</v>
      </c>
      <c r="J167" s="356">
        <v>155625.42000000001</v>
      </c>
      <c r="K167" s="356">
        <v>63020.27</v>
      </c>
      <c r="L167" s="356">
        <v>2.18278728425503E-11</v>
      </c>
      <c r="M167" s="356">
        <v>17094.080000000002</v>
      </c>
      <c r="N167" s="356">
        <v>126114.47</v>
      </c>
      <c r="O167" s="356">
        <v>246339.07</v>
      </c>
      <c r="P167" s="356">
        <v>595127.11</v>
      </c>
      <c r="Q167" s="356">
        <v>0</v>
      </c>
      <c r="R167" s="356">
        <v>0</v>
      </c>
      <c r="S167" s="357">
        <f t="shared" si="35"/>
        <v>106030.78499999999</v>
      </c>
      <c r="U167" s="358">
        <f t="shared" si="36"/>
        <v>106030.78499999999</v>
      </c>
      <c r="V167" s="359"/>
      <c r="W167" s="359"/>
      <c r="X167" s="360"/>
      <c r="Y167" s="359"/>
      <c r="Z167" s="359"/>
      <c r="AA167" s="358"/>
      <c r="AB167" s="359"/>
      <c r="AD167" s="271">
        <f t="shared" si="37"/>
        <v>106030.78499999999</v>
      </c>
      <c r="AF167" s="289">
        <f t="shared" si="34"/>
        <v>0</v>
      </c>
    </row>
    <row r="168" spans="1:34">
      <c r="A168" s="113">
        <v>153</v>
      </c>
      <c r="B168" s="119" t="s">
        <v>2003</v>
      </c>
      <c r="C168" s="119" t="s">
        <v>2108</v>
      </c>
      <c r="D168" s="119" t="s">
        <v>2004</v>
      </c>
      <c r="E168" s="355" t="s">
        <v>2134</v>
      </c>
      <c r="F168" s="356">
        <v>0</v>
      </c>
      <c r="G168" s="356">
        <v>0</v>
      </c>
      <c r="H168" s="356">
        <v>0</v>
      </c>
      <c r="I168" s="356">
        <v>0</v>
      </c>
      <c r="J168" s="356">
        <v>0</v>
      </c>
      <c r="K168" s="356">
        <v>0</v>
      </c>
      <c r="L168" s="356">
        <v>0</v>
      </c>
      <c r="M168" s="356">
        <v>0</v>
      </c>
      <c r="N168" s="356">
        <v>0</v>
      </c>
      <c r="O168" s="356">
        <v>0</v>
      </c>
      <c r="P168" s="356">
        <v>0</v>
      </c>
      <c r="Q168" s="356">
        <v>0</v>
      </c>
      <c r="R168" s="356">
        <v>0</v>
      </c>
      <c r="S168" s="357">
        <f t="shared" si="35"/>
        <v>0</v>
      </c>
      <c r="U168" s="358">
        <f>+S168</f>
        <v>0</v>
      </c>
      <c r="V168" s="359"/>
      <c r="W168" s="359"/>
      <c r="X168" s="360"/>
      <c r="Y168" s="359"/>
      <c r="Z168" s="359"/>
      <c r="AA168" s="358"/>
      <c r="AB168" s="359"/>
      <c r="AD168" s="271">
        <f t="shared" si="37"/>
        <v>0</v>
      </c>
      <c r="AF168" s="289">
        <f t="shared" si="34"/>
        <v>0</v>
      </c>
    </row>
    <row r="169" spans="1:34">
      <c r="A169" s="113">
        <v>154</v>
      </c>
      <c r="B169" s="119" t="s">
        <v>2003</v>
      </c>
      <c r="C169" s="119" t="s">
        <v>2130</v>
      </c>
      <c r="D169" s="119" t="s">
        <v>1526</v>
      </c>
      <c r="E169" s="355" t="s">
        <v>2131</v>
      </c>
      <c r="F169" s="356">
        <v>7163930.3700000001</v>
      </c>
      <c r="G169" s="356">
        <v>7096061.2400000002</v>
      </c>
      <c r="H169" s="356">
        <v>6941832.46</v>
      </c>
      <c r="I169" s="356">
        <v>7947757.0700000003</v>
      </c>
      <c r="J169" s="356">
        <v>8215596.3700000001</v>
      </c>
      <c r="K169" s="356">
        <v>8490754.1600000001</v>
      </c>
      <c r="L169" s="356">
        <v>8857832.4399999995</v>
      </c>
      <c r="M169" s="356">
        <v>8945421.9299999997</v>
      </c>
      <c r="N169" s="356">
        <v>8910451.8699999992</v>
      </c>
      <c r="O169" s="356">
        <v>9323644.0099999998</v>
      </c>
      <c r="P169" s="356">
        <v>9452222.6500000004</v>
      </c>
      <c r="Q169" s="356">
        <v>9142510.2899999991</v>
      </c>
      <c r="R169" s="356">
        <v>9269935.5</v>
      </c>
      <c r="S169" s="357">
        <f t="shared" si="35"/>
        <v>8461751.4520833343</v>
      </c>
      <c r="U169" s="358">
        <f>+S169</f>
        <v>8461751.4520833343</v>
      </c>
      <c r="V169" s="359"/>
      <c r="W169" s="359"/>
      <c r="X169" s="360"/>
      <c r="Y169" s="359"/>
      <c r="Z169" s="359"/>
      <c r="AA169" s="358"/>
      <c r="AB169" s="359"/>
      <c r="AD169" s="271">
        <f t="shared" si="37"/>
        <v>8461751.4520833343</v>
      </c>
      <c r="AF169" s="289">
        <f t="shared" si="34"/>
        <v>0</v>
      </c>
    </row>
    <row r="170" spans="1:34">
      <c r="A170" s="113">
        <v>155</v>
      </c>
      <c r="E170" s="355" t="s">
        <v>2135</v>
      </c>
      <c r="F170" s="697">
        <f t="shared" ref="F170:R170" si="38">SUM(F152:F169)</f>
        <v>12804673.800000001</v>
      </c>
      <c r="G170" s="697">
        <f t="shared" si="38"/>
        <v>12907105.129999999</v>
      </c>
      <c r="H170" s="697">
        <f t="shared" si="38"/>
        <v>10131441.17</v>
      </c>
      <c r="I170" s="697">
        <f t="shared" si="38"/>
        <v>9971750.9900000002</v>
      </c>
      <c r="J170" s="697">
        <f t="shared" si="38"/>
        <v>10696895.780000001</v>
      </c>
      <c r="K170" s="697">
        <f t="shared" si="38"/>
        <v>11119480.26</v>
      </c>
      <c r="L170" s="697">
        <f t="shared" si="38"/>
        <v>11648832.139999999</v>
      </c>
      <c r="M170" s="697">
        <f t="shared" si="38"/>
        <v>12124888.66</v>
      </c>
      <c r="N170" s="697">
        <f t="shared" si="38"/>
        <v>12615847.789999999</v>
      </c>
      <c r="O170" s="697">
        <f t="shared" si="38"/>
        <v>13355695.459999999</v>
      </c>
      <c r="P170" s="697">
        <f t="shared" si="38"/>
        <v>13347853.24</v>
      </c>
      <c r="Q170" s="697">
        <f t="shared" si="38"/>
        <v>13977542.029999999</v>
      </c>
      <c r="R170" s="697">
        <f t="shared" si="38"/>
        <v>14590345.77</v>
      </c>
      <c r="S170" s="697">
        <f>SUM(S152:S169)</f>
        <v>12132903.536250003</v>
      </c>
      <c r="U170" s="358"/>
      <c r="V170" s="359"/>
      <c r="W170" s="359"/>
      <c r="X170" s="360"/>
      <c r="Y170" s="359"/>
      <c r="Z170" s="359"/>
      <c r="AA170" s="358"/>
      <c r="AB170" s="359"/>
      <c r="AF170" s="289">
        <f t="shared" si="34"/>
        <v>0</v>
      </c>
    </row>
    <row r="171" spans="1:34">
      <c r="A171" s="113">
        <v>156</v>
      </c>
      <c r="E171" s="374"/>
      <c r="F171" s="356"/>
      <c r="G171" s="399"/>
      <c r="H171" s="387"/>
      <c r="I171" s="387"/>
      <c r="J171" s="388"/>
      <c r="K171" s="389"/>
      <c r="L171" s="390"/>
      <c r="M171" s="391"/>
      <c r="N171" s="392"/>
      <c r="O171" s="373"/>
      <c r="P171" s="393"/>
      <c r="Q171" s="400"/>
      <c r="R171" s="356"/>
      <c r="S171" s="96"/>
      <c r="U171" s="358"/>
      <c r="V171" s="359"/>
      <c r="W171" s="359"/>
      <c r="X171" s="360"/>
      <c r="Y171" s="359"/>
      <c r="Z171" s="359"/>
      <c r="AA171" s="358"/>
      <c r="AB171" s="359"/>
      <c r="AF171" s="289">
        <f t="shared" si="34"/>
        <v>0</v>
      </c>
    </row>
    <row r="172" spans="1:34">
      <c r="A172" s="113">
        <v>157</v>
      </c>
      <c r="B172" s="119" t="s">
        <v>1543</v>
      </c>
      <c r="C172" s="119" t="s">
        <v>2136</v>
      </c>
      <c r="D172" s="119" t="s">
        <v>376</v>
      </c>
      <c r="E172" s="355" t="s">
        <v>2137</v>
      </c>
      <c r="F172" s="356">
        <v>3995882.3</v>
      </c>
      <c r="G172" s="356">
        <v>3423162.75</v>
      </c>
      <c r="H172" s="356">
        <v>3065783.59</v>
      </c>
      <c r="I172" s="356">
        <v>2404461.13</v>
      </c>
      <c r="J172" s="356">
        <v>1038413.91</v>
      </c>
      <c r="K172" s="356">
        <v>676837.24</v>
      </c>
      <c r="L172" s="356">
        <v>381264</v>
      </c>
      <c r="M172" s="356">
        <v>212937.1</v>
      </c>
      <c r="N172" s="356">
        <v>360105.41</v>
      </c>
      <c r="O172" s="356">
        <v>528249.82999999996</v>
      </c>
      <c r="P172" s="356">
        <v>1688408</v>
      </c>
      <c r="Q172" s="356">
        <v>3602492.96</v>
      </c>
      <c r="R172" s="356">
        <v>4079218.54</v>
      </c>
      <c r="S172" s="357">
        <f>((F172+R172)+((G172+H172+I172+J172+K172+L172+M172+N172+O172+P172+Q172)*2))/24</f>
        <v>1784972.1949999996</v>
      </c>
      <c r="U172" s="358">
        <f t="shared" ref="U172:U181" si="39">+S172</f>
        <v>1784972.1949999996</v>
      </c>
      <c r="V172" s="359"/>
      <c r="W172" s="359"/>
      <c r="X172" s="360"/>
      <c r="Y172" s="359"/>
      <c r="Z172" s="359"/>
      <c r="AA172" s="358"/>
      <c r="AB172" s="359"/>
      <c r="AD172" s="271">
        <f t="shared" ref="AD172:AD181" si="40">+U172</f>
        <v>1784972.1949999996</v>
      </c>
      <c r="AF172" s="289">
        <f t="shared" si="34"/>
        <v>0</v>
      </c>
    </row>
    <row r="173" spans="1:34">
      <c r="A173" s="113">
        <v>158</v>
      </c>
      <c r="B173" s="119" t="s">
        <v>1523</v>
      </c>
      <c r="C173" s="119" t="s">
        <v>2136</v>
      </c>
      <c r="D173" s="119" t="s">
        <v>376</v>
      </c>
      <c r="E173" s="1424" t="s">
        <v>2137</v>
      </c>
      <c r="F173" s="356">
        <v>12363365.84</v>
      </c>
      <c r="G173" s="356">
        <v>10307756.83</v>
      </c>
      <c r="H173" s="356">
        <v>9711236.5399999991</v>
      </c>
      <c r="I173" s="356">
        <v>8039733.9400000004</v>
      </c>
      <c r="J173" s="356">
        <v>3335477.63</v>
      </c>
      <c r="K173" s="356">
        <v>2057299.22</v>
      </c>
      <c r="L173" s="356">
        <v>1104056.74</v>
      </c>
      <c r="M173" s="356">
        <v>723502.78</v>
      </c>
      <c r="N173" s="356">
        <v>1188168.02</v>
      </c>
      <c r="O173" s="356">
        <v>1704191.24</v>
      </c>
      <c r="P173" s="356">
        <v>5398890.3700000001</v>
      </c>
      <c r="Q173" s="356">
        <v>11271031.82</v>
      </c>
      <c r="R173" s="356">
        <v>12043489.82</v>
      </c>
      <c r="S173" s="357">
        <f t="shared" ref="S173:S180" si="41">((F173+R173)+((G173+H173+I173+J173+K173+L173+M173+N173+O173+P173+Q173)*2))/24</f>
        <v>5587064.4133333331</v>
      </c>
      <c r="U173" s="358">
        <f t="shared" si="39"/>
        <v>5587064.4133333331</v>
      </c>
      <c r="V173" s="359"/>
      <c r="W173" s="359"/>
      <c r="X173" s="360"/>
      <c r="Y173" s="359"/>
      <c r="Z173" s="359"/>
      <c r="AA173" s="358"/>
      <c r="AB173" s="359"/>
      <c r="AD173" s="309">
        <f t="shared" si="40"/>
        <v>5587064.4133333331</v>
      </c>
      <c r="AF173" s="289">
        <f t="shared" si="34"/>
        <v>0</v>
      </c>
      <c r="AH173" s="271">
        <f>AD173+AD175+AD177+AD179+AD181</f>
        <v>12685660.7125</v>
      </c>
    </row>
    <row r="174" spans="1:34">
      <c r="A174" s="113">
        <v>159</v>
      </c>
      <c r="B174" s="119" t="s">
        <v>1543</v>
      </c>
      <c r="C174" s="119" t="s">
        <v>2136</v>
      </c>
      <c r="D174" s="119" t="s">
        <v>377</v>
      </c>
      <c r="E174" s="355" t="s">
        <v>2138</v>
      </c>
      <c r="F174" s="356">
        <v>2358929.9900000002</v>
      </c>
      <c r="G174" s="356">
        <v>1969288.28</v>
      </c>
      <c r="H174" s="356">
        <v>1789226.73</v>
      </c>
      <c r="I174" s="356">
        <v>1421626.92</v>
      </c>
      <c r="J174" s="356">
        <v>613721.06999999995</v>
      </c>
      <c r="K174" s="356">
        <v>388932.67</v>
      </c>
      <c r="L174" s="356">
        <v>248679.44</v>
      </c>
      <c r="M174" s="356">
        <v>180384.34</v>
      </c>
      <c r="N174" s="356">
        <v>282733.32</v>
      </c>
      <c r="O174" s="356">
        <v>401064.62</v>
      </c>
      <c r="P174" s="356">
        <v>1092583.6299999999</v>
      </c>
      <c r="Q174" s="356">
        <v>2059195.74</v>
      </c>
      <c r="R174" s="356">
        <v>2341346.5099999998</v>
      </c>
      <c r="S174" s="357">
        <f t="shared" si="41"/>
        <v>1066464.5841666667</v>
      </c>
      <c r="U174" s="358">
        <f t="shared" si="39"/>
        <v>1066464.5841666667</v>
      </c>
      <c r="V174" s="359"/>
      <c r="W174" s="359"/>
      <c r="X174" s="360"/>
      <c r="Y174" s="359"/>
      <c r="Z174" s="359"/>
      <c r="AA174" s="358"/>
      <c r="AB174" s="359"/>
      <c r="AD174" s="271">
        <f t="shared" si="40"/>
        <v>1066464.5841666667</v>
      </c>
      <c r="AF174" s="289">
        <f t="shared" si="34"/>
        <v>0</v>
      </c>
      <c r="AH174" s="271">
        <f>AH173*10%</f>
        <v>1268566.07125</v>
      </c>
    </row>
    <row r="175" spans="1:34">
      <c r="A175" s="113">
        <v>160</v>
      </c>
      <c r="B175" s="119" t="s">
        <v>1523</v>
      </c>
      <c r="C175" s="119" t="s">
        <v>2136</v>
      </c>
      <c r="D175" s="119" t="s">
        <v>377</v>
      </c>
      <c r="E175" s="1424" t="s">
        <v>2138</v>
      </c>
      <c r="F175" s="356">
        <v>9421371.3000000007</v>
      </c>
      <c r="G175" s="356">
        <v>7797724.8200000003</v>
      </c>
      <c r="H175" s="356">
        <v>7639002.5</v>
      </c>
      <c r="I175" s="356">
        <v>6183695.3200000003</v>
      </c>
      <c r="J175" s="356">
        <v>2469148.2400000002</v>
      </c>
      <c r="K175" s="356">
        <v>1660539.17</v>
      </c>
      <c r="L175" s="356">
        <v>919534.84</v>
      </c>
      <c r="M175" s="356">
        <v>664126.59</v>
      </c>
      <c r="N175" s="356">
        <v>1248882.07</v>
      </c>
      <c r="O175" s="356">
        <v>1782254.23</v>
      </c>
      <c r="P175" s="356">
        <v>4973893.0199999996</v>
      </c>
      <c r="Q175" s="356">
        <v>7134095.25</v>
      </c>
      <c r="R175" s="356">
        <v>7937370.2199999997</v>
      </c>
      <c r="S175" s="357">
        <f t="shared" si="41"/>
        <v>4262688.9008333338</v>
      </c>
      <c r="U175" s="358">
        <f t="shared" si="39"/>
        <v>4262688.9008333338</v>
      </c>
      <c r="V175" s="359"/>
      <c r="W175" s="359"/>
      <c r="X175" s="360"/>
      <c r="Y175" s="359"/>
      <c r="Z175" s="359"/>
      <c r="AA175" s="358"/>
      <c r="AB175" s="359"/>
      <c r="AD175" s="309">
        <f t="shared" si="40"/>
        <v>4262688.9008333338</v>
      </c>
      <c r="AF175" s="289">
        <f t="shared" si="34"/>
        <v>0</v>
      </c>
    </row>
    <row r="176" spans="1:34">
      <c r="A176" s="113">
        <v>161</v>
      </c>
      <c r="B176" s="119" t="s">
        <v>1543</v>
      </c>
      <c r="C176" s="119" t="s">
        <v>2136</v>
      </c>
      <c r="D176" s="119" t="s">
        <v>378</v>
      </c>
      <c r="E176" s="355" t="s">
        <v>2139</v>
      </c>
      <c r="F176" s="356">
        <v>11691.44</v>
      </c>
      <c r="G176" s="356">
        <v>8667.4699999999993</v>
      </c>
      <c r="H176" s="356">
        <v>8020.07</v>
      </c>
      <c r="I176" s="356">
        <v>7340.92</v>
      </c>
      <c r="J176" s="356">
        <v>5051.95</v>
      </c>
      <c r="K176" s="356">
        <v>3806.89</v>
      </c>
      <c r="L176" s="356">
        <v>3200.73</v>
      </c>
      <c r="M176" s="356">
        <v>2875.87</v>
      </c>
      <c r="N176" s="356">
        <v>2895.93</v>
      </c>
      <c r="O176" s="356">
        <v>3123.14</v>
      </c>
      <c r="P176" s="356">
        <v>92042.91</v>
      </c>
      <c r="Q176" s="356">
        <v>51771.42</v>
      </c>
      <c r="R176" s="356">
        <v>9017.9700000000103</v>
      </c>
      <c r="S176" s="357">
        <f t="shared" si="41"/>
        <v>16596.000416666666</v>
      </c>
      <c r="U176" s="358">
        <f t="shared" si="39"/>
        <v>16596.000416666666</v>
      </c>
      <c r="V176" s="359"/>
      <c r="W176" s="359"/>
      <c r="X176" s="360"/>
      <c r="Y176" s="359"/>
      <c r="Z176" s="359"/>
      <c r="AA176" s="358"/>
      <c r="AB176" s="359"/>
      <c r="AD176" s="271">
        <f t="shared" si="40"/>
        <v>16596.000416666666</v>
      </c>
      <c r="AF176" s="289">
        <f t="shared" si="34"/>
        <v>0</v>
      </c>
    </row>
    <row r="177" spans="1:32">
      <c r="A177" s="113">
        <v>162</v>
      </c>
      <c r="B177" s="119" t="s">
        <v>1523</v>
      </c>
      <c r="C177" s="119" t="s">
        <v>2136</v>
      </c>
      <c r="D177" s="119" t="s">
        <v>378</v>
      </c>
      <c r="E177" s="1424" t="s">
        <v>2139</v>
      </c>
      <c r="F177" s="356">
        <v>1264015.1200000001</v>
      </c>
      <c r="G177" s="356">
        <v>1322568.24</v>
      </c>
      <c r="H177" s="356">
        <v>1228056.0900000001</v>
      </c>
      <c r="I177" s="356">
        <v>1262711.82</v>
      </c>
      <c r="J177" s="356">
        <v>1021517.42</v>
      </c>
      <c r="K177" s="356">
        <v>725707.29</v>
      </c>
      <c r="L177" s="356">
        <v>551192.22</v>
      </c>
      <c r="M177" s="356">
        <v>522627.66</v>
      </c>
      <c r="N177" s="356">
        <v>492969.85</v>
      </c>
      <c r="O177" s="356">
        <v>478432.73</v>
      </c>
      <c r="P177" s="356">
        <v>150025.57999999999</v>
      </c>
      <c r="Q177" s="356">
        <v>208091.36</v>
      </c>
      <c r="R177" s="356">
        <v>291088.88</v>
      </c>
      <c r="S177" s="357">
        <f t="shared" si="41"/>
        <v>728454.3550000001</v>
      </c>
      <c r="U177" s="358">
        <f t="shared" si="39"/>
        <v>728454.3550000001</v>
      </c>
      <c r="V177" s="359"/>
      <c r="W177" s="359"/>
      <c r="X177" s="360"/>
      <c r="Y177" s="359"/>
      <c r="Z177" s="359"/>
      <c r="AA177" s="358"/>
      <c r="AB177" s="359"/>
      <c r="AD177" s="309">
        <f t="shared" si="40"/>
        <v>728454.3550000001</v>
      </c>
      <c r="AF177" s="289">
        <f t="shared" si="34"/>
        <v>0</v>
      </c>
    </row>
    <row r="178" spans="1:32">
      <c r="A178" s="113">
        <v>163</v>
      </c>
      <c r="B178" s="119" t="s">
        <v>1543</v>
      </c>
      <c r="C178" s="119" t="s">
        <v>2140</v>
      </c>
      <c r="D178" s="119" t="s">
        <v>378</v>
      </c>
      <c r="E178" s="355" t="s">
        <v>2141</v>
      </c>
      <c r="F178" s="356">
        <v>248515.71</v>
      </c>
      <c r="G178" s="356">
        <v>245147.87</v>
      </c>
      <c r="H178" s="356">
        <v>244076.29</v>
      </c>
      <c r="I178" s="356">
        <v>248621.77</v>
      </c>
      <c r="J178" s="356">
        <v>207494.58</v>
      </c>
      <c r="K178" s="356">
        <v>225318.24</v>
      </c>
      <c r="L178" s="356">
        <v>225012.68</v>
      </c>
      <c r="M178" s="356">
        <v>232203.74</v>
      </c>
      <c r="N178" s="356">
        <v>238335.27</v>
      </c>
      <c r="O178" s="356">
        <v>241295.2</v>
      </c>
      <c r="P178" s="356">
        <v>258534.7</v>
      </c>
      <c r="Q178" s="356">
        <v>238132.3</v>
      </c>
      <c r="R178" s="356">
        <v>258966.5</v>
      </c>
      <c r="S178" s="357">
        <f t="shared" si="41"/>
        <v>238159.47875000001</v>
      </c>
      <c r="U178" s="358">
        <f t="shared" si="39"/>
        <v>238159.47875000001</v>
      </c>
      <c r="V178" s="359"/>
      <c r="W178" s="359"/>
      <c r="X178" s="360"/>
      <c r="Y178" s="359"/>
      <c r="Z178" s="359"/>
      <c r="AA178" s="358"/>
      <c r="AB178" s="359"/>
      <c r="AD178" s="271">
        <f t="shared" si="40"/>
        <v>238159.47875000001</v>
      </c>
      <c r="AF178" s="289">
        <f t="shared" si="34"/>
        <v>0</v>
      </c>
    </row>
    <row r="179" spans="1:32">
      <c r="A179" s="113">
        <v>164</v>
      </c>
      <c r="B179" s="119" t="s">
        <v>1523</v>
      </c>
      <c r="C179" s="119" t="s">
        <v>2140</v>
      </c>
      <c r="D179" s="395" t="s">
        <v>378</v>
      </c>
      <c r="E179" s="1424" t="s">
        <v>2141</v>
      </c>
      <c r="F179" s="356">
        <v>1349347.15</v>
      </c>
      <c r="G179" s="356">
        <v>1367190.98</v>
      </c>
      <c r="H179" s="356">
        <v>1331194.24</v>
      </c>
      <c r="I179" s="356">
        <v>1428764.58</v>
      </c>
      <c r="J179" s="356">
        <v>1277363.6599999999</v>
      </c>
      <c r="K179" s="356">
        <v>1246256.5</v>
      </c>
      <c r="L179" s="356">
        <v>1271629.31</v>
      </c>
      <c r="M179" s="356">
        <v>1276341.43</v>
      </c>
      <c r="N179" s="356">
        <v>1318001.51</v>
      </c>
      <c r="O179" s="356">
        <v>1390882.26</v>
      </c>
      <c r="P179" s="356">
        <v>1507856.02</v>
      </c>
      <c r="Q179" s="356">
        <v>1525325.79</v>
      </c>
      <c r="R179" s="356">
        <v>1517775.64</v>
      </c>
      <c r="S179" s="357">
        <f t="shared" si="41"/>
        <v>1364530.6395833332</v>
      </c>
      <c r="U179" s="358">
        <f t="shared" si="39"/>
        <v>1364530.6395833332</v>
      </c>
      <c r="V179" s="359"/>
      <c r="W179" s="359"/>
      <c r="X179" s="360"/>
      <c r="Y179" s="359"/>
      <c r="Z179" s="359"/>
      <c r="AA179" s="358"/>
      <c r="AB179" s="359"/>
      <c r="AD179" s="309">
        <f t="shared" si="40"/>
        <v>1364530.6395833332</v>
      </c>
      <c r="AF179" s="289">
        <f t="shared" si="34"/>
        <v>0</v>
      </c>
    </row>
    <row r="180" spans="1:32">
      <c r="A180" s="113">
        <v>165</v>
      </c>
      <c r="B180" s="119" t="s">
        <v>1543</v>
      </c>
      <c r="C180" s="119" t="s">
        <v>2140</v>
      </c>
      <c r="D180" s="119" t="s">
        <v>379</v>
      </c>
      <c r="E180" s="355" t="s">
        <v>2142</v>
      </c>
      <c r="F180" s="356">
        <v>131522.85999999999</v>
      </c>
      <c r="G180" s="356">
        <v>130420.82</v>
      </c>
      <c r="H180" s="356">
        <v>114990.65</v>
      </c>
      <c r="I180" s="356">
        <v>129576.78</v>
      </c>
      <c r="J180" s="356">
        <v>115027.92</v>
      </c>
      <c r="K180" s="356">
        <v>94635</v>
      </c>
      <c r="L180" s="356">
        <v>108217.71</v>
      </c>
      <c r="M180" s="356">
        <v>108596.33</v>
      </c>
      <c r="N180" s="356">
        <v>123969.04</v>
      </c>
      <c r="O180" s="356">
        <v>127546.4</v>
      </c>
      <c r="P180" s="356">
        <v>123097.9</v>
      </c>
      <c r="Q180" s="356">
        <v>109894.87</v>
      </c>
      <c r="R180" s="356">
        <v>112953.62</v>
      </c>
      <c r="S180" s="357">
        <f t="shared" si="41"/>
        <v>117350.97166666666</v>
      </c>
      <c r="U180" s="358">
        <f t="shared" si="39"/>
        <v>117350.97166666666</v>
      </c>
      <c r="V180" s="359"/>
      <c r="W180" s="359"/>
      <c r="X180" s="360"/>
      <c r="Y180" s="359"/>
      <c r="Z180" s="359"/>
      <c r="AA180" s="358"/>
      <c r="AB180" s="359"/>
      <c r="AD180" s="271">
        <f t="shared" si="40"/>
        <v>117350.97166666666</v>
      </c>
      <c r="AF180" s="289">
        <f t="shared" si="34"/>
        <v>0</v>
      </c>
    </row>
    <row r="181" spans="1:32">
      <c r="A181" s="113">
        <v>166</v>
      </c>
      <c r="B181" s="119" t="s">
        <v>1523</v>
      </c>
      <c r="C181" s="119" t="s">
        <v>2140</v>
      </c>
      <c r="D181" s="119" t="s">
        <v>379</v>
      </c>
      <c r="E181" s="1424" t="s">
        <v>2142</v>
      </c>
      <c r="F181" s="698">
        <v>859829.44</v>
      </c>
      <c r="G181" s="698">
        <v>768148.98</v>
      </c>
      <c r="H181" s="698">
        <v>693433.42</v>
      </c>
      <c r="I181" s="698">
        <v>902489.42</v>
      </c>
      <c r="J181" s="698">
        <v>816356.38</v>
      </c>
      <c r="K181" s="698">
        <v>580806.77</v>
      </c>
      <c r="L181" s="698">
        <v>559599.07999999996</v>
      </c>
      <c r="M181" s="698">
        <v>695780.16</v>
      </c>
      <c r="N181" s="698">
        <v>841880.73</v>
      </c>
      <c r="O181" s="698">
        <v>891485.2</v>
      </c>
      <c r="P181" s="698">
        <v>714401.69</v>
      </c>
      <c r="Q181" s="698">
        <v>632811.80000000005</v>
      </c>
      <c r="R181" s="698">
        <v>775920.99</v>
      </c>
      <c r="S181" s="700">
        <f>((F181+R181)+((G181+H181+I181+J181+K181+L181+M181+N181+O181+P181+Q181)*2))/24</f>
        <v>742922.40375000006</v>
      </c>
      <c r="U181" s="358">
        <f t="shared" si="39"/>
        <v>742922.40375000006</v>
      </c>
      <c r="V181" s="359"/>
      <c r="W181" s="359"/>
      <c r="X181" s="360"/>
      <c r="Y181" s="359"/>
      <c r="Z181" s="359"/>
      <c r="AA181" s="358"/>
      <c r="AB181" s="359"/>
      <c r="AD181" s="309">
        <f t="shared" si="40"/>
        <v>742922.40375000006</v>
      </c>
      <c r="AF181" s="289">
        <f t="shared" si="34"/>
        <v>0</v>
      </c>
    </row>
    <row r="182" spans="1:32">
      <c r="A182" s="113">
        <v>167</v>
      </c>
      <c r="E182" s="355" t="s">
        <v>2143</v>
      </c>
      <c r="F182" s="696">
        <f>SUM(F172:F181)</f>
        <v>32004471.150000006</v>
      </c>
      <c r="G182" s="696">
        <f t="shared" ref="G182:R182" si="42">SUM(G172:G181)</f>
        <v>27340077.039999999</v>
      </c>
      <c r="H182" s="696">
        <f t="shared" si="42"/>
        <v>25825020.119999997</v>
      </c>
      <c r="I182" s="696">
        <f t="shared" si="42"/>
        <v>22029022.600000009</v>
      </c>
      <c r="J182" s="696">
        <f t="shared" si="42"/>
        <v>10899572.760000002</v>
      </c>
      <c r="K182" s="696">
        <f t="shared" si="42"/>
        <v>7660138.9900000002</v>
      </c>
      <c r="L182" s="696">
        <f t="shared" si="42"/>
        <v>5372386.75</v>
      </c>
      <c r="M182" s="696">
        <f t="shared" si="42"/>
        <v>4619376</v>
      </c>
      <c r="N182" s="696">
        <f t="shared" si="42"/>
        <v>6097941.1500000004</v>
      </c>
      <c r="O182" s="696">
        <f t="shared" si="42"/>
        <v>7548524.8499999996</v>
      </c>
      <c r="P182" s="696">
        <f t="shared" si="42"/>
        <v>15999733.819999998</v>
      </c>
      <c r="Q182" s="696">
        <f t="shared" si="42"/>
        <v>26832843.310000002</v>
      </c>
      <c r="R182" s="696">
        <f t="shared" si="42"/>
        <v>29367148.689999994</v>
      </c>
      <c r="S182" s="697">
        <f>SUM(S172:S181)</f>
        <v>15909203.942499999</v>
      </c>
      <c r="U182" s="358"/>
      <c r="V182" s="359"/>
      <c r="W182" s="359"/>
      <c r="X182" s="360"/>
      <c r="Y182" s="359"/>
      <c r="Z182" s="359"/>
      <c r="AA182" s="358"/>
      <c r="AB182" s="359"/>
      <c r="AF182" s="289">
        <f t="shared" si="34"/>
        <v>0</v>
      </c>
    </row>
    <row r="183" spans="1:32">
      <c r="A183" s="113">
        <v>168</v>
      </c>
      <c r="E183" s="374"/>
      <c r="F183" s="356"/>
      <c r="G183" s="399"/>
      <c r="H183" s="387"/>
      <c r="I183" s="387"/>
      <c r="J183" s="388"/>
      <c r="K183" s="389"/>
      <c r="L183" s="390"/>
      <c r="M183" s="391"/>
      <c r="N183" s="392"/>
      <c r="O183" s="373"/>
      <c r="P183" s="393"/>
      <c r="Q183" s="400"/>
      <c r="R183" s="356"/>
      <c r="S183" s="96"/>
      <c r="U183" s="358"/>
      <c r="V183" s="359"/>
      <c r="W183" s="359"/>
      <c r="X183" s="360"/>
      <c r="Y183" s="359"/>
      <c r="Z183" s="359"/>
      <c r="AA183" s="358"/>
      <c r="AB183" s="359"/>
      <c r="AF183" s="289">
        <f t="shared" si="34"/>
        <v>0</v>
      </c>
    </row>
    <row r="184" spans="1:32">
      <c r="A184" s="113">
        <v>169</v>
      </c>
      <c r="B184" s="119" t="s">
        <v>1530</v>
      </c>
      <c r="C184" s="119" t="s">
        <v>1548</v>
      </c>
      <c r="D184" s="119" t="s">
        <v>1576</v>
      </c>
      <c r="E184" s="355" t="s">
        <v>2144</v>
      </c>
      <c r="F184" s="356">
        <v>-71282.13</v>
      </c>
      <c r="G184" s="356">
        <v>-70320.240000000005</v>
      </c>
      <c r="H184" s="356">
        <v>-69358.36</v>
      </c>
      <c r="I184" s="356">
        <v>-68396.42</v>
      </c>
      <c r="J184" s="356">
        <v>-67434.539999999994</v>
      </c>
      <c r="K184" s="356">
        <v>-66472.63</v>
      </c>
      <c r="L184" s="356">
        <v>-65510.73</v>
      </c>
      <c r="M184" s="356">
        <v>-64548.83</v>
      </c>
      <c r="N184" s="356">
        <v>-63586.93</v>
      </c>
      <c r="O184" s="356">
        <v>-62625.02</v>
      </c>
      <c r="P184" s="356">
        <v>-61663.12</v>
      </c>
      <c r="Q184" s="356">
        <v>-60701.21</v>
      </c>
      <c r="R184" s="356">
        <v>-59739.33</v>
      </c>
      <c r="S184" s="357">
        <f>((F184+R184)+((G184+H184+I184+J184+K184+L184+M184+N184+O184+P184+Q184)*2))/24</f>
        <v>-65510.73</v>
      </c>
      <c r="U184" s="358"/>
      <c r="V184" s="359"/>
      <c r="W184" s="359"/>
      <c r="X184" s="360">
        <f>+S184</f>
        <v>-65510.73</v>
      </c>
      <c r="Y184" s="359"/>
      <c r="Z184" s="359"/>
      <c r="AA184" s="358"/>
      <c r="AB184" s="359">
        <f>+S184</f>
        <v>-65510.73</v>
      </c>
      <c r="AD184" s="271">
        <f>+U184</f>
        <v>0</v>
      </c>
      <c r="AF184" s="289">
        <f t="shared" si="34"/>
        <v>0</v>
      </c>
    </row>
    <row r="185" spans="1:32">
      <c r="A185" s="113">
        <v>170</v>
      </c>
      <c r="B185" s="119" t="s">
        <v>1530</v>
      </c>
      <c r="C185" s="119" t="s">
        <v>1548</v>
      </c>
      <c r="D185" s="119" t="s">
        <v>1578</v>
      </c>
      <c r="E185" s="355" t="s">
        <v>2145</v>
      </c>
      <c r="F185" s="356">
        <v>-270158.8</v>
      </c>
      <c r="G185" s="356">
        <v>-266492.56</v>
      </c>
      <c r="H185" s="356">
        <v>-262826.32</v>
      </c>
      <c r="I185" s="356">
        <v>-259160.08</v>
      </c>
      <c r="J185" s="356">
        <v>-255493.81</v>
      </c>
      <c r="K185" s="356">
        <v>-251827.57</v>
      </c>
      <c r="L185" s="356">
        <v>-248161.3</v>
      </c>
      <c r="M185" s="356">
        <v>-244495.04</v>
      </c>
      <c r="N185" s="356">
        <v>-240828.75</v>
      </c>
      <c r="O185" s="356">
        <v>-237162.53</v>
      </c>
      <c r="P185" s="356">
        <v>-233496.28</v>
      </c>
      <c r="Q185" s="356">
        <v>-229830.02</v>
      </c>
      <c r="R185" s="356">
        <v>-226163.76</v>
      </c>
      <c r="S185" s="357">
        <f>((F185+R185)+((G185+H185+I185+J185+K185+L185+M185+N185+O185+P185+Q185)*2))/24</f>
        <v>-248161.29499999995</v>
      </c>
      <c r="U185" s="358"/>
      <c r="V185" s="359"/>
      <c r="W185" s="359"/>
      <c r="X185" s="360">
        <f>+S185</f>
        <v>-248161.29499999995</v>
      </c>
      <c r="Y185" s="359"/>
      <c r="Z185" s="359"/>
      <c r="AA185" s="358"/>
      <c r="AB185" s="359">
        <f>+S185</f>
        <v>-248161.29499999995</v>
      </c>
      <c r="AD185" s="271">
        <f>+U185</f>
        <v>0</v>
      </c>
      <c r="AF185" s="289">
        <f t="shared" si="34"/>
        <v>0</v>
      </c>
    </row>
    <row r="186" spans="1:32">
      <c r="A186" s="113">
        <v>171</v>
      </c>
      <c r="B186" s="119" t="s">
        <v>1530</v>
      </c>
      <c r="C186" s="119" t="s">
        <v>1548</v>
      </c>
      <c r="D186" s="119" t="s">
        <v>1549</v>
      </c>
      <c r="E186" s="355" t="s">
        <v>2146</v>
      </c>
      <c r="F186" s="356">
        <v>-1.16415321826935E-10</v>
      </c>
      <c r="G186" s="356">
        <v>0</v>
      </c>
      <c r="H186" s="356">
        <v>0</v>
      </c>
      <c r="I186" s="356">
        <v>0</v>
      </c>
      <c r="J186" s="356">
        <v>0</v>
      </c>
      <c r="K186" s="356">
        <v>0</v>
      </c>
      <c r="L186" s="356">
        <v>0</v>
      </c>
      <c r="M186" s="356">
        <v>0</v>
      </c>
      <c r="N186" s="356">
        <v>0</v>
      </c>
      <c r="O186" s="356">
        <v>0</v>
      </c>
      <c r="P186" s="356">
        <v>0</v>
      </c>
      <c r="Q186" s="356">
        <v>0</v>
      </c>
      <c r="R186" s="356">
        <v>0</v>
      </c>
      <c r="S186" s="357">
        <f>((F186+R186)+((G186+H186+I186+J186+K186+L186+M186+N186+O186+P186+Q186)*2))/24</f>
        <v>-4.8506384094556251E-12</v>
      </c>
      <c r="U186" s="358"/>
      <c r="V186" s="359"/>
      <c r="W186" s="359"/>
      <c r="X186" s="360">
        <f>+S186</f>
        <v>-4.8506384094556251E-12</v>
      </c>
      <c r="Y186" s="359">
        <f>+X186*Z8</f>
        <v>-3.6404041262964461E-12</v>
      </c>
      <c r="Z186" s="359">
        <f>+X186*Z9</f>
        <v>-1.2102342831591785E-12</v>
      </c>
      <c r="AA186" s="358"/>
      <c r="AB186" s="359"/>
      <c r="AD186" s="271">
        <f>+U186</f>
        <v>0</v>
      </c>
      <c r="AF186" s="289">
        <f t="shared" si="34"/>
        <v>0</v>
      </c>
    </row>
    <row r="187" spans="1:32">
      <c r="A187" s="113">
        <v>172</v>
      </c>
      <c r="B187" s="119" t="s">
        <v>1530</v>
      </c>
      <c r="C187" s="119" t="s">
        <v>1548</v>
      </c>
      <c r="D187" s="119" t="s">
        <v>2147</v>
      </c>
      <c r="E187" s="355" t="s">
        <v>2148</v>
      </c>
      <c r="F187" s="356">
        <v>1401147.76</v>
      </c>
      <c r="G187" s="356">
        <v>1401729.26</v>
      </c>
      <c r="H187" s="356">
        <v>1402310.75</v>
      </c>
      <c r="I187" s="356">
        <v>1402892.24</v>
      </c>
      <c r="J187" s="356">
        <v>1403473.73</v>
      </c>
      <c r="K187" s="356">
        <v>1404055.22</v>
      </c>
      <c r="L187" s="356">
        <v>1406254.74</v>
      </c>
      <c r="M187" s="356">
        <v>1407105.91</v>
      </c>
      <c r="N187" s="356">
        <v>1407957.08</v>
      </c>
      <c r="O187" s="356">
        <v>1408808.24</v>
      </c>
      <c r="P187" s="356">
        <v>1409659.41</v>
      </c>
      <c r="Q187" s="356">
        <v>1410510.56</v>
      </c>
      <c r="R187" s="356">
        <v>953296.83</v>
      </c>
      <c r="S187" s="357">
        <f t="shared" ref="S187:S200" si="43">((F187+R187)+((G187+H187+I187+J187+K187+L187+M187+N187+O187+P187+Q187)*2))/24</f>
        <v>1386831.6195833334</v>
      </c>
      <c r="U187" s="358"/>
      <c r="V187" s="359"/>
      <c r="W187" s="359"/>
      <c r="X187" s="360">
        <f>+S187</f>
        <v>1386831.6195833334</v>
      </c>
      <c r="Y187" s="359"/>
      <c r="Z187" s="359"/>
      <c r="AA187" s="358"/>
      <c r="AB187" s="359">
        <f>+S187</f>
        <v>1386831.6195833334</v>
      </c>
      <c r="AD187" s="271">
        <f t="shared" ref="AD187:AD199" si="44">+U187</f>
        <v>0</v>
      </c>
      <c r="AF187" s="289">
        <f t="shared" si="34"/>
        <v>0</v>
      </c>
    </row>
    <row r="188" spans="1:32">
      <c r="A188" s="113">
        <v>173</v>
      </c>
      <c r="B188" s="119" t="s">
        <v>1530</v>
      </c>
      <c r="C188" s="119" t="s">
        <v>1548</v>
      </c>
      <c r="D188" s="119" t="s">
        <v>1581</v>
      </c>
      <c r="E188" s="355" t="s">
        <v>2149</v>
      </c>
      <c r="F188" s="356">
        <v>3764796.5</v>
      </c>
      <c r="G188" s="356">
        <v>3740933.29</v>
      </c>
      <c r="H188" s="356">
        <v>3743995.78</v>
      </c>
      <c r="I188" s="356">
        <v>3715551.45</v>
      </c>
      <c r="J188" s="356">
        <v>3713036.48</v>
      </c>
      <c r="K188" s="356">
        <v>3666632.76</v>
      </c>
      <c r="L188" s="356">
        <v>3584178.43</v>
      </c>
      <c r="M188" s="356">
        <v>3536018.51</v>
      </c>
      <c r="N188" s="356">
        <v>3496599.13</v>
      </c>
      <c r="O188" s="356">
        <v>5798605.25</v>
      </c>
      <c r="P188" s="356">
        <v>5842695.25</v>
      </c>
      <c r="Q188" s="356">
        <v>5780985.6799999997</v>
      </c>
      <c r="R188" s="356">
        <v>6428812.5300000003</v>
      </c>
      <c r="S188" s="357">
        <f t="shared" si="43"/>
        <v>4309669.7104166662</v>
      </c>
      <c r="U188" s="358">
        <f>+S188</f>
        <v>4309669.7104166662</v>
      </c>
      <c r="V188" s="359"/>
      <c r="W188" s="359"/>
      <c r="X188" s="360"/>
      <c r="Y188" s="359"/>
      <c r="Z188" s="359"/>
      <c r="AA188" s="358"/>
      <c r="AB188" s="359"/>
      <c r="AD188" s="271">
        <f t="shared" si="44"/>
        <v>4309669.7104166662</v>
      </c>
      <c r="AF188" s="289">
        <f t="shared" si="34"/>
        <v>0</v>
      </c>
    </row>
    <row r="189" spans="1:32">
      <c r="A189" s="113">
        <v>174</v>
      </c>
      <c r="B189" s="119" t="s">
        <v>1530</v>
      </c>
      <c r="C189" s="119" t="s">
        <v>1548</v>
      </c>
      <c r="D189" s="119" t="s">
        <v>1583</v>
      </c>
      <c r="E189" s="355" t="s">
        <v>2150</v>
      </c>
      <c r="F189" s="356">
        <v>1739299.2</v>
      </c>
      <c r="G189" s="356">
        <v>1717382.89</v>
      </c>
      <c r="H189" s="356">
        <v>1270050.26</v>
      </c>
      <c r="I189" s="356">
        <v>1217440.58</v>
      </c>
      <c r="J189" s="356">
        <v>1197725.3</v>
      </c>
      <c r="K189" s="356">
        <v>1178302.1599999999</v>
      </c>
      <c r="L189" s="356">
        <v>1172011.58</v>
      </c>
      <c r="M189" s="356">
        <v>1157847.96</v>
      </c>
      <c r="N189" s="356">
        <v>1181461.05</v>
      </c>
      <c r="O189" s="356">
        <v>1341764.53</v>
      </c>
      <c r="P189" s="356">
        <v>1399994.64</v>
      </c>
      <c r="Q189" s="356">
        <v>1379131.5</v>
      </c>
      <c r="R189" s="356">
        <v>1552823.13</v>
      </c>
      <c r="S189" s="357">
        <f t="shared" si="43"/>
        <v>1321597.8012500003</v>
      </c>
      <c r="U189" s="358">
        <f>+S189</f>
        <v>1321597.8012500003</v>
      </c>
      <c r="V189" s="359"/>
      <c r="W189" s="359"/>
      <c r="X189" s="360"/>
      <c r="Y189" s="359"/>
      <c r="Z189" s="359"/>
      <c r="AA189" s="358"/>
      <c r="AB189" s="359"/>
      <c r="AD189" s="271">
        <f t="shared" si="44"/>
        <v>1321597.8012500003</v>
      </c>
      <c r="AF189" s="289">
        <f t="shared" si="34"/>
        <v>0</v>
      </c>
    </row>
    <row r="190" spans="1:32">
      <c r="A190" s="113">
        <v>175</v>
      </c>
      <c r="B190" s="119" t="s">
        <v>1543</v>
      </c>
      <c r="C190" s="119" t="s">
        <v>1548</v>
      </c>
      <c r="D190" s="119" t="s">
        <v>2151</v>
      </c>
      <c r="E190" s="355" t="s">
        <v>2152</v>
      </c>
      <c r="F190" s="356">
        <v>-6239.04</v>
      </c>
      <c r="G190" s="356">
        <v>-6154.85</v>
      </c>
      <c r="H190" s="356">
        <v>-6070.65</v>
      </c>
      <c r="I190" s="356">
        <v>-5986.46</v>
      </c>
      <c r="J190" s="356">
        <v>-5902.27</v>
      </c>
      <c r="K190" s="356">
        <v>-5818.08</v>
      </c>
      <c r="L190" s="356">
        <v>-5733.89</v>
      </c>
      <c r="M190" s="356">
        <v>-5649.7</v>
      </c>
      <c r="N190" s="356">
        <v>-5565.51</v>
      </c>
      <c r="O190" s="356">
        <v>-5481.32</v>
      </c>
      <c r="P190" s="356">
        <v>-5397.13</v>
      </c>
      <c r="Q190" s="356">
        <v>-5312.94</v>
      </c>
      <c r="R190" s="356">
        <v>-5228.75</v>
      </c>
      <c r="S190" s="357">
        <f t="shared" si="43"/>
        <v>-5733.8912499999997</v>
      </c>
      <c r="U190" s="358"/>
      <c r="V190" s="359"/>
      <c r="W190" s="359"/>
      <c r="X190" s="360">
        <f>+S190</f>
        <v>-5733.8912499999997</v>
      </c>
      <c r="Y190" s="359"/>
      <c r="Z190" s="359"/>
      <c r="AA190" s="358"/>
      <c r="AB190" s="359">
        <f>+S190</f>
        <v>-5733.8912499999997</v>
      </c>
      <c r="AD190" s="271">
        <f t="shared" si="44"/>
        <v>0</v>
      </c>
      <c r="AF190" s="289">
        <f t="shared" si="34"/>
        <v>0</v>
      </c>
    </row>
    <row r="191" spans="1:32">
      <c r="A191" s="113">
        <v>176</v>
      </c>
      <c r="B191" s="119" t="s">
        <v>1543</v>
      </c>
      <c r="C191" s="119" t="s">
        <v>1548</v>
      </c>
      <c r="D191" s="119" t="s">
        <v>2153</v>
      </c>
      <c r="E191" s="355" t="s">
        <v>2154</v>
      </c>
      <c r="F191" s="356">
        <v>2002.16</v>
      </c>
      <c r="G191" s="356">
        <v>1954.53</v>
      </c>
      <c r="H191" s="356">
        <v>1906.84</v>
      </c>
      <c r="I191" s="356">
        <v>1859.2</v>
      </c>
      <c r="J191" s="356">
        <v>1811.51</v>
      </c>
      <c r="K191" s="356">
        <v>1763.83</v>
      </c>
      <c r="L191" s="356">
        <v>1716.16</v>
      </c>
      <c r="M191" s="356">
        <v>1668.52</v>
      </c>
      <c r="N191" s="356">
        <v>1620.85</v>
      </c>
      <c r="O191" s="356">
        <v>1573.14</v>
      </c>
      <c r="P191" s="356">
        <v>1525.47</v>
      </c>
      <c r="Q191" s="356">
        <v>1477.78</v>
      </c>
      <c r="R191" s="356">
        <v>1430.13</v>
      </c>
      <c r="S191" s="357">
        <f t="shared" si="43"/>
        <v>1716.1645833333332</v>
      </c>
      <c r="U191" s="358"/>
      <c r="V191" s="359"/>
      <c r="W191" s="359"/>
      <c r="X191" s="360">
        <f>+S191</f>
        <v>1716.1645833333332</v>
      </c>
      <c r="Y191" s="359"/>
      <c r="Z191" s="359"/>
      <c r="AA191" s="358"/>
      <c r="AB191" s="359">
        <f>+S191</f>
        <v>1716.1645833333332</v>
      </c>
      <c r="AD191" s="271">
        <f t="shared" si="44"/>
        <v>0</v>
      </c>
      <c r="AF191" s="289">
        <f t="shared" si="34"/>
        <v>0</v>
      </c>
    </row>
    <row r="192" spans="1:32">
      <c r="A192" s="113">
        <v>177</v>
      </c>
      <c r="B192" s="119" t="s">
        <v>1543</v>
      </c>
      <c r="C192" s="119" t="s">
        <v>1548</v>
      </c>
      <c r="D192" s="119" t="s">
        <v>1559</v>
      </c>
      <c r="E192" s="355" t="s">
        <v>2155</v>
      </c>
      <c r="F192" s="356">
        <v>57928.94</v>
      </c>
      <c r="G192" s="356">
        <v>57884.94</v>
      </c>
      <c r="H192" s="356">
        <v>57884.94</v>
      </c>
      <c r="I192" s="356">
        <v>55452.9</v>
      </c>
      <c r="J192" s="356">
        <v>55452.9</v>
      </c>
      <c r="K192" s="356">
        <v>55452.9</v>
      </c>
      <c r="L192" s="356">
        <v>55522.559999999998</v>
      </c>
      <c r="M192" s="356">
        <v>55522.559999999998</v>
      </c>
      <c r="N192" s="356">
        <v>55526.239999999998</v>
      </c>
      <c r="O192" s="356">
        <v>55255.59</v>
      </c>
      <c r="P192" s="356">
        <v>55255.59</v>
      </c>
      <c r="Q192" s="356">
        <v>55249.65</v>
      </c>
      <c r="R192" s="356">
        <v>55249.65</v>
      </c>
      <c r="S192" s="357">
        <f t="shared" si="43"/>
        <v>55920.838750000003</v>
      </c>
      <c r="U192" s="358"/>
      <c r="V192" s="359"/>
      <c r="W192" s="359"/>
      <c r="X192" s="360">
        <f>+S192</f>
        <v>55920.838750000003</v>
      </c>
      <c r="Y192" s="359"/>
      <c r="Z192" s="359">
        <f>+X192</f>
        <v>55920.838750000003</v>
      </c>
      <c r="AA192" s="358"/>
      <c r="AB192" s="359"/>
      <c r="AD192" s="271">
        <f t="shared" si="44"/>
        <v>0</v>
      </c>
      <c r="AF192" s="289">
        <f t="shared" si="34"/>
        <v>0</v>
      </c>
    </row>
    <row r="193" spans="1:32">
      <c r="A193" s="113">
        <v>178</v>
      </c>
      <c r="B193" s="119" t="s">
        <v>1543</v>
      </c>
      <c r="C193" s="119" t="s">
        <v>1548</v>
      </c>
      <c r="D193" s="119" t="s">
        <v>1561</v>
      </c>
      <c r="E193" s="355" t="s">
        <v>2156</v>
      </c>
      <c r="F193" s="356">
        <v>-2002.19</v>
      </c>
      <c r="G193" s="356">
        <v>-1954.52</v>
      </c>
      <c r="H193" s="356">
        <v>-1906.85</v>
      </c>
      <c r="I193" s="356">
        <v>-1859.18</v>
      </c>
      <c r="J193" s="356">
        <v>-1811.51</v>
      </c>
      <c r="K193" s="356">
        <v>-1763.84</v>
      </c>
      <c r="L193" s="356">
        <v>-1716.16</v>
      </c>
      <c r="M193" s="356">
        <v>-1668.49</v>
      </c>
      <c r="N193" s="356">
        <v>-1620.82</v>
      </c>
      <c r="O193" s="356">
        <v>-1573.15</v>
      </c>
      <c r="P193" s="356">
        <v>-1525.48</v>
      </c>
      <c r="Q193" s="356">
        <v>-1477.81</v>
      </c>
      <c r="R193" s="356">
        <v>-1430.13</v>
      </c>
      <c r="S193" s="357">
        <f t="shared" si="43"/>
        <v>-1716.1641666666667</v>
      </c>
      <c r="U193" s="358"/>
      <c r="V193" s="359"/>
      <c r="W193" s="359"/>
      <c r="X193" s="360">
        <f>+S193</f>
        <v>-1716.1641666666667</v>
      </c>
      <c r="Y193" s="359"/>
      <c r="Z193" s="359">
        <f>+X193</f>
        <v>-1716.1641666666667</v>
      </c>
      <c r="AA193" s="358"/>
      <c r="AB193" s="359"/>
      <c r="AD193" s="271">
        <f t="shared" si="44"/>
        <v>0</v>
      </c>
      <c r="AF193" s="289">
        <f t="shared" si="34"/>
        <v>0</v>
      </c>
    </row>
    <row r="194" spans="1:32">
      <c r="A194" s="113">
        <v>179</v>
      </c>
      <c r="B194" s="119" t="s">
        <v>1543</v>
      </c>
      <c r="C194" s="119" t="s">
        <v>1548</v>
      </c>
      <c r="D194" s="119" t="s">
        <v>2157</v>
      </c>
      <c r="E194" s="355" t="s">
        <v>2158</v>
      </c>
      <c r="F194" s="356">
        <v>122636.81</v>
      </c>
      <c r="G194" s="356">
        <v>122687.71</v>
      </c>
      <c r="H194" s="356">
        <v>122738.61</v>
      </c>
      <c r="I194" s="356">
        <v>122789.5</v>
      </c>
      <c r="J194" s="356">
        <v>122840.4</v>
      </c>
      <c r="K194" s="356">
        <v>122891.29</v>
      </c>
      <c r="L194" s="356">
        <v>123083.81</v>
      </c>
      <c r="M194" s="356">
        <v>123158.3</v>
      </c>
      <c r="N194" s="356">
        <v>123232.8</v>
      </c>
      <c r="O194" s="356">
        <v>123307.3</v>
      </c>
      <c r="P194" s="356">
        <v>123381.81</v>
      </c>
      <c r="Q194" s="356">
        <v>123456.3</v>
      </c>
      <c r="R194" s="356">
        <v>83438.23</v>
      </c>
      <c r="S194" s="357">
        <f t="shared" si="43"/>
        <v>121383.77916666669</v>
      </c>
      <c r="U194" s="358"/>
      <c r="V194" s="359"/>
      <c r="W194" s="359"/>
      <c r="X194" s="360">
        <f>+S194</f>
        <v>121383.77916666669</v>
      </c>
      <c r="Y194" s="359"/>
      <c r="Z194" s="359"/>
      <c r="AA194" s="358"/>
      <c r="AB194" s="359">
        <f>+S194</f>
        <v>121383.77916666669</v>
      </c>
      <c r="AD194" s="271">
        <f t="shared" si="44"/>
        <v>0</v>
      </c>
      <c r="AF194" s="289">
        <f t="shared" si="34"/>
        <v>0</v>
      </c>
    </row>
    <row r="195" spans="1:32">
      <c r="A195" s="113">
        <v>180</v>
      </c>
      <c r="B195" s="119" t="s">
        <v>1543</v>
      </c>
      <c r="C195" s="119" t="s">
        <v>1548</v>
      </c>
      <c r="D195" s="119" t="s">
        <v>2159</v>
      </c>
      <c r="E195" s="355" t="s">
        <v>2160</v>
      </c>
      <c r="F195" s="356">
        <v>329517.43</v>
      </c>
      <c r="G195" s="356">
        <v>327428.78000000003</v>
      </c>
      <c r="H195" s="356">
        <v>327696.82</v>
      </c>
      <c r="I195" s="356">
        <v>325207.21000000002</v>
      </c>
      <c r="J195" s="356">
        <v>324987.09999999998</v>
      </c>
      <c r="K195" s="356">
        <v>320925.57</v>
      </c>
      <c r="L195" s="356">
        <v>313708.68</v>
      </c>
      <c r="M195" s="356">
        <v>309493.43</v>
      </c>
      <c r="N195" s="356">
        <v>306043.21000000002</v>
      </c>
      <c r="O195" s="356">
        <v>507528.53</v>
      </c>
      <c r="P195" s="356">
        <v>511387.55</v>
      </c>
      <c r="Q195" s="356">
        <v>505986.37</v>
      </c>
      <c r="R195" s="356">
        <v>562688.04</v>
      </c>
      <c r="S195" s="357">
        <f t="shared" si="43"/>
        <v>377207.99875000003</v>
      </c>
      <c r="U195" s="358">
        <f>+S195</f>
        <v>377207.99875000003</v>
      </c>
      <c r="V195" s="359"/>
      <c r="W195" s="359"/>
      <c r="X195" s="360"/>
      <c r="Y195" s="359"/>
      <c r="Z195" s="359"/>
      <c r="AA195" s="358"/>
      <c r="AB195" s="359"/>
      <c r="AD195" s="271">
        <f t="shared" si="44"/>
        <v>377207.99875000003</v>
      </c>
      <c r="AF195" s="289">
        <f t="shared" si="34"/>
        <v>0</v>
      </c>
    </row>
    <row r="196" spans="1:32">
      <c r="A196" s="113">
        <v>181</v>
      </c>
      <c r="B196" s="119" t="s">
        <v>1543</v>
      </c>
      <c r="C196" s="119" t="s">
        <v>1548</v>
      </c>
      <c r="D196" s="119" t="s">
        <v>1251</v>
      </c>
      <c r="E196" s="355" t="s">
        <v>2161</v>
      </c>
      <c r="F196" s="356">
        <v>152233.85999999999</v>
      </c>
      <c r="G196" s="356">
        <v>150315.60999999999</v>
      </c>
      <c r="H196" s="356">
        <v>111162.37</v>
      </c>
      <c r="I196" s="356">
        <v>106557.65</v>
      </c>
      <c r="J196" s="356">
        <v>104832.07</v>
      </c>
      <c r="K196" s="356">
        <v>103132.03</v>
      </c>
      <c r="L196" s="356">
        <v>102581.46</v>
      </c>
      <c r="M196" s="356">
        <v>101341.75</v>
      </c>
      <c r="N196" s="356">
        <v>103408.52</v>
      </c>
      <c r="O196" s="356">
        <v>117439.24</v>
      </c>
      <c r="P196" s="356">
        <v>122535.89</v>
      </c>
      <c r="Q196" s="356">
        <v>120709.85</v>
      </c>
      <c r="R196" s="356">
        <v>135912.37</v>
      </c>
      <c r="S196" s="357">
        <f t="shared" si="43"/>
        <v>115674.12958333333</v>
      </c>
      <c r="U196" s="358">
        <f>+S196</f>
        <v>115674.12958333333</v>
      </c>
      <c r="V196" s="359"/>
      <c r="W196" s="359"/>
      <c r="X196" s="360"/>
      <c r="Y196" s="359"/>
      <c r="Z196" s="359"/>
      <c r="AA196" s="358"/>
      <c r="AB196" s="359"/>
      <c r="AD196" s="271">
        <f t="shared" si="44"/>
        <v>115674.12958333333</v>
      </c>
      <c r="AF196" s="289">
        <f t="shared" si="34"/>
        <v>0</v>
      </c>
    </row>
    <row r="197" spans="1:32">
      <c r="A197" s="113">
        <v>182</v>
      </c>
      <c r="B197" s="119" t="s">
        <v>1543</v>
      </c>
      <c r="C197" s="119" t="s">
        <v>1548</v>
      </c>
      <c r="D197" s="119" t="s">
        <v>1549</v>
      </c>
      <c r="E197" s="355" t="s">
        <v>2146</v>
      </c>
      <c r="F197" s="356">
        <v>40231.5</v>
      </c>
      <c r="G197" s="356">
        <v>39728.83</v>
      </c>
      <c r="H197" s="356">
        <v>39728.83</v>
      </c>
      <c r="I197" s="356">
        <v>46288.52</v>
      </c>
      <c r="J197" s="356">
        <v>46288.52</v>
      </c>
      <c r="K197" s="356">
        <v>46288.52</v>
      </c>
      <c r="L197" s="356">
        <v>48283.42</v>
      </c>
      <c r="M197" s="356">
        <v>48283.42</v>
      </c>
      <c r="N197" s="356">
        <v>48325.5</v>
      </c>
      <c r="O197" s="356">
        <v>47290.23</v>
      </c>
      <c r="P197" s="356">
        <v>47290.23</v>
      </c>
      <c r="Q197" s="356">
        <v>47222.39</v>
      </c>
      <c r="R197" s="356">
        <v>47222.39</v>
      </c>
      <c r="S197" s="357">
        <f t="shared" si="43"/>
        <v>45728.779583333322</v>
      </c>
      <c r="U197" s="358"/>
      <c r="V197" s="359"/>
      <c r="W197" s="359"/>
      <c r="X197" s="360">
        <f>+S197</f>
        <v>45728.779583333322</v>
      </c>
      <c r="Y197" s="359"/>
      <c r="Z197" s="359">
        <f>+X197</f>
        <v>45728.779583333322</v>
      </c>
      <c r="AA197" s="358"/>
      <c r="AB197" s="359"/>
      <c r="AD197" s="271"/>
      <c r="AF197" s="289"/>
    </row>
    <row r="198" spans="1:32">
      <c r="A198" s="113">
        <v>183</v>
      </c>
      <c r="B198" s="119" t="s">
        <v>1543</v>
      </c>
      <c r="C198" s="119" t="s">
        <v>1548</v>
      </c>
      <c r="D198" s="119" t="s">
        <v>1553</v>
      </c>
      <c r="E198" s="355" t="s">
        <v>2162</v>
      </c>
      <c r="F198" s="356">
        <v>49080.72</v>
      </c>
      <c r="G198" s="356">
        <v>47717.37</v>
      </c>
      <c r="H198" s="356">
        <v>46354.02</v>
      </c>
      <c r="I198" s="356">
        <v>44990.66</v>
      </c>
      <c r="J198" s="356">
        <v>43627.31</v>
      </c>
      <c r="K198" s="356">
        <v>42263.96</v>
      </c>
      <c r="L198" s="356">
        <v>40900.6</v>
      </c>
      <c r="M198" s="356">
        <v>39537.25</v>
      </c>
      <c r="N198" s="356">
        <v>38173.9</v>
      </c>
      <c r="O198" s="356">
        <v>36810.54</v>
      </c>
      <c r="P198" s="356">
        <v>35447.19</v>
      </c>
      <c r="Q198" s="356">
        <v>34083.839999999997</v>
      </c>
      <c r="R198" s="356">
        <v>32720.48</v>
      </c>
      <c r="S198" s="357">
        <f t="shared" si="43"/>
        <v>40900.603333333333</v>
      </c>
      <c r="U198" s="358"/>
      <c r="V198" s="359"/>
      <c r="W198" s="359"/>
      <c r="X198" s="360">
        <f>+S198</f>
        <v>40900.603333333333</v>
      </c>
      <c r="Y198" s="359"/>
      <c r="Z198" s="359">
        <f>+X198</f>
        <v>40900.603333333333</v>
      </c>
      <c r="AA198" s="358"/>
      <c r="AB198" s="359"/>
      <c r="AD198" s="271"/>
      <c r="AF198" s="289"/>
    </row>
    <row r="199" spans="1:32">
      <c r="A199" s="113">
        <v>184</v>
      </c>
      <c r="B199" s="119" t="s">
        <v>1523</v>
      </c>
      <c r="C199" s="119" t="s">
        <v>1548</v>
      </c>
      <c r="D199" s="119" t="s">
        <v>1549</v>
      </c>
      <c r="E199" s="355" t="s">
        <v>2146</v>
      </c>
      <c r="F199" s="356">
        <v>621617.1</v>
      </c>
      <c r="G199" s="356">
        <v>621617.1</v>
      </c>
      <c r="H199" s="356">
        <v>621617.1</v>
      </c>
      <c r="I199" s="356">
        <v>587270.96</v>
      </c>
      <c r="J199" s="356">
        <v>587270.96</v>
      </c>
      <c r="K199" s="356">
        <v>587270.96</v>
      </c>
      <c r="L199" s="356">
        <v>586071.85</v>
      </c>
      <c r="M199" s="356">
        <v>586071.85</v>
      </c>
      <c r="N199" s="356">
        <v>586071.85</v>
      </c>
      <c r="O199" s="356">
        <v>584014.9</v>
      </c>
      <c r="P199" s="356">
        <v>584014.9</v>
      </c>
      <c r="Q199" s="356">
        <v>584014.9</v>
      </c>
      <c r="R199" s="356">
        <v>584014.9</v>
      </c>
      <c r="S199" s="357">
        <f t="shared" si="43"/>
        <v>593176.94416666671</v>
      </c>
      <c r="U199" s="358"/>
      <c r="V199" s="359"/>
      <c r="W199" s="359"/>
      <c r="X199" s="360">
        <f>+S199</f>
        <v>593176.94416666671</v>
      </c>
      <c r="Y199" s="359">
        <f>+X199</f>
        <v>593176.94416666671</v>
      </c>
      <c r="Z199" s="359"/>
      <c r="AA199" s="358"/>
      <c r="AB199" s="359"/>
      <c r="AD199" s="271">
        <f t="shared" si="44"/>
        <v>0</v>
      </c>
      <c r="AF199" s="289">
        <f t="shared" si="34"/>
        <v>0</v>
      </c>
    </row>
    <row r="200" spans="1:32">
      <c r="A200" s="113">
        <v>185</v>
      </c>
      <c r="B200" s="119" t="s">
        <v>1523</v>
      </c>
      <c r="C200" s="119" t="s">
        <v>1548</v>
      </c>
      <c r="D200" s="119" t="s">
        <v>1553</v>
      </c>
      <c r="E200" s="355" t="s">
        <v>2162</v>
      </c>
      <c r="F200" s="356">
        <v>221078.12</v>
      </c>
      <c r="G200" s="356">
        <v>218775.22</v>
      </c>
      <c r="H200" s="356">
        <v>216472.32000000001</v>
      </c>
      <c r="I200" s="356">
        <v>214169.43</v>
      </c>
      <c r="J200" s="356">
        <v>211866.53</v>
      </c>
      <c r="K200" s="356">
        <v>209563.63</v>
      </c>
      <c r="L200" s="356">
        <v>207260.74</v>
      </c>
      <c r="M200" s="356">
        <v>204957.84</v>
      </c>
      <c r="N200" s="356">
        <v>202654.94</v>
      </c>
      <c r="O200" s="356">
        <v>200352.05</v>
      </c>
      <c r="P200" s="356">
        <v>198049.15</v>
      </c>
      <c r="Q200" s="356">
        <v>195746.25</v>
      </c>
      <c r="R200" s="356">
        <v>193443.36</v>
      </c>
      <c r="S200" s="357">
        <f t="shared" si="43"/>
        <v>207260.73666666666</v>
      </c>
      <c r="U200" s="358"/>
      <c r="V200" s="359"/>
      <c r="W200" s="359"/>
      <c r="X200" s="360">
        <f>+S200</f>
        <v>207260.73666666666</v>
      </c>
      <c r="Y200" s="359">
        <f>+X200</f>
        <v>207260.73666666666</v>
      </c>
      <c r="Z200" s="359"/>
      <c r="AA200" s="358"/>
      <c r="AB200" s="359"/>
      <c r="AD200" s="271">
        <f>+U200</f>
        <v>0</v>
      </c>
      <c r="AF200" s="289">
        <f t="shared" si="34"/>
        <v>0</v>
      </c>
    </row>
    <row r="201" spans="1:32">
      <c r="A201" s="113">
        <v>186</v>
      </c>
      <c r="B201" s="119"/>
      <c r="C201" s="119"/>
      <c r="D201" s="119"/>
      <c r="E201" s="355"/>
      <c r="F201" s="356"/>
      <c r="G201" s="356"/>
      <c r="H201" s="356"/>
      <c r="I201" s="356"/>
      <c r="J201" s="356"/>
      <c r="K201" s="356"/>
      <c r="L201" s="356"/>
      <c r="M201" s="356"/>
      <c r="N201" s="356"/>
      <c r="O201" s="356"/>
      <c r="P201" s="356"/>
      <c r="Q201" s="356"/>
      <c r="R201" s="356"/>
      <c r="S201" s="96"/>
      <c r="U201" s="358">
        <f>+S201</f>
        <v>0</v>
      </c>
      <c r="V201" s="359"/>
      <c r="W201" s="359"/>
      <c r="X201" s="360"/>
      <c r="Y201" s="359"/>
      <c r="Z201" s="359"/>
      <c r="AA201" s="358"/>
      <c r="AB201" s="359"/>
      <c r="AD201" s="271"/>
      <c r="AF201" s="289">
        <f t="shared" si="34"/>
        <v>0</v>
      </c>
    </row>
    <row r="202" spans="1:32">
      <c r="A202" s="113">
        <v>187</v>
      </c>
      <c r="B202" s="113" t="s">
        <v>1543</v>
      </c>
      <c r="C202" s="113" t="s">
        <v>2163</v>
      </c>
      <c r="D202" s="113" t="s">
        <v>377</v>
      </c>
      <c r="E202" s="374" t="s">
        <v>2164</v>
      </c>
      <c r="F202" s="356"/>
      <c r="G202" s="399"/>
      <c r="H202" s="387"/>
      <c r="I202" s="387"/>
      <c r="J202" s="388"/>
      <c r="K202" s="389"/>
      <c r="L202" s="390"/>
      <c r="M202" s="391"/>
      <c r="N202" s="392"/>
      <c r="O202" s="373"/>
      <c r="P202" s="393"/>
      <c r="Q202" s="400">
        <v>0</v>
      </c>
      <c r="R202" s="356">
        <v>0</v>
      </c>
      <c r="S202" s="357">
        <f t="shared" ref="S202:S207" si="45">((F202+R202)+((G202+H202+I202+J202+K202+L202+M202+N202+O202+P202+Q202)*2))/24</f>
        <v>0</v>
      </c>
      <c r="U202" s="358"/>
      <c r="V202" s="359"/>
      <c r="W202" s="359"/>
      <c r="X202" s="360">
        <f>+S202</f>
        <v>0</v>
      </c>
      <c r="Y202" s="359"/>
      <c r="Z202" s="359"/>
      <c r="AA202" s="358"/>
      <c r="AB202" s="359">
        <f>+S202</f>
        <v>0</v>
      </c>
      <c r="AF202" s="289">
        <f t="shared" si="34"/>
        <v>0</v>
      </c>
    </row>
    <row r="203" spans="1:32">
      <c r="A203" s="113">
        <v>188</v>
      </c>
      <c r="B203" s="113" t="s">
        <v>1523</v>
      </c>
      <c r="C203" s="119" t="s">
        <v>2163</v>
      </c>
      <c r="D203" s="119" t="s">
        <v>376</v>
      </c>
      <c r="E203" s="355" t="s">
        <v>2164</v>
      </c>
      <c r="F203" s="356"/>
      <c r="G203" s="356"/>
      <c r="H203" s="356"/>
      <c r="I203" s="356"/>
      <c r="J203" s="356"/>
      <c r="K203" s="356"/>
      <c r="L203" s="356"/>
      <c r="M203" s="356"/>
      <c r="N203" s="356"/>
      <c r="O203" s="356"/>
      <c r="P203" s="356"/>
      <c r="Q203" s="356">
        <v>0</v>
      </c>
      <c r="R203" s="356">
        <v>0</v>
      </c>
      <c r="S203" s="357">
        <f t="shared" si="45"/>
        <v>0</v>
      </c>
      <c r="U203" s="358"/>
      <c r="V203" s="359"/>
      <c r="W203" s="359"/>
      <c r="X203" s="360">
        <f>+S203</f>
        <v>0</v>
      </c>
      <c r="Y203" s="359"/>
      <c r="Z203" s="359"/>
      <c r="AA203" s="358"/>
      <c r="AB203" s="359">
        <f>+S203</f>
        <v>0</v>
      </c>
      <c r="AF203" s="289">
        <f t="shared" si="34"/>
        <v>0</v>
      </c>
    </row>
    <row r="204" spans="1:32">
      <c r="A204" s="113">
        <v>189</v>
      </c>
      <c r="B204" s="113" t="s">
        <v>2003</v>
      </c>
      <c r="C204" s="119" t="s">
        <v>2163</v>
      </c>
      <c r="D204" s="119" t="s">
        <v>2165</v>
      </c>
      <c r="E204" s="355" t="s">
        <v>2166</v>
      </c>
      <c r="F204" s="356">
        <v>5008566.5</v>
      </c>
      <c r="G204" s="356">
        <v>4674735.9800000004</v>
      </c>
      <c r="H204" s="356">
        <v>4119406.23</v>
      </c>
      <c r="I204" s="356">
        <v>3400634.8</v>
      </c>
      <c r="J204" s="356">
        <v>3276383.83</v>
      </c>
      <c r="K204" s="356">
        <v>3267936.81</v>
      </c>
      <c r="L204" s="356">
        <v>3405715.76</v>
      </c>
      <c r="M204" s="356">
        <v>3739247.68</v>
      </c>
      <c r="N204" s="356">
        <v>4040594.23</v>
      </c>
      <c r="O204" s="356">
        <v>4384084.66</v>
      </c>
      <c r="P204" s="356">
        <v>3702829.14</v>
      </c>
      <c r="Q204" s="356">
        <v>3258573.78</v>
      </c>
      <c r="R204" s="356">
        <v>3097774.77</v>
      </c>
      <c r="S204" s="357">
        <f t="shared" si="45"/>
        <v>3776942.7945833337</v>
      </c>
      <c r="U204" s="358">
        <f>+S204</f>
        <v>3776942.7945833337</v>
      </c>
      <c r="V204" s="359"/>
      <c r="W204" s="359"/>
      <c r="X204" s="360"/>
      <c r="Y204" s="359"/>
      <c r="Z204" s="359"/>
      <c r="AA204" s="358"/>
      <c r="AB204" s="359">
        <f>+U204</f>
        <v>3776942.7945833337</v>
      </c>
      <c r="AD204" s="271"/>
      <c r="AF204" s="289"/>
    </row>
    <row r="205" spans="1:32">
      <c r="A205" s="113">
        <v>190</v>
      </c>
      <c r="B205" s="113" t="s">
        <v>2003</v>
      </c>
      <c r="C205" s="119" t="s">
        <v>2163</v>
      </c>
      <c r="D205" s="119" t="s">
        <v>2167</v>
      </c>
      <c r="E205" s="355" t="s">
        <v>2166</v>
      </c>
      <c r="F205" s="356">
        <v>37814583.32</v>
      </c>
      <c r="G205" s="356">
        <v>39411835.530000001</v>
      </c>
      <c r="H205" s="356">
        <v>38294547.170000002</v>
      </c>
      <c r="I205" s="356">
        <v>36404591.43</v>
      </c>
      <c r="J205" s="356">
        <v>36797996.899999999</v>
      </c>
      <c r="K205" s="356">
        <v>37701436.039999999</v>
      </c>
      <c r="L205" s="356">
        <v>39176425.340000004</v>
      </c>
      <c r="M205" s="356">
        <v>40770068.579999998</v>
      </c>
      <c r="N205" s="356">
        <v>42289505.079999998</v>
      </c>
      <c r="O205" s="356">
        <v>43842994.060000002</v>
      </c>
      <c r="P205" s="356">
        <v>38643452.640000001</v>
      </c>
      <c r="Q205" s="356">
        <v>38031484.869999997</v>
      </c>
      <c r="R205" s="356">
        <v>38885491.82</v>
      </c>
      <c r="S205" s="357">
        <f t="shared" si="45"/>
        <v>39142864.600833334</v>
      </c>
      <c r="U205" s="358">
        <f>+S205</f>
        <v>39142864.600833334</v>
      </c>
      <c r="V205" s="359"/>
      <c r="W205" s="359"/>
      <c r="X205" s="360"/>
      <c r="Y205" s="359"/>
      <c r="Z205" s="359"/>
      <c r="AA205" s="358"/>
      <c r="AB205" s="359">
        <f>+U205</f>
        <v>39142864.600833334</v>
      </c>
      <c r="AD205" s="271"/>
      <c r="AF205" s="289"/>
    </row>
    <row r="206" spans="1:32">
      <c r="A206" s="113">
        <v>191</v>
      </c>
      <c r="B206" s="113" t="s">
        <v>2003</v>
      </c>
      <c r="C206" s="119" t="s">
        <v>2163</v>
      </c>
      <c r="D206" s="119" t="s">
        <v>2168</v>
      </c>
      <c r="E206" s="355" t="s">
        <v>2166</v>
      </c>
      <c r="F206" s="356">
        <v>46381080.18</v>
      </c>
      <c r="G206" s="356">
        <v>41343186.43</v>
      </c>
      <c r="H206" s="356">
        <v>37187384.530000001</v>
      </c>
      <c r="I206" s="356">
        <v>33026935.91</v>
      </c>
      <c r="J206" s="356">
        <v>29819234.75</v>
      </c>
      <c r="K206" s="356">
        <v>28318287.48</v>
      </c>
      <c r="L206" s="356">
        <v>27184390.309999999</v>
      </c>
      <c r="M206" s="356">
        <v>26179382.82</v>
      </c>
      <c r="N206" s="356">
        <v>25473282.829999998</v>
      </c>
      <c r="O206" s="356">
        <v>24677205.420000002</v>
      </c>
      <c r="P206" s="356">
        <v>28363031.120000001</v>
      </c>
      <c r="Q206" s="356">
        <v>26229422.09</v>
      </c>
      <c r="R206" s="356">
        <v>21538667.440000001</v>
      </c>
      <c r="S206" s="357">
        <f t="shared" si="45"/>
        <v>30146801.458333332</v>
      </c>
      <c r="U206" s="358">
        <f>+S206</f>
        <v>30146801.458333332</v>
      </c>
      <c r="V206" s="359"/>
      <c r="W206" s="359"/>
      <c r="X206" s="360"/>
      <c r="Y206" s="359"/>
      <c r="Z206" s="359"/>
      <c r="AA206" s="358"/>
      <c r="AB206" s="359">
        <f>+U206</f>
        <v>30146801.458333332</v>
      </c>
      <c r="AD206" s="271"/>
      <c r="AF206" s="289"/>
    </row>
    <row r="207" spans="1:32">
      <c r="A207" s="113">
        <v>192</v>
      </c>
      <c r="E207" s="374"/>
      <c r="F207" s="356"/>
      <c r="G207" s="399"/>
      <c r="H207" s="387"/>
      <c r="I207" s="387"/>
      <c r="J207" s="388"/>
      <c r="K207" s="389"/>
      <c r="L207" s="390"/>
      <c r="M207" s="391"/>
      <c r="N207" s="392"/>
      <c r="O207" s="373"/>
      <c r="P207" s="393"/>
      <c r="Q207" s="400"/>
      <c r="R207" s="356"/>
      <c r="S207" s="357">
        <f t="shared" si="45"/>
        <v>0</v>
      </c>
      <c r="U207" s="358"/>
      <c r="V207" s="359"/>
      <c r="W207" s="359"/>
      <c r="X207" s="360"/>
      <c r="Y207" s="359"/>
      <c r="Z207" s="359"/>
      <c r="AA207" s="358"/>
      <c r="AB207" s="359"/>
      <c r="AF207" s="289">
        <f t="shared" si="34"/>
        <v>0</v>
      </c>
    </row>
    <row r="208" spans="1:32">
      <c r="A208" s="113">
        <v>193</v>
      </c>
      <c r="B208" s="119" t="s">
        <v>1530</v>
      </c>
      <c r="C208" s="395" t="s">
        <v>2169</v>
      </c>
      <c r="D208" s="119" t="s">
        <v>387</v>
      </c>
      <c r="E208" s="355" t="s">
        <v>2170</v>
      </c>
      <c r="F208" s="356">
        <v>51750.05</v>
      </c>
      <c r="G208" s="356">
        <v>51190.59</v>
      </c>
      <c r="H208" s="356">
        <v>50631.13</v>
      </c>
      <c r="I208" s="356">
        <v>50071.67</v>
      </c>
      <c r="J208" s="356">
        <v>49512.21</v>
      </c>
      <c r="K208" s="356">
        <v>48952.75</v>
      </c>
      <c r="L208" s="356">
        <v>48393.29</v>
      </c>
      <c r="M208" s="356">
        <v>47833.83</v>
      </c>
      <c r="N208" s="356">
        <v>47274.37</v>
      </c>
      <c r="O208" s="356">
        <v>46714.91</v>
      </c>
      <c r="P208" s="356">
        <v>46155.45</v>
      </c>
      <c r="Q208" s="356">
        <v>45595.99</v>
      </c>
      <c r="R208" s="356">
        <v>45036.53</v>
      </c>
      <c r="S208" s="357">
        <f t="shared" ref="S208:S227" si="46">((F208+R208)+((G208+H208+I208+J208+K208+L208+M208+N208+O208+P208+Q208)*2))/24</f>
        <v>48393.290000000008</v>
      </c>
      <c r="U208" s="358"/>
      <c r="V208" s="359"/>
      <c r="W208" s="359">
        <f>+S208</f>
        <v>48393.290000000008</v>
      </c>
      <c r="X208" s="360"/>
      <c r="Y208" s="359"/>
      <c r="Z208" s="359"/>
      <c r="AA208" s="358"/>
      <c r="AB208" s="359"/>
      <c r="AC208" s="271">
        <f t="shared" ref="AC208:AC219" si="47">+S208</f>
        <v>48393.290000000008</v>
      </c>
      <c r="AF208" s="289">
        <f t="shared" si="34"/>
        <v>0</v>
      </c>
    </row>
    <row r="209" spans="1:32">
      <c r="A209" s="113">
        <v>194</v>
      </c>
      <c r="B209" s="119" t="s">
        <v>1530</v>
      </c>
      <c r="C209" s="395" t="s">
        <v>2169</v>
      </c>
      <c r="D209" s="119" t="s">
        <v>2171</v>
      </c>
      <c r="E209" s="355" t="s">
        <v>2172</v>
      </c>
      <c r="F209" s="356">
        <v>46154.62</v>
      </c>
      <c r="G209" s="356">
        <v>45735.02</v>
      </c>
      <c r="H209" s="356">
        <v>45315.42</v>
      </c>
      <c r="I209" s="356">
        <v>44895.82</v>
      </c>
      <c r="J209" s="356">
        <v>44476.22</v>
      </c>
      <c r="K209" s="356">
        <v>44056.62</v>
      </c>
      <c r="L209" s="356">
        <v>43637.02</v>
      </c>
      <c r="M209" s="356">
        <v>43217.42</v>
      </c>
      <c r="N209" s="356">
        <v>42797.82</v>
      </c>
      <c r="O209" s="356">
        <v>42378.22</v>
      </c>
      <c r="P209" s="356">
        <v>41958.62</v>
      </c>
      <c r="Q209" s="356">
        <v>41539.019999999997</v>
      </c>
      <c r="R209" s="356">
        <v>41119.42</v>
      </c>
      <c r="S209" s="357">
        <f t="shared" si="46"/>
        <v>43637.02</v>
      </c>
      <c r="U209" s="358"/>
      <c r="V209" s="359"/>
      <c r="W209" s="359">
        <f t="shared" ref="W209:W225" si="48">+S209</f>
        <v>43637.02</v>
      </c>
      <c r="X209" s="360"/>
      <c r="Y209" s="359"/>
      <c r="Z209" s="359"/>
      <c r="AA209" s="358"/>
      <c r="AB209" s="359"/>
      <c r="AC209" s="271">
        <f t="shared" si="47"/>
        <v>43637.02</v>
      </c>
      <c r="AF209" s="289">
        <f t="shared" si="34"/>
        <v>0</v>
      </c>
    </row>
    <row r="210" spans="1:32">
      <c r="A210" s="113">
        <v>195</v>
      </c>
      <c r="B210" s="119" t="s">
        <v>1530</v>
      </c>
      <c r="C210" s="395" t="s">
        <v>2169</v>
      </c>
      <c r="D210" s="119" t="s">
        <v>2173</v>
      </c>
      <c r="E210" s="355" t="s">
        <v>2174</v>
      </c>
      <c r="F210" s="356">
        <v>794826.2</v>
      </c>
      <c r="G210" s="356">
        <v>790434.9</v>
      </c>
      <c r="H210" s="356">
        <v>786043.59</v>
      </c>
      <c r="I210" s="356">
        <v>781652.29</v>
      </c>
      <c r="J210" s="356">
        <v>777260.98</v>
      </c>
      <c r="K210" s="356">
        <v>772869.68</v>
      </c>
      <c r="L210" s="356">
        <v>768478.37</v>
      </c>
      <c r="M210" s="356">
        <v>764087.07</v>
      </c>
      <c r="N210" s="356">
        <v>759287.9</v>
      </c>
      <c r="O210" s="356">
        <v>754898.95</v>
      </c>
      <c r="P210" s="356">
        <v>750510</v>
      </c>
      <c r="Q210" s="356">
        <v>-3.4924596548080398E-10</v>
      </c>
      <c r="R210" s="356">
        <v>-3.4924596548080398E-10</v>
      </c>
      <c r="S210" s="357">
        <f t="shared" si="46"/>
        <v>675244.73583333346</v>
      </c>
      <c r="U210" s="358"/>
      <c r="V210" s="359"/>
      <c r="W210" s="359">
        <f t="shared" si="48"/>
        <v>675244.73583333346</v>
      </c>
      <c r="X210" s="360"/>
      <c r="Y210" s="359"/>
      <c r="Z210" s="359"/>
      <c r="AA210" s="358"/>
      <c r="AB210" s="359"/>
      <c r="AC210" s="271">
        <f t="shared" si="47"/>
        <v>675244.73583333346</v>
      </c>
      <c r="AF210" s="289">
        <f t="shared" si="34"/>
        <v>0</v>
      </c>
    </row>
    <row r="211" spans="1:32">
      <c r="A211" s="113">
        <v>196</v>
      </c>
      <c r="B211" s="119" t="s">
        <v>1530</v>
      </c>
      <c r="C211" s="395" t="s">
        <v>2169</v>
      </c>
      <c r="D211" s="119" t="s">
        <v>2109</v>
      </c>
      <c r="E211" s="355" t="s">
        <v>2175</v>
      </c>
      <c r="F211" s="356">
        <v>9119.7599999999893</v>
      </c>
      <c r="G211" s="356">
        <v>7771.7</v>
      </c>
      <c r="H211" s="356">
        <v>6423.64</v>
      </c>
      <c r="I211" s="356">
        <v>5075.58</v>
      </c>
      <c r="J211" s="356">
        <v>3727.52</v>
      </c>
      <c r="K211" s="356">
        <v>2379.46</v>
      </c>
      <c r="L211" s="356">
        <v>1031.4000000000001</v>
      </c>
      <c r="M211" s="356">
        <v>1.8189894035458601E-12</v>
      </c>
      <c r="N211" s="356">
        <v>1.8189894035458601E-12</v>
      </c>
      <c r="O211" s="356">
        <v>1.8189894035458601E-12</v>
      </c>
      <c r="P211" s="356">
        <v>1.8189894035458601E-12</v>
      </c>
      <c r="Q211" s="356">
        <v>1.8189894035458601E-12</v>
      </c>
      <c r="R211" s="356">
        <v>1.8189894035458601E-12</v>
      </c>
      <c r="S211" s="357">
        <f t="shared" si="46"/>
        <v>2580.7649999999999</v>
      </c>
      <c r="U211" s="358"/>
      <c r="V211" s="359"/>
      <c r="W211" s="359">
        <f t="shared" si="48"/>
        <v>2580.7649999999999</v>
      </c>
      <c r="X211" s="360"/>
      <c r="Y211" s="359"/>
      <c r="Z211" s="359"/>
      <c r="AA211" s="358"/>
      <c r="AB211" s="359"/>
      <c r="AC211" s="271">
        <f t="shared" si="47"/>
        <v>2580.7649999999999</v>
      </c>
      <c r="AF211" s="289">
        <f t="shared" si="34"/>
        <v>0</v>
      </c>
    </row>
    <row r="212" spans="1:32">
      <c r="A212" s="113">
        <v>197</v>
      </c>
      <c r="B212" s="119" t="s">
        <v>1530</v>
      </c>
      <c r="C212" s="395" t="s">
        <v>2169</v>
      </c>
      <c r="D212" s="119" t="s">
        <v>2111</v>
      </c>
      <c r="E212" s="355" t="s">
        <v>2176</v>
      </c>
      <c r="F212" s="356">
        <v>133435.07999999999</v>
      </c>
      <c r="G212" s="356">
        <v>132787.57999999999</v>
      </c>
      <c r="H212" s="356">
        <v>132140.07999999999</v>
      </c>
      <c r="I212" s="356">
        <v>131492.57999999999</v>
      </c>
      <c r="J212" s="356">
        <v>130845.08</v>
      </c>
      <c r="K212" s="356">
        <v>130197.58</v>
      </c>
      <c r="L212" s="356">
        <v>129550.08</v>
      </c>
      <c r="M212" s="356">
        <v>128902.58</v>
      </c>
      <c r="N212" s="356">
        <v>128255.08</v>
      </c>
      <c r="O212" s="356">
        <v>127607.58</v>
      </c>
      <c r="P212" s="356">
        <v>126960.08</v>
      </c>
      <c r="Q212" s="356">
        <v>126312.58</v>
      </c>
      <c r="R212" s="356">
        <v>125665.08</v>
      </c>
      <c r="S212" s="357">
        <f t="shared" si="46"/>
        <v>129550.08</v>
      </c>
      <c r="U212" s="358"/>
      <c r="V212" s="359"/>
      <c r="W212" s="359">
        <f t="shared" si="48"/>
        <v>129550.08</v>
      </c>
      <c r="X212" s="360"/>
      <c r="Y212" s="359"/>
      <c r="Z212" s="359"/>
      <c r="AA212" s="358"/>
      <c r="AB212" s="359"/>
      <c r="AC212" s="271">
        <f t="shared" si="47"/>
        <v>129550.08</v>
      </c>
      <c r="AF212" s="289">
        <f t="shared" si="34"/>
        <v>0</v>
      </c>
    </row>
    <row r="213" spans="1:32">
      <c r="A213" s="113">
        <v>198</v>
      </c>
      <c r="B213" s="119" t="s">
        <v>1530</v>
      </c>
      <c r="C213" s="395" t="s">
        <v>2169</v>
      </c>
      <c r="D213" s="119" t="s">
        <v>2001</v>
      </c>
      <c r="E213" s="401" t="s">
        <v>2177</v>
      </c>
      <c r="F213" s="356">
        <v>70260.55</v>
      </c>
      <c r="G213" s="356">
        <v>69211.88</v>
      </c>
      <c r="H213" s="356">
        <v>68163.210000000006</v>
      </c>
      <c r="I213" s="356">
        <v>67114.539999999994</v>
      </c>
      <c r="J213" s="356">
        <v>66065.87</v>
      </c>
      <c r="K213" s="356">
        <v>65017.2</v>
      </c>
      <c r="L213" s="356">
        <v>63968.53</v>
      </c>
      <c r="M213" s="356">
        <v>62919.86</v>
      </c>
      <c r="N213" s="356">
        <v>61871.19</v>
      </c>
      <c r="O213" s="356">
        <v>60822.52</v>
      </c>
      <c r="P213" s="356">
        <v>59773.85</v>
      </c>
      <c r="Q213" s="356">
        <v>58725.18</v>
      </c>
      <c r="R213" s="356">
        <v>57676.51</v>
      </c>
      <c r="S213" s="357">
        <f t="shared" si="46"/>
        <v>63968.530000000006</v>
      </c>
      <c r="U213" s="358"/>
      <c r="V213" s="359"/>
      <c r="W213" s="359">
        <f t="shared" si="48"/>
        <v>63968.530000000006</v>
      </c>
      <c r="X213" s="360"/>
      <c r="Y213" s="359"/>
      <c r="Z213" s="359"/>
      <c r="AA213" s="358"/>
      <c r="AB213" s="359"/>
      <c r="AC213" s="271">
        <f t="shared" si="47"/>
        <v>63968.530000000006</v>
      </c>
      <c r="AF213" s="289">
        <f t="shared" si="34"/>
        <v>0</v>
      </c>
    </row>
    <row r="214" spans="1:32">
      <c r="A214" s="113">
        <v>199</v>
      </c>
      <c r="B214" s="119" t="s">
        <v>1530</v>
      </c>
      <c r="C214" s="395" t="s">
        <v>2169</v>
      </c>
      <c r="D214" s="119" t="s">
        <v>2178</v>
      </c>
      <c r="E214" s="401" t="s">
        <v>2179</v>
      </c>
      <c r="F214" s="356">
        <v>86410.330000000104</v>
      </c>
      <c r="G214" s="356">
        <v>85571.4</v>
      </c>
      <c r="H214" s="356">
        <v>84732.47</v>
      </c>
      <c r="I214" s="356">
        <v>83893.54</v>
      </c>
      <c r="J214" s="356">
        <v>83054.61</v>
      </c>
      <c r="K214" s="356">
        <v>82215.679999999993</v>
      </c>
      <c r="L214" s="356">
        <v>81376.75</v>
      </c>
      <c r="M214" s="356">
        <v>80537.820000000094</v>
      </c>
      <c r="N214" s="356">
        <v>79698.890000000101</v>
      </c>
      <c r="O214" s="356">
        <v>78859.960000000094</v>
      </c>
      <c r="P214" s="356">
        <v>78021.030000000101</v>
      </c>
      <c r="Q214" s="356">
        <v>77182.100000000093</v>
      </c>
      <c r="R214" s="356">
        <v>76343.1700000001</v>
      </c>
      <c r="S214" s="357">
        <f t="shared" si="46"/>
        <v>81376.750000000044</v>
      </c>
      <c r="U214" s="358"/>
      <c r="V214" s="359"/>
      <c r="W214" s="359">
        <f t="shared" si="48"/>
        <v>81376.750000000044</v>
      </c>
      <c r="X214" s="360"/>
      <c r="Y214" s="359"/>
      <c r="Z214" s="359"/>
      <c r="AA214" s="358"/>
      <c r="AB214" s="359"/>
      <c r="AC214" s="271">
        <f t="shared" si="47"/>
        <v>81376.750000000044</v>
      </c>
      <c r="AF214" s="289">
        <f t="shared" si="34"/>
        <v>0</v>
      </c>
    </row>
    <row r="215" spans="1:32">
      <c r="A215" s="113">
        <v>200</v>
      </c>
      <c r="B215" s="119" t="s">
        <v>1530</v>
      </c>
      <c r="C215" s="395" t="s">
        <v>2169</v>
      </c>
      <c r="D215" s="119" t="s">
        <v>2114</v>
      </c>
      <c r="E215" s="401" t="s">
        <v>2180</v>
      </c>
      <c r="F215" s="356">
        <v>349569.64</v>
      </c>
      <c r="G215" s="356">
        <v>342973.99</v>
      </c>
      <c r="H215" s="356">
        <v>336378.34</v>
      </c>
      <c r="I215" s="356">
        <v>329782.69</v>
      </c>
      <c r="J215" s="356">
        <v>323187.03999999998</v>
      </c>
      <c r="K215" s="356">
        <v>316591.39</v>
      </c>
      <c r="L215" s="356">
        <v>309995.74</v>
      </c>
      <c r="M215" s="356">
        <v>303400.09000000003</v>
      </c>
      <c r="N215" s="356">
        <v>296804.44</v>
      </c>
      <c r="O215" s="356">
        <v>290208.78999999998</v>
      </c>
      <c r="P215" s="356">
        <v>283613.14</v>
      </c>
      <c r="Q215" s="356">
        <v>277017.49</v>
      </c>
      <c r="R215" s="356">
        <v>270421.84000000003</v>
      </c>
      <c r="S215" s="357">
        <f t="shared" si="46"/>
        <v>309995.74000000005</v>
      </c>
      <c r="U215" s="358"/>
      <c r="V215" s="359"/>
      <c r="W215" s="359">
        <f t="shared" si="48"/>
        <v>309995.74000000005</v>
      </c>
      <c r="X215" s="360"/>
      <c r="Y215" s="359"/>
      <c r="Z215" s="359"/>
      <c r="AA215" s="358"/>
      <c r="AB215" s="359"/>
      <c r="AC215" s="271">
        <f t="shared" si="47"/>
        <v>309995.74000000005</v>
      </c>
      <c r="AF215" s="289">
        <f t="shared" si="34"/>
        <v>0</v>
      </c>
    </row>
    <row r="216" spans="1:32">
      <c r="A216" s="113">
        <v>201</v>
      </c>
      <c r="B216" s="119" t="s">
        <v>1530</v>
      </c>
      <c r="C216" s="395" t="s">
        <v>2169</v>
      </c>
      <c r="D216" s="119" t="s">
        <v>2116</v>
      </c>
      <c r="E216" s="401" t="s">
        <v>2181</v>
      </c>
      <c r="F216" s="356">
        <v>51698.96</v>
      </c>
      <c r="G216" s="356">
        <v>51525.47</v>
      </c>
      <c r="H216" s="356">
        <v>51351.98</v>
      </c>
      <c r="I216" s="356">
        <v>51178.49</v>
      </c>
      <c r="J216" s="356">
        <v>51005</v>
      </c>
      <c r="K216" s="356">
        <v>50831.51</v>
      </c>
      <c r="L216" s="356">
        <v>50658.02</v>
      </c>
      <c r="M216" s="356">
        <v>50484.53</v>
      </c>
      <c r="N216" s="356">
        <v>50311.040000000001</v>
      </c>
      <c r="O216" s="356">
        <v>50137.55</v>
      </c>
      <c r="P216" s="356">
        <v>49964.06</v>
      </c>
      <c r="Q216" s="356">
        <v>49790.57</v>
      </c>
      <c r="R216" s="356">
        <v>49617.08</v>
      </c>
      <c r="S216" s="357">
        <f t="shared" si="46"/>
        <v>50658.02</v>
      </c>
      <c r="U216" s="358"/>
      <c r="V216" s="359"/>
      <c r="W216" s="359">
        <f t="shared" si="48"/>
        <v>50658.02</v>
      </c>
      <c r="X216" s="360"/>
      <c r="Y216" s="359"/>
      <c r="Z216" s="359"/>
      <c r="AA216" s="358"/>
      <c r="AB216" s="359"/>
      <c r="AC216" s="271">
        <f t="shared" si="47"/>
        <v>50658.02</v>
      </c>
      <c r="AF216" s="289">
        <f t="shared" si="34"/>
        <v>0</v>
      </c>
    </row>
    <row r="217" spans="1:32">
      <c r="A217" s="113">
        <v>202</v>
      </c>
      <c r="B217" s="119" t="s">
        <v>1530</v>
      </c>
      <c r="C217" s="395" t="s">
        <v>2169</v>
      </c>
      <c r="D217" s="119" t="s">
        <v>2182</v>
      </c>
      <c r="E217" s="401" t="s">
        <v>2183</v>
      </c>
      <c r="F217" s="356">
        <v>53212.74</v>
      </c>
      <c r="G217" s="356">
        <v>53085.440000000002</v>
      </c>
      <c r="H217" s="356">
        <v>52958.14</v>
      </c>
      <c r="I217" s="356">
        <v>52830.84</v>
      </c>
      <c r="J217" s="356">
        <v>52703.54</v>
      </c>
      <c r="K217" s="356">
        <v>52576.24</v>
      </c>
      <c r="L217" s="356">
        <v>52448.94</v>
      </c>
      <c r="M217" s="356">
        <v>52321.64</v>
      </c>
      <c r="N217" s="356">
        <v>52194.34</v>
      </c>
      <c r="O217" s="356">
        <v>52067.040000000001</v>
      </c>
      <c r="P217" s="356">
        <v>51939.74</v>
      </c>
      <c r="Q217" s="356">
        <v>51812.44</v>
      </c>
      <c r="R217" s="356">
        <v>51685.14</v>
      </c>
      <c r="S217" s="357">
        <f t="shared" si="46"/>
        <v>52448.94</v>
      </c>
      <c r="U217" s="358"/>
      <c r="V217" s="359"/>
      <c r="W217" s="359">
        <f t="shared" si="48"/>
        <v>52448.94</v>
      </c>
      <c r="X217" s="360"/>
      <c r="Y217" s="359"/>
      <c r="Z217" s="359"/>
      <c r="AA217" s="358"/>
      <c r="AB217" s="359"/>
      <c r="AC217" s="271">
        <f t="shared" si="47"/>
        <v>52448.94</v>
      </c>
      <c r="AF217" s="289">
        <f t="shared" si="34"/>
        <v>0</v>
      </c>
    </row>
    <row r="218" spans="1:32">
      <c r="A218" s="113">
        <v>203</v>
      </c>
      <c r="B218" s="119" t="s">
        <v>1530</v>
      </c>
      <c r="C218" s="395" t="s">
        <v>2169</v>
      </c>
      <c r="D218" s="119" t="s">
        <v>2184</v>
      </c>
      <c r="E218" s="401" t="s">
        <v>2185</v>
      </c>
      <c r="F218" s="356">
        <v>52045.94</v>
      </c>
      <c r="G218" s="356">
        <v>51872.45</v>
      </c>
      <c r="H218" s="356">
        <v>51698.96</v>
      </c>
      <c r="I218" s="356">
        <v>51525.47</v>
      </c>
      <c r="J218" s="356">
        <v>51351.98</v>
      </c>
      <c r="K218" s="356">
        <v>51178.49</v>
      </c>
      <c r="L218" s="356">
        <v>51005</v>
      </c>
      <c r="M218" s="356">
        <v>50831.51</v>
      </c>
      <c r="N218" s="356">
        <v>50658.02</v>
      </c>
      <c r="O218" s="356">
        <v>50484.53</v>
      </c>
      <c r="P218" s="356">
        <v>50311.040000000001</v>
      </c>
      <c r="Q218" s="356">
        <v>50137.55</v>
      </c>
      <c r="R218" s="356">
        <v>49964.06</v>
      </c>
      <c r="S218" s="357">
        <f t="shared" si="46"/>
        <v>51005</v>
      </c>
      <c r="U218" s="358"/>
      <c r="V218" s="359"/>
      <c r="W218" s="359">
        <f t="shared" si="48"/>
        <v>51005</v>
      </c>
      <c r="X218" s="360"/>
      <c r="Y218" s="359"/>
      <c r="Z218" s="359"/>
      <c r="AA218" s="358"/>
      <c r="AB218" s="359"/>
      <c r="AC218" s="271">
        <f t="shared" si="47"/>
        <v>51005</v>
      </c>
      <c r="AF218" s="289">
        <f t="shared" si="34"/>
        <v>0</v>
      </c>
    </row>
    <row r="219" spans="1:32">
      <c r="A219" s="113">
        <v>204</v>
      </c>
      <c r="B219" s="119" t="s">
        <v>1530</v>
      </c>
      <c r="C219" s="395" t="s">
        <v>2169</v>
      </c>
      <c r="D219" s="119" t="s">
        <v>2186</v>
      </c>
      <c r="E219" s="401" t="s">
        <v>2187</v>
      </c>
      <c r="F219" s="356">
        <v>53467.34</v>
      </c>
      <c r="G219" s="356">
        <v>53340.04</v>
      </c>
      <c r="H219" s="356">
        <v>53212.74</v>
      </c>
      <c r="I219" s="356">
        <v>53085.440000000002</v>
      </c>
      <c r="J219" s="356">
        <v>52958.14</v>
      </c>
      <c r="K219" s="356">
        <v>52830.84</v>
      </c>
      <c r="L219" s="356">
        <v>52703.54</v>
      </c>
      <c r="M219" s="356">
        <v>52576.24</v>
      </c>
      <c r="N219" s="356">
        <v>52448.94</v>
      </c>
      <c r="O219" s="356">
        <v>52321.64</v>
      </c>
      <c r="P219" s="356">
        <v>52194.34</v>
      </c>
      <c r="Q219" s="356">
        <v>52067.040000000001</v>
      </c>
      <c r="R219" s="356">
        <v>51939.74</v>
      </c>
      <c r="S219" s="357">
        <f t="shared" si="46"/>
        <v>52703.54</v>
      </c>
      <c r="U219" s="358"/>
      <c r="V219" s="359"/>
      <c r="W219" s="359">
        <f t="shared" si="48"/>
        <v>52703.54</v>
      </c>
      <c r="X219" s="360"/>
      <c r="Y219" s="359"/>
      <c r="Z219" s="359"/>
      <c r="AA219" s="358"/>
      <c r="AB219" s="359"/>
      <c r="AC219" s="271">
        <f t="shared" si="47"/>
        <v>52703.54</v>
      </c>
      <c r="AF219" s="289">
        <f t="shared" si="34"/>
        <v>0</v>
      </c>
    </row>
    <row r="220" spans="1:32">
      <c r="A220" s="113">
        <v>205</v>
      </c>
      <c r="B220" s="119"/>
      <c r="C220" s="395" t="s">
        <v>2169</v>
      </c>
      <c r="D220" s="119" t="s">
        <v>2188</v>
      </c>
      <c r="E220" s="401" t="s">
        <v>2189</v>
      </c>
      <c r="F220" s="356">
        <v>120965.94</v>
      </c>
      <c r="G220" s="356">
        <v>119895.45</v>
      </c>
      <c r="H220" s="356">
        <v>118824.96000000001</v>
      </c>
      <c r="I220" s="356">
        <v>117754.47</v>
      </c>
      <c r="J220" s="356">
        <v>116683.98</v>
      </c>
      <c r="K220" s="356">
        <v>115613.49</v>
      </c>
      <c r="L220" s="356">
        <v>114543</v>
      </c>
      <c r="M220" s="356">
        <v>113472.51</v>
      </c>
      <c r="N220" s="356">
        <v>112402.02</v>
      </c>
      <c r="O220" s="356">
        <v>111331.53</v>
      </c>
      <c r="P220" s="356">
        <v>110261.04</v>
      </c>
      <c r="Q220" s="356">
        <v>109190.55</v>
      </c>
      <c r="R220" s="356">
        <v>108120.06</v>
      </c>
      <c r="S220" s="357">
        <f t="shared" si="46"/>
        <v>114543</v>
      </c>
      <c r="U220" s="358"/>
      <c r="V220" s="359"/>
      <c r="W220" s="359">
        <f t="shared" si="48"/>
        <v>114543</v>
      </c>
      <c r="X220" s="360"/>
      <c r="Y220" s="359"/>
      <c r="Z220" s="359"/>
      <c r="AA220" s="358"/>
      <c r="AB220" s="359"/>
      <c r="AC220" s="271">
        <f t="shared" ref="AC220:AC225" si="49">+S220</f>
        <v>114543</v>
      </c>
      <c r="AF220" s="289"/>
    </row>
    <row r="221" spans="1:32">
      <c r="A221" s="113">
        <v>206</v>
      </c>
      <c r="B221" s="119"/>
      <c r="C221" s="395" t="s">
        <v>2169</v>
      </c>
      <c r="D221" s="119" t="s">
        <v>2190</v>
      </c>
      <c r="E221" s="401" t="s">
        <v>2191</v>
      </c>
      <c r="F221" s="356">
        <v>98770.99</v>
      </c>
      <c r="G221" s="356">
        <v>98200.06</v>
      </c>
      <c r="H221" s="356">
        <v>97629.13</v>
      </c>
      <c r="I221" s="356">
        <v>97058.2</v>
      </c>
      <c r="J221" s="356">
        <v>96487.27</v>
      </c>
      <c r="K221" s="356">
        <v>95916.34</v>
      </c>
      <c r="L221" s="356">
        <v>95345.41</v>
      </c>
      <c r="M221" s="356">
        <v>94774.480000000098</v>
      </c>
      <c r="N221" s="356">
        <v>94203.550000000105</v>
      </c>
      <c r="O221" s="356">
        <v>93632.620000000097</v>
      </c>
      <c r="P221" s="356">
        <v>93061.690000000104</v>
      </c>
      <c r="Q221" s="356">
        <v>92490.760000000097</v>
      </c>
      <c r="R221" s="356">
        <v>91919.830000000104</v>
      </c>
      <c r="S221" s="357">
        <f t="shared" si="46"/>
        <v>95345.410000000047</v>
      </c>
      <c r="U221" s="358"/>
      <c r="V221" s="359"/>
      <c r="W221" s="359">
        <f t="shared" si="48"/>
        <v>95345.410000000047</v>
      </c>
      <c r="X221" s="360"/>
      <c r="Y221" s="359"/>
      <c r="Z221" s="359"/>
      <c r="AA221" s="358"/>
      <c r="AB221" s="359"/>
      <c r="AC221" s="271">
        <f t="shared" si="49"/>
        <v>95345.410000000047</v>
      </c>
      <c r="AF221" s="289"/>
    </row>
    <row r="222" spans="1:32">
      <c r="A222" s="113">
        <v>207</v>
      </c>
      <c r="B222" s="119"/>
      <c r="C222" s="395" t="s">
        <v>2169</v>
      </c>
      <c r="D222" s="119" t="s">
        <v>2192</v>
      </c>
      <c r="E222" s="401" t="s">
        <v>2193</v>
      </c>
      <c r="F222" s="356">
        <v>151153.84</v>
      </c>
      <c r="G222" s="356">
        <v>150725.64000000001</v>
      </c>
      <c r="H222" s="356">
        <v>150297.44</v>
      </c>
      <c r="I222" s="356">
        <v>149869.24</v>
      </c>
      <c r="J222" s="356">
        <v>149441.04</v>
      </c>
      <c r="K222" s="356">
        <v>149012.84</v>
      </c>
      <c r="L222" s="356">
        <v>148584.64000000001</v>
      </c>
      <c r="M222" s="356">
        <v>148156.44</v>
      </c>
      <c r="N222" s="356">
        <v>147728.24</v>
      </c>
      <c r="O222" s="356">
        <v>147300.04</v>
      </c>
      <c r="P222" s="356">
        <v>146871.84</v>
      </c>
      <c r="Q222" s="356">
        <v>146443.64000000001</v>
      </c>
      <c r="R222" s="356">
        <v>146015.44</v>
      </c>
      <c r="S222" s="357">
        <f t="shared" si="46"/>
        <v>148584.64000000001</v>
      </c>
      <c r="U222" s="358"/>
      <c r="V222" s="359"/>
      <c r="W222" s="359">
        <f t="shared" si="48"/>
        <v>148584.64000000001</v>
      </c>
      <c r="X222" s="360"/>
      <c r="Y222" s="359"/>
      <c r="Z222" s="359"/>
      <c r="AA222" s="358"/>
      <c r="AB222" s="359"/>
      <c r="AC222" s="271">
        <f t="shared" si="49"/>
        <v>148584.64000000001</v>
      </c>
      <c r="AF222" s="289"/>
    </row>
    <row r="223" spans="1:32">
      <c r="A223" s="113">
        <v>208</v>
      </c>
      <c r="B223" s="119"/>
      <c r="C223" s="395" t="s">
        <v>2169</v>
      </c>
      <c r="D223" s="119" t="s">
        <v>2194</v>
      </c>
      <c r="E223" s="401" t="s">
        <v>2195</v>
      </c>
      <c r="F223" s="396">
        <v>0</v>
      </c>
      <c r="G223" s="396">
        <v>0</v>
      </c>
      <c r="H223" s="396">
        <v>0</v>
      </c>
      <c r="I223" s="396">
        <v>0</v>
      </c>
      <c r="J223" s="396">
        <v>0</v>
      </c>
      <c r="K223" s="396">
        <v>21000</v>
      </c>
      <c r="L223" s="396">
        <v>116381.72</v>
      </c>
      <c r="M223" s="396">
        <v>128843.94</v>
      </c>
      <c r="N223" s="396">
        <v>128484.04</v>
      </c>
      <c r="O223" s="396">
        <v>128124.14</v>
      </c>
      <c r="P223" s="396">
        <v>127764.24</v>
      </c>
      <c r="Q223" s="396">
        <v>127404.34</v>
      </c>
      <c r="R223" s="396">
        <v>127044.44</v>
      </c>
      <c r="S223" s="236">
        <f t="shared" si="46"/>
        <v>70127.05333333333</v>
      </c>
      <c r="U223" s="358"/>
      <c r="V223" s="359"/>
      <c r="W223" s="359">
        <f t="shared" si="48"/>
        <v>70127.05333333333</v>
      </c>
      <c r="X223" s="360"/>
      <c r="Y223" s="359"/>
      <c r="Z223" s="359"/>
      <c r="AA223" s="358"/>
      <c r="AB223" s="359"/>
      <c r="AC223" s="271">
        <f t="shared" si="49"/>
        <v>70127.05333333333</v>
      </c>
      <c r="AD223" s="271"/>
      <c r="AF223" s="289"/>
    </row>
    <row r="224" spans="1:32">
      <c r="A224" s="113">
        <v>209</v>
      </c>
      <c r="B224" s="119" t="s">
        <v>1530</v>
      </c>
      <c r="C224" s="395" t="s">
        <v>2169</v>
      </c>
      <c r="D224" s="119" t="s">
        <v>2196</v>
      </c>
      <c r="E224" s="401" t="s">
        <v>2197</v>
      </c>
      <c r="F224" s="396">
        <v>0</v>
      </c>
      <c r="G224" s="396">
        <v>0</v>
      </c>
      <c r="H224" s="396">
        <v>0</v>
      </c>
      <c r="I224" s="396">
        <v>0</v>
      </c>
      <c r="J224" s="396">
        <v>0</v>
      </c>
      <c r="K224" s="396">
        <v>14000</v>
      </c>
      <c r="L224" s="396">
        <v>77641.850000000006</v>
      </c>
      <c r="M224" s="396">
        <v>86015.93</v>
      </c>
      <c r="N224" s="396">
        <v>85835.98</v>
      </c>
      <c r="O224" s="396">
        <v>85656.03</v>
      </c>
      <c r="P224" s="396">
        <v>85476.08</v>
      </c>
      <c r="Q224" s="396">
        <v>85296.13</v>
      </c>
      <c r="R224" s="396">
        <v>85116.18</v>
      </c>
      <c r="S224" s="236">
        <f t="shared" si="46"/>
        <v>46873.340833333343</v>
      </c>
      <c r="U224" s="358"/>
      <c r="V224" s="359"/>
      <c r="W224" s="359">
        <f t="shared" si="48"/>
        <v>46873.340833333343</v>
      </c>
      <c r="X224" s="360"/>
      <c r="Y224" s="359"/>
      <c r="Z224" s="359"/>
      <c r="AA224" s="358"/>
      <c r="AB224" s="359"/>
      <c r="AC224" s="271">
        <f t="shared" si="49"/>
        <v>46873.340833333343</v>
      </c>
      <c r="AD224" s="271"/>
      <c r="AF224" s="289" t="e">
        <f>+U224+#REF!-AD224</f>
        <v>#REF!</v>
      </c>
    </row>
    <row r="225" spans="1:32">
      <c r="A225" s="113">
        <v>210</v>
      </c>
      <c r="B225" s="119"/>
      <c r="C225" s="395" t="s">
        <v>2169</v>
      </c>
      <c r="D225" s="119" t="s">
        <v>2198</v>
      </c>
      <c r="E225" s="401" t="s">
        <v>2199</v>
      </c>
      <c r="F225" s="396">
        <v>0</v>
      </c>
      <c r="G225" s="396">
        <v>0</v>
      </c>
      <c r="H225" s="396">
        <v>0</v>
      </c>
      <c r="I225" s="396">
        <v>0</v>
      </c>
      <c r="J225" s="396">
        <v>0</v>
      </c>
      <c r="K225" s="396">
        <v>0</v>
      </c>
      <c r="L225" s="396">
        <v>0</v>
      </c>
      <c r="M225" s="396">
        <v>0</v>
      </c>
      <c r="N225" s="396">
        <v>0</v>
      </c>
      <c r="O225" s="396">
        <v>0</v>
      </c>
      <c r="P225" s="396">
        <v>122380.51</v>
      </c>
      <c r="Q225" s="396">
        <v>132675.96</v>
      </c>
      <c r="R225" s="396">
        <v>144583.67000000001</v>
      </c>
      <c r="S225" s="236">
        <f t="shared" si="46"/>
        <v>27279.025416666667</v>
      </c>
      <c r="U225" s="358"/>
      <c r="V225" s="359"/>
      <c r="W225" s="359">
        <f t="shared" si="48"/>
        <v>27279.025416666667</v>
      </c>
      <c r="X225" s="360"/>
      <c r="Y225" s="359"/>
      <c r="Z225" s="359"/>
      <c r="AA225" s="358"/>
      <c r="AB225" s="359"/>
      <c r="AC225" s="271">
        <f t="shared" si="49"/>
        <v>27279.025416666667</v>
      </c>
      <c r="AD225" s="271"/>
      <c r="AF225" s="289"/>
    </row>
    <row r="226" spans="1:32">
      <c r="A226" s="113">
        <v>211</v>
      </c>
      <c r="B226" s="119"/>
      <c r="C226" s="395" t="s">
        <v>2169</v>
      </c>
      <c r="D226" s="119" t="s">
        <v>2200</v>
      </c>
      <c r="E226" s="401" t="s">
        <v>2201</v>
      </c>
      <c r="F226" s="396">
        <v>0</v>
      </c>
      <c r="G226" s="396">
        <v>0</v>
      </c>
      <c r="H226" s="396">
        <v>0</v>
      </c>
      <c r="I226" s="396">
        <v>0</v>
      </c>
      <c r="J226" s="396">
        <v>0</v>
      </c>
      <c r="K226" s="396">
        <v>0</v>
      </c>
      <c r="L226" s="396">
        <v>0</v>
      </c>
      <c r="M226" s="396">
        <v>0</v>
      </c>
      <c r="N226" s="396">
        <v>0</v>
      </c>
      <c r="O226" s="396">
        <v>0</v>
      </c>
      <c r="P226" s="396">
        <v>0</v>
      </c>
      <c r="Q226" s="396">
        <v>0</v>
      </c>
      <c r="R226" s="396">
        <v>0</v>
      </c>
      <c r="S226" s="236">
        <f t="shared" si="46"/>
        <v>0</v>
      </c>
      <c r="U226" s="358"/>
      <c r="V226" s="359"/>
      <c r="X226" s="360"/>
      <c r="Y226" s="359"/>
      <c r="Z226" s="359"/>
      <c r="AA226" s="358"/>
      <c r="AB226" s="359"/>
      <c r="AC226" s="271"/>
      <c r="AD226" s="271"/>
      <c r="AF226" s="289"/>
    </row>
    <row r="227" spans="1:32">
      <c r="A227" s="113">
        <v>212</v>
      </c>
      <c r="B227" s="119"/>
      <c r="C227" s="395" t="s">
        <v>2169</v>
      </c>
      <c r="D227" s="119" t="s">
        <v>1526</v>
      </c>
      <c r="E227" s="401" t="s">
        <v>2201</v>
      </c>
      <c r="F227" s="698">
        <v>-1773272.34</v>
      </c>
      <c r="G227" s="698">
        <v>-1761347.62</v>
      </c>
      <c r="H227" s="698">
        <v>-1749422.89</v>
      </c>
      <c r="I227" s="698">
        <v>-1737498.17</v>
      </c>
      <c r="J227" s="698">
        <v>-1725573.44</v>
      </c>
      <c r="K227" s="698">
        <v>-1748648.72</v>
      </c>
      <c r="L227" s="698">
        <v>-1895747.56</v>
      </c>
      <c r="M227" s="698">
        <v>-1904975.8</v>
      </c>
      <c r="N227" s="698">
        <v>-1893451.42</v>
      </c>
      <c r="O227" s="698">
        <v>-1882337.26</v>
      </c>
      <c r="P227" s="698">
        <v>-1993603.61</v>
      </c>
      <c r="Q227" s="698">
        <v>-1246663.8500000001</v>
      </c>
      <c r="R227" s="698">
        <v>-1251846.3500000001</v>
      </c>
      <c r="S227" s="236">
        <f t="shared" si="46"/>
        <v>-1754319.1404166669</v>
      </c>
      <c r="U227" s="358"/>
      <c r="V227" s="359">
        <f>+S227</f>
        <v>-1754319.1404166669</v>
      </c>
      <c r="X227" s="360"/>
      <c r="Y227" s="359"/>
      <c r="Z227" s="359"/>
      <c r="AA227" s="358"/>
      <c r="AB227" s="359"/>
      <c r="AC227" s="271"/>
      <c r="AD227" s="271">
        <f>+S227</f>
        <v>-1754319.1404166669</v>
      </c>
      <c r="AF227" s="289"/>
    </row>
    <row r="228" spans="1:32">
      <c r="A228" s="113">
        <v>213</v>
      </c>
      <c r="E228" s="402" t="s">
        <v>2202</v>
      </c>
      <c r="F228" s="356">
        <f>SUM(F208:F227)</f>
        <v>349569.6399999999</v>
      </c>
      <c r="G228" s="356">
        <f t="shared" ref="G228:R228" si="50">SUM(G208:G227)</f>
        <v>342973.98999999976</v>
      </c>
      <c r="H228" s="356">
        <f t="shared" si="50"/>
        <v>336378.33999999962</v>
      </c>
      <c r="I228" s="356">
        <f t="shared" si="50"/>
        <v>329782.68999999994</v>
      </c>
      <c r="J228" s="356">
        <f t="shared" si="50"/>
        <v>323187.04000000004</v>
      </c>
      <c r="K228" s="356">
        <f t="shared" si="50"/>
        <v>316591.39000000013</v>
      </c>
      <c r="L228" s="356">
        <f t="shared" si="50"/>
        <v>309995.74000000022</v>
      </c>
      <c r="M228" s="356">
        <f t="shared" si="50"/>
        <v>303400.09000000008</v>
      </c>
      <c r="N228" s="356">
        <f t="shared" si="50"/>
        <v>296804.44000000041</v>
      </c>
      <c r="O228" s="356">
        <f t="shared" si="50"/>
        <v>290208.79000000027</v>
      </c>
      <c r="P228" s="356">
        <f t="shared" si="50"/>
        <v>283613.1399999999</v>
      </c>
      <c r="Q228" s="356">
        <f t="shared" si="50"/>
        <v>277017.48999999976</v>
      </c>
      <c r="R228" s="356">
        <f t="shared" si="50"/>
        <v>270421.83999999962</v>
      </c>
      <c r="S228" s="357">
        <f>SUM(S208:S227)</f>
        <v>309995.73999999976</v>
      </c>
      <c r="U228" s="358"/>
      <c r="V228" s="359"/>
      <c r="W228" s="359"/>
      <c r="X228" s="360"/>
      <c r="Y228" s="359"/>
      <c r="Z228" s="359"/>
      <c r="AA228" s="358"/>
      <c r="AB228" s="359"/>
      <c r="AF228" s="289">
        <f t="shared" si="34"/>
        <v>0</v>
      </c>
    </row>
    <row r="229" spans="1:32">
      <c r="A229" s="113">
        <v>214</v>
      </c>
      <c r="E229" s="403"/>
      <c r="F229" s="356">
        <v>0</v>
      </c>
      <c r="G229" s="399">
        <v>0</v>
      </c>
      <c r="H229" s="387">
        <v>0</v>
      </c>
      <c r="I229" s="387">
        <v>0</v>
      </c>
      <c r="J229" s="388">
        <v>0</v>
      </c>
      <c r="K229" s="389">
        <v>0</v>
      </c>
      <c r="L229" s="390">
        <v>0</v>
      </c>
      <c r="M229" s="391">
        <v>0</v>
      </c>
      <c r="N229" s="392">
        <v>0</v>
      </c>
      <c r="O229" s="373">
        <v>0</v>
      </c>
      <c r="P229" s="393">
        <v>0</v>
      </c>
      <c r="Q229" s="400">
        <v>0</v>
      </c>
      <c r="R229" s="356">
        <v>0</v>
      </c>
      <c r="S229" s="96"/>
      <c r="U229" s="358"/>
      <c r="V229" s="359"/>
      <c r="W229" s="359"/>
      <c r="X229" s="360"/>
      <c r="Y229" s="359"/>
      <c r="Z229" s="359"/>
      <c r="AA229" s="358"/>
      <c r="AB229" s="359"/>
      <c r="AF229" s="289">
        <f t="shared" ref="AF229:AF318" si="51">+U229+V229-AD229</f>
        <v>0</v>
      </c>
    </row>
    <row r="230" spans="1:32">
      <c r="A230" s="113">
        <v>215</v>
      </c>
      <c r="B230" s="119" t="s">
        <v>1530</v>
      </c>
      <c r="C230" s="119" t="s">
        <v>2203</v>
      </c>
      <c r="D230" s="119" t="s">
        <v>379</v>
      </c>
      <c r="E230" s="355" t="s">
        <v>2204</v>
      </c>
      <c r="F230" s="356">
        <v>703329.83</v>
      </c>
      <c r="G230" s="356">
        <v>699915.61</v>
      </c>
      <c r="H230" s="356">
        <v>696501.39</v>
      </c>
      <c r="I230" s="356">
        <v>693087.17</v>
      </c>
      <c r="J230" s="356">
        <v>689672.95</v>
      </c>
      <c r="K230" s="356">
        <v>686258.73</v>
      </c>
      <c r="L230" s="356">
        <v>682844.51</v>
      </c>
      <c r="M230" s="356">
        <v>679430.29</v>
      </c>
      <c r="N230" s="356">
        <v>676016.07</v>
      </c>
      <c r="O230" s="356">
        <v>672601.85</v>
      </c>
      <c r="P230" s="356">
        <v>669187.63</v>
      </c>
      <c r="Q230" s="356">
        <v>665773.41</v>
      </c>
      <c r="R230" s="356">
        <v>662359.18999999994</v>
      </c>
      <c r="S230" s="357">
        <f>((F230+R230)+((G230+H230+I230+J230+K230+L230+M230+N230+O230+P230+Q230)*2))/24</f>
        <v>682844.51</v>
      </c>
      <c r="U230" s="358"/>
      <c r="V230" s="359"/>
      <c r="W230" s="359">
        <f>+S230</f>
        <v>682844.51</v>
      </c>
      <c r="X230" s="360"/>
      <c r="Y230" s="359"/>
      <c r="Z230" s="359"/>
      <c r="AA230" s="358"/>
      <c r="AB230" s="359"/>
      <c r="AC230" s="271">
        <f>+S230</f>
        <v>682844.51</v>
      </c>
      <c r="AF230" s="289">
        <f t="shared" si="51"/>
        <v>0</v>
      </c>
    </row>
    <row r="231" spans="1:32">
      <c r="A231" s="113">
        <v>216</v>
      </c>
      <c r="B231" s="119"/>
      <c r="C231" s="119" t="s">
        <v>2203</v>
      </c>
      <c r="D231" s="119" t="s">
        <v>381</v>
      </c>
      <c r="E231" s="355" t="s">
        <v>2205</v>
      </c>
      <c r="F231" s="356">
        <v>0</v>
      </c>
      <c r="G231" s="356">
        <v>0</v>
      </c>
      <c r="H231" s="356">
        <v>0</v>
      </c>
      <c r="I231" s="356">
        <v>0</v>
      </c>
      <c r="J231" s="356">
        <v>0</v>
      </c>
      <c r="K231" s="356">
        <v>0</v>
      </c>
      <c r="L231" s="356">
        <v>0</v>
      </c>
      <c r="M231" s="356">
        <v>0</v>
      </c>
      <c r="N231" s="356">
        <v>0</v>
      </c>
      <c r="O231" s="356">
        <v>0</v>
      </c>
      <c r="P231" s="356">
        <v>0</v>
      </c>
      <c r="Q231" s="356">
        <v>751441.23</v>
      </c>
      <c r="R231" s="356">
        <v>752398.69</v>
      </c>
      <c r="S231" s="357">
        <f>((F231+R231)+((G231+H231+I231+J231+K231+L231+M231+N231+O231+P231+Q231)*2))/24</f>
        <v>93970.047916666663</v>
      </c>
      <c r="U231" s="358"/>
      <c r="V231" s="359"/>
      <c r="W231" s="359">
        <f>+S231</f>
        <v>93970.047916666663</v>
      </c>
      <c r="X231" s="360"/>
      <c r="Y231" s="359"/>
      <c r="Z231" s="359"/>
      <c r="AA231" s="358"/>
      <c r="AB231" s="359"/>
      <c r="AC231" s="271">
        <f>+S231</f>
        <v>93970.047916666663</v>
      </c>
      <c r="AF231" s="289"/>
    </row>
    <row r="232" spans="1:32">
      <c r="A232" s="113">
        <v>217</v>
      </c>
      <c r="E232" s="355" t="s">
        <v>2202</v>
      </c>
      <c r="F232" s="696">
        <f>SUM(F230:F231)</f>
        <v>703329.83</v>
      </c>
      <c r="G232" s="696">
        <f t="shared" ref="G232:R232" si="52">SUM(G230:G231)</f>
        <v>699915.61</v>
      </c>
      <c r="H232" s="696">
        <f t="shared" si="52"/>
        <v>696501.39</v>
      </c>
      <c r="I232" s="696">
        <f t="shared" si="52"/>
        <v>693087.17</v>
      </c>
      <c r="J232" s="696">
        <f t="shared" si="52"/>
        <v>689672.95</v>
      </c>
      <c r="K232" s="696">
        <f t="shared" si="52"/>
        <v>686258.73</v>
      </c>
      <c r="L232" s="696">
        <f t="shared" si="52"/>
        <v>682844.51</v>
      </c>
      <c r="M232" s="696">
        <f t="shared" si="52"/>
        <v>679430.29</v>
      </c>
      <c r="N232" s="696">
        <f t="shared" si="52"/>
        <v>676016.07</v>
      </c>
      <c r="O232" s="696">
        <f t="shared" si="52"/>
        <v>672601.85</v>
      </c>
      <c r="P232" s="696">
        <f t="shared" si="52"/>
        <v>669187.63</v>
      </c>
      <c r="Q232" s="696">
        <f t="shared" si="52"/>
        <v>1417214.6400000001</v>
      </c>
      <c r="R232" s="696">
        <f t="shared" si="52"/>
        <v>1414757.88</v>
      </c>
      <c r="S232" s="696">
        <f>SUM(S230:S231)</f>
        <v>776814.55791666661</v>
      </c>
      <c r="U232" s="358"/>
      <c r="V232" s="359"/>
      <c r="W232" s="359"/>
      <c r="X232" s="360"/>
      <c r="Y232" s="359"/>
      <c r="Z232" s="359"/>
      <c r="AA232" s="358"/>
      <c r="AB232" s="359"/>
      <c r="AF232" s="289">
        <f t="shared" si="51"/>
        <v>0</v>
      </c>
    </row>
    <row r="233" spans="1:32">
      <c r="A233" s="113">
        <v>218</v>
      </c>
      <c r="E233" s="374"/>
      <c r="F233" s="356"/>
      <c r="G233" s="399"/>
      <c r="H233" s="387"/>
      <c r="I233" s="387"/>
      <c r="J233" s="388"/>
      <c r="K233" s="389"/>
      <c r="L233" s="390"/>
      <c r="M233" s="391"/>
      <c r="N233" s="392"/>
      <c r="O233" s="373"/>
      <c r="P233" s="393"/>
      <c r="Q233" s="400"/>
      <c r="R233" s="356"/>
      <c r="S233" s="96"/>
      <c r="U233" s="358"/>
      <c r="V233" s="359"/>
      <c r="W233" s="359"/>
      <c r="X233" s="360"/>
      <c r="Y233" s="359"/>
      <c r="Z233" s="359"/>
      <c r="AA233" s="358"/>
      <c r="AB233" s="359"/>
      <c r="AF233" s="289">
        <f t="shared" si="51"/>
        <v>0</v>
      </c>
    </row>
    <row r="234" spans="1:32">
      <c r="A234" s="113">
        <v>219</v>
      </c>
      <c r="B234" s="119" t="s">
        <v>1530</v>
      </c>
      <c r="C234" s="119" t="s">
        <v>2132</v>
      </c>
      <c r="D234" s="119" t="s">
        <v>377</v>
      </c>
      <c r="E234" s="355" t="s">
        <v>2206</v>
      </c>
      <c r="F234" s="356">
        <v>0</v>
      </c>
      <c r="G234" s="356">
        <v>0</v>
      </c>
      <c r="H234" s="356">
        <v>0</v>
      </c>
      <c r="I234" s="356">
        <v>0</v>
      </c>
      <c r="J234" s="356">
        <v>0</v>
      </c>
      <c r="K234" s="356">
        <v>0</v>
      </c>
      <c r="L234" s="356">
        <v>0</v>
      </c>
      <c r="M234" s="356">
        <v>0</v>
      </c>
      <c r="N234" s="356">
        <v>0</v>
      </c>
      <c r="O234" s="356">
        <v>31398.87</v>
      </c>
      <c r="P234" s="356">
        <v>0</v>
      </c>
      <c r="Q234" s="356">
        <v>0</v>
      </c>
      <c r="R234" s="356">
        <v>0</v>
      </c>
      <c r="S234" s="357">
        <f t="shared" ref="S234:S297" si="53">((F234+R234)+((G234+H234+I234+J234+K234+L234+M234+N234+O234+P234+Q234)*2))/24</f>
        <v>2616.5724999999998</v>
      </c>
      <c r="U234" s="358">
        <f t="shared" ref="U234:U271" si="54">+S234</f>
        <v>2616.5724999999998</v>
      </c>
      <c r="V234" s="359"/>
      <c r="W234" s="359"/>
      <c r="X234" s="360"/>
      <c r="Y234" s="359"/>
      <c r="Z234" s="359"/>
      <c r="AA234" s="358"/>
      <c r="AB234" s="359"/>
      <c r="AD234" s="271">
        <f t="shared" ref="AD234:AD268" si="55">+U234</f>
        <v>2616.5724999999998</v>
      </c>
      <c r="AF234" s="289">
        <f t="shared" si="51"/>
        <v>0</v>
      </c>
    </row>
    <row r="235" spans="1:32">
      <c r="A235" s="113">
        <v>220</v>
      </c>
      <c r="B235" s="119" t="s">
        <v>1530</v>
      </c>
      <c r="C235" s="119" t="s">
        <v>2207</v>
      </c>
      <c r="D235" s="119" t="s">
        <v>1526</v>
      </c>
      <c r="E235" s="355" t="s">
        <v>2208</v>
      </c>
      <c r="F235" s="356">
        <v>108101.06</v>
      </c>
      <c r="G235" s="356">
        <v>133902.68</v>
      </c>
      <c r="H235" s="356">
        <v>0</v>
      </c>
      <c r="I235" s="356">
        <v>0.49</v>
      </c>
      <c r="J235" s="356">
        <v>0</v>
      </c>
      <c r="K235" s="356">
        <v>0</v>
      </c>
      <c r="L235" s="356">
        <v>0</v>
      </c>
      <c r="M235" s="356">
        <v>21049.22</v>
      </c>
      <c r="N235" s="356">
        <v>73748.81</v>
      </c>
      <c r="O235" s="356">
        <v>77811.31</v>
      </c>
      <c r="P235" s="356">
        <v>181507.58</v>
      </c>
      <c r="Q235" s="356">
        <v>181507.58</v>
      </c>
      <c r="R235" s="356">
        <v>2.91038304567337E-11</v>
      </c>
      <c r="S235" s="357">
        <f t="shared" si="53"/>
        <v>60298.183333333327</v>
      </c>
      <c r="U235" s="358">
        <f>+S235</f>
        <v>60298.183333333327</v>
      </c>
      <c r="V235" s="359"/>
      <c r="W235" s="359"/>
      <c r="X235" s="360"/>
      <c r="Y235" s="359"/>
      <c r="Z235" s="359"/>
      <c r="AA235" s="358"/>
      <c r="AB235" s="359"/>
      <c r="AD235" s="271">
        <f>+S235</f>
        <v>60298.183333333327</v>
      </c>
      <c r="AF235" s="289"/>
    </row>
    <row r="236" spans="1:32">
      <c r="A236" s="113">
        <v>221</v>
      </c>
      <c r="B236" s="119" t="s">
        <v>2003</v>
      </c>
      <c r="C236" s="119" t="s">
        <v>2209</v>
      </c>
      <c r="D236" s="119" t="s">
        <v>2165</v>
      </c>
      <c r="E236" s="355" t="s">
        <v>2210</v>
      </c>
      <c r="F236" s="356">
        <v>0</v>
      </c>
      <c r="G236" s="356">
        <v>0</v>
      </c>
      <c r="H236" s="356">
        <v>0</v>
      </c>
      <c r="I236" s="356">
        <v>-75000</v>
      </c>
      <c r="J236" s="356">
        <v>-75000</v>
      </c>
      <c r="K236" s="356">
        <v>-75000</v>
      </c>
      <c r="L236" s="356">
        <v>-150000</v>
      </c>
      <c r="M236" s="356">
        <v>-150000</v>
      </c>
      <c r="N236" s="356">
        <v>-150000</v>
      </c>
      <c r="O236" s="356">
        <v>-225000</v>
      </c>
      <c r="P236" s="356">
        <v>-231200.13</v>
      </c>
      <c r="Q236" s="356">
        <v>-231951</v>
      </c>
      <c r="R236" s="356">
        <v>-469371.24</v>
      </c>
      <c r="S236" s="357">
        <f t="shared" si="53"/>
        <v>-133153.0625</v>
      </c>
      <c r="U236" s="358">
        <f>+S236</f>
        <v>-133153.0625</v>
      </c>
      <c r="V236" s="359"/>
      <c r="W236" s="359"/>
      <c r="X236" s="360"/>
      <c r="Y236" s="359"/>
      <c r="Z236" s="359"/>
      <c r="AA236" s="358"/>
      <c r="AB236" s="359"/>
      <c r="AD236" s="271">
        <f>+S236</f>
        <v>-133153.0625</v>
      </c>
      <c r="AF236" s="289"/>
    </row>
    <row r="237" spans="1:32">
      <c r="A237" s="113">
        <v>222</v>
      </c>
      <c r="B237" s="119" t="s">
        <v>2003</v>
      </c>
      <c r="C237" s="119" t="s">
        <v>2209</v>
      </c>
      <c r="D237" s="119" t="s">
        <v>2167</v>
      </c>
      <c r="E237" s="355" t="s">
        <v>2210</v>
      </c>
      <c r="F237" s="356">
        <v>-6805449.96</v>
      </c>
      <c r="G237" s="356">
        <v>-6446165.9199999999</v>
      </c>
      <c r="H237" s="356">
        <v>-6240418.4800000004</v>
      </c>
      <c r="I237" s="356">
        <v>-6179501.5499999998</v>
      </c>
      <c r="J237" s="356">
        <v>-6473662.8499999996</v>
      </c>
      <c r="K237" s="356">
        <v>-6787170.8499999996</v>
      </c>
      <c r="L237" s="356">
        <v>-7141074.8700000001</v>
      </c>
      <c r="M237" s="356">
        <v>-7326606.8799999999</v>
      </c>
      <c r="N237" s="356">
        <v>-7453468.8200000003</v>
      </c>
      <c r="O237" s="356">
        <v>-7723415.7300000004</v>
      </c>
      <c r="P237" s="356">
        <v>-7846552.6600000001</v>
      </c>
      <c r="Q237" s="356">
        <v>-7513559.1399999997</v>
      </c>
      <c r="R237" s="356">
        <v>-6996838.7800000003</v>
      </c>
      <c r="S237" s="357">
        <f t="shared" si="53"/>
        <v>-7002728.5100000007</v>
      </c>
      <c r="U237" s="358">
        <f t="shared" si="54"/>
        <v>-7002728.5100000007</v>
      </c>
      <c r="V237" s="359"/>
      <c r="W237" s="359"/>
      <c r="X237" s="360"/>
      <c r="Y237" s="359"/>
      <c r="Z237" s="359"/>
      <c r="AA237" s="358"/>
      <c r="AB237" s="359"/>
      <c r="AD237" s="271">
        <f t="shared" si="55"/>
        <v>-7002728.5100000007</v>
      </c>
      <c r="AF237" s="289">
        <f t="shared" si="51"/>
        <v>0</v>
      </c>
    </row>
    <row r="238" spans="1:32">
      <c r="A238" s="113">
        <v>223</v>
      </c>
      <c r="B238" s="119" t="s">
        <v>1543</v>
      </c>
      <c r="C238" s="119" t="s">
        <v>2209</v>
      </c>
      <c r="D238" s="119" t="s">
        <v>2211</v>
      </c>
      <c r="E238" s="355" t="s">
        <v>2212</v>
      </c>
      <c r="F238" s="356">
        <v>0</v>
      </c>
      <c r="G238" s="356">
        <v>0</v>
      </c>
      <c r="H238" s="356">
        <v>0</v>
      </c>
      <c r="I238" s="356">
        <v>0</v>
      </c>
      <c r="J238" s="356">
        <v>0</v>
      </c>
      <c r="K238" s="356">
        <v>0</v>
      </c>
      <c r="L238" s="356">
        <v>0</v>
      </c>
      <c r="M238" s="356">
        <v>0</v>
      </c>
      <c r="N238" s="356">
        <v>0</v>
      </c>
      <c r="O238" s="356">
        <v>0</v>
      </c>
      <c r="P238" s="356">
        <v>0</v>
      </c>
      <c r="Q238" s="356">
        <v>0</v>
      </c>
      <c r="R238" s="356">
        <v>0</v>
      </c>
      <c r="S238" s="357">
        <f t="shared" si="53"/>
        <v>0</v>
      </c>
      <c r="U238" s="358">
        <f t="shared" si="54"/>
        <v>0</v>
      </c>
      <c r="V238" s="359"/>
      <c r="W238" s="359"/>
      <c r="X238" s="360"/>
      <c r="Y238" s="359"/>
      <c r="Z238" s="359"/>
      <c r="AA238" s="358"/>
      <c r="AB238" s="359"/>
      <c r="AD238" s="271">
        <f t="shared" si="55"/>
        <v>0</v>
      </c>
      <c r="AF238" s="289">
        <f t="shared" si="51"/>
        <v>0</v>
      </c>
    </row>
    <row r="239" spans="1:32">
      <c r="A239" s="113">
        <v>224</v>
      </c>
      <c r="B239" s="119" t="s">
        <v>1523</v>
      </c>
      <c r="C239" s="119" t="s">
        <v>2209</v>
      </c>
      <c r="D239" s="119" t="s">
        <v>2213</v>
      </c>
      <c r="E239" s="355" t="s">
        <v>2214</v>
      </c>
      <c r="F239" s="356">
        <v>0</v>
      </c>
      <c r="G239" s="356">
        <v>38966901</v>
      </c>
      <c r="H239" s="356">
        <v>38966901</v>
      </c>
      <c r="I239" s="356">
        <v>38966901</v>
      </c>
      <c r="J239" s="356">
        <v>38966901</v>
      </c>
      <c r="K239" s="356">
        <v>38966901</v>
      </c>
      <c r="L239" s="356">
        <v>38966901</v>
      </c>
      <c r="M239" s="356">
        <v>38966901</v>
      </c>
      <c r="N239" s="356">
        <v>38966901</v>
      </c>
      <c r="O239" s="356">
        <v>38966901</v>
      </c>
      <c r="P239" s="356">
        <v>38966901</v>
      </c>
      <c r="Q239" s="356">
        <v>38966901</v>
      </c>
      <c r="R239" s="356">
        <v>39212051</v>
      </c>
      <c r="S239" s="357">
        <f t="shared" si="53"/>
        <v>37353494.708333336</v>
      </c>
      <c r="U239" s="358">
        <f t="shared" si="54"/>
        <v>37353494.708333336</v>
      </c>
      <c r="V239" s="359"/>
      <c r="W239" s="359"/>
      <c r="X239" s="360"/>
      <c r="Y239" s="359"/>
      <c r="Z239" s="359"/>
      <c r="AA239" s="358"/>
      <c r="AB239" s="359"/>
      <c r="AD239" s="271">
        <f t="shared" si="55"/>
        <v>37353494.708333336</v>
      </c>
      <c r="AF239" s="289">
        <f t="shared" si="51"/>
        <v>0</v>
      </c>
    </row>
    <row r="240" spans="1:32">
      <c r="A240" s="113">
        <v>225</v>
      </c>
      <c r="B240" s="119" t="s">
        <v>1523</v>
      </c>
      <c r="C240" s="119" t="s">
        <v>2209</v>
      </c>
      <c r="D240" s="119" t="s">
        <v>2215</v>
      </c>
      <c r="E240" s="355" t="s">
        <v>2216</v>
      </c>
      <c r="F240" s="356">
        <v>0</v>
      </c>
      <c r="G240" s="356">
        <v>1045610</v>
      </c>
      <c r="H240" s="356">
        <v>1045610</v>
      </c>
      <c r="I240" s="356">
        <v>1045610</v>
      </c>
      <c r="J240" s="356">
        <v>1045610</v>
      </c>
      <c r="K240" s="356">
        <v>1045610</v>
      </c>
      <c r="L240" s="356">
        <v>1045610</v>
      </c>
      <c r="M240" s="356">
        <v>1045610</v>
      </c>
      <c r="N240" s="356">
        <v>1045610</v>
      </c>
      <c r="O240" s="356">
        <v>1045610</v>
      </c>
      <c r="P240" s="356">
        <v>1045610</v>
      </c>
      <c r="Q240" s="356">
        <v>1045610</v>
      </c>
      <c r="R240" s="356">
        <v>1044516</v>
      </c>
      <c r="S240" s="357">
        <f t="shared" si="53"/>
        <v>1001997.3333333334</v>
      </c>
      <c r="U240" s="358">
        <f t="shared" si="54"/>
        <v>1001997.3333333334</v>
      </c>
      <c r="V240" s="359"/>
      <c r="W240" s="359"/>
      <c r="X240" s="360"/>
      <c r="Y240" s="359"/>
      <c r="Z240" s="359"/>
      <c r="AA240" s="358"/>
      <c r="AB240" s="359"/>
      <c r="AD240" s="271">
        <f t="shared" si="55"/>
        <v>1001997.3333333334</v>
      </c>
      <c r="AF240" s="289">
        <f t="shared" si="51"/>
        <v>0</v>
      </c>
    </row>
    <row r="241" spans="1:32">
      <c r="A241" s="113">
        <v>226</v>
      </c>
      <c r="B241" s="119" t="s">
        <v>1530</v>
      </c>
      <c r="C241" s="119" t="s">
        <v>2209</v>
      </c>
      <c r="D241" s="395" t="s">
        <v>2217</v>
      </c>
      <c r="E241" s="355" t="s">
        <v>2218</v>
      </c>
      <c r="F241" s="356">
        <v>0</v>
      </c>
      <c r="G241" s="356">
        <v>-197919</v>
      </c>
      <c r="H241" s="356">
        <v>-197919</v>
      </c>
      <c r="I241" s="356">
        <v>-197919</v>
      </c>
      <c r="J241" s="356">
        <v>-197919</v>
      </c>
      <c r="K241" s="356">
        <v>-197919</v>
      </c>
      <c r="L241" s="356">
        <v>-197919</v>
      </c>
      <c r="M241" s="356">
        <v>-197919</v>
      </c>
      <c r="N241" s="356">
        <v>-197919</v>
      </c>
      <c r="O241" s="356">
        <v>-197919</v>
      </c>
      <c r="P241" s="356">
        <v>-197919</v>
      </c>
      <c r="Q241" s="356">
        <v>-197919</v>
      </c>
      <c r="R241" s="356">
        <v>-253608</v>
      </c>
      <c r="S241" s="357">
        <f t="shared" si="53"/>
        <v>-191992.75</v>
      </c>
      <c r="U241" s="358">
        <f>+S241</f>
        <v>-191992.75</v>
      </c>
      <c r="V241" s="359"/>
      <c r="W241" s="359"/>
      <c r="X241" s="360"/>
      <c r="Y241" s="359"/>
      <c r="Z241" s="359"/>
      <c r="AA241" s="358"/>
      <c r="AB241" s="359">
        <f t="shared" ref="AB241:AB248" si="56">+X241</f>
        <v>0</v>
      </c>
      <c r="AD241" s="271">
        <f t="shared" si="55"/>
        <v>-191992.75</v>
      </c>
      <c r="AF241" s="289">
        <f t="shared" si="51"/>
        <v>0</v>
      </c>
    </row>
    <row r="242" spans="1:32">
      <c r="A242" s="113">
        <v>227</v>
      </c>
      <c r="B242" s="119" t="s">
        <v>1530</v>
      </c>
      <c r="C242" s="119" t="s">
        <v>2209</v>
      </c>
      <c r="D242" s="119" t="s">
        <v>2219</v>
      </c>
      <c r="E242" s="355" t="s">
        <v>2220</v>
      </c>
      <c r="F242" s="356">
        <v>0</v>
      </c>
      <c r="G242" s="356">
        <v>1644093</v>
      </c>
      <c r="H242" s="356">
        <v>1644093</v>
      </c>
      <c r="I242" s="356">
        <v>1644093</v>
      </c>
      <c r="J242" s="356">
        <v>1644093</v>
      </c>
      <c r="K242" s="356">
        <v>1644093</v>
      </c>
      <c r="L242" s="356">
        <v>1644093</v>
      </c>
      <c r="M242" s="356">
        <v>1644093</v>
      </c>
      <c r="N242" s="356">
        <v>1644093</v>
      </c>
      <c r="O242" s="356">
        <v>1644093</v>
      </c>
      <c r="P242" s="356">
        <v>1644093</v>
      </c>
      <c r="Q242" s="356">
        <v>1644093</v>
      </c>
      <c r="R242" s="356">
        <v>2115746</v>
      </c>
      <c r="S242" s="357">
        <f t="shared" si="53"/>
        <v>1595241.3333333333</v>
      </c>
      <c r="U242" s="358">
        <f>+S242</f>
        <v>1595241.3333333333</v>
      </c>
      <c r="V242" s="359"/>
      <c r="W242" s="359"/>
      <c r="X242" s="360"/>
      <c r="Y242" s="359"/>
      <c r="Z242" s="359"/>
      <c r="AA242" s="358"/>
      <c r="AB242" s="359">
        <f t="shared" si="56"/>
        <v>0</v>
      </c>
      <c r="AD242" s="271">
        <f t="shared" si="55"/>
        <v>1595241.3333333333</v>
      </c>
      <c r="AF242" s="289">
        <f t="shared" si="51"/>
        <v>0</v>
      </c>
    </row>
    <row r="243" spans="1:32">
      <c r="A243" s="113">
        <v>228</v>
      </c>
      <c r="B243" s="119" t="s">
        <v>1543</v>
      </c>
      <c r="C243" s="119" t="s">
        <v>2209</v>
      </c>
      <c r="D243" s="119" t="s">
        <v>2221</v>
      </c>
      <c r="E243" s="355" t="s">
        <v>2222</v>
      </c>
      <c r="F243" s="356">
        <v>-1.16415321826935E-10</v>
      </c>
      <c r="G243" s="356">
        <v>0</v>
      </c>
      <c r="H243" s="356">
        <v>0</v>
      </c>
      <c r="I243" s="356">
        <v>0</v>
      </c>
      <c r="J243" s="356">
        <v>0</v>
      </c>
      <c r="K243" s="356">
        <v>0</v>
      </c>
      <c r="L243" s="356">
        <v>0</v>
      </c>
      <c r="M243" s="356">
        <v>0</v>
      </c>
      <c r="N243" s="356">
        <v>0</v>
      </c>
      <c r="O243" s="356">
        <v>0</v>
      </c>
      <c r="P243" s="356">
        <v>0</v>
      </c>
      <c r="Q243" s="356">
        <v>0</v>
      </c>
      <c r="R243" s="356">
        <v>0</v>
      </c>
      <c r="S243" s="357">
        <f t="shared" si="53"/>
        <v>-4.8506384094556251E-12</v>
      </c>
      <c r="U243" s="358"/>
      <c r="V243" s="359"/>
      <c r="W243" s="359"/>
      <c r="X243" s="360"/>
      <c r="Y243" s="359"/>
      <c r="Z243" s="359"/>
      <c r="AA243" s="358"/>
      <c r="AB243" s="359">
        <f t="shared" si="56"/>
        <v>0</v>
      </c>
      <c r="AD243" s="271">
        <f t="shared" si="55"/>
        <v>0</v>
      </c>
      <c r="AF243" s="289">
        <f t="shared" si="51"/>
        <v>0</v>
      </c>
    </row>
    <row r="244" spans="1:32">
      <c r="A244" s="113">
        <v>229</v>
      </c>
      <c r="B244" s="119" t="s">
        <v>1523</v>
      </c>
      <c r="C244" s="119" t="s">
        <v>2209</v>
      </c>
      <c r="D244" s="119" t="s">
        <v>2223</v>
      </c>
      <c r="E244" s="355" t="s">
        <v>2224</v>
      </c>
      <c r="F244" s="356">
        <v>373342.4</v>
      </c>
      <c r="G244" s="356">
        <v>427508.52</v>
      </c>
      <c r="H244" s="356">
        <v>547293.22</v>
      </c>
      <c r="I244" s="356">
        <v>561531.25</v>
      </c>
      <c r="J244" s="356">
        <v>596119.6</v>
      </c>
      <c r="K244" s="356">
        <v>652961.25</v>
      </c>
      <c r="L244" s="356">
        <v>770580.47999999998</v>
      </c>
      <c r="M244" s="356">
        <v>863362.8</v>
      </c>
      <c r="N244" s="356">
        <v>950414.91</v>
      </c>
      <c r="O244" s="356">
        <v>1020386.3</v>
      </c>
      <c r="P244" s="356">
        <v>1165748.8500000001</v>
      </c>
      <c r="Q244" s="356">
        <v>349981.48</v>
      </c>
      <c r="R244" s="356">
        <v>395851.5</v>
      </c>
      <c r="S244" s="357">
        <f t="shared" si="53"/>
        <v>690873.8008333334</v>
      </c>
      <c r="U244" s="358"/>
      <c r="V244" s="359"/>
      <c r="W244" s="359"/>
      <c r="X244" s="360">
        <f>+S244</f>
        <v>690873.8008333334</v>
      </c>
      <c r="Y244" s="359"/>
      <c r="Z244" s="359"/>
      <c r="AA244" s="358"/>
      <c r="AB244" s="359">
        <f t="shared" si="56"/>
        <v>690873.8008333334</v>
      </c>
      <c r="AD244" s="271">
        <f t="shared" si="55"/>
        <v>0</v>
      </c>
      <c r="AF244" s="289">
        <f t="shared" si="51"/>
        <v>0</v>
      </c>
    </row>
    <row r="245" spans="1:32">
      <c r="A245" s="113">
        <v>230</v>
      </c>
      <c r="B245" s="119" t="s">
        <v>1523</v>
      </c>
      <c r="C245" s="119" t="s">
        <v>2209</v>
      </c>
      <c r="D245" s="119" t="s">
        <v>2225</v>
      </c>
      <c r="E245" s="355" t="s">
        <v>2226</v>
      </c>
      <c r="F245" s="356">
        <v>466661.34</v>
      </c>
      <c r="G245" s="356">
        <v>531685.23</v>
      </c>
      <c r="H245" s="356">
        <v>681054.8</v>
      </c>
      <c r="I245" s="356">
        <v>736669.74</v>
      </c>
      <c r="J245" s="356">
        <v>810426.24</v>
      </c>
      <c r="K245" s="356">
        <v>875916.36</v>
      </c>
      <c r="L245" s="356">
        <v>900494.55</v>
      </c>
      <c r="M245" s="356">
        <v>971455.86</v>
      </c>
      <c r="N245" s="356">
        <v>1039049.29</v>
      </c>
      <c r="O245" s="356">
        <v>1089035.4099999999</v>
      </c>
      <c r="P245" s="356">
        <v>1092041.45</v>
      </c>
      <c r="Q245" s="356">
        <v>165652.1</v>
      </c>
      <c r="R245" s="356">
        <v>199854.33</v>
      </c>
      <c r="S245" s="357">
        <f t="shared" si="53"/>
        <v>768894.90541666665</v>
      </c>
      <c r="U245" s="358"/>
      <c r="V245" s="359"/>
      <c r="W245" s="359"/>
      <c r="X245" s="360">
        <f>+S245</f>
        <v>768894.90541666665</v>
      </c>
      <c r="Y245" s="359"/>
      <c r="Z245" s="359"/>
      <c r="AA245" s="358"/>
      <c r="AB245" s="359">
        <f t="shared" si="56"/>
        <v>768894.90541666665</v>
      </c>
      <c r="AD245" s="271">
        <f t="shared" si="55"/>
        <v>0</v>
      </c>
      <c r="AF245" s="289">
        <f t="shared" si="51"/>
        <v>0</v>
      </c>
    </row>
    <row r="246" spans="1:32">
      <c r="A246" s="113">
        <v>231</v>
      </c>
      <c r="B246" s="119" t="s">
        <v>1523</v>
      </c>
      <c r="C246" s="119" t="s">
        <v>2209</v>
      </c>
      <c r="D246" s="119" t="s">
        <v>2227</v>
      </c>
      <c r="E246" s="355" t="s">
        <v>2228</v>
      </c>
      <c r="F246" s="356">
        <v>845715.52</v>
      </c>
      <c r="G246" s="356">
        <v>1044281.78</v>
      </c>
      <c r="H246" s="356">
        <v>1276425.01</v>
      </c>
      <c r="I246" s="356">
        <v>1614196.97</v>
      </c>
      <c r="J246" s="356">
        <v>2028891.11</v>
      </c>
      <c r="K246" s="356">
        <v>2196455.69</v>
      </c>
      <c r="L246" s="356">
        <v>2396974.2999999998</v>
      </c>
      <c r="M246" s="356">
        <v>2474906.94</v>
      </c>
      <c r="N246" s="356">
        <v>2556048.31</v>
      </c>
      <c r="O246" s="356">
        <v>2715173.78</v>
      </c>
      <c r="P246" s="356">
        <v>2939906.89</v>
      </c>
      <c r="Q246" s="356">
        <v>557664.93000000005</v>
      </c>
      <c r="R246" s="356">
        <v>672490.62</v>
      </c>
      <c r="S246" s="357">
        <f t="shared" si="53"/>
        <v>1880002.3983333334</v>
      </c>
      <c r="U246" s="358"/>
      <c r="V246" s="359"/>
      <c r="W246" s="359"/>
      <c r="X246" s="360">
        <f>+S246</f>
        <v>1880002.3983333334</v>
      </c>
      <c r="Y246" s="359"/>
      <c r="Z246" s="359"/>
      <c r="AA246" s="358"/>
      <c r="AB246" s="359">
        <f t="shared" si="56"/>
        <v>1880002.3983333334</v>
      </c>
      <c r="AD246" s="271"/>
      <c r="AF246" s="289"/>
    </row>
    <row r="247" spans="1:32">
      <c r="A247" s="113">
        <v>232</v>
      </c>
      <c r="B247" s="119" t="s">
        <v>1523</v>
      </c>
      <c r="C247" s="119" t="s">
        <v>2209</v>
      </c>
      <c r="D247" s="119" t="s">
        <v>2229</v>
      </c>
      <c r="E247" s="355" t="s">
        <v>2230</v>
      </c>
      <c r="F247" s="356">
        <v>881590.07999999903</v>
      </c>
      <c r="G247" s="356">
        <v>1121720.77</v>
      </c>
      <c r="H247" s="356">
        <v>1243222.77</v>
      </c>
      <c r="I247" s="356">
        <v>1526160.36</v>
      </c>
      <c r="J247" s="356">
        <v>1722909.66</v>
      </c>
      <c r="K247" s="356">
        <v>2021894.7</v>
      </c>
      <c r="L247" s="356">
        <v>2246567.7000000002</v>
      </c>
      <c r="M247" s="356">
        <v>2398542.69</v>
      </c>
      <c r="N247" s="356">
        <v>2487928.96</v>
      </c>
      <c r="O247" s="356">
        <v>2693570.72</v>
      </c>
      <c r="P247" s="356">
        <v>2878941.41</v>
      </c>
      <c r="Q247" s="356">
        <v>602434.58000000101</v>
      </c>
      <c r="R247" s="356">
        <v>758750.66</v>
      </c>
      <c r="S247" s="357">
        <f t="shared" si="53"/>
        <v>1813672.0575000001</v>
      </c>
      <c r="U247" s="358"/>
      <c r="V247" s="359"/>
      <c r="W247" s="359"/>
      <c r="X247" s="360">
        <f>+S247</f>
        <v>1813672.0575000001</v>
      </c>
      <c r="Y247" s="359"/>
      <c r="Z247" s="359"/>
      <c r="AA247" s="358"/>
      <c r="AB247" s="359">
        <f t="shared" si="56"/>
        <v>1813672.0575000001</v>
      </c>
      <c r="AD247" s="271"/>
      <c r="AF247" s="289"/>
    </row>
    <row r="248" spans="1:32">
      <c r="A248" s="113">
        <v>233</v>
      </c>
      <c r="B248" s="119" t="s">
        <v>1523</v>
      </c>
      <c r="C248" s="119" t="s">
        <v>2209</v>
      </c>
      <c r="D248" s="119" t="s">
        <v>2231</v>
      </c>
      <c r="E248" s="355" t="s">
        <v>2232</v>
      </c>
      <c r="F248" s="356">
        <v>4238140.62</v>
      </c>
      <c r="G248" s="356">
        <v>3320969.62</v>
      </c>
      <c r="H248" s="356">
        <v>2492422.6800000002</v>
      </c>
      <c r="I248" s="356">
        <v>1740943.23</v>
      </c>
      <c r="J248" s="356">
        <v>1315316.24</v>
      </c>
      <c r="K248" s="356">
        <v>1039942.85</v>
      </c>
      <c r="L248" s="356">
        <v>826457.84</v>
      </c>
      <c r="M248" s="356">
        <v>618338.59</v>
      </c>
      <c r="N248" s="356">
        <v>420027.35</v>
      </c>
      <c r="O248" s="356">
        <v>205249.52</v>
      </c>
      <c r="P248" s="356">
        <v>-230085.94</v>
      </c>
      <c r="Q248" s="356">
        <v>5837826.0499999998</v>
      </c>
      <c r="R248" s="356">
        <v>4952099.62</v>
      </c>
      <c r="S248" s="357">
        <f t="shared" si="53"/>
        <v>1848544.0125000002</v>
      </c>
      <c r="U248" s="358"/>
      <c r="V248" s="359"/>
      <c r="W248" s="359"/>
      <c r="X248" s="360">
        <f>+S248</f>
        <v>1848544.0125000002</v>
      </c>
      <c r="Y248" s="359"/>
      <c r="Z248" s="359"/>
      <c r="AA248" s="358"/>
      <c r="AB248" s="359">
        <f t="shared" si="56"/>
        <v>1848544.0125000002</v>
      </c>
      <c r="AD248" s="271">
        <f t="shared" si="55"/>
        <v>0</v>
      </c>
      <c r="AF248" s="289">
        <f t="shared" si="51"/>
        <v>0</v>
      </c>
    </row>
    <row r="249" spans="1:32">
      <c r="A249" s="113">
        <v>234</v>
      </c>
      <c r="B249" s="119" t="s">
        <v>1523</v>
      </c>
      <c r="C249" s="119" t="s">
        <v>2209</v>
      </c>
      <c r="D249" s="395" t="s">
        <v>2217</v>
      </c>
      <c r="E249" s="355" t="s">
        <v>2218</v>
      </c>
      <c r="F249" s="356">
        <v>-197919</v>
      </c>
      <c r="G249" s="356">
        <v>0</v>
      </c>
      <c r="H249" s="356">
        <v>0</v>
      </c>
      <c r="I249" s="356">
        <v>0</v>
      </c>
      <c r="J249" s="356">
        <v>0</v>
      </c>
      <c r="K249" s="356">
        <v>0</v>
      </c>
      <c r="L249" s="356">
        <v>0</v>
      </c>
      <c r="M249" s="356">
        <v>0</v>
      </c>
      <c r="N249" s="356">
        <v>0</v>
      </c>
      <c r="O249" s="356">
        <v>0</v>
      </c>
      <c r="P249" s="356">
        <v>0</v>
      </c>
      <c r="Q249" s="356">
        <v>0</v>
      </c>
      <c r="R249" s="356">
        <v>0</v>
      </c>
      <c r="S249" s="357">
        <f t="shared" si="53"/>
        <v>-8246.625</v>
      </c>
      <c r="U249" s="358">
        <f t="shared" si="54"/>
        <v>-8246.625</v>
      </c>
      <c r="V249" s="359"/>
      <c r="W249" s="359"/>
      <c r="X249" s="360"/>
      <c r="Y249" s="359"/>
      <c r="Z249" s="359"/>
      <c r="AA249" s="358"/>
      <c r="AB249" s="359"/>
      <c r="AD249" s="271">
        <f t="shared" si="55"/>
        <v>-8246.625</v>
      </c>
      <c r="AF249" s="289">
        <f t="shared" si="51"/>
        <v>0</v>
      </c>
    </row>
    <row r="250" spans="1:32">
      <c r="A250" s="113">
        <v>235</v>
      </c>
      <c r="B250" s="119" t="s">
        <v>1523</v>
      </c>
      <c r="C250" s="119" t="s">
        <v>2209</v>
      </c>
      <c r="D250" s="119" t="s">
        <v>2219</v>
      </c>
      <c r="E250" s="355" t="s">
        <v>2220</v>
      </c>
      <c r="F250" s="356">
        <v>1644093</v>
      </c>
      <c r="G250" s="356">
        <v>0</v>
      </c>
      <c r="H250" s="356">
        <v>0</v>
      </c>
      <c r="I250" s="356">
        <v>0</v>
      </c>
      <c r="J250" s="356">
        <v>0</v>
      </c>
      <c r="K250" s="356">
        <v>0</v>
      </c>
      <c r="L250" s="356">
        <v>0</v>
      </c>
      <c r="M250" s="356">
        <v>0</v>
      </c>
      <c r="N250" s="356">
        <v>0</v>
      </c>
      <c r="O250" s="356">
        <v>0</v>
      </c>
      <c r="P250" s="356">
        <v>0</v>
      </c>
      <c r="Q250" s="356">
        <v>0</v>
      </c>
      <c r="R250" s="356">
        <v>0</v>
      </c>
      <c r="S250" s="357">
        <f t="shared" si="53"/>
        <v>68503.875</v>
      </c>
      <c r="U250" s="358">
        <f t="shared" si="54"/>
        <v>68503.875</v>
      </c>
      <c r="V250" s="359"/>
      <c r="W250" s="359"/>
      <c r="X250" s="360"/>
      <c r="Y250" s="359"/>
      <c r="Z250" s="359"/>
      <c r="AA250" s="358"/>
      <c r="AB250" s="359"/>
      <c r="AD250" s="271">
        <f t="shared" si="55"/>
        <v>68503.875</v>
      </c>
      <c r="AF250" s="289">
        <f t="shared" si="51"/>
        <v>0</v>
      </c>
    </row>
    <row r="251" spans="1:32">
      <c r="A251" s="113">
        <v>236</v>
      </c>
      <c r="B251" s="119" t="s">
        <v>1543</v>
      </c>
      <c r="C251" s="119" t="s">
        <v>2209</v>
      </c>
      <c r="D251" s="119" t="s">
        <v>2221</v>
      </c>
      <c r="E251" s="355" t="s">
        <v>2222</v>
      </c>
      <c r="F251" s="356">
        <v>-1.16415321826935E-10</v>
      </c>
      <c r="G251" s="356">
        <v>0</v>
      </c>
      <c r="H251" s="356">
        <v>0</v>
      </c>
      <c r="I251" s="356">
        <v>0</v>
      </c>
      <c r="J251" s="356">
        <v>0</v>
      </c>
      <c r="K251" s="356">
        <v>0</v>
      </c>
      <c r="L251" s="356">
        <v>0</v>
      </c>
      <c r="M251" s="356">
        <v>0</v>
      </c>
      <c r="N251" s="356">
        <v>0</v>
      </c>
      <c r="O251" s="356">
        <v>0</v>
      </c>
      <c r="P251" s="356">
        <v>0</v>
      </c>
      <c r="Q251" s="356">
        <v>0</v>
      </c>
      <c r="R251" s="356">
        <v>0</v>
      </c>
      <c r="S251" s="357">
        <f t="shared" si="53"/>
        <v>-4.8506384094556251E-12</v>
      </c>
      <c r="U251" s="358">
        <f t="shared" si="54"/>
        <v>-4.8506384094556251E-12</v>
      </c>
      <c r="V251" s="359"/>
      <c r="W251" s="359"/>
      <c r="X251" s="360"/>
      <c r="Y251" s="359"/>
      <c r="Z251" s="359"/>
      <c r="AA251" s="358"/>
      <c r="AB251" s="359"/>
      <c r="AD251" s="271">
        <f t="shared" si="55"/>
        <v>-4.8506384094556251E-12</v>
      </c>
      <c r="AF251" s="289">
        <f t="shared" si="51"/>
        <v>0</v>
      </c>
    </row>
    <row r="252" spans="1:32">
      <c r="A252" s="113">
        <v>237</v>
      </c>
      <c r="B252" s="119" t="s">
        <v>1543</v>
      </c>
      <c r="C252" s="119" t="s">
        <v>2209</v>
      </c>
      <c r="D252" s="119" t="s">
        <v>2233</v>
      </c>
      <c r="E252" s="355" t="s">
        <v>2234</v>
      </c>
      <c r="F252" s="356">
        <v>0</v>
      </c>
      <c r="G252" s="356">
        <v>0</v>
      </c>
      <c r="H252" s="356">
        <v>0</v>
      </c>
      <c r="I252" s="356">
        <v>75000</v>
      </c>
      <c r="J252" s="356">
        <v>75000</v>
      </c>
      <c r="K252" s="356">
        <v>75000</v>
      </c>
      <c r="L252" s="356">
        <v>150000</v>
      </c>
      <c r="M252" s="356">
        <v>150000</v>
      </c>
      <c r="N252" s="356">
        <v>150000</v>
      </c>
      <c r="O252" s="356">
        <v>225000</v>
      </c>
      <c r="P252" s="356">
        <v>231200.13</v>
      </c>
      <c r="Q252" s="356">
        <v>231951</v>
      </c>
      <c r="R252" s="356">
        <v>308383.19</v>
      </c>
      <c r="S252" s="357">
        <f t="shared" si="53"/>
        <v>126445.22708333332</v>
      </c>
      <c r="U252" s="358">
        <f t="shared" si="54"/>
        <v>126445.22708333332</v>
      </c>
      <c r="V252" s="359"/>
      <c r="W252" s="359"/>
      <c r="X252" s="360"/>
      <c r="Y252" s="359"/>
      <c r="Z252" s="359"/>
      <c r="AA252" s="358"/>
      <c r="AB252" s="359"/>
      <c r="AD252" s="271">
        <f t="shared" si="55"/>
        <v>126445.22708333332</v>
      </c>
      <c r="AF252" s="289">
        <f t="shared" si="51"/>
        <v>0</v>
      </c>
    </row>
    <row r="253" spans="1:32">
      <c r="A253" s="113">
        <v>238</v>
      </c>
      <c r="B253" s="119" t="s">
        <v>1543</v>
      </c>
      <c r="C253" s="119" t="s">
        <v>2209</v>
      </c>
      <c r="D253" s="119" t="s">
        <v>2235</v>
      </c>
      <c r="E253" s="355" t="s">
        <v>2236</v>
      </c>
      <c r="F253" s="356">
        <v>0</v>
      </c>
      <c r="G253" s="356">
        <v>0</v>
      </c>
      <c r="H253" s="356">
        <v>0</v>
      </c>
      <c r="I253" s="356">
        <v>0</v>
      </c>
      <c r="J253" s="356">
        <v>0</v>
      </c>
      <c r="K253" s="356">
        <v>0</v>
      </c>
      <c r="L253" s="356">
        <v>0</v>
      </c>
      <c r="M253" s="356">
        <v>0</v>
      </c>
      <c r="N253" s="356">
        <v>0</v>
      </c>
      <c r="O253" s="356">
        <v>0</v>
      </c>
      <c r="P253" s="356">
        <v>0</v>
      </c>
      <c r="Q253" s="356">
        <v>0</v>
      </c>
      <c r="R253" s="356">
        <v>160988.04999999999</v>
      </c>
      <c r="S253" s="357">
        <f t="shared" si="53"/>
        <v>6707.8354166666659</v>
      </c>
      <c r="U253" s="358">
        <f t="shared" si="54"/>
        <v>6707.8354166666659</v>
      </c>
      <c r="V253" s="359"/>
      <c r="W253" s="359"/>
      <c r="X253" s="360"/>
      <c r="Y253" s="359"/>
      <c r="Z253" s="359"/>
      <c r="AA253" s="358"/>
      <c r="AB253" s="359"/>
      <c r="AD253" s="271">
        <f t="shared" si="55"/>
        <v>6707.8354166666659</v>
      </c>
      <c r="AF253" s="289">
        <f t="shared" si="51"/>
        <v>0</v>
      </c>
    </row>
    <row r="254" spans="1:32">
      <c r="A254" s="113">
        <v>239</v>
      </c>
      <c r="B254" s="119" t="s">
        <v>1523</v>
      </c>
      <c r="C254" s="119" t="s">
        <v>2209</v>
      </c>
      <c r="D254" s="119" t="s">
        <v>2213</v>
      </c>
      <c r="E254" s="355" t="s">
        <v>2237</v>
      </c>
      <c r="F254" s="356">
        <v>38966901</v>
      </c>
      <c r="G254" s="356">
        <v>0</v>
      </c>
      <c r="H254" s="356">
        <v>0</v>
      </c>
      <c r="I254" s="356">
        <v>0</v>
      </c>
      <c r="J254" s="356">
        <v>0</v>
      </c>
      <c r="K254" s="356">
        <v>0</v>
      </c>
      <c r="L254" s="356">
        <v>0</v>
      </c>
      <c r="M254" s="356">
        <v>0</v>
      </c>
      <c r="N254" s="356">
        <v>0</v>
      </c>
      <c r="O254" s="356">
        <v>0</v>
      </c>
      <c r="P254" s="356">
        <v>0</v>
      </c>
      <c r="Q254" s="356">
        <v>0</v>
      </c>
      <c r="R254" s="356">
        <v>0</v>
      </c>
      <c r="S254" s="357">
        <f t="shared" si="53"/>
        <v>1623620.875</v>
      </c>
      <c r="U254" s="358">
        <f t="shared" si="54"/>
        <v>1623620.875</v>
      </c>
      <c r="V254" s="359"/>
      <c r="W254" s="359"/>
      <c r="X254" s="360"/>
      <c r="Y254" s="359"/>
      <c r="Z254" s="359"/>
      <c r="AA254" s="358"/>
      <c r="AB254" s="359"/>
      <c r="AD254" s="271">
        <f t="shared" si="55"/>
        <v>1623620.875</v>
      </c>
      <c r="AF254" s="289">
        <f t="shared" si="51"/>
        <v>0</v>
      </c>
    </row>
    <row r="255" spans="1:32">
      <c r="A255" s="113">
        <v>240</v>
      </c>
      <c r="B255" s="119" t="s">
        <v>1523</v>
      </c>
      <c r="C255" s="119" t="s">
        <v>2209</v>
      </c>
      <c r="D255" s="119" t="s">
        <v>2215</v>
      </c>
      <c r="E255" s="355" t="s">
        <v>2216</v>
      </c>
      <c r="F255" s="356">
        <v>1045610</v>
      </c>
      <c r="G255" s="356">
        <v>0</v>
      </c>
      <c r="H255" s="356">
        <v>0</v>
      </c>
      <c r="I255" s="356">
        <v>0</v>
      </c>
      <c r="J255" s="356">
        <v>0</v>
      </c>
      <c r="K255" s="356">
        <v>0</v>
      </c>
      <c r="L255" s="356">
        <v>0</v>
      </c>
      <c r="M255" s="356">
        <v>0</v>
      </c>
      <c r="N255" s="356">
        <v>0</v>
      </c>
      <c r="O255" s="356">
        <v>0</v>
      </c>
      <c r="P255" s="356">
        <v>0</v>
      </c>
      <c r="Q255" s="356">
        <v>0</v>
      </c>
      <c r="R255" s="356">
        <v>0</v>
      </c>
      <c r="S255" s="357">
        <f t="shared" si="53"/>
        <v>43567.083333333336</v>
      </c>
      <c r="U255" s="358">
        <f t="shared" si="54"/>
        <v>43567.083333333336</v>
      </c>
      <c r="V255" s="359"/>
      <c r="W255" s="359"/>
      <c r="X255" s="360"/>
      <c r="Y255" s="359"/>
      <c r="Z255" s="359"/>
      <c r="AA255" s="358"/>
      <c r="AB255" s="359"/>
      <c r="AD255" s="271">
        <f t="shared" si="55"/>
        <v>43567.083333333336</v>
      </c>
      <c r="AF255" s="289">
        <f t="shared" si="51"/>
        <v>0</v>
      </c>
    </row>
    <row r="256" spans="1:32">
      <c r="A256" s="113">
        <v>241</v>
      </c>
      <c r="B256" s="119" t="s">
        <v>1530</v>
      </c>
      <c r="C256" s="119" t="s">
        <v>2238</v>
      </c>
      <c r="D256" s="119" t="s">
        <v>2239</v>
      </c>
      <c r="E256" s="355" t="s">
        <v>2240</v>
      </c>
      <c r="F256" s="356"/>
      <c r="G256" s="356"/>
      <c r="H256" s="356"/>
      <c r="I256" s="356"/>
      <c r="J256" s="356"/>
      <c r="K256" s="356"/>
      <c r="L256" s="356"/>
      <c r="M256" s="356"/>
      <c r="N256" s="356"/>
      <c r="O256" s="356">
        <v>0</v>
      </c>
      <c r="P256" s="356">
        <v>0</v>
      </c>
      <c r="Q256" s="356">
        <v>0</v>
      </c>
      <c r="R256" s="356">
        <v>0</v>
      </c>
      <c r="S256" s="357">
        <f t="shared" si="53"/>
        <v>0</v>
      </c>
      <c r="U256" s="358">
        <f t="shared" si="54"/>
        <v>0</v>
      </c>
      <c r="V256" s="359"/>
      <c r="W256" s="359"/>
      <c r="X256" s="360"/>
      <c r="Y256" s="359"/>
      <c r="Z256" s="359"/>
      <c r="AA256" s="358"/>
      <c r="AB256" s="359"/>
      <c r="AD256" s="271">
        <f t="shared" si="55"/>
        <v>0</v>
      </c>
      <c r="AF256" s="289">
        <f t="shared" si="51"/>
        <v>0</v>
      </c>
    </row>
    <row r="257" spans="1:32">
      <c r="A257" s="113">
        <v>242</v>
      </c>
      <c r="B257" s="119" t="s">
        <v>1530</v>
      </c>
      <c r="C257" s="119" t="s">
        <v>2238</v>
      </c>
      <c r="D257" s="395" t="s">
        <v>2241</v>
      </c>
      <c r="E257" s="355" t="s">
        <v>2242</v>
      </c>
      <c r="F257" s="356"/>
      <c r="G257" s="356"/>
      <c r="H257" s="356"/>
      <c r="I257" s="356"/>
      <c r="J257" s="356"/>
      <c r="K257" s="356"/>
      <c r="L257" s="356"/>
      <c r="M257" s="356"/>
      <c r="N257" s="356"/>
      <c r="O257" s="356">
        <v>0</v>
      </c>
      <c r="P257" s="356">
        <v>0</v>
      </c>
      <c r="Q257" s="356">
        <v>0</v>
      </c>
      <c r="R257" s="356">
        <v>0</v>
      </c>
      <c r="S257" s="357">
        <f t="shared" si="53"/>
        <v>0</v>
      </c>
      <c r="U257" s="358">
        <f t="shared" si="54"/>
        <v>0</v>
      </c>
      <c r="V257" s="359"/>
      <c r="W257" s="359"/>
      <c r="X257" s="360"/>
      <c r="Y257" s="359"/>
      <c r="Z257" s="359"/>
      <c r="AA257" s="358"/>
      <c r="AB257" s="359"/>
      <c r="AD257" s="271">
        <f t="shared" si="55"/>
        <v>0</v>
      </c>
      <c r="AF257" s="289">
        <f t="shared" si="51"/>
        <v>0</v>
      </c>
    </row>
    <row r="258" spans="1:32">
      <c r="A258" s="113">
        <v>243</v>
      </c>
      <c r="B258" s="119" t="s">
        <v>1530</v>
      </c>
      <c r="C258" s="119" t="s">
        <v>2238</v>
      </c>
      <c r="D258" s="119" t="s">
        <v>2243</v>
      </c>
      <c r="E258" s="355" t="s">
        <v>2244</v>
      </c>
      <c r="F258" s="356"/>
      <c r="G258" s="356"/>
      <c r="H258" s="356"/>
      <c r="I258" s="356"/>
      <c r="J258" s="356"/>
      <c r="K258" s="356"/>
      <c r="L258" s="356"/>
      <c r="M258" s="356"/>
      <c r="N258" s="356"/>
      <c r="O258" s="356">
        <v>0</v>
      </c>
      <c r="P258" s="356">
        <v>0</v>
      </c>
      <c r="Q258" s="356">
        <v>0</v>
      </c>
      <c r="R258" s="356">
        <v>0</v>
      </c>
      <c r="S258" s="357">
        <f t="shared" si="53"/>
        <v>0</v>
      </c>
      <c r="U258" s="358">
        <f t="shared" si="54"/>
        <v>0</v>
      </c>
      <c r="V258" s="359"/>
      <c r="W258" s="359"/>
      <c r="X258" s="360"/>
      <c r="Y258" s="359"/>
      <c r="Z258" s="359"/>
      <c r="AA258" s="358"/>
      <c r="AB258" s="359"/>
      <c r="AD258" s="271">
        <f t="shared" si="55"/>
        <v>0</v>
      </c>
      <c r="AF258" s="289">
        <f t="shared" si="51"/>
        <v>0</v>
      </c>
    </row>
    <row r="259" spans="1:32">
      <c r="A259" s="113">
        <v>244</v>
      </c>
      <c r="B259" s="119" t="s">
        <v>1530</v>
      </c>
      <c r="C259" s="119" t="s">
        <v>2238</v>
      </c>
      <c r="D259" s="119" t="s">
        <v>2245</v>
      </c>
      <c r="E259" s="355" t="s">
        <v>2246</v>
      </c>
      <c r="F259" s="356"/>
      <c r="G259" s="356"/>
      <c r="H259" s="356"/>
      <c r="I259" s="356"/>
      <c r="J259" s="356"/>
      <c r="K259" s="356"/>
      <c r="L259" s="356"/>
      <c r="M259" s="356"/>
      <c r="N259" s="356"/>
      <c r="O259" s="356">
        <v>0</v>
      </c>
      <c r="P259" s="356">
        <v>0</v>
      </c>
      <c r="Q259" s="356">
        <v>0</v>
      </c>
      <c r="R259" s="356">
        <v>0</v>
      </c>
      <c r="S259" s="357">
        <f t="shared" si="53"/>
        <v>0</v>
      </c>
      <c r="U259" s="358">
        <f t="shared" si="54"/>
        <v>0</v>
      </c>
      <c r="V259" s="359"/>
      <c r="W259" s="359"/>
      <c r="X259" s="360"/>
      <c r="Y259" s="359"/>
      <c r="Z259" s="359"/>
      <c r="AA259" s="358"/>
      <c r="AB259" s="359"/>
      <c r="AD259" s="271">
        <f t="shared" si="55"/>
        <v>0</v>
      </c>
      <c r="AF259" s="289">
        <f t="shared" si="51"/>
        <v>0</v>
      </c>
    </row>
    <row r="260" spans="1:32">
      <c r="A260" s="113">
        <v>245</v>
      </c>
      <c r="B260" s="119" t="s">
        <v>1530</v>
      </c>
      <c r="C260" s="119" t="s">
        <v>2238</v>
      </c>
      <c r="D260" s="119" t="s">
        <v>2247</v>
      </c>
      <c r="E260" s="355" t="s">
        <v>2248</v>
      </c>
      <c r="F260" s="356"/>
      <c r="G260" s="356"/>
      <c r="H260" s="356"/>
      <c r="I260" s="356"/>
      <c r="J260" s="356"/>
      <c r="K260" s="356"/>
      <c r="L260" s="356"/>
      <c r="M260" s="356"/>
      <c r="N260" s="356"/>
      <c r="O260" s="356">
        <v>0</v>
      </c>
      <c r="P260" s="356">
        <v>0</v>
      </c>
      <c r="Q260" s="356">
        <v>0</v>
      </c>
      <c r="R260" s="356">
        <v>0</v>
      </c>
      <c r="S260" s="357">
        <f t="shared" si="53"/>
        <v>0</v>
      </c>
      <c r="U260" s="358">
        <f t="shared" si="54"/>
        <v>0</v>
      </c>
      <c r="V260" s="359"/>
      <c r="W260" s="359"/>
      <c r="X260" s="360"/>
      <c r="Y260" s="359"/>
      <c r="Z260" s="359"/>
      <c r="AA260" s="358"/>
      <c r="AB260" s="359"/>
      <c r="AD260" s="271">
        <f t="shared" si="55"/>
        <v>0</v>
      </c>
      <c r="AF260" s="289">
        <f t="shared" si="51"/>
        <v>0</v>
      </c>
    </row>
    <row r="261" spans="1:32">
      <c r="A261" s="113">
        <v>246</v>
      </c>
      <c r="B261" s="119" t="s">
        <v>1530</v>
      </c>
      <c r="C261" s="119" t="s">
        <v>2238</v>
      </c>
      <c r="D261" s="119" t="s">
        <v>2249</v>
      </c>
      <c r="E261" s="355" t="s">
        <v>2250</v>
      </c>
      <c r="F261" s="356"/>
      <c r="G261" s="356"/>
      <c r="H261" s="356"/>
      <c r="I261" s="356"/>
      <c r="J261" s="356"/>
      <c r="K261" s="356"/>
      <c r="L261" s="356"/>
      <c r="M261" s="356"/>
      <c r="N261" s="356"/>
      <c r="O261" s="356">
        <v>0</v>
      </c>
      <c r="P261" s="356">
        <v>0</v>
      </c>
      <c r="Q261" s="356">
        <v>0</v>
      </c>
      <c r="R261" s="356">
        <v>0</v>
      </c>
      <c r="S261" s="357">
        <f t="shared" si="53"/>
        <v>0</v>
      </c>
      <c r="U261" s="358">
        <f t="shared" si="54"/>
        <v>0</v>
      </c>
      <c r="V261" s="359"/>
      <c r="W261" s="359"/>
      <c r="X261" s="360"/>
      <c r="Y261" s="359"/>
      <c r="Z261" s="359"/>
      <c r="AA261" s="358"/>
      <c r="AB261" s="359"/>
      <c r="AD261" s="271">
        <f t="shared" si="55"/>
        <v>0</v>
      </c>
      <c r="AF261" s="289">
        <f t="shared" si="51"/>
        <v>0</v>
      </c>
    </row>
    <row r="262" spans="1:32">
      <c r="A262" s="113">
        <v>247</v>
      </c>
      <c r="B262" s="119" t="s">
        <v>1530</v>
      </c>
      <c r="C262" s="119" t="s">
        <v>2238</v>
      </c>
      <c r="D262" s="113" t="s">
        <v>2251</v>
      </c>
      <c r="E262" s="355" t="s">
        <v>2252</v>
      </c>
      <c r="F262" s="356"/>
      <c r="G262" s="356"/>
      <c r="H262" s="356"/>
      <c r="I262" s="356"/>
      <c r="J262" s="356"/>
      <c r="K262" s="356"/>
      <c r="L262" s="356"/>
      <c r="M262" s="356"/>
      <c r="N262" s="356"/>
      <c r="O262" s="356">
        <v>0</v>
      </c>
      <c r="P262" s="356">
        <v>0</v>
      </c>
      <c r="Q262" s="356">
        <v>0</v>
      </c>
      <c r="R262" s="356">
        <v>0</v>
      </c>
      <c r="S262" s="357">
        <f t="shared" si="53"/>
        <v>0</v>
      </c>
      <c r="U262" s="358">
        <f t="shared" si="54"/>
        <v>0</v>
      </c>
      <c r="V262" s="359"/>
      <c r="W262" s="359"/>
      <c r="X262" s="360"/>
      <c r="Y262" s="359"/>
      <c r="Z262" s="359"/>
      <c r="AA262" s="358"/>
      <c r="AB262" s="359"/>
      <c r="AD262" s="271">
        <f t="shared" si="55"/>
        <v>0</v>
      </c>
      <c r="AF262" s="289">
        <f t="shared" si="51"/>
        <v>0</v>
      </c>
    </row>
    <row r="263" spans="1:32">
      <c r="A263" s="113">
        <v>248</v>
      </c>
      <c r="B263" s="119" t="s">
        <v>1530</v>
      </c>
      <c r="C263" s="119" t="s">
        <v>2238</v>
      </c>
      <c r="D263" s="119" t="s">
        <v>1953</v>
      </c>
      <c r="E263" s="355" t="s">
        <v>2253</v>
      </c>
      <c r="F263" s="356"/>
      <c r="G263" s="356"/>
      <c r="H263" s="356"/>
      <c r="I263" s="356"/>
      <c r="J263" s="356"/>
      <c r="K263" s="356"/>
      <c r="L263" s="356"/>
      <c r="M263" s="356"/>
      <c r="N263" s="356"/>
      <c r="O263" s="356">
        <v>0</v>
      </c>
      <c r="P263" s="356">
        <v>0</v>
      </c>
      <c r="Q263" s="356">
        <v>0</v>
      </c>
      <c r="R263" s="356">
        <v>0</v>
      </c>
      <c r="S263" s="357">
        <f t="shared" si="53"/>
        <v>0</v>
      </c>
      <c r="U263" s="358">
        <f t="shared" si="54"/>
        <v>0</v>
      </c>
      <c r="V263" s="359"/>
      <c r="W263" s="359"/>
      <c r="X263" s="360"/>
      <c r="Y263" s="359"/>
      <c r="Z263" s="359"/>
      <c r="AA263" s="358"/>
      <c r="AB263" s="359"/>
      <c r="AD263" s="271">
        <f t="shared" si="55"/>
        <v>0</v>
      </c>
      <c r="AF263" s="289">
        <f t="shared" si="51"/>
        <v>0</v>
      </c>
    </row>
    <row r="264" spans="1:32">
      <c r="A264" s="113">
        <v>249</v>
      </c>
      <c r="B264" s="119" t="s">
        <v>1530</v>
      </c>
      <c r="C264" s="119" t="s">
        <v>2238</v>
      </c>
      <c r="D264" s="119" t="s">
        <v>1499</v>
      </c>
      <c r="E264" s="355" t="s">
        <v>2254</v>
      </c>
      <c r="F264" s="356"/>
      <c r="G264" s="356"/>
      <c r="H264" s="356"/>
      <c r="I264" s="356"/>
      <c r="J264" s="356"/>
      <c r="K264" s="356"/>
      <c r="L264" s="356"/>
      <c r="M264" s="356"/>
      <c r="N264" s="356"/>
      <c r="O264" s="356">
        <v>0</v>
      </c>
      <c r="P264" s="356">
        <v>0</v>
      </c>
      <c r="Q264" s="356">
        <v>0</v>
      </c>
      <c r="R264" s="356">
        <v>0</v>
      </c>
      <c r="S264" s="357">
        <f t="shared" si="53"/>
        <v>0</v>
      </c>
      <c r="U264" s="358">
        <f t="shared" si="54"/>
        <v>0</v>
      </c>
      <c r="V264" s="359"/>
      <c r="W264" s="359"/>
      <c r="X264" s="360"/>
      <c r="Y264" s="359"/>
      <c r="Z264" s="359"/>
      <c r="AA264" s="358"/>
      <c r="AB264" s="359"/>
      <c r="AD264" s="271">
        <f t="shared" si="55"/>
        <v>0</v>
      </c>
      <c r="AF264" s="289">
        <f t="shared" si="51"/>
        <v>0</v>
      </c>
    </row>
    <row r="265" spans="1:32">
      <c r="A265" s="113">
        <v>250</v>
      </c>
      <c r="B265" s="119" t="s">
        <v>1530</v>
      </c>
      <c r="C265" s="119" t="s">
        <v>2238</v>
      </c>
      <c r="D265" s="119" t="s">
        <v>2255</v>
      </c>
      <c r="E265" s="355" t="s">
        <v>2256</v>
      </c>
      <c r="F265" s="356"/>
      <c r="G265" s="356"/>
      <c r="H265" s="356"/>
      <c r="I265" s="356"/>
      <c r="J265" s="356"/>
      <c r="K265" s="356"/>
      <c r="L265" s="356"/>
      <c r="M265" s="356"/>
      <c r="N265" s="356"/>
      <c r="O265" s="356">
        <v>0</v>
      </c>
      <c r="P265" s="356">
        <v>0</v>
      </c>
      <c r="Q265" s="356">
        <v>0</v>
      </c>
      <c r="R265" s="356">
        <v>0</v>
      </c>
      <c r="S265" s="357">
        <f t="shared" si="53"/>
        <v>0</v>
      </c>
      <c r="U265" s="358">
        <f t="shared" si="54"/>
        <v>0</v>
      </c>
      <c r="V265" s="359"/>
      <c r="W265" s="359"/>
      <c r="X265" s="360"/>
      <c r="Y265" s="359"/>
      <c r="Z265" s="359"/>
      <c r="AA265" s="358"/>
      <c r="AB265" s="359"/>
      <c r="AD265" s="271">
        <f t="shared" si="55"/>
        <v>0</v>
      </c>
      <c r="AF265" s="289">
        <f t="shared" si="51"/>
        <v>0</v>
      </c>
    </row>
    <row r="266" spans="1:32">
      <c r="A266" s="113">
        <v>251</v>
      </c>
      <c r="B266" s="119" t="s">
        <v>1530</v>
      </c>
      <c r="C266" s="119" t="s">
        <v>2238</v>
      </c>
      <c r="D266" s="119" t="s">
        <v>2257</v>
      </c>
      <c r="E266" s="355" t="s">
        <v>2258</v>
      </c>
      <c r="F266" s="356"/>
      <c r="G266" s="356"/>
      <c r="H266" s="356"/>
      <c r="I266" s="356"/>
      <c r="J266" s="356"/>
      <c r="K266" s="356"/>
      <c r="L266" s="356"/>
      <c r="M266" s="356"/>
      <c r="N266" s="356"/>
      <c r="O266" s="356">
        <v>0</v>
      </c>
      <c r="P266" s="356">
        <v>0</v>
      </c>
      <c r="Q266" s="356">
        <v>0</v>
      </c>
      <c r="R266" s="356">
        <v>0</v>
      </c>
      <c r="S266" s="357">
        <f t="shared" si="53"/>
        <v>0</v>
      </c>
      <c r="U266" s="358">
        <f t="shared" si="54"/>
        <v>0</v>
      </c>
      <c r="V266" s="359"/>
      <c r="W266" s="359"/>
      <c r="X266" s="360"/>
      <c r="Y266" s="359"/>
      <c r="Z266" s="359"/>
      <c r="AA266" s="358"/>
      <c r="AB266" s="359"/>
      <c r="AD266" s="271">
        <f t="shared" si="55"/>
        <v>0</v>
      </c>
      <c r="AF266" s="289">
        <f t="shared" si="51"/>
        <v>0</v>
      </c>
    </row>
    <row r="267" spans="1:32">
      <c r="A267" s="113">
        <v>252</v>
      </c>
      <c r="B267" s="119" t="s">
        <v>1530</v>
      </c>
      <c r="C267" s="119" t="s">
        <v>2238</v>
      </c>
      <c r="D267" s="119" t="s">
        <v>2259</v>
      </c>
      <c r="E267" s="355" t="s">
        <v>2260</v>
      </c>
      <c r="F267" s="356"/>
      <c r="G267" s="356"/>
      <c r="H267" s="356"/>
      <c r="I267" s="356"/>
      <c r="J267" s="356"/>
      <c r="K267" s="356"/>
      <c r="L267" s="356"/>
      <c r="M267" s="356"/>
      <c r="N267" s="356"/>
      <c r="O267" s="356">
        <v>0</v>
      </c>
      <c r="P267" s="356">
        <v>0</v>
      </c>
      <c r="Q267" s="356">
        <v>0</v>
      </c>
      <c r="R267" s="356">
        <v>0</v>
      </c>
      <c r="S267" s="357">
        <f t="shared" si="53"/>
        <v>0</v>
      </c>
      <c r="U267" s="358">
        <f t="shared" si="54"/>
        <v>0</v>
      </c>
      <c r="V267" s="359"/>
      <c r="W267" s="359"/>
      <c r="X267" s="360"/>
      <c r="Y267" s="359"/>
      <c r="Z267" s="359"/>
      <c r="AA267" s="358"/>
      <c r="AB267" s="359"/>
      <c r="AD267" s="271">
        <f t="shared" si="55"/>
        <v>0</v>
      </c>
      <c r="AF267" s="289">
        <f t="shared" si="51"/>
        <v>0</v>
      </c>
    </row>
    <row r="268" spans="1:32">
      <c r="A268" s="113">
        <v>253</v>
      </c>
      <c r="B268" s="119" t="s">
        <v>1530</v>
      </c>
      <c r="C268" s="119" t="s">
        <v>2238</v>
      </c>
      <c r="D268" s="119" t="s">
        <v>2055</v>
      </c>
      <c r="E268" s="355" t="s">
        <v>2261</v>
      </c>
      <c r="F268" s="356"/>
      <c r="G268" s="356"/>
      <c r="H268" s="356"/>
      <c r="I268" s="356"/>
      <c r="J268" s="356"/>
      <c r="K268" s="356"/>
      <c r="L268" s="356"/>
      <c r="M268" s="356"/>
      <c r="N268" s="356"/>
      <c r="O268" s="356">
        <v>0</v>
      </c>
      <c r="P268" s="356">
        <v>0</v>
      </c>
      <c r="Q268" s="356">
        <v>0</v>
      </c>
      <c r="R268" s="356">
        <v>0</v>
      </c>
      <c r="S268" s="357">
        <f t="shared" si="53"/>
        <v>0</v>
      </c>
      <c r="U268" s="358">
        <f t="shared" si="54"/>
        <v>0</v>
      </c>
      <c r="V268" s="359"/>
      <c r="W268" s="359"/>
      <c r="X268" s="360"/>
      <c r="Y268" s="359"/>
      <c r="Z268" s="359"/>
      <c r="AA268" s="358"/>
      <c r="AB268" s="359"/>
      <c r="AD268" s="271">
        <f t="shared" si="55"/>
        <v>0</v>
      </c>
      <c r="AF268" s="289">
        <f t="shared" si="51"/>
        <v>0</v>
      </c>
    </row>
    <row r="269" spans="1:32">
      <c r="A269" s="113">
        <v>254</v>
      </c>
      <c r="B269" s="119" t="s">
        <v>1530</v>
      </c>
      <c r="C269" s="119" t="s">
        <v>2238</v>
      </c>
      <c r="D269" s="119" t="s">
        <v>2091</v>
      </c>
      <c r="E269" s="355" t="s">
        <v>2262</v>
      </c>
      <c r="F269" s="356"/>
      <c r="G269" s="356"/>
      <c r="H269" s="356"/>
      <c r="I269" s="356"/>
      <c r="J269" s="356"/>
      <c r="K269" s="356"/>
      <c r="L269" s="356"/>
      <c r="M269" s="356"/>
      <c r="N269" s="356"/>
      <c r="O269" s="356">
        <v>0</v>
      </c>
      <c r="P269" s="356">
        <v>0</v>
      </c>
      <c r="Q269" s="356">
        <v>0</v>
      </c>
      <c r="R269" s="356">
        <v>0</v>
      </c>
      <c r="S269" s="357">
        <f t="shared" si="53"/>
        <v>0</v>
      </c>
      <c r="U269" s="358">
        <f t="shared" si="54"/>
        <v>0</v>
      </c>
      <c r="V269" s="359"/>
      <c r="W269" s="359"/>
      <c r="X269" s="360"/>
      <c r="Y269" s="359"/>
      <c r="Z269" s="359"/>
      <c r="AA269" s="358"/>
      <c r="AD269" s="358">
        <f>+S269</f>
        <v>0</v>
      </c>
      <c r="AF269" s="289">
        <f t="shared" si="51"/>
        <v>0</v>
      </c>
    </row>
    <row r="270" spans="1:32">
      <c r="A270" s="113">
        <v>255</v>
      </c>
      <c r="B270" s="119" t="s">
        <v>1530</v>
      </c>
      <c r="C270" s="119" t="s">
        <v>2238</v>
      </c>
      <c r="D270" s="119" t="s">
        <v>2263</v>
      </c>
      <c r="E270" s="355" t="s">
        <v>2264</v>
      </c>
      <c r="F270" s="356"/>
      <c r="G270" s="356"/>
      <c r="H270" s="356"/>
      <c r="I270" s="356"/>
      <c r="J270" s="356"/>
      <c r="K270" s="356"/>
      <c r="L270" s="356"/>
      <c r="M270" s="356"/>
      <c r="N270" s="356"/>
      <c r="O270" s="356">
        <v>0</v>
      </c>
      <c r="P270" s="356">
        <v>0</v>
      </c>
      <c r="Q270" s="356">
        <v>0</v>
      </c>
      <c r="R270" s="356">
        <v>0</v>
      </c>
      <c r="S270" s="357">
        <f t="shared" si="53"/>
        <v>0</v>
      </c>
      <c r="U270" s="358">
        <f>+S270</f>
        <v>0</v>
      </c>
      <c r="V270" s="359"/>
      <c r="W270" s="359"/>
      <c r="X270" s="360"/>
      <c r="Y270" s="359"/>
      <c r="Z270" s="359"/>
      <c r="AA270" s="358"/>
      <c r="AD270" s="358">
        <f>+S270</f>
        <v>0</v>
      </c>
      <c r="AF270" s="289">
        <f t="shared" si="51"/>
        <v>0</v>
      </c>
    </row>
    <row r="271" spans="1:32">
      <c r="A271" s="113">
        <v>256</v>
      </c>
      <c r="B271" s="119" t="s">
        <v>1530</v>
      </c>
      <c r="C271" s="119" t="s">
        <v>2238</v>
      </c>
      <c r="D271" s="119" t="s">
        <v>2265</v>
      </c>
      <c r="E271" s="355" t="s">
        <v>2266</v>
      </c>
      <c r="F271" s="356"/>
      <c r="G271" s="356"/>
      <c r="H271" s="356"/>
      <c r="I271" s="356"/>
      <c r="J271" s="356"/>
      <c r="K271" s="356"/>
      <c r="L271" s="356"/>
      <c r="M271" s="356"/>
      <c r="N271" s="356"/>
      <c r="O271" s="356">
        <v>0</v>
      </c>
      <c r="P271" s="356">
        <v>0</v>
      </c>
      <c r="Q271" s="356">
        <v>0</v>
      </c>
      <c r="R271" s="356">
        <v>0</v>
      </c>
      <c r="S271" s="357">
        <f t="shared" si="53"/>
        <v>0</v>
      </c>
      <c r="U271" s="358">
        <f t="shared" si="54"/>
        <v>0</v>
      </c>
      <c r="V271" s="359"/>
      <c r="W271" s="359"/>
      <c r="X271" s="360"/>
      <c r="Y271" s="359"/>
      <c r="Z271" s="359"/>
      <c r="AA271" s="358"/>
      <c r="AB271" s="359"/>
      <c r="AD271" s="271">
        <f>+U271</f>
        <v>0</v>
      </c>
      <c r="AF271" s="289">
        <f t="shared" si="51"/>
        <v>0</v>
      </c>
    </row>
    <row r="272" spans="1:32">
      <c r="A272" s="113">
        <v>257</v>
      </c>
      <c r="B272" s="119" t="s">
        <v>1530</v>
      </c>
      <c r="C272" s="119" t="s">
        <v>2238</v>
      </c>
      <c r="D272" s="119" t="s">
        <v>2267</v>
      </c>
      <c r="E272" s="355" t="s">
        <v>2268</v>
      </c>
      <c r="F272" s="356"/>
      <c r="G272" s="356"/>
      <c r="H272" s="356"/>
      <c r="I272" s="356"/>
      <c r="J272" s="356"/>
      <c r="K272" s="356"/>
      <c r="L272" s="356"/>
      <c r="M272" s="356"/>
      <c r="N272" s="356"/>
      <c r="O272" s="356">
        <v>0</v>
      </c>
      <c r="P272" s="356">
        <v>0</v>
      </c>
      <c r="Q272" s="356">
        <v>0</v>
      </c>
      <c r="R272" s="356">
        <v>0</v>
      </c>
      <c r="S272" s="357">
        <f t="shared" si="53"/>
        <v>0</v>
      </c>
      <c r="U272" s="358">
        <f>+S272</f>
        <v>0</v>
      </c>
      <c r="V272" s="359"/>
      <c r="W272" s="359"/>
      <c r="X272" s="360"/>
      <c r="Y272" s="359"/>
      <c r="Z272" s="359"/>
      <c r="AA272" s="358"/>
      <c r="AB272" s="359"/>
      <c r="AD272" s="271">
        <f>+S272</f>
        <v>0</v>
      </c>
      <c r="AF272" s="289"/>
    </row>
    <row r="273" spans="1:32">
      <c r="A273" s="113">
        <v>258</v>
      </c>
      <c r="B273" s="119" t="s">
        <v>1530</v>
      </c>
      <c r="C273" s="119" t="s">
        <v>2238</v>
      </c>
      <c r="D273" s="119" t="s">
        <v>2269</v>
      </c>
      <c r="E273" s="355" t="s">
        <v>2270</v>
      </c>
      <c r="F273" s="356"/>
      <c r="G273" s="356"/>
      <c r="H273" s="356"/>
      <c r="I273" s="356"/>
      <c r="J273" s="356"/>
      <c r="K273" s="356"/>
      <c r="L273" s="356"/>
      <c r="M273" s="356"/>
      <c r="N273" s="356"/>
      <c r="O273" s="356">
        <v>0</v>
      </c>
      <c r="P273" s="356">
        <v>0</v>
      </c>
      <c r="Q273" s="356">
        <v>0</v>
      </c>
      <c r="R273" s="356">
        <v>0</v>
      </c>
      <c r="S273" s="357">
        <f t="shared" si="53"/>
        <v>0</v>
      </c>
      <c r="U273" s="358"/>
      <c r="V273" s="359"/>
      <c r="W273" s="359"/>
      <c r="X273" s="360">
        <f>+S273</f>
        <v>0</v>
      </c>
      <c r="Y273" s="359"/>
      <c r="Z273" s="359"/>
      <c r="AA273" s="358"/>
      <c r="AB273" s="359">
        <f>+S273</f>
        <v>0</v>
      </c>
      <c r="AD273" s="271"/>
      <c r="AF273" s="289">
        <f t="shared" si="51"/>
        <v>0</v>
      </c>
    </row>
    <row r="274" spans="1:32">
      <c r="A274" s="113">
        <v>259</v>
      </c>
      <c r="B274" s="119" t="s">
        <v>1530</v>
      </c>
      <c r="C274" s="119" t="s">
        <v>2238</v>
      </c>
      <c r="D274" s="119" t="s">
        <v>1496</v>
      </c>
      <c r="E274" s="355" t="s">
        <v>2271</v>
      </c>
      <c r="F274" s="356"/>
      <c r="G274" s="356"/>
      <c r="H274" s="356"/>
      <c r="I274" s="356"/>
      <c r="J274" s="356"/>
      <c r="K274" s="356"/>
      <c r="L274" s="356"/>
      <c r="M274" s="356"/>
      <c r="N274" s="356"/>
      <c r="O274" s="356">
        <v>0</v>
      </c>
      <c r="P274" s="356">
        <v>0</v>
      </c>
      <c r="Q274" s="356">
        <v>0</v>
      </c>
      <c r="R274" s="356">
        <v>0</v>
      </c>
      <c r="S274" s="357">
        <f t="shared" si="53"/>
        <v>0</v>
      </c>
      <c r="U274" s="358"/>
      <c r="V274" s="359"/>
      <c r="W274" s="359"/>
      <c r="X274" s="360">
        <f>+S274</f>
        <v>0</v>
      </c>
      <c r="Y274" s="359"/>
      <c r="Z274" s="359"/>
      <c r="AA274" s="358"/>
      <c r="AB274" s="359">
        <f>+S274</f>
        <v>0</v>
      </c>
      <c r="AD274" s="271"/>
      <c r="AF274" s="289">
        <f t="shared" si="51"/>
        <v>0</v>
      </c>
    </row>
    <row r="275" spans="1:32">
      <c r="A275" s="113">
        <v>260</v>
      </c>
      <c r="B275" s="119" t="s">
        <v>1530</v>
      </c>
      <c r="C275" s="119" t="s">
        <v>2238</v>
      </c>
      <c r="D275" s="119" t="s">
        <v>2272</v>
      </c>
      <c r="E275" s="355" t="s">
        <v>2273</v>
      </c>
      <c r="F275" s="356"/>
      <c r="G275" s="356"/>
      <c r="H275" s="356"/>
      <c r="I275" s="356"/>
      <c r="J275" s="356"/>
      <c r="K275" s="356"/>
      <c r="L275" s="356"/>
      <c r="M275" s="356"/>
      <c r="N275" s="356"/>
      <c r="O275" s="356">
        <v>0</v>
      </c>
      <c r="P275" s="356">
        <v>0</v>
      </c>
      <c r="Q275" s="356">
        <v>0</v>
      </c>
      <c r="R275" s="356">
        <v>0</v>
      </c>
      <c r="S275" s="357">
        <f t="shared" si="53"/>
        <v>0</v>
      </c>
      <c r="U275" s="358"/>
      <c r="V275" s="359"/>
      <c r="W275" s="359"/>
      <c r="X275" s="360">
        <f>+S275</f>
        <v>0</v>
      </c>
      <c r="Y275" s="359"/>
      <c r="Z275" s="359"/>
      <c r="AA275" s="358"/>
      <c r="AB275" s="359">
        <f>+S275</f>
        <v>0</v>
      </c>
      <c r="AD275" s="271"/>
      <c r="AF275" s="289">
        <f t="shared" si="51"/>
        <v>0</v>
      </c>
    </row>
    <row r="276" spans="1:32">
      <c r="A276" s="113">
        <v>261</v>
      </c>
      <c r="B276" s="119" t="s">
        <v>1530</v>
      </c>
      <c r="C276" s="119" t="s">
        <v>2238</v>
      </c>
      <c r="D276" s="119" t="s">
        <v>1495</v>
      </c>
      <c r="E276" s="355" t="s">
        <v>2274</v>
      </c>
      <c r="F276" s="356"/>
      <c r="G276" s="356"/>
      <c r="H276" s="356"/>
      <c r="I276" s="356"/>
      <c r="J276" s="356"/>
      <c r="K276" s="356"/>
      <c r="L276" s="356"/>
      <c r="M276" s="356"/>
      <c r="N276" s="356"/>
      <c r="O276" s="356">
        <v>0</v>
      </c>
      <c r="P276" s="356">
        <v>0</v>
      </c>
      <c r="Q276" s="356">
        <v>0</v>
      </c>
      <c r="R276" s="356">
        <v>0</v>
      </c>
      <c r="S276" s="357">
        <f t="shared" si="53"/>
        <v>0</v>
      </c>
      <c r="U276" s="128"/>
      <c r="V276" s="359"/>
      <c r="W276" s="359"/>
      <c r="X276" s="360">
        <f>+S276</f>
        <v>0</v>
      </c>
      <c r="Y276" s="359"/>
      <c r="Z276" s="359"/>
      <c r="AA276" s="358"/>
      <c r="AB276" s="271">
        <f>+S276</f>
        <v>0</v>
      </c>
      <c r="AD276" s="358"/>
      <c r="AF276" s="289">
        <f t="shared" si="51"/>
        <v>0</v>
      </c>
    </row>
    <row r="277" spans="1:32">
      <c r="A277" s="113">
        <v>262</v>
      </c>
      <c r="B277" s="119" t="s">
        <v>1526</v>
      </c>
      <c r="C277" s="119" t="s">
        <v>2275</v>
      </c>
      <c r="D277" s="119" t="s">
        <v>1526</v>
      </c>
      <c r="E277" s="355" t="s">
        <v>2276</v>
      </c>
      <c r="F277" s="356">
        <v>45130.430000000102</v>
      </c>
      <c r="G277" s="356">
        <v>287764.5</v>
      </c>
      <c r="H277" s="356">
        <v>355135.41</v>
      </c>
      <c r="I277" s="356">
        <v>279788.79999999999</v>
      </c>
      <c r="J277" s="356">
        <v>259181.09</v>
      </c>
      <c r="K277" s="356">
        <v>229099.37</v>
      </c>
      <c r="L277" s="356">
        <v>174782.67</v>
      </c>
      <c r="M277" s="356">
        <v>82168.039999999994</v>
      </c>
      <c r="N277" s="356">
        <v>-74211.289999999906</v>
      </c>
      <c r="O277" s="356">
        <v>-69592.879999999903</v>
      </c>
      <c r="P277" s="356">
        <v>-142374.1</v>
      </c>
      <c r="Q277" s="356">
        <v>-95839.039999999906</v>
      </c>
      <c r="R277" s="356">
        <v>43665.620000000097</v>
      </c>
      <c r="S277" s="357">
        <f t="shared" si="53"/>
        <v>110858.3829166667</v>
      </c>
      <c r="U277" s="128">
        <f>+S277</f>
        <v>110858.3829166667</v>
      </c>
      <c r="V277" s="359"/>
      <c r="W277" s="359"/>
      <c r="X277" s="360"/>
      <c r="Y277" s="359"/>
      <c r="Z277" s="359"/>
      <c r="AA277" s="358"/>
      <c r="AD277" s="358">
        <f>+S277</f>
        <v>110858.3829166667</v>
      </c>
      <c r="AF277" s="289">
        <f t="shared" si="51"/>
        <v>0</v>
      </c>
    </row>
    <row r="278" spans="1:32">
      <c r="A278" s="113">
        <v>263</v>
      </c>
      <c r="B278" s="119" t="s">
        <v>2003</v>
      </c>
      <c r="C278" s="119" t="s">
        <v>2238</v>
      </c>
      <c r="D278" s="119" t="s">
        <v>2130</v>
      </c>
      <c r="E278" s="355" t="s">
        <v>2277</v>
      </c>
      <c r="F278" s="356">
        <v>-45130.43</v>
      </c>
      <c r="G278" s="356">
        <v>-286704.88</v>
      </c>
      <c r="H278" s="356">
        <v>-355135.41</v>
      </c>
      <c r="I278" s="356">
        <v>-278186.61</v>
      </c>
      <c r="J278" s="356">
        <v>-259181.09</v>
      </c>
      <c r="K278" s="356">
        <v>-229099.37</v>
      </c>
      <c r="L278" s="356">
        <v>-174150.67</v>
      </c>
      <c r="M278" s="356">
        <v>-82168.039999999994</v>
      </c>
      <c r="N278" s="356">
        <v>74211.289999999906</v>
      </c>
      <c r="O278" s="356">
        <v>69592.879999999903</v>
      </c>
      <c r="P278" s="356">
        <v>142374.1</v>
      </c>
      <c r="Q278" s="356">
        <v>95839.039999999906</v>
      </c>
      <c r="R278" s="356">
        <v>-43607.040000000001</v>
      </c>
      <c r="S278" s="357">
        <f t="shared" si="53"/>
        <v>-110581.4579166667</v>
      </c>
      <c r="U278" s="128">
        <f>+S278</f>
        <v>-110581.4579166667</v>
      </c>
      <c r="V278" s="359"/>
      <c r="W278" s="359"/>
      <c r="X278" s="360"/>
      <c r="Y278" s="359"/>
      <c r="Z278" s="359"/>
      <c r="AA278" s="358"/>
      <c r="AD278" s="358">
        <f>+S278</f>
        <v>-110581.4579166667</v>
      </c>
      <c r="AF278" s="289">
        <f t="shared" si="51"/>
        <v>0</v>
      </c>
    </row>
    <row r="279" spans="1:32">
      <c r="A279" s="113">
        <v>264</v>
      </c>
      <c r="B279" s="119" t="s">
        <v>1530</v>
      </c>
      <c r="C279" s="119" t="s">
        <v>2126</v>
      </c>
      <c r="D279" s="119" t="s">
        <v>2278</v>
      </c>
      <c r="E279" s="355" t="s">
        <v>2279</v>
      </c>
      <c r="F279" s="356">
        <v>4478392.82</v>
      </c>
      <c r="G279" s="356">
        <v>4515068.2300000004</v>
      </c>
      <c r="H279" s="356">
        <v>4555544.51</v>
      </c>
      <c r="I279" s="356">
        <v>4597093.99</v>
      </c>
      <c r="J279" s="356">
        <v>4637270.0999999996</v>
      </c>
      <c r="K279" s="356">
        <v>4677566.76</v>
      </c>
      <c r="L279" s="356">
        <v>4664730.5999999996</v>
      </c>
      <c r="M279" s="356">
        <v>4692179.03</v>
      </c>
      <c r="N279" s="356">
        <v>4722965.67</v>
      </c>
      <c r="O279" s="356">
        <v>4748100.4000000004</v>
      </c>
      <c r="P279" s="356">
        <v>4778452.43</v>
      </c>
      <c r="Q279" s="356">
        <v>4809135.92</v>
      </c>
      <c r="R279" s="356">
        <v>4381078.18</v>
      </c>
      <c r="S279" s="357">
        <f t="shared" si="53"/>
        <v>4652320.2616666667</v>
      </c>
      <c r="U279" s="128">
        <f>+S279</f>
        <v>4652320.2616666667</v>
      </c>
      <c r="V279" s="359"/>
      <c r="W279" s="359"/>
      <c r="X279" s="360"/>
      <c r="Y279" s="359"/>
      <c r="Z279" s="359"/>
      <c r="AA279" s="358"/>
      <c r="AB279" s="359"/>
      <c r="AD279" s="358">
        <f>+S279</f>
        <v>4652320.2616666667</v>
      </c>
      <c r="AF279" s="289">
        <f t="shared" si="51"/>
        <v>0</v>
      </c>
    </row>
    <row r="280" spans="1:32">
      <c r="A280" s="113">
        <v>265</v>
      </c>
      <c r="B280" s="119" t="s">
        <v>2003</v>
      </c>
      <c r="C280" s="119" t="s">
        <v>2126</v>
      </c>
      <c r="D280" s="119" t="s">
        <v>2165</v>
      </c>
      <c r="E280" s="355" t="s">
        <v>2280</v>
      </c>
      <c r="F280" s="356">
        <v>-313349.98</v>
      </c>
      <c r="G280" s="356">
        <v>-363190.44</v>
      </c>
      <c r="H280" s="356">
        <v>-346278.57</v>
      </c>
      <c r="I280" s="356">
        <v>-329559.2</v>
      </c>
      <c r="J280" s="356">
        <v>-322242.71999999997</v>
      </c>
      <c r="K280" s="356">
        <v>-313974.23</v>
      </c>
      <c r="L280" s="356">
        <v>-307097.19</v>
      </c>
      <c r="M280" s="356">
        <v>-301137.3</v>
      </c>
      <c r="N280" s="356">
        <v>-295684.63</v>
      </c>
      <c r="O280" s="356">
        <v>-289718.57</v>
      </c>
      <c r="P280" s="356">
        <v>-288960.15000000002</v>
      </c>
      <c r="Q280" s="356">
        <v>-311490.44</v>
      </c>
      <c r="R280" s="356">
        <v>-297320.15999999997</v>
      </c>
      <c r="S280" s="357">
        <f t="shared" si="53"/>
        <v>-314555.70916666661</v>
      </c>
      <c r="U280" s="128">
        <f>+S280</f>
        <v>-314555.70916666661</v>
      </c>
      <c r="V280" s="359"/>
      <c r="W280" s="359"/>
      <c r="X280" s="360"/>
      <c r="Y280" s="359"/>
      <c r="Z280" s="359"/>
      <c r="AA280" s="358"/>
      <c r="AB280" s="359"/>
      <c r="AD280" s="271">
        <f>+S280</f>
        <v>-314555.70916666661</v>
      </c>
      <c r="AF280" s="289">
        <f t="shared" si="51"/>
        <v>0</v>
      </c>
    </row>
    <row r="281" spans="1:32">
      <c r="A281" s="113">
        <v>266</v>
      </c>
      <c r="B281" s="119" t="s">
        <v>2003</v>
      </c>
      <c r="C281" s="119" t="s">
        <v>2126</v>
      </c>
      <c r="D281" s="119" t="s">
        <v>2167</v>
      </c>
      <c r="E281" s="355" t="s">
        <v>2280</v>
      </c>
      <c r="F281" s="356">
        <v>0</v>
      </c>
      <c r="G281" s="356">
        <v>0</v>
      </c>
      <c r="H281" s="356">
        <v>0</v>
      </c>
      <c r="I281" s="356">
        <v>-1085509.71</v>
      </c>
      <c r="J281" s="356">
        <v>-1085509.71</v>
      </c>
      <c r="K281" s="356">
        <v>-1085509.71</v>
      </c>
      <c r="L281" s="356">
        <v>-1085509.71</v>
      </c>
      <c r="M281" s="356">
        <v>-1085509.71</v>
      </c>
      <c r="N281" s="356">
        <v>-1085509.71</v>
      </c>
      <c r="O281" s="356">
        <v>-1085509.71</v>
      </c>
      <c r="P281" s="356">
        <v>-1085509.71</v>
      </c>
      <c r="Q281" s="356">
        <v>-1085509.71</v>
      </c>
      <c r="R281" s="356">
        <v>-1462798.28</v>
      </c>
      <c r="S281" s="357">
        <f t="shared" si="53"/>
        <v>-875082.21083333343</v>
      </c>
      <c r="U281" s="128">
        <f>+S281</f>
        <v>-875082.21083333343</v>
      </c>
      <c r="V281" s="359"/>
      <c r="W281" s="359"/>
      <c r="X281" s="360"/>
      <c r="Y281" s="359"/>
      <c r="Z281" s="359"/>
      <c r="AA281" s="358"/>
      <c r="AB281" s="359">
        <f>+X281</f>
        <v>0</v>
      </c>
      <c r="AD281" s="271">
        <f>+S281</f>
        <v>-875082.21083333343</v>
      </c>
      <c r="AF281" s="289">
        <f t="shared" si="51"/>
        <v>0</v>
      </c>
    </row>
    <row r="282" spans="1:32">
      <c r="A282" s="113">
        <v>267</v>
      </c>
      <c r="B282" s="119" t="s">
        <v>1543</v>
      </c>
      <c r="C282" s="119" t="s">
        <v>2126</v>
      </c>
      <c r="D282" s="119" t="s">
        <v>2281</v>
      </c>
      <c r="E282" s="355" t="s">
        <v>2282</v>
      </c>
      <c r="F282" s="356">
        <v>52817.54</v>
      </c>
      <c r="G282" s="356">
        <v>40379.550000000003</v>
      </c>
      <c r="H282" s="356">
        <v>30703.85</v>
      </c>
      <c r="I282" s="356">
        <v>21208.959999999999</v>
      </c>
      <c r="J282" s="356">
        <v>13413.43</v>
      </c>
      <c r="K282" s="356">
        <v>9371.7199999999993</v>
      </c>
      <c r="L282" s="356">
        <v>6225.95</v>
      </c>
      <c r="M282" s="356">
        <v>4077.33</v>
      </c>
      <c r="N282" s="356">
        <v>2564.67</v>
      </c>
      <c r="O282" s="356">
        <v>871.26000000000499</v>
      </c>
      <c r="P282" s="356">
        <v>-1592.06</v>
      </c>
      <c r="Q282" s="356">
        <v>47049.75</v>
      </c>
      <c r="R282" s="356">
        <v>39273.85</v>
      </c>
      <c r="S282" s="357">
        <f t="shared" si="53"/>
        <v>18360.008749999997</v>
      </c>
      <c r="U282" s="358"/>
      <c r="V282" s="359"/>
      <c r="W282" s="359"/>
      <c r="X282" s="360">
        <f>+S282</f>
        <v>18360.008749999997</v>
      </c>
      <c r="Y282" s="359"/>
      <c r="Z282" s="359"/>
      <c r="AA282" s="358"/>
      <c r="AB282" s="359">
        <f>+X282</f>
        <v>18360.008749999997</v>
      </c>
      <c r="AD282" s="271"/>
      <c r="AF282" s="289">
        <f t="shared" si="51"/>
        <v>0</v>
      </c>
    </row>
    <row r="283" spans="1:32">
      <c r="A283" s="113">
        <v>268</v>
      </c>
      <c r="B283" s="119" t="s">
        <v>1543</v>
      </c>
      <c r="C283" s="119" t="s">
        <v>2126</v>
      </c>
      <c r="D283" s="119" t="s">
        <v>2283</v>
      </c>
      <c r="E283" s="355" t="s">
        <v>2284</v>
      </c>
      <c r="F283" s="356">
        <v>9.9999999656574801E-3</v>
      </c>
      <c r="G283" s="356">
        <v>51010.01</v>
      </c>
      <c r="H283" s="356">
        <v>51304.65</v>
      </c>
      <c r="I283" s="356">
        <v>51621.43</v>
      </c>
      <c r="J283" s="356">
        <v>51929.89</v>
      </c>
      <c r="K283" s="356">
        <v>52250.53</v>
      </c>
      <c r="L283" s="356">
        <v>52562.74</v>
      </c>
      <c r="M283" s="356">
        <v>52887.29</v>
      </c>
      <c r="N283" s="356">
        <v>53213.84</v>
      </c>
      <c r="O283" s="356">
        <v>53531.81</v>
      </c>
      <c r="P283" s="356">
        <v>53862.34</v>
      </c>
      <c r="Q283" s="356">
        <v>11099.99</v>
      </c>
      <c r="R283" s="356">
        <v>11832.53</v>
      </c>
      <c r="S283" s="357">
        <f t="shared" si="53"/>
        <v>45099.232500000006</v>
      </c>
      <c r="U283" s="358"/>
      <c r="V283" s="359"/>
      <c r="W283" s="359"/>
      <c r="X283" s="360">
        <f>+S283</f>
        <v>45099.232500000006</v>
      </c>
      <c r="Y283" s="359"/>
      <c r="Z283" s="359"/>
      <c r="AA283" s="358"/>
      <c r="AB283" s="359">
        <f>+S283</f>
        <v>45099.232500000006</v>
      </c>
      <c r="AD283" s="271"/>
      <c r="AF283" s="289"/>
    </row>
    <row r="284" spans="1:32">
      <c r="A284" s="113">
        <v>269</v>
      </c>
      <c r="B284" s="119" t="s">
        <v>1543</v>
      </c>
      <c r="C284" s="119" t="s">
        <v>2126</v>
      </c>
      <c r="D284" s="119" t="s">
        <v>2285</v>
      </c>
      <c r="E284" s="355" t="s">
        <v>2286</v>
      </c>
      <c r="F284" s="356">
        <v>34796.76</v>
      </c>
      <c r="G284" s="356">
        <v>30545.03</v>
      </c>
      <c r="H284" s="356">
        <v>26389.37</v>
      </c>
      <c r="I284" s="356">
        <v>22195.05</v>
      </c>
      <c r="J284" s="356">
        <v>19319</v>
      </c>
      <c r="K284" s="356">
        <v>16015.41</v>
      </c>
      <c r="L284" s="356">
        <v>12917.85</v>
      </c>
      <c r="M284" s="356">
        <v>9565.32</v>
      </c>
      <c r="N284" s="356">
        <v>5943.07</v>
      </c>
      <c r="O284" s="356">
        <v>2133.96</v>
      </c>
      <c r="P284" s="356">
        <v>-2339.1</v>
      </c>
      <c r="Q284" s="356">
        <v>27231.14</v>
      </c>
      <c r="R284" s="356">
        <v>24225.97</v>
      </c>
      <c r="S284" s="357">
        <f t="shared" si="53"/>
        <v>16618.955416666664</v>
      </c>
      <c r="U284" s="358"/>
      <c r="V284" s="359"/>
      <c r="W284" s="359"/>
      <c r="X284" s="360">
        <f>+S284</f>
        <v>16618.955416666664</v>
      </c>
      <c r="Y284" s="359"/>
      <c r="Z284" s="359"/>
      <c r="AA284" s="358"/>
      <c r="AB284" s="359">
        <f>+S284</f>
        <v>16618.955416666664</v>
      </c>
      <c r="AD284" s="271"/>
      <c r="AF284" s="289"/>
    </row>
    <row r="285" spans="1:32">
      <c r="A285" s="113">
        <v>270</v>
      </c>
      <c r="B285" s="119" t="s">
        <v>1543</v>
      </c>
      <c r="C285" s="119" t="s">
        <v>2126</v>
      </c>
      <c r="D285" s="119" t="s">
        <v>2287</v>
      </c>
      <c r="E285" s="355" t="s">
        <v>2284</v>
      </c>
      <c r="F285" s="356">
        <v>5249.5</v>
      </c>
      <c r="G285" s="356">
        <v>25161.91</v>
      </c>
      <c r="H285" s="356">
        <v>25307.25</v>
      </c>
      <c r="I285" s="356">
        <v>25463.51</v>
      </c>
      <c r="J285" s="356">
        <v>31043.71</v>
      </c>
      <c r="K285" s="356">
        <v>31235.39</v>
      </c>
      <c r="L285" s="356">
        <v>31422.03</v>
      </c>
      <c r="M285" s="356">
        <v>31616.05</v>
      </c>
      <c r="N285" s="356">
        <v>31811.26</v>
      </c>
      <c r="O285" s="356">
        <v>32001.34</v>
      </c>
      <c r="P285" s="356">
        <v>39191.449999999997</v>
      </c>
      <c r="Q285" s="356">
        <v>28745.29</v>
      </c>
      <c r="R285" s="356">
        <v>28922.78</v>
      </c>
      <c r="S285" s="357">
        <f t="shared" si="53"/>
        <v>29173.7775</v>
      </c>
      <c r="U285" s="358"/>
      <c r="V285" s="359"/>
      <c r="W285" s="359"/>
      <c r="X285" s="360">
        <f>+S285</f>
        <v>29173.7775</v>
      </c>
      <c r="Y285" s="359"/>
      <c r="Z285" s="359"/>
      <c r="AA285" s="358"/>
      <c r="AB285" s="359">
        <f>+S285</f>
        <v>29173.7775</v>
      </c>
      <c r="AD285" s="271"/>
      <c r="AF285" s="289"/>
    </row>
    <row r="286" spans="1:32">
      <c r="A286" s="113">
        <v>271</v>
      </c>
      <c r="B286" s="119" t="s">
        <v>1523</v>
      </c>
      <c r="C286" s="119" t="s">
        <v>2126</v>
      </c>
      <c r="D286" s="119" t="s">
        <v>2288</v>
      </c>
      <c r="E286" s="355" t="s">
        <v>2289</v>
      </c>
      <c r="F286" s="356">
        <v>12592136.48</v>
      </c>
      <c r="G286" s="356">
        <v>12596865.91</v>
      </c>
      <c r="H286" s="356">
        <v>12598964.91</v>
      </c>
      <c r="I286" s="356">
        <v>12603530.91</v>
      </c>
      <c r="J286" s="356">
        <v>12613727.130000001</v>
      </c>
      <c r="K286" s="356">
        <v>12251417.560000001</v>
      </c>
      <c r="L286" s="356">
        <v>11730364.92</v>
      </c>
      <c r="M286" s="356">
        <v>11736810.35</v>
      </c>
      <c r="N286" s="356">
        <v>11740074.35</v>
      </c>
      <c r="O286" s="356">
        <v>22882143.350000001</v>
      </c>
      <c r="P286" s="356">
        <v>22921917.98</v>
      </c>
      <c r="Q286" s="356">
        <v>22617881.359999999</v>
      </c>
      <c r="R286" s="356">
        <v>23161573.359999999</v>
      </c>
      <c r="S286" s="357">
        <f t="shared" si="53"/>
        <v>15347546.137499997</v>
      </c>
      <c r="U286" s="358">
        <f>+S286</f>
        <v>15347546.137499997</v>
      </c>
      <c r="V286" s="359"/>
      <c r="W286" s="359"/>
      <c r="X286" s="360"/>
      <c r="Y286" s="359"/>
      <c r="Z286" s="359"/>
      <c r="AA286" s="358"/>
      <c r="AB286" s="359"/>
      <c r="AD286" s="271">
        <f>+S286</f>
        <v>15347546.137499997</v>
      </c>
      <c r="AF286" s="289"/>
    </row>
    <row r="287" spans="1:32">
      <c r="A287" s="113">
        <v>272</v>
      </c>
      <c r="B287" s="119" t="s">
        <v>1523</v>
      </c>
      <c r="C287" s="119" t="s">
        <v>2126</v>
      </c>
      <c r="D287" s="119" t="s">
        <v>2290</v>
      </c>
      <c r="E287" s="355" t="s">
        <v>2291</v>
      </c>
      <c r="F287" s="356">
        <v>466500</v>
      </c>
      <c r="G287" s="356">
        <v>466500</v>
      </c>
      <c r="H287" s="356">
        <v>466500</v>
      </c>
      <c r="I287" s="356">
        <v>466500</v>
      </c>
      <c r="J287" s="356">
        <v>466500</v>
      </c>
      <c r="K287" s="356">
        <v>466500</v>
      </c>
      <c r="L287" s="356">
        <v>466500</v>
      </c>
      <c r="M287" s="356">
        <v>466500</v>
      </c>
      <c r="N287" s="356">
        <v>466500</v>
      </c>
      <c r="O287" s="356">
        <v>466500</v>
      </c>
      <c r="P287" s="356">
        <v>466500</v>
      </c>
      <c r="Q287" s="356">
        <v>466500</v>
      </c>
      <c r="R287" s="356">
        <v>466500</v>
      </c>
      <c r="S287" s="357">
        <f t="shared" si="53"/>
        <v>466500</v>
      </c>
      <c r="U287" s="358">
        <f>+S287</f>
        <v>466500</v>
      </c>
      <c r="V287" s="359"/>
      <c r="W287" s="359"/>
      <c r="X287" s="360"/>
      <c r="Y287" s="359"/>
      <c r="Z287" s="359"/>
      <c r="AA287" s="358"/>
      <c r="AB287" s="359">
        <f t="shared" ref="AB287:AB296" si="57">+X287</f>
        <v>0</v>
      </c>
      <c r="AD287" s="271">
        <f>+S287</f>
        <v>466500</v>
      </c>
      <c r="AF287" s="289">
        <f t="shared" si="51"/>
        <v>0</v>
      </c>
    </row>
    <row r="288" spans="1:32">
      <c r="A288" s="113">
        <v>273</v>
      </c>
      <c r="B288" s="119" t="s">
        <v>1543</v>
      </c>
      <c r="C288" s="119" t="s">
        <v>2126</v>
      </c>
      <c r="D288" s="119" t="s">
        <v>2292</v>
      </c>
      <c r="E288" s="355" t="s">
        <v>2293</v>
      </c>
      <c r="F288" s="356">
        <v>993974.16</v>
      </c>
      <c r="G288" s="356">
        <v>1083237.92</v>
      </c>
      <c r="H288" s="356">
        <v>1089820.8899999999</v>
      </c>
      <c r="I288" s="356">
        <v>1102261.3600000001</v>
      </c>
      <c r="J288" s="356">
        <v>1120536.71</v>
      </c>
      <c r="K288" s="356">
        <v>1105395.1599999999</v>
      </c>
      <c r="L288" s="356">
        <v>1107151.94</v>
      </c>
      <c r="M288" s="356">
        <v>1045186.25</v>
      </c>
      <c r="N288" s="356">
        <v>1057080.8799999999</v>
      </c>
      <c r="O288" s="356">
        <v>1067009.6299999999</v>
      </c>
      <c r="P288" s="356">
        <v>1076576.47</v>
      </c>
      <c r="Q288" s="356">
        <v>1079984.08</v>
      </c>
      <c r="R288" s="356">
        <v>1087376.8799999999</v>
      </c>
      <c r="S288" s="357">
        <f t="shared" si="53"/>
        <v>1081243.0674999999</v>
      </c>
      <c r="U288" s="358"/>
      <c r="V288" s="359"/>
      <c r="W288" s="359"/>
      <c r="X288" s="360">
        <f>+S288</f>
        <v>1081243.0674999999</v>
      </c>
      <c r="Y288" s="359"/>
      <c r="Z288" s="359"/>
      <c r="AA288" s="358"/>
      <c r="AB288" s="359">
        <f t="shared" si="57"/>
        <v>1081243.0674999999</v>
      </c>
      <c r="AD288" s="271"/>
      <c r="AF288" s="289">
        <f t="shared" si="51"/>
        <v>0</v>
      </c>
    </row>
    <row r="289" spans="1:32">
      <c r="A289" s="113">
        <v>274</v>
      </c>
      <c r="B289" s="119" t="s">
        <v>1523</v>
      </c>
      <c r="C289" s="119" t="s">
        <v>2126</v>
      </c>
      <c r="D289" s="119" t="s">
        <v>2294</v>
      </c>
      <c r="E289" s="355" t="s">
        <v>2295</v>
      </c>
      <c r="F289" s="356">
        <v>8015406.3799999999</v>
      </c>
      <c r="G289" s="356">
        <v>8026562.29</v>
      </c>
      <c r="H289" s="356">
        <v>8027706.29</v>
      </c>
      <c r="I289" s="356">
        <v>1823400.66</v>
      </c>
      <c r="J289" s="356">
        <v>1825482.35</v>
      </c>
      <c r="K289" s="356">
        <v>2172258.4</v>
      </c>
      <c r="L289" s="356">
        <v>3392241.27</v>
      </c>
      <c r="M289" s="356">
        <v>3707416.3</v>
      </c>
      <c r="N289" s="356">
        <v>4382769.38</v>
      </c>
      <c r="O289" s="356">
        <v>4853893.62</v>
      </c>
      <c r="P289" s="356">
        <v>5674800.3600000003</v>
      </c>
      <c r="Q289" s="356">
        <v>6181868.6799999997</v>
      </c>
      <c r="R289" s="356">
        <v>7308127.2699999996</v>
      </c>
      <c r="S289" s="357">
        <f t="shared" si="53"/>
        <v>4810847.2020833334</v>
      </c>
      <c r="U289" s="358">
        <f>+S289</f>
        <v>4810847.2020833334</v>
      </c>
      <c r="V289" s="359"/>
      <c r="W289" s="359"/>
      <c r="X289" s="360"/>
      <c r="Y289" s="359"/>
      <c r="Z289" s="359"/>
      <c r="AA289" s="358"/>
      <c r="AB289" s="359">
        <f t="shared" si="57"/>
        <v>0</v>
      </c>
      <c r="AD289" s="271">
        <f>+S289</f>
        <v>4810847.2020833334</v>
      </c>
      <c r="AF289" s="289">
        <f t="shared" si="51"/>
        <v>0</v>
      </c>
    </row>
    <row r="290" spans="1:32">
      <c r="A290" s="113">
        <v>275</v>
      </c>
      <c r="B290" s="119" t="s">
        <v>1523</v>
      </c>
      <c r="C290" s="119" t="s">
        <v>2126</v>
      </c>
      <c r="D290" s="119" t="s">
        <v>2296</v>
      </c>
      <c r="E290" s="355" t="s">
        <v>2297</v>
      </c>
      <c r="F290" s="356">
        <v>4654756.58</v>
      </c>
      <c r="G290" s="356">
        <v>4609564.7699999996</v>
      </c>
      <c r="H290" s="356">
        <v>4564372.96</v>
      </c>
      <c r="I290" s="356">
        <v>1085509.71</v>
      </c>
      <c r="J290" s="356">
        <v>1085509.71</v>
      </c>
      <c r="K290" s="356">
        <v>1085509.71</v>
      </c>
      <c r="L290" s="356">
        <v>1085509.71</v>
      </c>
      <c r="M290" s="356">
        <v>1085509.71</v>
      </c>
      <c r="N290" s="356">
        <v>1085509.71</v>
      </c>
      <c r="O290" s="356">
        <v>1085509.71</v>
      </c>
      <c r="P290" s="356">
        <v>1085509.71</v>
      </c>
      <c r="Q290" s="356">
        <v>1085509.71</v>
      </c>
      <c r="R290" s="356">
        <v>9.3132257461547893E-10</v>
      </c>
      <c r="S290" s="357">
        <f t="shared" si="53"/>
        <v>1772575.2841666674</v>
      </c>
      <c r="U290" s="358">
        <f>+S290</f>
        <v>1772575.2841666674</v>
      </c>
      <c r="V290" s="359"/>
      <c r="W290" s="359"/>
      <c r="X290" s="360"/>
      <c r="Y290" s="359"/>
      <c r="Z290" s="359"/>
      <c r="AA290" s="358"/>
      <c r="AB290" s="359">
        <f t="shared" si="57"/>
        <v>0</v>
      </c>
      <c r="AD290" s="271">
        <f>+S290</f>
        <v>1772575.2841666674</v>
      </c>
      <c r="AF290" s="289">
        <f t="shared" si="51"/>
        <v>0</v>
      </c>
    </row>
    <row r="291" spans="1:32">
      <c r="A291" s="113">
        <v>276</v>
      </c>
      <c r="B291" s="119" t="s">
        <v>1543</v>
      </c>
      <c r="C291" s="119" t="s">
        <v>2126</v>
      </c>
      <c r="D291" s="119" t="s">
        <v>2298</v>
      </c>
      <c r="E291" s="355" t="s">
        <v>2299</v>
      </c>
      <c r="F291" s="356">
        <v>220486.17</v>
      </c>
      <c r="G291" s="356">
        <v>216093.94</v>
      </c>
      <c r="H291" s="356">
        <v>212573.45</v>
      </c>
      <c r="I291" s="356">
        <v>209070.25</v>
      </c>
      <c r="J291" s="356">
        <v>206536.69</v>
      </c>
      <c r="K291" s="356">
        <v>205101.18</v>
      </c>
      <c r="L291" s="356">
        <v>203968.62</v>
      </c>
      <c r="M291" s="356">
        <v>202991.31</v>
      </c>
      <c r="N291" s="356">
        <v>202151.79</v>
      </c>
      <c r="O291" s="356">
        <v>201180.2</v>
      </c>
      <c r="P291" s="356">
        <v>199837.52</v>
      </c>
      <c r="Q291" s="356">
        <v>197364.27</v>
      </c>
      <c r="R291" s="356">
        <v>193065.03</v>
      </c>
      <c r="S291" s="357">
        <f t="shared" si="53"/>
        <v>205303.73499999999</v>
      </c>
      <c r="U291" s="358"/>
      <c r="V291" s="359"/>
      <c r="W291" s="359"/>
      <c r="X291" s="360">
        <f>+S291</f>
        <v>205303.73499999999</v>
      </c>
      <c r="Y291" s="359"/>
      <c r="Z291" s="359"/>
      <c r="AA291" s="358"/>
      <c r="AB291" s="359">
        <f t="shared" si="57"/>
        <v>205303.73499999999</v>
      </c>
      <c r="AD291" s="271"/>
      <c r="AF291" s="289">
        <f t="shared" si="51"/>
        <v>0</v>
      </c>
    </row>
    <row r="292" spans="1:32">
      <c r="A292" s="113">
        <v>277</v>
      </c>
      <c r="B292" s="119" t="s">
        <v>1543</v>
      </c>
      <c r="C292" s="119" t="s">
        <v>2126</v>
      </c>
      <c r="D292" s="119" t="s">
        <v>2300</v>
      </c>
      <c r="E292" s="355" t="s">
        <v>2295</v>
      </c>
      <c r="F292" s="356">
        <v>437455.92</v>
      </c>
      <c r="G292" s="356">
        <v>421253.85</v>
      </c>
      <c r="H292" s="356">
        <v>405051.78</v>
      </c>
      <c r="I292" s="356">
        <v>388849.71</v>
      </c>
      <c r="J292" s="356">
        <v>372647.64</v>
      </c>
      <c r="K292" s="356">
        <v>356445.57</v>
      </c>
      <c r="L292" s="356">
        <v>340243.5</v>
      </c>
      <c r="M292" s="356">
        <v>324041.43</v>
      </c>
      <c r="N292" s="356">
        <v>307839.35999999999</v>
      </c>
      <c r="O292" s="356">
        <v>291637.28999999998</v>
      </c>
      <c r="P292" s="356">
        <v>275435.21999999997</v>
      </c>
      <c r="Q292" s="356">
        <v>259233.15</v>
      </c>
      <c r="R292" s="356">
        <v>243031.08</v>
      </c>
      <c r="S292" s="357">
        <f t="shared" si="53"/>
        <v>340243.49999999994</v>
      </c>
      <c r="U292" s="358"/>
      <c r="V292" s="359"/>
      <c r="W292" s="359"/>
      <c r="X292" s="360">
        <f>+S292</f>
        <v>340243.49999999994</v>
      </c>
      <c r="Y292" s="359"/>
      <c r="Z292" s="359"/>
      <c r="AA292" s="358"/>
      <c r="AB292" s="359">
        <f t="shared" si="57"/>
        <v>340243.49999999994</v>
      </c>
      <c r="AD292" s="271"/>
      <c r="AF292" s="289">
        <f t="shared" si="51"/>
        <v>0</v>
      </c>
    </row>
    <row r="293" spans="1:32">
      <c r="A293" s="113">
        <v>278</v>
      </c>
      <c r="B293" s="119" t="s">
        <v>1523</v>
      </c>
      <c r="C293" s="119" t="s">
        <v>2126</v>
      </c>
      <c r="D293" s="119" t="s">
        <v>2301</v>
      </c>
      <c r="E293" s="355" t="s">
        <v>2302</v>
      </c>
      <c r="F293" s="356">
        <v>277480.27</v>
      </c>
      <c r="G293" s="356">
        <v>277480.27</v>
      </c>
      <c r="H293" s="356">
        <v>277480.27</v>
      </c>
      <c r="I293" s="356">
        <v>277480.27</v>
      </c>
      <c r="J293" s="356">
        <v>277480.27</v>
      </c>
      <c r="K293" s="356">
        <v>277480.27</v>
      </c>
      <c r="L293" s="356">
        <v>277480.27</v>
      </c>
      <c r="M293" s="356">
        <v>277480.27</v>
      </c>
      <c r="N293" s="356">
        <v>277480.27</v>
      </c>
      <c r="O293" s="356">
        <v>277480.27</v>
      </c>
      <c r="P293" s="356">
        <v>277480.27</v>
      </c>
      <c r="Q293" s="356">
        <v>0</v>
      </c>
      <c r="R293" s="356">
        <v>0</v>
      </c>
      <c r="S293" s="357">
        <f t="shared" si="53"/>
        <v>242795.23624999999</v>
      </c>
      <c r="U293" s="358">
        <f>+S293</f>
        <v>242795.23624999999</v>
      </c>
      <c r="V293" s="359"/>
      <c r="W293" s="359"/>
      <c r="X293" s="360"/>
      <c r="Y293" s="359"/>
      <c r="Z293" s="359"/>
      <c r="AA293" s="358"/>
      <c r="AB293" s="359">
        <f t="shared" si="57"/>
        <v>0</v>
      </c>
      <c r="AD293" s="271">
        <f>+S293</f>
        <v>242795.23624999999</v>
      </c>
      <c r="AF293" s="289">
        <f t="shared" si="51"/>
        <v>0</v>
      </c>
    </row>
    <row r="294" spans="1:32">
      <c r="A294" s="113">
        <v>279</v>
      </c>
      <c r="B294" s="119" t="s">
        <v>1523</v>
      </c>
      <c r="C294" s="119" t="s">
        <v>2126</v>
      </c>
      <c r="D294" s="119" t="s">
        <v>2303</v>
      </c>
      <c r="E294" s="355" t="s">
        <v>2304</v>
      </c>
      <c r="F294" s="356">
        <v>0</v>
      </c>
      <c r="G294" s="356">
        <v>0</v>
      </c>
      <c r="H294" s="356">
        <v>0</v>
      </c>
      <c r="I294" s="356">
        <v>9679128.2599999998</v>
      </c>
      <c r="J294" s="356">
        <v>9588669.1199999992</v>
      </c>
      <c r="K294" s="356">
        <v>9498209.9800000004</v>
      </c>
      <c r="L294" s="356">
        <v>9407750.8399999999</v>
      </c>
      <c r="M294" s="356">
        <v>9317291.6999999993</v>
      </c>
      <c r="N294" s="356">
        <v>9226832.5600000005</v>
      </c>
      <c r="O294" s="356">
        <v>9136373.4199999999</v>
      </c>
      <c r="P294" s="356">
        <v>9045914.2799999993</v>
      </c>
      <c r="Q294" s="356">
        <v>8955455.1400000006</v>
      </c>
      <c r="R294" s="356">
        <v>4112454.8599999901</v>
      </c>
      <c r="S294" s="357">
        <f t="shared" si="53"/>
        <v>7159321.060833334</v>
      </c>
      <c r="U294" s="358">
        <f>+S294</f>
        <v>7159321.060833334</v>
      </c>
      <c r="V294" s="359"/>
      <c r="W294" s="359"/>
      <c r="X294" s="360"/>
      <c r="Y294" s="359"/>
      <c r="Z294" s="359"/>
      <c r="AA294" s="358"/>
      <c r="AB294" s="359">
        <f t="shared" si="57"/>
        <v>0</v>
      </c>
      <c r="AD294" s="271">
        <f t="shared" ref="AD294:AD299" si="58">+S294</f>
        <v>7159321.060833334</v>
      </c>
      <c r="AF294" s="289">
        <f t="shared" si="51"/>
        <v>0</v>
      </c>
    </row>
    <row r="295" spans="1:32">
      <c r="A295" s="113">
        <v>280</v>
      </c>
      <c r="B295" s="119" t="s">
        <v>1523</v>
      </c>
      <c r="C295" s="119" t="s">
        <v>2126</v>
      </c>
      <c r="D295" s="119" t="s">
        <v>2305</v>
      </c>
      <c r="E295" s="355" t="s">
        <v>2306</v>
      </c>
      <c r="F295" s="356">
        <v>0</v>
      </c>
      <c r="G295" s="356">
        <v>0</v>
      </c>
      <c r="H295" s="356">
        <v>0</v>
      </c>
      <c r="I295" s="356">
        <v>0</v>
      </c>
      <c r="J295" s="356">
        <v>0</v>
      </c>
      <c r="K295" s="356">
        <v>0</v>
      </c>
      <c r="L295" s="356">
        <v>0</v>
      </c>
      <c r="M295" s="356">
        <v>0</v>
      </c>
      <c r="N295" s="356">
        <v>0</v>
      </c>
      <c r="O295" s="356">
        <v>0</v>
      </c>
      <c r="P295" s="356">
        <v>0</v>
      </c>
      <c r="Q295" s="356">
        <v>0</v>
      </c>
      <c r="R295" s="356">
        <v>4979406.46</v>
      </c>
      <c r="S295" s="357">
        <f t="shared" si="53"/>
        <v>207475.26916666667</v>
      </c>
      <c r="U295" s="358">
        <f>+S295</f>
        <v>207475.26916666667</v>
      </c>
      <c r="V295" s="359"/>
      <c r="W295" s="359"/>
      <c r="X295" s="360"/>
      <c r="Y295" s="359"/>
      <c r="Z295" s="359"/>
      <c r="AA295" s="358"/>
      <c r="AB295" s="359">
        <f t="shared" si="57"/>
        <v>0</v>
      </c>
      <c r="AD295" s="271">
        <f t="shared" si="58"/>
        <v>207475.26916666667</v>
      </c>
      <c r="AF295" s="289">
        <f t="shared" si="51"/>
        <v>0</v>
      </c>
    </row>
    <row r="296" spans="1:32">
      <c r="A296" s="113">
        <v>281</v>
      </c>
      <c r="B296" s="119" t="s">
        <v>1523</v>
      </c>
      <c r="C296" s="119" t="s">
        <v>2126</v>
      </c>
      <c r="D296" s="119" t="s">
        <v>2307</v>
      </c>
      <c r="E296" s="355" t="s">
        <v>2308</v>
      </c>
      <c r="F296" s="356">
        <v>0</v>
      </c>
      <c r="G296" s="356">
        <v>0</v>
      </c>
      <c r="H296" s="356">
        <v>0</v>
      </c>
      <c r="I296" s="356">
        <v>0</v>
      </c>
      <c r="J296" s="356">
        <v>0</v>
      </c>
      <c r="K296" s="356">
        <v>0</v>
      </c>
      <c r="L296" s="356">
        <v>0</v>
      </c>
      <c r="M296" s="356">
        <v>0</v>
      </c>
      <c r="N296" s="356">
        <v>0</v>
      </c>
      <c r="O296" s="356">
        <v>0</v>
      </c>
      <c r="P296" s="356">
        <v>0</v>
      </c>
      <c r="Q296" s="356">
        <v>0</v>
      </c>
      <c r="R296" s="356">
        <v>0</v>
      </c>
      <c r="S296" s="357">
        <f t="shared" si="53"/>
        <v>0</v>
      </c>
      <c r="U296" s="358"/>
      <c r="V296" s="359"/>
      <c r="W296" s="359"/>
      <c r="X296" s="360">
        <f>+S296</f>
        <v>0</v>
      </c>
      <c r="Y296" s="359"/>
      <c r="Z296" s="359"/>
      <c r="AA296" s="358"/>
      <c r="AB296" s="359">
        <f t="shared" si="57"/>
        <v>0</v>
      </c>
      <c r="AD296" s="271">
        <f t="shared" si="58"/>
        <v>0</v>
      </c>
      <c r="AF296" s="289">
        <f t="shared" si="51"/>
        <v>0</v>
      </c>
    </row>
    <row r="297" spans="1:32">
      <c r="A297" s="113">
        <v>282</v>
      </c>
      <c r="B297" s="119" t="s">
        <v>1523</v>
      </c>
      <c r="C297" s="119" t="s">
        <v>2126</v>
      </c>
      <c r="D297" s="119" t="s">
        <v>2309</v>
      </c>
      <c r="E297" s="355" t="s">
        <v>2310</v>
      </c>
      <c r="F297" s="356">
        <v>0</v>
      </c>
      <c r="G297" s="356">
        <v>0</v>
      </c>
      <c r="H297" s="356">
        <v>0</v>
      </c>
      <c r="I297" s="356">
        <v>0</v>
      </c>
      <c r="J297" s="356">
        <v>0</v>
      </c>
      <c r="K297" s="356">
        <v>0</v>
      </c>
      <c r="L297" s="356">
        <v>0</v>
      </c>
      <c r="M297" s="356">
        <v>0</v>
      </c>
      <c r="N297" s="356">
        <v>0</v>
      </c>
      <c r="O297" s="356">
        <v>0</v>
      </c>
      <c r="P297" s="356">
        <v>0</v>
      </c>
      <c r="Q297" s="356">
        <v>0</v>
      </c>
      <c r="R297" s="356">
        <v>377288.6</v>
      </c>
      <c r="S297" s="357">
        <f t="shared" si="53"/>
        <v>15720.358333333332</v>
      </c>
      <c r="U297" s="358">
        <f>+S297</f>
        <v>15720.358333333332</v>
      </c>
      <c r="V297" s="359"/>
      <c r="W297" s="359"/>
      <c r="X297" s="360"/>
      <c r="Y297" s="359"/>
      <c r="Z297" s="359"/>
      <c r="AA297" s="358"/>
      <c r="AB297" s="359"/>
      <c r="AD297" s="271">
        <f t="shared" si="58"/>
        <v>15720.358333333332</v>
      </c>
      <c r="AF297" s="289">
        <f t="shared" si="51"/>
        <v>0</v>
      </c>
    </row>
    <row r="298" spans="1:32">
      <c r="A298" s="113">
        <v>283</v>
      </c>
      <c r="B298" s="119" t="s">
        <v>2003</v>
      </c>
      <c r="C298" s="119" t="s">
        <v>2311</v>
      </c>
      <c r="D298" s="119" t="s">
        <v>2165</v>
      </c>
      <c r="E298" s="355" t="s">
        <v>2280</v>
      </c>
      <c r="F298" s="356">
        <v>1784571.53</v>
      </c>
      <c r="G298" s="356">
        <v>1537769.79</v>
      </c>
      <c r="H298" s="356">
        <v>1293283.3</v>
      </c>
      <c r="I298" s="356">
        <v>1275964.6299999999</v>
      </c>
      <c r="J298" s="356">
        <v>1038184.93</v>
      </c>
      <c r="K298" s="356">
        <v>814967.73</v>
      </c>
      <c r="L298" s="356">
        <v>821914.05</v>
      </c>
      <c r="M298" s="356">
        <v>807533.99</v>
      </c>
      <c r="N298" s="356">
        <v>769311.26</v>
      </c>
      <c r="O298" s="356">
        <v>617310.29</v>
      </c>
      <c r="P298" s="356">
        <v>393490.39</v>
      </c>
      <c r="Q298" s="356">
        <v>518223.13</v>
      </c>
      <c r="R298" s="356">
        <v>409187.75</v>
      </c>
      <c r="S298" s="357">
        <f>((F298+R298)+((G298+H298+I298+J298+K298+L298+M298+N298+O298+P298+Q298)*2))/24</f>
        <v>915402.76083333336</v>
      </c>
      <c r="U298" s="358"/>
      <c r="V298" s="359">
        <f>+S298</f>
        <v>915402.76083333336</v>
      </c>
      <c r="W298" s="359"/>
      <c r="X298" s="360"/>
      <c r="Y298" s="359"/>
      <c r="Z298" s="359"/>
      <c r="AA298" s="358"/>
      <c r="AB298" s="359"/>
      <c r="AD298" s="271">
        <f>+S298</f>
        <v>915402.76083333336</v>
      </c>
      <c r="AF298" s="289">
        <f t="shared" si="51"/>
        <v>0</v>
      </c>
    </row>
    <row r="299" spans="1:32">
      <c r="A299" s="113">
        <v>284</v>
      </c>
      <c r="B299" s="119" t="s">
        <v>2003</v>
      </c>
      <c r="C299" s="119" t="s">
        <v>2311</v>
      </c>
      <c r="D299" s="119" t="s">
        <v>2167</v>
      </c>
      <c r="E299" s="355" t="s">
        <v>2280</v>
      </c>
      <c r="F299" s="356">
        <v>2992929.3</v>
      </c>
      <c r="G299" s="356">
        <v>2703355.76</v>
      </c>
      <c r="H299" s="356">
        <v>3459172.84</v>
      </c>
      <c r="I299" s="356">
        <v>4110177.91</v>
      </c>
      <c r="J299" s="356">
        <v>3172511.21</v>
      </c>
      <c r="K299" s="356">
        <v>2852769.37</v>
      </c>
      <c r="L299" s="356">
        <v>2704832.11</v>
      </c>
      <c r="M299" s="356">
        <v>2939229.95</v>
      </c>
      <c r="N299" s="356">
        <v>3876263.93</v>
      </c>
      <c r="O299" s="356">
        <v>3481403.05</v>
      </c>
      <c r="P299" s="356">
        <v>3262544.51</v>
      </c>
      <c r="Q299" s="356">
        <v>1901425.77</v>
      </c>
      <c r="R299" s="356">
        <v>2.3283064365386999E-10</v>
      </c>
      <c r="S299" s="357">
        <f>((F299+R299)+((G299+H299+I299+J299+K299+L299+M299+N299+O299+P299+Q299)*2))/24</f>
        <v>2996679.2550000004</v>
      </c>
      <c r="U299" s="358"/>
      <c r="V299" s="359">
        <f>+S299</f>
        <v>2996679.2550000004</v>
      </c>
      <c r="W299" s="359"/>
      <c r="X299" s="360"/>
      <c r="Y299" s="359"/>
      <c r="Z299" s="359"/>
      <c r="AA299" s="358"/>
      <c r="AB299" s="359"/>
      <c r="AD299" s="271">
        <f t="shared" si="58"/>
        <v>2996679.2550000004</v>
      </c>
      <c r="AF299" s="289">
        <f t="shared" si="51"/>
        <v>0</v>
      </c>
    </row>
    <row r="300" spans="1:32">
      <c r="A300" s="113">
        <v>285</v>
      </c>
      <c r="B300" s="119" t="s">
        <v>1523</v>
      </c>
      <c r="C300" s="119" t="s">
        <v>2311</v>
      </c>
      <c r="D300" s="119" t="s">
        <v>2312</v>
      </c>
      <c r="E300" s="355" t="s">
        <v>2313</v>
      </c>
      <c r="F300" s="356">
        <v>0</v>
      </c>
      <c r="G300" s="356">
        <v>0</v>
      </c>
      <c r="H300" s="356">
        <v>0</v>
      </c>
      <c r="I300" s="356">
        <v>0</v>
      </c>
      <c r="J300" s="356">
        <v>0</v>
      </c>
      <c r="K300" s="356">
        <v>0</v>
      </c>
      <c r="L300" s="356">
        <v>0</v>
      </c>
      <c r="M300" s="356">
        <v>0</v>
      </c>
      <c r="N300" s="356">
        <v>0</v>
      </c>
      <c r="O300" s="356">
        <v>0</v>
      </c>
      <c r="P300" s="356">
        <v>0</v>
      </c>
      <c r="Q300" s="356">
        <v>0</v>
      </c>
      <c r="R300" s="356">
        <v>0</v>
      </c>
      <c r="S300" s="357">
        <f t="shared" ref="S300:S315" si="59">((F300+R300)+((G300+H300+I300+J300+K300+L300+M300+N300+O300+P300+Q300)*2))/24</f>
        <v>0</v>
      </c>
      <c r="U300" s="358"/>
      <c r="V300" s="359"/>
      <c r="W300" s="359"/>
      <c r="X300" s="360">
        <f>+S300</f>
        <v>0</v>
      </c>
      <c r="Y300" s="359"/>
      <c r="Z300" s="359"/>
      <c r="AA300" s="358"/>
      <c r="AB300" s="359">
        <f>+S300</f>
        <v>0</v>
      </c>
      <c r="AD300" s="271"/>
      <c r="AF300" s="289"/>
    </row>
    <row r="301" spans="1:32">
      <c r="A301" s="113">
        <v>286</v>
      </c>
      <c r="B301" s="119" t="s">
        <v>1523</v>
      </c>
      <c r="C301" s="119" t="s">
        <v>2311</v>
      </c>
      <c r="D301" s="119" t="s">
        <v>2314</v>
      </c>
      <c r="E301" s="355" t="s">
        <v>2315</v>
      </c>
      <c r="F301" s="356">
        <v>0</v>
      </c>
      <c r="G301" s="356">
        <v>0</v>
      </c>
      <c r="H301" s="356">
        <v>0</v>
      </c>
      <c r="I301" s="356">
        <v>0</v>
      </c>
      <c r="J301" s="356">
        <v>0</v>
      </c>
      <c r="K301" s="356">
        <v>0</v>
      </c>
      <c r="L301" s="356">
        <v>0</v>
      </c>
      <c r="M301" s="356">
        <v>0</v>
      </c>
      <c r="N301" s="356">
        <v>0</v>
      </c>
      <c r="O301" s="356">
        <v>0</v>
      </c>
      <c r="P301" s="356">
        <v>0</v>
      </c>
      <c r="Q301" s="356">
        <v>0</v>
      </c>
      <c r="R301" s="356">
        <v>0</v>
      </c>
      <c r="S301" s="357">
        <f t="shared" si="59"/>
        <v>0</v>
      </c>
      <c r="U301" s="358"/>
      <c r="V301" s="359"/>
      <c r="W301" s="359"/>
      <c r="X301" s="360">
        <f>+S301</f>
        <v>0</v>
      </c>
      <c r="Y301" s="359"/>
      <c r="Z301" s="359"/>
      <c r="AA301" s="358"/>
      <c r="AB301" s="359">
        <f>+S301</f>
        <v>0</v>
      </c>
      <c r="AD301" s="271"/>
      <c r="AF301" s="289"/>
    </row>
    <row r="302" spans="1:32">
      <c r="A302" s="113">
        <v>287</v>
      </c>
      <c r="B302" s="119" t="s">
        <v>1523</v>
      </c>
      <c r="C302" s="119" t="s">
        <v>2311</v>
      </c>
      <c r="D302" s="119" t="s">
        <v>2283</v>
      </c>
      <c r="E302" s="355" t="s">
        <v>2316</v>
      </c>
      <c r="F302" s="356">
        <v>0</v>
      </c>
      <c r="G302" s="356">
        <v>0</v>
      </c>
      <c r="H302" s="356">
        <v>0</v>
      </c>
      <c r="I302" s="356">
        <v>0</v>
      </c>
      <c r="J302" s="356">
        <v>0</v>
      </c>
      <c r="K302" s="356">
        <v>0</v>
      </c>
      <c r="L302" s="356">
        <v>0</v>
      </c>
      <c r="M302" s="356">
        <v>0</v>
      </c>
      <c r="N302" s="356">
        <v>0</v>
      </c>
      <c r="O302" s="356">
        <v>0</v>
      </c>
      <c r="P302" s="356">
        <v>0</v>
      </c>
      <c r="Q302" s="356">
        <v>0</v>
      </c>
      <c r="R302" s="356">
        <v>0</v>
      </c>
      <c r="S302" s="357">
        <f t="shared" si="59"/>
        <v>0</v>
      </c>
      <c r="U302" s="358"/>
      <c r="V302" s="359">
        <f>+S302</f>
        <v>0</v>
      </c>
      <c r="W302" s="359"/>
      <c r="X302" s="360"/>
      <c r="Y302" s="359"/>
      <c r="Z302" s="359"/>
      <c r="AA302" s="358"/>
      <c r="AB302" s="359"/>
      <c r="AD302" s="271">
        <f>+S302</f>
        <v>0</v>
      </c>
      <c r="AF302" s="289"/>
    </row>
    <row r="303" spans="1:32">
      <c r="A303" s="113">
        <v>288</v>
      </c>
      <c r="B303" s="119" t="s">
        <v>1523</v>
      </c>
      <c r="C303" s="119" t="s">
        <v>2311</v>
      </c>
      <c r="D303" s="119" t="s">
        <v>2287</v>
      </c>
      <c r="E303" s="355" t="s">
        <v>2317</v>
      </c>
      <c r="F303" s="356">
        <v>0</v>
      </c>
      <c r="G303" s="356">
        <v>0</v>
      </c>
      <c r="H303" s="356">
        <v>0</v>
      </c>
      <c r="I303" s="356">
        <v>0</v>
      </c>
      <c r="J303" s="356">
        <v>0</v>
      </c>
      <c r="K303" s="356">
        <v>0</v>
      </c>
      <c r="L303" s="356">
        <v>0</v>
      </c>
      <c r="M303" s="356">
        <v>0</v>
      </c>
      <c r="N303" s="356">
        <v>0</v>
      </c>
      <c r="O303" s="356">
        <v>0</v>
      </c>
      <c r="P303" s="356">
        <v>0</v>
      </c>
      <c r="Q303" s="356">
        <v>0</v>
      </c>
      <c r="R303" s="356">
        <v>0</v>
      </c>
      <c r="S303" s="357">
        <f t="shared" si="59"/>
        <v>0</v>
      </c>
      <c r="U303" s="358"/>
      <c r="V303" s="359"/>
      <c r="W303" s="359"/>
      <c r="X303" s="360"/>
      <c r="Y303" s="359"/>
      <c r="Z303" s="359"/>
      <c r="AA303" s="358"/>
      <c r="AB303" s="359"/>
      <c r="AD303" s="271"/>
      <c r="AF303" s="289"/>
    </row>
    <row r="304" spans="1:32">
      <c r="A304" s="113">
        <v>289</v>
      </c>
      <c r="B304" s="119" t="s">
        <v>1543</v>
      </c>
      <c r="C304" s="119" t="s">
        <v>2311</v>
      </c>
      <c r="D304" s="119" t="s">
        <v>2318</v>
      </c>
      <c r="E304" s="355" t="s">
        <v>2319</v>
      </c>
      <c r="F304" s="356">
        <v>-35331.469999999899</v>
      </c>
      <c r="G304" s="356">
        <v>546946.22</v>
      </c>
      <c r="H304" s="356">
        <v>677765.43</v>
      </c>
      <c r="I304" s="356">
        <v>455868.3</v>
      </c>
      <c r="J304" s="356">
        <v>666768.72</v>
      </c>
      <c r="K304" s="356">
        <v>841502.84</v>
      </c>
      <c r="L304" s="356">
        <v>866087.21</v>
      </c>
      <c r="M304" s="356">
        <v>871434.88</v>
      </c>
      <c r="N304" s="356">
        <v>876815.57</v>
      </c>
      <c r="O304" s="356">
        <v>999352.27</v>
      </c>
      <c r="P304" s="356">
        <v>1185002.3400000001</v>
      </c>
      <c r="Q304" s="356">
        <v>495556.44</v>
      </c>
      <c r="R304" s="356">
        <v>1036900.09</v>
      </c>
      <c r="S304" s="357">
        <f t="shared" si="59"/>
        <v>748657.04416666657</v>
      </c>
      <c r="U304" s="358"/>
      <c r="V304" s="359"/>
      <c r="W304" s="359"/>
      <c r="X304" s="360">
        <f>+S304</f>
        <v>748657.04416666657</v>
      </c>
      <c r="Y304" s="359"/>
      <c r="Z304" s="359"/>
      <c r="AA304" s="358"/>
      <c r="AB304" s="359">
        <f>+X304</f>
        <v>748657.04416666657</v>
      </c>
      <c r="AD304" s="271"/>
      <c r="AF304" s="289"/>
    </row>
    <row r="305" spans="1:32">
      <c r="A305" s="113">
        <v>290</v>
      </c>
      <c r="B305" s="119" t="s">
        <v>1543</v>
      </c>
      <c r="C305" s="119" t="s">
        <v>2311</v>
      </c>
      <c r="D305" s="119" t="s">
        <v>2320</v>
      </c>
      <c r="E305" s="355" t="s">
        <v>2321</v>
      </c>
      <c r="F305" s="356">
        <v>-590581.18999999994</v>
      </c>
      <c r="G305" s="356">
        <v>-1208232.1299999999</v>
      </c>
      <c r="H305" s="356">
        <v>-1322370.3700000001</v>
      </c>
      <c r="I305" s="356">
        <v>-1290336.1599999999</v>
      </c>
      <c r="J305" s="356">
        <v>-1388179.25</v>
      </c>
      <c r="K305" s="356">
        <v>-1416973.65</v>
      </c>
      <c r="L305" s="356">
        <v>-1510401.19</v>
      </c>
      <c r="M305" s="356">
        <v>-1549721.35</v>
      </c>
      <c r="N305" s="356">
        <v>-1564874.37</v>
      </c>
      <c r="O305" s="356">
        <v>-1589539.59</v>
      </c>
      <c r="P305" s="356">
        <v>-1670356.03</v>
      </c>
      <c r="Q305" s="356">
        <v>-541723.23</v>
      </c>
      <c r="R305" s="356">
        <v>-1071014.79</v>
      </c>
      <c r="S305" s="357">
        <f t="shared" si="59"/>
        <v>-1323625.4424999999</v>
      </c>
      <c r="U305" s="358"/>
      <c r="V305" s="359"/>
      <c r="W305" s="359"/>
      <c r="X305" s="360">
        <f>+S305</f>
        <v>-1323625.4424999999</v>
      </c>
      <c r="Y305" s="359"/>
      <c r="Z305" s="359"/>
      <c r="AA305" s="358"/>
      <c r="AB305" s="359">
        <f t="shared" ref="AB305:AB314" si="60">+X305</f>
        <v>-1323625.4424999999</v>
      </c>
      <c r="AD305" s="271"/>
      <c r="AF305" s="289"/>
    </row>
    <row r="306" spans="1:32">
      <c r="A306" s="113">
        <v>291</v>
      </c>
      <c r="B306" s="119" t="s">
        <v>1543</v>
      </c>
      <c r="C306" s="119" t="s">
        <v>2311</v>
      </c>
      <c r="D306" s="119" t="s">
        <v>2322</v>
      </c>
      <c r="E306" s="355" t="s">
        <v>2280</v>
      </c>
      <c r="F306" s="356">
        <v>0</v>
      </c>
      <c r="G306" s="356">
        <v>0</v>
      </c>
      <c r="H306" s="356">
        <v>0</v>
      </c>
      <c r="I306" s="356">
        <v>0</v>
      </c>
      <c r="J306" s="356">
        <v>0</v>
      </c>
      <c r="K306" s="356">
        <v>0</v>
      </c>
      <c r="L306" s="356">
        <v>0</v>
      </c>
      <c r="M306" s="356">
        <v>0</v>
      </c>
      <c r="N306" s="356">
        <v>0</v>
      </c>
      <c r="O306" s="356">
        <v>0</v>
      </c>
      <c r="P306" s="356">
        <v>0</v>
      </c>
      <c r="Q306" s="356">
        <v>0</v>
      </c>
      <c r="R306" s="356">
        <v>0</v>
      </c>
      <c r="S306" s="357">
        <f t="shared" si="59"/>
        <v>0</v>
      </c>
      <c r="U306" s="358"/>
      <c r="V306" s="359"/>
      <c r="W306" s="359"/>
      <c r="X306" s="360"/>
      <c r="Y306" s="359"/>
      <c r="Z306" s="359"/>
      <c r="AA306" s="358"/>
      <c r="AB306" s="359">
        <f t="shared" si="60"/>
        <v>0</v>
      </c>
      <c r="AD306" s="271"/>
      <c r="AF306" s="289"/>
    </row>
    <row r="307" spans="1:32">
      <c r="A307" s="113">
        <v>292</v>
      </c>
      <c r="B307" s="119" t="s">
        <v>1543</v>
      </c>
      <c r="C307" s="119" t="s">
        <v>2311</v>
      </c>
      <c r="D307" s="119" t="s">
        <v>2323</v>
      </c>
      <c r="E307" s="355" t="s">
        <v>2324</v>
      </c>
      <c r="F307" s="356">
        <v>-1349763.52</v>
      </c>
      <c r="G307" s="356">
        <v>-1037783.15</v>
      </c>
      <c r="H307" s="356">
        <v>-793873.71</v>
      </c>
      <c r="I307" s="356">
        <v>-555271.5</v>
      </c>
      <c r="J307" s="356">
        <v>-364562.87</v>
      </c>
      <c r="K307" s="356">
        <v>-269901.28999999998</v>
      </c>
      <c r="L307" s="356">
        <v>-195052.15</v>
      </c>
      <c r="M307" s="356">
        <v>-139722.72</v>
      </c>
      <c r="N307" s="356">
        <v>-99554.65</v>
      </c>
      <c r="O307" s="356">
        <v>-54267.93</v>
      </c>
      <c r="P307" s="356">
        <v>8373.3700000000408</v>
      </c>
      <c r="Q307" s="356">
        <v>-524432.23</v>
      </c>
      <c r="R307" s="356">
        <v>-434317.89</v>
      </c>
      <c r="S307" s="357">
        <f t="shared" si="59"/>
        <v>-409840.79458333337</v>
      </c>
      <c r="U307" s="358"/>
      <c r="V307" s="359"/>
      <c r="W307" s="359"/>
      <c r="X307" s="360">
        <f>+S307</f>
        <v>-409840.79458333337</v>
      </c>
      <c r="Y307" s="359"/>
      <c r="Z307" s="359"/>
      <c r="AA307" s="358"/>
      <c r="AB307" s="359">
        <f t="shared" si="60"/>
        <v>-409840.79458333337</v>
      </c>
      <c r="AD307" s="271"/>
      <c r="AF307" s="289"/>
    </row>
    <row r="308" spans="1:32">
      <c r="A308" s="113">
        <v>293</v>
      </c>
      <c r="B308" s="119" t="s">
        <v>1523</v>
      </c>
      <c r="C308" s="119" t="s">
        <v>2311</v>
      </c>
      <c r="D308" s="119" t="s">
        <v>2325</v>
      </c>
      <c r="E308" s="355" t="s">
        <v>2326</v>
      </c>
      <c r="F308" s="356">
        <v>191104.65</v>
      </c>
      <c r="G308" s="356">
        <v>161299.26999999999</v>
      </c>
      <c r="H308" s="356">
        <v>145195.35</v>
      </c>
      <c r="I308" s="356">
        <v>113774.73</v>
      </c>
      <c r="J308" s="356">
        <v>47788.47</v>
      </c>
      <c r="K308" s="356">
        <v>30404.37</v>
      </c>
      <c r="L308" s="356">
        <v>17452.080000000002</v>
      </c>
      <c r="M308" s="356">
        <v>10475.200000000001</v>
      </c>
      <c r="N308" s="356">
        <v>18302.189999999999</v>
      </c>
      <c r="O308" s="356">
        <v>27144.959999999999</v>
      </c>
      <c r="P308" s="356">
        <v>83489.929999999993</v>
      </c>
      <c r="Q308" s="356">
        <v>52375.89</v>
      </c>
      <c r="R308" s="356">
        <v>59244.84</v>
      </c>
      <c r="S308" s="357">
        <f t="shared" si="59"/>
        <v>69406.432083333319</v>
      </c>
      <c r="U308" s="358"/>
      <c r="V308" s="359"/>
      <c r="W308" s="359"/>
      <c r="X308" s="360">
        <f t="shared" ref="X308:X314" si="61">+S308</f>
        <v>69406.432083333319</v>
      </c>
      <c r="Y308" s="359"/>
      <c r="Z308" s="359"/>
      <c r="AA308" s="358"/>
      <c r="AB308" s="359">
        <f t="shared" si="60"/>
        <v>69406.432083333319</v>
      </c>
      <c r="AD308" s="271"/>
      <c r="AF308" s="289"/>
    </row>
    <row r="309" spans="1:32">
      <c r="A309" s="113">
        <v>294</v>
      </c>
      <c r="B309" s="119" t="s">
        <v>1523</v>
      </c>
      <c r="C309" s="119" t="s">
        <v>2311</v>
      </c>
      <c r="D309" s="119" t="s">
        <v>2327</v>
      </c>
      <c r="E309" s="355" t="s">
        <v>2328</v>
      </c>
      <c r="F309" s="356">
        <v>0</v>
      </c>
      <c r="G309" s="356">
        <v>0</v>
      </c>
      <c r="H309" s="356">
        <v>0</v>
      </c>
      <c r="I309" s="356">
        <v>0</v>
      </c>
      <c r="J309" s="356">
        <v>0</v>
      </c>
      <c r="K309" s="356">
        <v>0</v>
      </c>
      <c r="L309" s="356">
        <v>0</v>
      </c>
      <c r="M309" s="356">
        <v>0</v>
      </c>
      <c r="N309" s="356">
        <v>0</v>
      </c>
      <c r="O309" s="356">
        <v>0</v>
      </c>
      <c r="P309" s="356">
        <v>0</v>
      </c>
      <c r="Q309" s="356">
        <v>0</v>
      </c>
      <c r="R309" s="356">
        <v>0</v>
      </c>
      <c r="S309" s="357">
        <f t="shared" si="59"/>
        <v>0</v>
      </c>
      <c r="U309" s="358"/>
      <c r="V309" s="359"/>
      <c r="W309" s="359"/>
      <c r="X309" s="360">
        <f t="shared" si="61"/>
        <v>0</v>
      </c>
      <c r="Y309" s="359"/>
      <c r="Z309" s="359"/>
      <c r="AA309" s="358"/>
      <c r="AB309" s="359">
        <f t="shared" si="60"/>
        <v>0</v>
      </c>
      <c r="AD309" s="271"/>
      <c r="AF309" s="289"/>
    </row>
    <row r="310" spans="1:32">
      <c r="A310" s="113">
        <v>295</v>
      </c>
      <c r="B310" s="119" t="s">
        <v>1523</v>
      </c>
      <c r="C310" s="119" t="s">
        <v>2311</v>
      </c>
      <c r="D310" s="119" t="s">
        <v>2294</v>
      </c>
      <c r="E310" s="355" t="s">
        <v>2329</v>
      </c>
      <c r="F310" s="356">
        <v>0</v>
      </c>
      <c r="G310" s="356">
        <v>0</v>
      </c>
      <c r="H310" s="356">
        <v>0</v>
      </c>
      <c r="I310" s="356">
        <v>0</v>
      </c>
      <c r="J310" s="356">
        <v>0</v>
      </c>
      <c r="K310" s="356">
        <v>0</v>
      </c>
      <c r="L310" s="356">
        <v>0</v>
      </c>
      <c r="M310" s="356">
        <v>0</v>
      </c>
      <c r="N310" s="356">
        <v>0</v>
      </c>
      <c r="O310" s="356">
        <v>0</v>
      </c>
      <c r="P310" s="356">
        <v>0</v>
      </c>
      <c r="Q310" s="356">
        <v>0</v>
      </c>
      <c r="R310" s="356">
        <v>0</v>
      </c>
      <c r="S310" s="357">
        <f t="shared" si="59"/>
        <v>0</v>
      </c>
      <c r="U310" s="358"/>
      <c r="V310" s="359"/>
      <c r="W310" s="359"/>
      <c r="X310" s="360">
        <f t="shared" si="61"/>
        <v>0</v>
      </c>
      <c r="Y310" s="359"/>
      <c r="Z310" s="359"/>
      <c r="AA310" s="358"/>
      <c r="AB310" s="359">
        <f t="shared" si="60"/>
        <v>0</v>
      </c>
      <c r="AD310" s="271"/>
      <c r="AF310" s="289"/>
    </row>
    <row r="311" spans="1:32">
      <c r="A311" s="113">
        <v>296</v>
      </c>
      <c r="B311" s="119" t="s">
        <v>1523</v>
      </c>
      <c r="C311" s="119" t="s">
        <v>2311</v>
      </c>
      <c r="D311" s="119" t="s">
        <v>2298</v>
      </c>
      <c r="E311" s="355" t="s">
        <v>2330</v>
      </c>
      <c r="F311" s="356">
        <v>1618895.22</v>
      </c>
      <c r="G311" s="356">
        <v>1393037.03</v>
      </c>
      <c r="H311" s="356">
        <v>1213003.18</v>
      </c>
      <c r="I311" s="356">
        <v>1032061.3</v>
      </c>
      <c r="J311" s="356">
        <v>895490.68</v>
      </c>
      <c r="K311" s="356">
        <v>836084.45</v>
      </c>
      <c r="L311" s="356">
        <v>801089.66</v>
      </c>
      <c r="M311" s="356">
        <v>776781.56</v>
      </c>
      <c r="N311" s="356">
        <v>764839.54</v>
      </c>
      <c r="O311" s="356">
        <v>750775.8</v>
      </c>
      <c r="P311" s="356">
        <v>711085.42</v>
      </c>
      <c r="Q311" s="356">
        <v>-3857375.92</v>
      </c>
      <c r="R311" s="356">
        <v>-3355826.44</v>
      </c>
      <c r="S311" s="357">
        <f t="shared" si="59"/>
        <v>370700.59083333326</v>
      </c>
      <c r="U311" s="358"/>
      <c r="V311" s="359"/>
      <c r="W311" s="359"/>
      <c r="X311" s="360">
        <f t="shared" si="61"/>
        <v>370700.59083333326</v>
      </c>
      <c r="Y311" s="359"/>
      <c r="Z311" s="359"/>
      <c r="AA311" s="358"/>
      <c r="AB311" s="359">
        <f t="shared" si="60"/>
        <v>370700.59083333326</v>
      </c>
      <c r="AD311" s="271"/>
      <c r="AF311" s="289"/>
    </row>
    <row r="312" spans="1:32">
      <c r="A312" s="113">
        <v>297</v>
      </c>
      <c r="B312" s="119" t="s">
        <v>1530</v>
      </c>
      <c r="C312" s="119" t="s">
        <v>2331</v>
      </c>
      <c r="D312" s="119" t="s">
        <v>376</v>
      </c>
      <c r="E312" s="355" t="s">
        <v>2332</v>
      </c>
      <c r="F312" s="356">
        <v>5114217</v>
      </c>
      <c r="G312" s="356">
        <v>5114217</v>
      </c>
      <c r="H312" s="356">
        <v>5114217</v>
      </c>
      <c r="I312" s="356">
        <v>5114217</v>
      </c>
      <c r="J312" s="356">
        <v>5114217</v>
      </c>
      <c r="K312" s="356">
        <v>5114217</v>
      </c>
      <c r="L312" s="356">
        <v>5114217</v>
      </c>
      <c r="M312" s="356">
        <v>5114217</v>
      </c>
      <c r="N312" s="356">
        <v>5114217</v>
      </c>
      <c r="O312" s="356">
        <v>5114217</v>
      </c>
      <c r="P312" s="356">
        <v>5114217</v>
      </c>
      <c r="Q312" s="356">
        <v>5114217</v>
      </c>
      <c r="R312" s="356">
        <v>5343728</v>
      </c>
      <c r="S312" s="357">
        <f t="shared" si="59"/>
        <v>5123779.958333333</v>
      </c>
      <c r="U312" s="358"/>
      <c r="V312" s="359"/>
      <c r="W312" s="359"/>
      <c r="X312" s="360">
        <f t="shared" si="61"/>
        <v>5123779.958333333</v>
      </c>
      <c r="Y312" s="359"/>
      <c r="Z312" s="359"/>
      <c r="AA312" s="358"/>
      <c r="AB312" s="359">
        <f t="shared" si="60"/>
        <v>5123779.958333333</v>
      </c>
      <c r="AD312" s="271"/>
      <c r="AF312" s="289"/>
    </row>
    <row r="313" spans="1:32">
      <c r="A313" s="113">
        <v>298</v>
      </c>
      <c r="B313" s="119" t="s">
        <v>1523</v>
      </c>
      <c r="C313" s="119" t="s">
        <v>2311</v>
      </c>
      <c r="D313" s="119" t="s">
        <v>2333</v>
      </c>
      <c r="E313" s="355" t="s">
        <v>2334</v>
      </c>
      <c r="F313" s="356">
        <v>-4410222.42</v>
      </c>
      <c r="G313" s="356">
        <v>-3928367.56</v>
      </c>
      <c r="H313" s="356">
        <v>-4513588.79</v>
      </c>
      <c r="I313" s="356">
        <v>-5014839.3899999997</v>
      </c>
      <c r="J313" s="356">
        <v>-4015237.89</v>
      </c>
      <c r="K313" s="356">
        <v>-3656173.07</v>
      </c>
      <c r="L313" s="356">
        <v>-3488352.04</v>
      </c>
      <c r="M313" s="356">
        <v>-3704434.85</v>
      </c>
      <c r="N313" s="356">
        <v>-4621944.66</v>
      </c>
      <c r="O313" s="356">
        <v>-4204713.67</v>
      </c>
      <c r="P313" s="356">
        <v>-3887257.35</v>
      </c>
      <c r="Q313" s="356">
        <v>1635509.13</v>
      </c>
      <c r="R313" s="356">
        <v>3321217.35</v>
      </c>
      <c r="S313" s="357">
        <f t="shared" si="59"/>
        <v>-3328658.5562499999</v>
      </c>
      <c r="U313" s="358"/>
      <c r="V313" s="359"/>
      <c r="W313" s="359"/>
      <c r="X313" s="360">
        <f t="shared" si="61"/>
        <v>-3328658.5562499999</v>
      </c>
      <c r="Y313" s="359"/>
      <c r="Z313" s="359"/>
      <c r="AA313" s="358"/>
      <c r="AB313" s="359">
        <f t="shared" si="60"/>
        <v>-3328658.5562499999</v>
      </c>
      <c r="AD313" s="271"/>
      <c r="AF313" s="289"/>
    </row>
    <row r="314" spans="1:32">
      <c r="A314" s="113">
        <v>299</v>
      </c>
      <c r="B314" s="119" t="s">
        <v>1523</v>
      </c>
      <c r="C314" s="119" t="s">
        <v>2311</v>
      </c>
      <c r="D314" s="119" t="s">
        <v>2325</v>
      </c>
      <c r="E314" s="355" t="s">
        <v>2326</v>
      </c>
      <c r="F314" s="356">
        <v>-201602.1</v>
      </c>
      <c r="G314" s="356">
        <v>-168025.23</v>
      </c>
      <c r="H314" s="356">
        <v>-158587.23000000001</v>
      </c>
      <c r="I314" s="356">
        <v>-127399.82</v>
      </c>
      <c r="J314" s="356">
        <v>-52764</v>
      </c>
      <c r="K314" s="356">
        <v>-32680.75</v>
      </c>
      <c r="L314" s="356">
        <v>-17569.73</v>
      </c>
      <c r="M314" s="356">
        <v>-11576.66</v>
      </c>
      <c r="N314" s="356">
        <v>-19158.810000000001</v>
      </c>
      <c r="O314" s="356">
        <v>-27465.18</v>
      </c>
      <c r="P314" s="356">
        <v>-86372.58</v>
      </c>
      <c r="Q314" s="356">
        <v>320441.02</v>
      </c>
      <c r="R314" s="356">
        <v>351178.5</v>
      </c>
      <c r="S314" s="357">
        <f t="shared" si="59"/>
        <v>-25530.897500000006</v>
      </c>
      <c r="U314" s="358"/>
      <c r="V314" s="359"/>
      <c r="W314" s="359"/>
      <c r="X314" s="360">
        <f t="shared" si="61"/>
        <v>-25530.897500000006</v>
      </c>
      <c r="Y314" s="359"/>
      <c r="Z314" s="359"/>
      <c r="AA314" s="358"/>
      <c r="AB314" s="359">
        <f t="shared" si="60"/>
        <v>-25530.897500000006</v>
      </c>
      <c r="AD314" s="271"/>
      <c r="AF314" s="289"/>
    </row>
    <row r="315" spans="1:32">
      <c r="A315" s="113">
        <v>300</v>
      </c>
      <c r="B315" s="119" t="s">
        <v>2003</v>
      </c>
      <c r="C315" s="119" t="s">
        <v>2335</v>
      </c>
      <c r="D315" s="119" t="s">
        <v>2114</v>
      </c>
      <c r="E315" s="355" t="s">
        <v>2336</v>
      </c>
      <c r="F315" s="356">
        <v>220703.66</v>
      </c>
      <c r="G315" s="356">
        <v>211528.93</v>
      </c>
      <c r="H315" s="356">
        <v>206053.74</v>
      </c>
      <c r="I315" s="356">
        <v>199317.46</v>
      </c>
      <c r="J315" s="356">
        <v>193785.03</v>
      </c>
      <c r="K315" s="356">
        <v>311983.59000000003</v>
      </c>
      <c r="L315" s="356">
        <v>305422.61</v>
      </c>
      <c r="M315" s="356">
        <v>290530.24</v>
      </c>
      <c r="N315" s="356">
        <v>285133.51</v>
      </c>
      <c r="O315" s="356">
        <v>278496.34000000003</v>
      </c>
      <c r="P315" s="356">
        <v>273537.58</v>
      </c>
      <c r="Q315" s="356">
        <v>268564.25</v>
      </c>
      <c r="R315" s="356">
        <v>260913.62</v>
      </c>
      <c r="S315" s="357">
        <f t="shared" si="59"/>
        <v>255430.16</v>
      </c>
      <c r="U315" s="358"/>
      <c r="V315" s="359">
        <f>+S315</f>
        <v>255430.16</v>
      </c>
      <c r="W315" s="359"/>
      <c r="X315" s="360"/>
      <c r="Y315" s="359"/>
      <c r="Z315" s="359"/>
      <c r="AA315" s="358"/>
      <c r="AB315" s="359"/>
      <c r="AD315" s="271">
        <f>+V315</f>
        <v>255430.16</v>
      </c>
      <c r="AF315" s="289"/>
    </row>
    <row r="316" spans="1:32">
      <c r="A316" s="113">
        <v>301</v>
      </c>
      <c r="E316" s="355" t="s">
        <v>2337</v>
      </c>
      <c r="F316" s="697">
        <f>SUM(F234:F315)</f>
        <v>78817809.329999998</v>
      </c>
      <c r="G316" s="697">
        <f t="shared" ref="G316:S316" si="62">SUM(G234:G315)</f>
        <v>78915926.469999999</v>
      </c>
      <c r="H316" s="697">
        <f t="shared" si="62"/>
        <v>78764397.349999979</v>
      </c>
      <c r="I316" s="697">
        <f t="shared" si="62"/>
        <v>77712067.299999982</v>
      </c>
      <c r="J316" s="697">
        <f t="shared" si="62"/>
        <v>77669000.350000009</v>
      </c>
      <c r="K316" s="697">
        <f t="shared" si="62"/>
        <v>77690159.290000021</v>
      </c>
      <c r="L316" s="697">
        <f t="shared" si="62"/>
        <v>78265419.949999973</v>
      </c>
      <c r="M316" s="697">
        <f t="shared" si="62"/>
        <v>78451386.790000007</v>
      </c>
      <c r="N316" s="697">
        <f t="shared" si="62"/>
        <v>79113326.790000007</v>
      </c>
      <c r="O316" s="697">
        <f t="shared" si="62"/>
        <v>90683746.499999985</v>
      </c>
      <c r="P316" s="697">
        <f t="shared" si="62"/>
        <v>91545024.170000017</v>
      </c>
      <c r="Q316" s="697">
        <f t="shared" si="62"/>
        <v>91393032.159999952</v>
      </c>
      <c r="R316" s="697">
        <f t="shared" si="62"/>
        <v>92676220.969999954</v>
      </c>
      <c r="S316" s="697">
        <f t="shared" si="62"/>
        <v>82162541.855833337</v>
      </c>
      <c r="U316" s="358"/>
      <c r="V316" s="359"/>
      <c r="W316" s="359"/>
      <c r="X316" s="360"/>
      <c r="Y316" s="359"/>
      <c r="Z316" s="359"/>
      <c r="AA316" s="358"/>
      <c r="AB316" s="359"/>
      <c r="AF316" s="289">
        <f t="shared" si="51"/>
        <v>0</v>
      </c>
    </row>
    <row r="317" spans="1:32">
      <c r="A317" s="113">
        <v>302</v>
      </c>
      <c r="E317" s="374"/>
      <c r="F317" s="356"/>
      <c r="G317" s="399"/>
      <c r="H317" s="387"/>
      <c r="I317" s="387"/>
      <c r="J317" s="388"/>
      <c r="K317" s="389"/>
      <c r="L317" s="390"/>
      <c r="M317" s="391"/>
      <c r="N317" s="392"/>
      <c r="O317" s="373"/>
      <c r="P317" s="393"/>
      <c r="Q317" s="400"/>
      <c r="R317" s="356"/>
      <c r="S317" s="96"/>
      <c r="U317" s="358"/>
      <c r="V317" s="359"/>
      <c r="W317" s="359"/>
      <c r="X317" s="360"/>
      <c r="Y317" s="359"/>
      <c r="Z317" s="359"/>
      <c r="AA317" s="358"/>
      <c r="AB317" s="359"/>
      <c r="AF317" s="289">
        <f t="shared" si="51"/>
        <v>0</v>
      </c>
    </row>
    <row r="318" spans="1:32">
      <c r="A318" s="113">
        <v>303</v>
      </c>
      <c r="B318" s="119" t="s">
        <v>1526</v>
      </c>
      <c r="C318" s="119" t="s">
        <v>2338</v>
      </c>
      <c r="D318" s="119" t="s">
        <v>1526</v>
      </c>
      <c r="E318" s="355" t="s">
        <v>2339</v>
      </c>
      <c r="F318" s="356">
        <v>156654971.69999999</v>
      </c>
      <c r="G318" s="356">
        <v>25711441.469999999</v>
      </c>
      <c r="H318" s="356">
        <v>48242496.259999998</v>
      </c>
      <c r="I318" s="356">
        <v>68670977.620000005</v>
      </c>
      <c r="J318" s="356">
        <v>80411738.459999993</v>
      </c>
      <c r="K318" s="356">
        <v>88010264.829999998</v>
      </c>
      <c r="L318" s="356">
        <v>93950731.239999995</v>
      </c>
      <c r="M318" s="356">
        <v>99489912.25</v>
      </c>
      <c r="N318" s="356">
        <v>104783251.8</v>
      </c>
      <c r="O318" s="356">
        <v>110558058.02</v>
      </c>
      <c r="P318" s="356">
        <v>122323029.09</v>
      </c>
      <c r="Q318" s="356">
        <v>142343326.31</v>
      </c>
      <c r="R318" s="356">
        <v>167715766.99000001</v>
      </c>
      <c r="S318" s="357">
        <f>((F318+R318)+((G318+H318+I318+J318+K318+L318+M318+N318+O318+P318+Q318)*2))/24</f>
        <v>95556716.391249999</v>
      </c>
      <c r="U318" s="358"/>
      <c r="V318" s="359"/>
      <c r="W318" s="359">
        <f>+S318</f>
        <v>95556716.391249999</v>
      </c>
      <c r="X318" s="360"/>
      <c r="Y318" s="359"/>
      <c r="Z318" s="359"/>
      <c r="AA318" s="358"/>
      <c r="AB318" s="359"/>
      <c r="AC318" s="271">
        <f>+S318</f>
        <v>95556716.391249999</v>
      </c>
      <c r="AF318" s="289">
        <f t="shared" si="51"/>
        <v>0</v>
      </c>
    </row>
    <row r="319" spans="1:32">
      <c r="A319" s="113">
        <v>304</v>
      </c>
      <c r="B319" s="119" t="s">
        <v>1526</v>
      </c>
      <c r="C319" s="119" t="s">
        <v>2340</v>
      </c>
      <c r="D319" s="119" t="s">
        <v>1526</v>
      </c>
      <c r="E319" s="355" t="s">
        <v>2341</v>
      </c>
      <c r="F319" s="356">
        <v>59786976.289999999</v>
      </c>
      <c r="G319" s="356">
        <v>6075054.1500000004</v>
      </c>
      <c r="H319" s="356">
        <v>10045989.300000001</v>
      </c>
      <c r="I319" s="356">
        <v>14784127.91</v>
      </c>
      <c r="J319" s="356">
        <v>19795427.190000001</v>
      </c>
      <c r="K319" s="356">
        <v>23724175.27</v>
      </c>
      <c r="L319" s="356">
        <v>27862939.75</v>
      </c>
      <c r="M319" s="356">
        <v>33458510.98</v>
      </c>
      <c r="N319" s="356">
        <v>37352961.030000001</v>
      </c>
      <c r="O319" s="356">
        <v>42442395.490000002</v>
      </c>
      <c r="P319" s="356">
        <v>47374622.689999998</v>
      </c>
      <c r="Q319" s="356">
        <v>52152170.829999998</v>
      </c>
      <c r="R319" s="356">
        <v>58986390.289999999</v>
      </c>
      <c r="S319" s="357">
        <f>((F319+R319)+((G319+H319+I319+J319+K319+L319+M319+N319+O319+P319+Q319)*2))/24</f>
        <v>31204588.156666666</v>
      </c>
      <c r="U319" s="358"/>
      <c r="V319" s="359"/>
      <c r="W319" s="359">
        <f>+S319</f>
        <v>31204588.156666666</v>
      </c>
      <c r="X319" s="360"/>
      <c r="Y319" s="359"/>
      <c r="Z319" s="359"/>
      <c r="AA319" s="358"/>
      <c r="AB319" s="359"/>
      <c r="AC319" s="271">
        <f>+S319</f>
        <v>31204588.156666666</v>
      </c>
      <c r="AF319" s="289">
        <f t="shared" ref="AF319:AF387" si="63">+U319+V319-AD319</f>
        <v>0</v>
      </c>
    </row>
    <row r="320" spans="1:32">
      <c r="A320" s="113">
        <v>305</v>
      </c>
      <c r="B320" s="119" t="s">
        <v>1526</v>
      </c>
      <c r="C320" s="119" t="s">
        <v>2342</v>
      </c>
      <c r="D320" s="119" t="s">
        <v>2343</v>
      </c>
      <c r="E320" s="355" t="s">
        <v>2344</v>
      </c>
      <c r="F320" s="356">
        <v>0</v>
      </c>
      <c r="G320" s="356">
        <v>0</v>
      </c>
      <c r="H320" s="356">
        <v>0</v>
      </c>
      <c r="I320" s="356">
        <v>0</v>
      </c>
      <c r="J320" s="356">
        <v>0</v>
      </c>
      <c r="K320" s="356">
        <v>0</v>
      </c>
      <c r="L320" s="356">
        <v>0</v>
      </c>
      <c r="M320" s="356">
        <v>0</v>
      </c>
      <c r="N320" s="356">
        <v>0</v>
      </c>
      <c r="O320" s="356">
        <v>0</v>
      </c>
      <c r="P320" s="356">
        <v>0</v>
      </c>
      <c r="Q320" s="356">
        <v>0</v>
      </c>
      <c r="R320" s="356">
        <v>0</v>
      </c>
      <c r="S320" s="357">
        <f>((F320+R320)+((G320+H320+I320+J320+K320+L320+M320+N320+O320+P320+Q320)*2))/24</f>
        <v>0</v>
      </c>
      <c r="U320" s="358"/>
      <c r="V320" s="359"/>
      <c r="W320" s="359">
        <f>+S320</f>
        <v>0</v>
      </c>
      <c r="X320" s="360"/>
      <c r="Y320" s="359"/>
      <c r="Z320" s="359"/>
      <c r="AA320" s="358"/>
      <c r="AB320" s="359"/>
      <c r="AC320" s="271">
        <f>+S320</f>
        <v>0</v>
      </c>
      <c r="AF320" s="289">
        <f t="shared" si="63"/>
        <v>0</v>
      </c>
    </row>
    <row r="321" spans="1:32">
      <c r="A321" s="113">
        <v>306</v>
      </c>
      <c r="B321" s="119" t="s">
        <v>1526</v>
      </c>
      <c r="C321" s="119" t="s">
        <v>2345</v>
      </c>
      <c r="D321" s="119" t="s">
        <v>1526</v>
      </c>
      <c r="E321" s="355" t="s">
        <v>2346</v>
      </c>
      <c r="F321" s="698">
        <v>8302733.6799999997</v>
      </c>
      <c r="G321" s="698">
        <v>680835.16</v>
      </c>
      <c r="H321" s="698">
        <v>1312498.7</v>
      </c>
      <c r="I321" s="698">
        <v>2157776.3199999998</v>
      </c>
      <c r="J321" s="698">
        <v>2811283.26</v>
      </c>
      <c r="K321" s="698">
        <v>3508293.6</v>
      </c>
      <c r="L321" s="698">
        <v>4226022.3</v>
      </c>
      <c r="M321" s="698">
        <v>5084707.0999999996</v>
      </c>
      <c r="N321" s="698">
        <v>5820997.25</v>
      </c>
      <c r="O321" s="698">
        <v>6501816.54</v>
      </c>
      <c r="P321" s="698">
        <v>7387945.46</v>
      </c>
      <c r="Q321" s="698">
        <v>8022733.1699999999</v>
      </c>
      <c r="R321" s="698">
        <v>8775877.5800000001</v>
      </c>
      <c r="S321" s="357">
        <f>((F321+R321)+((G321+H321+I321+J321+K321+L321+M321+N321+O321+P321+Q321)*2))/24</f>
        <v>4671184.5408333326</v>
      </c>
      <c r="U321" s="358"/>
      <c r="V321" s="359"/>
      <c r="W321" s="359">
        <f>+S321</f>
        <v>4671184.5408333326</v>
      </c>
      <c r="X321" s="360"/>
      <c r="Y321" s="359"/>
      <c r="Z321" s="359"/>
      <c r="AA321" s="358"/>
      <c r="AB321" s="359"/>
      <c r="AC321" s="271">
        <f>+S321</f>
        <v>4671184.5408333326</v>
      </c>
      <c r="AF321" s="289">
        <f t="shared" si="63"/>
        <v>0</v>
      </c>
    </row>
    <row r="322" spans="1:32">
      <c r="A322" s="113">
        <v>307</v>
      </c>
      <c r="B322" s="119"/>
      <c r="C322" s="119"/>
      <c r="D322" s="119"/>
      <c r="E322" s="355" t="s">
        <v>2347</v>
      </c>
      <c r="F322" s="696">
        <f>SUM(F318:F321)</f>
        <v>224744681.66999999</v>
      </c>
      <c r="G322" s="696">
        <f t="shared" ref="G322:S322" si="64">SUM(G318:G321)</f>
        <v>32467330.779999997</v>
      </c>
      <c r="H322" s="696">
        <f t="shared" si="64"/>
        <v>59600984.260000005</v>
      </c>
      <c r="I322" s="696">
        <f t="shared" si="64"/>
        <v>85612881.849999994</v>
      </c>
      <c r="J322" s="696">
        <f t="shared" si="64"/>
        <v>103018448.91</v>
      </c>
      <c r="K322" s="696">
        <f t="shared" si="64"/>
        <v>115242733.69999999</v>
      </c>
      <c r="L322" s="696">
        <f t="shared" si="64"/>
        <v>126039693.28999999</v>
      </c>
      <c r="M322" s="696">
        <f t="shared" si="64"/>
        <v>138033130.33000001</v>
      </c>
      <c r="N322" s="696">
        <f t="shared" si="64"/>
        <v>147957210.07999998</v>
      </c>
      <c r="O322" s="696">
        <f t="shared" si="64"/>
        <v>159502270.04999998</v>
      </c>
      <c r="P322" s="696">
        <f t="shared" si="64"/>
        <v>177085597.24000001</v>
      </c>
      <c r="Q322" s="696">
        <f t="shared" si="64"/>
        <v>202518230.30999997</v>
      </c>
      <c r="R322" s="696">
        <f t="shared" si="64"/>
        <v>235478034.86000001</v>
      </c>
      <c r="S322" s="697">
        <f t="shared" si="64"/>
        <v>131432489.08875</v>
      </c>
      <c r="U322" s="358"/>
      <c r="V322" s="359"/>
      <c r="W322" s="359"/>
      <c r="X322" s="360"/>
      <c r="Y322" s="359"/>
      <c r="Z322" s="359"/>
      <c r="AA322" s="358"/>
      <c r="AB322" s="359"/>
      <c r="AF322" s="289">
        <f t="shared" si="63"/>
        <v>0</v>
      </c>
    </row>
    <row r="323" spans="1:32">
      <c r="A323" s="113">
        <v>308</v>
      </c>
      <c r="E323" s="374"/>
      <c r="F323" s="356"/>
      <c r="G323" s="399"/>
      <c r="H323" s="387"/>
      <c r="I323" s="387"/>
      <c r="J323" s="388"/>
      <c r="K323" s="389"/>
      <c r="L323" s="390"/>
      <c r="M323" s="391"/>
      <c r="N323" s="392"/>
      <c r="O323" s="373"/>
      <c r="P323" s="393"/>
      <c r="Q323" s="400"/>
      <c r="R323" s="356"/>
      <c r="S323" s="96"/>
      <c r="U323" s="358"/>
      <c r="V323" s="359"/>
      <c r="W323" s="359"/>
      <c r="X323" s="360"/>
      <c r="Y323" s="359"/>
      <c r="Z323" s="359"/>
      <c r="AA323" s="358"/>
      <c r="AB323" s="359"/>
      <c r="AF323" s="289">
        <f t="shared" si="63"/>
        <v>0</v>
      </c>
    </row>
    <row r="324" spans="1:32">
      <c r="A324" s="113">
        <v>309</v>
      </c>
      <c r="B324" s="119" t="s">
        <v>1543</v>
      </c>
      <c r="C324" s="119" t="s">
        <v>2348</v>
      </c>
      <c r="E324" s="355" t="s">
        <v>2349</v>
      </c>
      <c r="F324" s="356">
        <v>0</v>
      </c>
      <c r="G324" s="356">
        <v>0</v>
      </c>
      <c r="H324" s="356">
        <v>0</v>
      </c>
      <c r="I324" s="356">
        <v>0</v>
      </c>
      <c r="J324" s="356">
        <v>0</v>
      </c>
      <c r="K324" s="356">
        <v>0</v>
      </c>
      <c r="L324" s="356">
        <v>0</v>
      </c>
      <c r="M324" s="356">
        <v>0</v>
      </c>
      <c r="N324" s="356">
        <v>0</v>
      </c>
      <c r="O324" s="356">
        <v>0</v>
      </c>
      <c r="P324" s="356">
        <v>0</v>
      </c>
      <c r="Q324" s="356">
        <v>0</v>
      </c>
      <c r="R324" s="356">
        <v>0</v>
      </c>
      <c r="S324" s="96">
        <f>((F324+R324)+((G324+H324+I324+J324+K324+L324+M324+N324+O324+P324+Q324)*2))/24</f>
        <v>0</v>
      </c>
      <c r="U324" s="358"/>
      <c r="V324" s="359"/>
      <c r="W324" s="359">
        <f t="shared" ref="W324:W342" si="65">+S324</f>
        <v>0</v>
      </c>
      <c r="X324" s="360"/>
      <c r="Y324" s="359"/>
      <c r="Z324" s="359"/>
      <c r="AA324" s="358"/>
      <c r="AB324" s="359"/>
      <c r="AC324" s="271">
        <f t="shared" ref="AC324:AC342" si="66">+S324</f>
        <v>0</v>
      </c>
      <c r="AF324" s="289">
        <f t="shared" si="63"/>
        <v>0</v>
      </c>
    </row>
    <row r="325" spans="1:32">
      <c r="A325" s="113">
        <v>310</v>
      </c>
      <c r="B325" s="119" t="s">
        <v>1523</v>
      </c>
      <c r="C325" s="119" t="s">
        <v>2348</v>
      </c>
      <c r="E325" s="355" t="s">
        <v>2349</v>
      </c>
      <c r="F325" s="356">
        <v>0</v>
      </c>
      <c r="G325" s="356">
        <v>0</v>
      </c>
      <c r="H325" s="356">
        <v>0</v>
      </c>
      <c r="I325" s="356">
        <v>0</v>
      </c>
      <c r="J325" s="356">
        <v>0</v>
      </c>
      <c r="K325" s="356">
        <v>0</v>
      </c>
      <c r="L325" s="356">
        <v>0</v>
      </c>
      <c r="M325" s="356">
        <v>0</v>
      </c>
      <c r="N325" s="356">
        <v>0</v>
      </c>
      <c r="O325" s="356">
        <v>0</v>
      </c>
      <c r="P325" s="356">
        <v>0</v>
      </c>
      <c r="Q325" s="356">
        <v>0</v>
      </c>
      <c r="R325" s="356">
        <v>0</v>
      </c>
      <c r="S325" s="96">
        <f>((F325+R325)+((G325+H325+I325+J325+K325+L325+M325+N325+O325+P325+Q325)*2))/24</f>
        <v>0</v>
      </c>
      <c r="U325" s="358"/>
      <c r="V325" s="359"/>
      <c r="W325" s="359">
        <f t="shared" si="65"/>
        <v>0</v>
      </c>
      <c r="X325" s="360"/>
      <c r="Y325" s="359"/>
      <c r="Z325" s="359"/>
      <c r="AA325" s="358"/>
      <c r="AB325" s="359"/>
      <c r="AC325" s="271">
        <f t="shared" si="66"/>
        <v>0</v>
      </c>
      <c r="AF325" s="289">
        <f t="shared" si="63"/>
        <v>0</v>
      </c>
    </row>
    <row r="326" spans="1:32">
      <c r="A326" s="113">
        <v>311</v>
      </c>
      <c r="B326" s="119"/>
      <c r="C326" s="119"/>
      <c r="E326" s="355"/>
      <c r="F326" s="356"/>
      <c r="G326" s="356"/>
      <c r="H326" s="356"/>
      <c r="I326" s="356"/>
      <c r="J326" s="356"/>
      <c r="K326" s="356"/>
      <c r="L326" s="356"/>
      <c r="M326" s="356"/>
      <c r="N326" s="356"/>
      <c r="O326" s="356"/>
      <c r="P326" s="356"/>
      <c r="Q326" s="356"/>
      <c r="R326" s="356"/>
      <c r="S326" s="96"/>
      <c r="U326" s="358"/>
      <c r="V326" s="359"/>
      <c r="W326" s="359"/>
      <c r="X326" s="360"/>
      <c r="Y326" s="359"/>
      <c r="Z326" s="359"/>
      <c r="AA326" s="358"/>
      <c r="AB326" s="359"/>
      <c r="AC326" s="271"/>
      <c r="AF326" s="289"/>
    </row>
    <row r="327" spans="1:32">
      <c r="A327" s="113">
        <v>312</v>
      </c>
      <c r="B327" s="113" t="s">
        <v>1530</v>
      </c>
      <c r="C327" s="113" t="s">
        <v>2350</v>
      </c>
      <c r="D327" s="113" t="s">
        <v>2351</v>
      </c>
      <c r="E327" s="374" t="s">
        <v>2352</v>
      </c>
      <c r="F327" s="356">
        <v>36822.300000000003</v>
      </c>
      <c r="G327" s="399">
        <v>3318</v>
      </c>
      <c r="H327" s="387">
        <v>6636</v>
      </c>
      <c r="I327" s="387">
        <v>9954</v>
      </c>
      <c r="J327" s="388">
        <v>13272</v>
      </c>
      <c r="K327" s="389">
        <v>16590</v>
      </c>
      <c r="L327" s="390">
        <v>22995.46</v>
      </c>
      <c r="M327" s="391">
        <v>25628.85</v>
      </c>
      <c r="N327" s="392">
        <v>28262.240000000002</v>
      </c>
      <c r="O327" s="373">
        <v>30895.63</v>
      </c>
      <c r="P327" s="393">
        <v>33529.019999999997</v>
      </c>
      <c r="Q327" s="400">
        <v>36162.410000000003</v>
      </c>
      <c r="R327" s="356">
        <v>38803.06</v>
      </c>
      <c r="S327" s="357">
        <f>((F327+R327)+((G327+H327+I327+J327+K327+L327+M327+N327+O327+P327+Q327)*2))/24</f>
        <v>22088.024166666666</v>
      </c>
      <c r="U327" s="358"/>
      <c r="V327" s="359"/>
      <c r="W327" s="359">
        <f t="shared" si="65"/>
        <v>22088.024166666666</v>
      </c>
      <c r="X327" s="360"/>
      <c r="Y327" s="359"/>
      <c r="Z327" s="359"/>
      <c r="AA327" s="358"/>
      <c r="AB327" s="359"/>
      <c r="AC327" s="271">
        <f t="shared" si="66"/>
        <v>22088.024166666666</v>
      </c>
      <c r="AF327" s="289">
        <f t="shared" si="63"/>
        <v>0</v>
      </c>
    </row>
    <row r="328" spans="1:32">
      <c r="A328" s="113">
        <v>313</v>
      </c>
      <c r="B328" s="119" t="s">
        <v>1543</v>
      </c>
      <c r="C328" s="119" t="s">
        <v>2350</v>
      </c>
      <c r="D328" s="119" t="s">
        <v>2353</v>
      </c>
      <c r="E328" s="355" t="s">
        <v>2354</v>
      </c>
      <c r="F328" s="356">
        <v>187023.64</v>
      </c>
      <c r="G328" s="356">
        <v>15487.26</v>
      </c>
      <c r="H328" s="356">
        <v>30974.52</v>
      </c>
      <c r="I328" s="356">
        <v>51351.72</v>
      </c>
      <c r="J328" s="356">
        <v>71728.92</v>
      </c>
      <c r="K328" s="356">
        <v>92106.12</v>
      </c>
      <c r="L328" s="356">
        <v>112483.32</v>
      </c>
      <c r="M328" s="356">
        <v>132860.51999999999</v>
      </c>
      <c r="N328" s="356">
        <v>153237.72</v>
      </c>
      <c r="O328" s="356">
        <v>173614.92</v>
      </c>
      <c r="P328" s="356">
        <v>193992.12</v>
      </c>
      <c r="Q328" s="356">
        <v>214369.32</v>
      </c>
      <c r="R328" s="356">
        <v>234746.52</v>
      </c>
      <c r="S328" s="357">
        <f>((F328+R328)+((G328+H328+I328+J328+K328+L328+M328+N328+O328+P328+Q328)*2))/24</f>
        <v>121090.96166666667</v>
      </c>
      <c r="U328" s="358"/>
      <c r="V328" s="359"/>
      <c r="W328" s="359">
        <f t="shared" si="65"/>
        <v>121090.96166666667</v>
      </c>
      <c r="X328" s="360"/>
      <c r="Y328" s="359"/>
      <c r="Z328" s="359"/>
      <c r="AA328" s="358"/>
      <c r="AB328" s="359"/>
      <c r="AC328" s="271">
        <f t="shared" si="66"/>
        <v>121090.96166666667</v>
      </c>
      <c r="AF328" s="289">
        <f t="shared" si="63"/>
        <v>0</v>
      </c>
    </row>
    <row r="329" spans="1:32">
      <c r="A329" s="113">
        <v>314</v>
      </c>
      <c r="B329" s="119" t="s">
        <v>1523</v>
      </c>
      <c r="C329" s="119" t="s">
        <v>2350</v>
      </c>
      <c r="D329" s="119" t="s">
        <v>2353</v>
      </c>
      <c r="E329" s="355" t="s">
        <v>2355</v>
      </c>
      <c r="F329" s="356">
        <v>467665.9</v>
      </c>
      <c r="G329" s="356">
        <v>80862.98</v>
      </c>
      <c r="H329" s="356">
        <v>149110.22</v>
      </c>
      <c r="I329" s="356">
        <v>217434.38</v>
      </c>
      <c r="J329" s="356">
        <v>273861.58</v>
      </c>
      <c r="K329" s="356">
        <v>305814.42</v>
      </c>
      <c r="L329" s="356">
        <v>331531.57</v>
      </c>
      <c r="M329" s="356">
        <v>354221.66</v>
      </c>
      <c r="N329" s="356">
        <v>372988.06</v>
      </c>
      <c r="O329" s="356">
        <v>393235.8</v>
      </c>
      <c r="P329" s="356">
        <v>418259.33</v>
      </c>
      <c r="Q329" s="356">
        <v>460791.3</v>
      </c>
      <c r="R329" s="356">
        <v>530154.43000000005</v>
      </c>
      <c r="S329" s="357">
        <f t="shared" ref="S329:S341" si="67">((F329+R329)+((G329+H329+I329+J329+K329+L329+M329+N329+O329+P329+Q329)*2))/24</f>
        <v>321418.45541666663</v>
      </c>
      <c r="U329" s="358"/>
      <c r="V329" s="359"/>
      <c r="W329" s="359">
        <f t="shared" si="65"/>
        <v>321418.45541666663</v>
      </c>
      <c r="X329" s="360"/>
      <c r="Y329" s="359"/>
      <c r="Z329" s="359"/>
      <c r="AA329" s="358"/>
      <c r="AB329" s="359"/>
      <c r="AC329" s="271">
        <f t="shared" si="66"/>
        <v>321418.45541666663</v>
      </c>
      <c r="AF329" s="289">
        <f t="shared" si="63"/>
        <v>0</v>
      </c>
    </row>
    <row r="330" spans="1:32">
      <c r="A330" s="113">
        <v>315</v>
      </c>
      <c r="B330" s="119" t="s">
        <v>1523</v>
      </c>
      <c r="C330" s="119" t="s">
        <v>2350</v>
      </c>
      <c r="D330" s="119" t="s">
        <v>2036</v>
      </c>
      <c r="E330" s="355" t="s">
        <v>2356</v>
      </c>
      <c r="F330" s="356">
        <v>10518223.220000001</v>
      </c>
      <c r="G330" s="356">
        <v>1856628.71</v>
      </c>
      <c r="H330" s="356">
        <v>3393028.82</v>
      </c>
      <c r="I330" s="356">
        <v>4922491.49</v>
      </c>
      <c r="J330" s="356">
        <v>6129398.2300000004</v>
      </c>
      <c r="K330" s="356">
        <v>6770657.9800000004</v>
      </c>
      <c r="L330" s="356">
        <v>7288456.0199999996</v>
      </c>
      <c r="M330" s="356">
        <v>7743127.7699999996</v>
      </c>
      <c r="N330" s="356">
        <v>8119947.6299999999</v>
      </c>
      <c r="O330" s="356">
        <v>8520257.4900000002</v>
      </c>
      <c r="P330" s="356">
        <v>8995199.2799999993</v>
      </c>
      <c r="Q330" s="356">
        <v>9916856.1699999999</v>
      </c>
      <c r="R330" s="356">
        <v>11525551.67</v>
      </c>
      <c r="S330" s="357">
        <f t="shared" si="67"/>
        <v>7056494.7529166667</v>
      </c>
      <c r="U330" s="358"/>
      <c r="V330" s="359"/>
      <c r="W330" s="359">
        <f t="shared" si="65"/>
        <v>7056494.7529166667</v>
      </c>
      <c r="X330" s="360"/>
      <c r="Y330" s="359"/>
      <c r="Z330" s="359"/>
      <c r="AA330" s="358"/>
      <c r="AB330" s="359"/>
      <c r="AC330" s="271">
        <f t="shared" si="66"/>
        <v>7056494.7529166667</v>
      </c>
      <c r="AF330" s="289">
        <f t="shared" si="63"/>
        <v>0</v>
      </c>
    </row>
    <row r="331" spans="1:32">
      <c r="A331" s="113">
        <v>316</v>
      </c>
      <c r="B331" s="119" t="s">
        <v>1523</v>
      </c>
      <c r="C331" s="119" t="s">
        <v>2350</v>
      </c>
      <c r="D331" s="119" t="s">
        <v>2042</v>
      </c>
      <c r="E331" s="355" t="s">
        <v>2357</v>
      </c>
      <c r="F331" s="356">
        <v>9428488.2300000004</v>
      </c>
      <c r="G331" s="356">
        <v>1403734.79</v>
      </c>
      <c r="H331" s="356">
        <v>2676665.96</v>
      </c>
      <c r="I331" s="356">
        <v>3881371.99</v>
      </c>
      <c r="J331" s="356">
        <v>4622244.59</v>
      </c>
      <c r="K331" s="356">
        <v>5133289.0599999996</v>
      </c>
      <c r="L331" s="356">
        <v>5550348.9800000004</v>
      </c>
      <c r="M331" s="356">
        <v>5961923.7699999996</v>
      </c>
      <c r="N331" s="356">
        <v>6365390.9500000002</v>
      </c>
      <c r="O331" s="356">
        <v>6796746.1699999999</v>
      </c>
      <c r="P331" s="356">
        <v>7524905.3300000001</v>
      </c>
      <c r="Q331" s="356">
        <v>8651081.5299999993</v>
      </c>
      <c r="R331" s="356">
        <v>10053364.970000001</v>
      </c>
      <c r="S331" s="357">
        <f t="shared" si="67"/>
        <v>5692385.8099999996</v>
      </c>
      <c r="U331" s="358"/>
      <c r="V331" s="359"/>
      <c r="W331" s="359">
        <f t="shared" si="65"/>
        <v>5692385.8099999996</v>
      </c>
      <c r="X331" s="360"/>
      <c r="Y331" s="359"/>
      <c r="Z331" s="359"/>
      <c r="AA331" s="358"/>
      <c r="AB331" s="359"/>
      <c r="AC331" s="271">
        <f t="shared" si="66"/>
        <v>5692385.8099999996</v>
      </c>
      <c r="AF331" s="289">
        <f t="shared" si="63"/>
        <v>0</v>
      </c>
    </row>
    <row r="332" spans="1:32">
      <c r="A332" s="113">
        <v>317</v>
      </c>
      <c r="B332" s="119" t="s">
        <v>1543</v>
      </c>
      <c r="C332" s="119" t="s">
        <v>2350</v>
      </c>
      <c r="D332" s="395" t="s">
        <v>2358</v>
      </c>
      <c r="E332" s="355" t="s">
        <v>2359</v>
      </c>
      <c r="F332" s="356">
        <v>78671.960000000006</v>
      </c>
      <c r="G332" s="356">
        <v>6077.78</v>
      </c>
      <c r="H332" s="356">
        <v>12155.56</v>
      </c>
      <c r="I332" s="356">
        <v>18233.34</v>
      </c>
      <c r="J332" s="356">
        <v>24311.119999999999</v>
      </c>
      <c r="K332" s="356">
        <v>30388.9</v>
      </c>
      <c r="L332" s="356">
        <v>36466.68</v>
      </c>
      <c r="M332" s="356">
        <v>43027.839999999997</v>
      </c>
      <c r="N332" s="356">
        <v>49588.95</v>
      </c>
      <c r="O332" s="356">
        <v>56150.06</v>
      </c>
      <c r="P332" s="356">
        <v>62711.17</v>
      </c>
      <c r="Q332" s="356">
        <v>69272.28</v>
      </c>
      <c r="R332" s="356">
        <v>75833.39</v>
      </c>
      <c r="S332" s="357">
        <f t="shared" si="67"/>
        <v>40469.696249999994</v>
      </c>
      <c r="U332" s="358"/>
      <c r="V332" s="359"/>
      <c r="W332" s="359">
        <f t="shared" si="65"/>
        <v>40469.696249999994</v>
      </c>
      <c r="X332" s="360"/>
      <c r="Y332" s="359"/>
      <c r="Z332" s="359"/>
      <c r="AA332" s="358"/>
      <c r="AB332" s="359"/>
      <c r="AC332" s="271">
        <f t="shared" si="66"/>
        <v>40469.696249999994</v>
      </c>
      <c r="AF332" s="289">
        <f t="shared" si="63"/>
        <v>0</v>
      </c>
    </row>
    <row r="333" spans="1:32">
      <c r="A333" s="113">
        <v>318</v>
      </c>
      <c r="B333" s="119" t="s">
        <v>1543</v>
      </c>
      <c r="C333" s="119" t="s">
        <v>2350</v>
      </c>
      <c r="D333" s="395" t="s">
        <v>2360</v>
      </c>
      <c r="E333" s="355" t="s">
        <v>2361</v>
      </c>
      <c r="F333" s="356">
        <v>1595454.84</v>
      </c>
      <c r="G333" s="356">
        <v>240948.5</v>
      </c>
      <c r="H333" s="356">
        <v>442621.23</v>
      </c>
      <c r="I333" s="356">
        <v>625966.47</v>
      </c>
      <c r="J333" s="356">
        <v>748378.74</v>
      </c>
      <c r="K333" s="356">
        <v>847346.41</v>
      </c>
      <c r="L333" s="356">
        <v>896351.27</v>
      </c>
      <c r="M333" s="356">
        <v>950660.28</v>
      </c>
      <c r="N333" s="356">
        <v>1002800.1</v>
      </c>
      <c r="O333" s="356">
        <v>1059509.3400000001</v>
      </c>
      <c r="P333" s="356">
        <v>1160875.56</v>
      </c>
      <c r="Q333" s="356">
        <v>1343662.24</v>
      </c>
      <c r="R333" s="356">
        <v>1594344.8</v>
      </c>
      <c r="S333" s="357">
        <f t="shared" si="67"/>
        <v>909501.66333333345</v>
      </c>
      <c r="U333" s="358"/>
      <c r="V333" s="359"/>
      <c r="W333" s="359">
        <f t="shared" si="65"/>
        <v>909501.66333333345</v>
      </c>
      <c r="X333" s="360"/>
      <c r="Y333" s="359"/>
      <c r="Z333" s="359"/>
      <c r="AA333" s="358"/>
      <c r="AB333" s="359"/>
      <c r="AC333" s="271">
        <f t="shared" si="66"/>
        <v>909501.66333333345</v>
      </c>
      <c r="AF333" s="289">
        <f t="shared" si="63"/>
        <v>0</v>
      </c>
    </row>
    <row r="334" spans="1:32">
      <c r="A334" s="113">
        <v>319</v>
      </c>
      <c r="B334" s="119" t="s">
        <v>1523</v>
      </c>
      <c r="C334" s="119" t="s">
        <v>2350</v>
      </c>
      <c r="D334" s="119" t="s">
        <v>2360</v>
      </c>
      <c r="E334" s="355" t="s">
        <v>2361</v>
      </c>
      <c r="F334" s="356">
        <v>217905.58</v>
      </c>
      <c r="G334" s="356">
        <v>34934.839999999997</v>
      </c>
      <c r="H334" s="356">
        <v>67781.97</v>
      </c>
      <c r="I334" s="356">
        <v>101419.07</v>
      </c>
      <c r="J334" s="356">
        <v>132393.57999999999</v>
      </c>
      <c r="K334" s="356">
        <v>150302.01999999999</v>
      </c>
      <c r="L334" s="356">
        <v>162228.9</v>
      </c>
      <c r="M334" s="356">
        <v>173046.44</v>
      </c>
      <c r="N334" s="356">
        <v>180895.11</v>
      </c>
      <c r="O334" s="356">
        <v>189252.9</v>
      </c>
      <c r="P334" s="356">
        <v>198563.96</v>
      </c>
      <c r="Q334" s="356">
        <v>216144.55</v>
      </c>
      <c r="R334" s="356">
        <v>249975.58</v>
      </c>
      <c r="S334" s="357">
        <f t="shared" si="67"/>
        <v>153408.66</v>
      </c>
      <c r="U334" s="358"/>
      <c r="V334" s="359"/>
      <c r="W334" s="359">
        <f t="shared" si="65"/>
        <v>153408.66</v>
      </c>
      <c r="X334" s="360"/>
      <c r="Y334" s="359"/>
      <c r="Z334" s="359"/>
      <c r="AA334" s="358"/>
      <c r="AB334" s="359"/>
      <c r="AC334" s="271">
        <f t="shared" si="66"/>
        <v>153408.66</v>
      </c>
      <c r="AF334" s="289">
        <f t="shared" si="63"/>
        <v>0</v>
      </c>
    </row>
    <row r="335" spans="1:32">
      <c r="A335" s="113">
        <v>320</v>
      </c>
      <c r="B335" s="119" t="s">
        <v>1543</v>
      </c>
      <c r="C335" s="119" t="s">
        <v>2350</v>
      </c>
      <c r="D335" s="119" t="s">
        <v>2362</v>
      </c>
      <c r="E335" s="355" t="s">
        <v>2363</v>
      </c>
      <c r="F335" s="356">
        <v>1400826.71</v>
      </c>
      <c r="G335" s="356">
        <v>288482.84999999998</v>
      </c>
      <c r="H335" s="356">
        <v>518508.57</v>
      </c>
      <c r="I335" s="356">
        <v>744827.53</v>
      </c>
      <c r="J335" s="356">
        <v>932071.49</v>
      </c>
      <c r="K335" s="356">
        <v>1034773.01</v>
      </c>
      <c r="L335" s="356">
        <v>1122168.25</v>
      </c>
      <c r="M335" s="356">
        <v>1186256.47</v>
      </c>
      <c r="N335" s="356">
        <v>1236787.5900000001</v>
      </c>
      <c r="O335" s="356">
        <v>1295492.83</v>
      </c>
      <c r="P335" s="356">
        <v>1366301.8</v>
      </c>
      <c r="Q335" s="356">
        <v>1511075.27</v>
      </c>
      <c r="R335" s="356">
        <v>1786897.79</v>
      </c>
      <c r="S335" s="357">
        <f t="shared" si="67"/>
        <v>1069217.3258333334</v>
      </c>
      <c r="U335" s="358"/>
      <c r="V335" s="359"/>
      <c r="W335" s="359">
        <f t="shared" si="65"/>
        <v>1069217.3258333334</v>
      </c>
      <c r="X335" s="360"/>
      <c r="Y335" s="359"/>
      <c r="Z335" s="359"/>
      <c r="AA335" s="358"/>
      <c r="AB335" s="359"/>
      <c r="AC335" s="271">
        <f t="shared" si="66"/>
        <v>1069217.3258333334</v>
      </c>
      <c r="AF335" s="289">
        <f t="shared" si="63"/>
        <v>0</v>
      </c>
    </row>
    <row r="336" spans="1:32">
      <c r="A336" s="113">
        <v>321</v>
      </c>
      <c r="B336" s="119" t="s">
        <v>1530</v>
      </c>
      <c r="C336" s="119" t="s">
        <v>2350</v>
      </c>
      <c r="D336" s="119" t="s">
        <v>2364</v>
      </c>
      <c r="E336" s="355" t="s">
        <v>2365</v>
      </c>
      <c r="F336" s="356">
        <v>177539.17</v>
      </c>
      <c r="G336" s="356">
        <v>16669</v>
      </c>
      <c r="H336" s="356">
        <v>33376.080000000002</v>
      </c>
      <c r="I336" s="356">
        <v>50045.08</v>
      </c>
      <c r="J336" s="356">
        <v>47767.28</v>
      </c>
      <c r="K336" s="356">
        <v>69697.279999999999</v>
      </c>
      <c r="L336" s="356">
        <v>87598.33</v>
      </c>
      <c r="M336" s="356">
        <v>105504.33</v>
      </c>
      <c r="N336" s="356">
        <v>135671.32999999999</v>
      </c>
      <c r="O336" s="356">
        <v>155110.32999999999</v>
      </c>
      <c r="P336" s="356">
        <v>174487.45</v>
      </c>
      <c r="Q336" s="356">
        <v>193926.45</v>
      </c>
      <c r="R336" s="356">
        <v>213365.45</v>
      </c>
      <c r="S336" s="357">
        <f t="shared" si="67"/>
        <v>105442.10416666667</v>
      </c>
      <c r="U336" s="358"/>
      <c r="V336" s="359"/>
      <c r="W336" s="359">
        <f t="shared" si="65"/>
        <v>105442.10416666667</v>
      </c>
      <c r="X336" s="360"/>
      <c r="Y336" s="359"/>
      <c r="Z336" s="359"/>
      <c r="AA336" s="358"/>
      <c r="AB336" s="359"/>
      <c r="AC336" s="271">
        <f t="shared" si="66"/>
        <v>105442.10416666667</v>
      </c>
      <c r="AF336" s="289">
        <f t="shared" si="63"/>
        <v>0</v>
      </c>
    </row>
    <row r="337" spans="1:32">
      <c r="A337" s="113">
        <v>322</v>
      </c>
      <c r="B337" s="119" t="s">
        <v>1543</v>
      </c>
      <c r="C337" s="119" t="s">
        <v>2350</v>
      </c>
      <c r="D337" s="119" t="s">
        <v>2364</v>
      </c>
      <c r="E337" s="355" t="s">
        <v>2365</v>
      </c>
      <c r="F337" s="356">
        <v>1785732.24</v>
      </c>
      <c r="G337" s="356">
        <v>156526</v>
      </c>
      <c r="H337" s="356">
        <v>313052</v>
      </c>
      <c r="I337" s="356">
        <v>469578</v>
      </c>
      <c r="J337" s="356">
        <v>626104</v>
      </c>
      <c r="K337" s="356">
        <v>782630</v>
      </c>
      <c r="L337" s="356">
        <v>939156</v>
      </c>
      <c r="M337" s="356">
        <v>1121537</v>
      </c>
      <c r="N337" s="356">
        <v>1303918</v>
      </c>
      <c r="O337" s="356">
        <v>1486299</v>
      </c>
      <c r="P337" s="356">
        <v>1668680</v>
      </c>
      <c r="Q337" s="356">
        <v>1852188.94</v>
      </c>
      <c r="R337" s="356">
        <v>2035699.94</v>
      </c>
      <c r="S337" s="357">
        <f>((F337+R337)+((G337+H337+I337+J337+K337+L337+M337+N337+O337+P337+Q337)*2))/24</f>
        <v>1052532.0858333332</v>
      </c>
      <c r="U337" s="358"/>
      <c r="V337" s="359"/>
      <c r="W337" s="359">
        <f t="shared" si="65"/>
        <v>1052532.0858333332</v>
      </c>
      <c r="X337" s="360"/>
      <c r="Y337" s="359"/>
      <c r="Z337" s="359"/>
      <c r="AA337" s="358"/>
      <c r="AB337" s="359"/>
      <c r="AC337" s="271">
        <f t="shared" si="66"/>
        <v>1052532.0858333332</v>
      </c>
      <c r="AF337" s="289">
        <f t="shared" si="63"/>
        <v>0</v>
      </c>
    </row>
    <row r="338" spans="1:32">
      <c r="A338" s="113">
        <v>323</v>
      </c>
      <c r="B338" s="119" t="s">
        <v>1523</v>
      </c>
      <c r="C338" s="119" t="s">
        <v>2350</v>
      </c>
      <c r="D338" s="119" t="s">
        <v>2364</v>
      </c>
      <c r="E338" s="355" t="s">
        <v>2365</v>
      </c>
      <c r="F338" s="356">
        <v>2179522.2200000002</v>
      </c>
      <c r="G338" s="356">
        <v>195506</v>
      </c>
      <c r="H338" s="356">
        <v>391012</v>
      </c>
      <c r="I338" s="356">
        <v>586518</v>
      </c>
      <c r="J338" s="356">
        <v>577198.44999999995</v>
      </c>
      <c r="K338" s="356">
        <v>830599.45</v>
      </c>
      <c r="L338" s="356">
        <v>1028328.29</v>
      </c>
      <c r="M338" s="356">
        <v>1235228.29</v>
      </c>
      <c r="N338" s="356">
        <v>1583797.29</v>
      </c>
      <c r="O338" s="356">
        <v>1808405.29</v>
      </c>
      <c r="P338" s="356">
        <v>2033013.29</v>
      </c>
      <c r="Q338" s="356">
        <v>2257621.29</v>
      </c>
      <c r="R338" s="356">
        <v>2482229.29</v>
      </c>
      <c r="S338" s="357">
        <f t="shared" si="67"/>
        <v>1238175.2829166667</v>
      </c>
      <c r="U338" s="358"/>
      <c r="V338" s="359"/>
      <c r="W338" s="359">
        <f t="shared" si="65"/>
        <v>1238175.2829166667</v>
      </c>
      <c r="X338" s="360"/>
      <c r="Y338" s="359"/>
      <c r="Z338" s="359"/>
      <c r="AA338" s="358"/>
      <c r="AB338" s="359"/>
      <c r="AC338" s="271">
        <f t="shared" si="66"/>
        <v>1238175.2829166667</v>
      </c>
      <c r="AF338" s="289">
        <f t="shared" si="63"/>
        <v>0</v>
      </c>
    </row>
    <row r="339" spans="1:32">
      <c r="A339" s="113">
        <v>324</v>
      </c>
      <c r="B339" s="119" t="s">
        <v>1530</v>
      </c>
      <c r="C339" s="119" t="s">
        <v>2350</v>
      </c>
      <c r="D339" s="119" t="s">
        <v>2366</v>
      </c>
      <c r="E339" s="355" t="s">
        <v>2367</v>
      </c>
      <c r="F339" s="356">
        <v>1315.87</v>
      </c>
      <c r="G339" s="356">
        <v>229.39</v>
      </c>
      <c r="H339" s="356">
        <v>494.55</v>
      </c>
      <c r="I339" s="356">
        <v>547.70000000000005</v>
      </c>
      <c r="J339" s="356">
        <v>547.70000000000005</v>
      </c>
      <c r="K339" s="356">
        <v>2671.83</v>
      </c>
      <c r="L339" s="356">
        <v>2778.32</v>
      </c>
      <c r="M339" s="356">
        <v>2778.32</v>
      </c>
      <c r="N339" s="356">
        <v>2778.32</v>
      </c>
      <c r="O339" s="356">
        <v>2778.32</v>
      </c>
      <c r="P339" s="356">
        <v>2778.32</v>
      </c>
      <c r="Q339" s="356">
        <v>2790.36</v>
      </c>
      <c r="R339" s="356">
        <v>2969.2</v>
      </c>
      <c r="S339" s="357">
        <f t="shared" si="67"/>
        <v>1942.9720833333333</v>
      </c>
      <c r="U339" s="358"/>
      <c r="V339" s="359"/>
      <c r="W339" s="359">
        <f t="shared" si="65"/>
        <v>1942.9720833333333</v>
      </c>
      <c r="X339" s="360"/>
      <c r="Y339" s="359"/>
      <c r="Z339" s="359"/>
      <c r="AA339" s="358"/>
      <c r="AB339" s="359"/>
      <c r="AC339" s="271">
        <f t="shared" si="66"/>
        <v>1942.9720833333333</v>
      </c>
      <c r="AF339" s="289">
        <f t="shared" si="63"/>
        <v>0</v>
      </c>
    </row>
    <row r="340" spans="1:32">
      <c r="A340" s="113">
        <v>325</v>
      </c>
      <c r="B340" s="119" t="s">
        <v>1543</v>
      </c>
      <c r="C340" s="119" t="s">
        <v>2350</v>
      </c>
      <c r="D340" s="119" t="s">
        <v>2366</v>
      </c>
      <c r="E340" s="355" t="s">
        <v>2367</v>
      </c>
      <c r="F340" s="356">
        <v>27706.880000000001</v>
      </c>
      <c r="G340" s="356">
        <v>323.68</v>
      </c>
      <c r="H340" s="356">
        <v>527.25</v>
      </c>
      <c r="I340" s="356">
        <v>707.19</v>
      </c>
      <c r="J340" s="356">
        <v>1161.73</v>
      </c>
      <c r="K340" s="356">
        <v>1716.49</v>
      </c>
      <c r="L340" s="356">
        <v>2058.6999999999998</v>
      </c>
      <c r="M340" s="356">
        <v>2535.41</v>
      </c>
      <c r="N340" s="356">
        <v>2877.91</v>
      </c>
      <c r="O340" s="356">
        <v>3269.78</v>
      </c>
      <c r="P340" s="356">
        <v>29749.75</v>
      </c>
      <c r="Q340" s="356">
        <v>30062.42</v>
      </c>
      <c r="R340" s="356">
        <v>30360.12</v>
      </c>
      <c r="S340" s="357">
        <f t="shared" si="67"/>
        <v>8668.6508333333331</v>
      </c>
      <c r="U340" s="358"/>
      <c r="V340" s="359"/>
      <c r="W340" s="359">
        <f t="shared" si="65"/>
        <v>8668.6508333333331</v>
      </c>
      <c r="X340" s="360"/>
      <c r="Y340" s="359"/>
      <c r="Z340" s="359"/>
      <c r="AA340" s="358"/>
      <c r="AB340" s="359"/>
      <c r="AC340" s="271">
        <f t="shared" si="66"/>
        <v>8668.6508333333331</v>
      </c>
      <c r="AF340" s="289">
        <f t="shared" si="63"/>
        <v>0</v>
      </c>
    </row>
    <row r="341" spans="1:32">
      <c r="A341" s="113">
        <v>326</v>
      </c>
      <c r="B341" s="119" t="s">
        <v>1523</v>
      </c>
      <c r="C341" s="119" t="s">
        <v>2350</v>
      </c>
      <c r="D341" s="119" t="s">
        <v>2366</v>
      </c>
      <c r="E341" s="355" t="s">
        <v>2367</v>
      </c>
      <c r="F341" s="356">
        <v>23966.93</v>
      </c>
      <c r="G341" s="356">
        <v>8835.31</v>
      </c>
      <c r="H341" s="356">
        <v>5645</v>
      </c>
      <c r="I341" s="356">
        <v>4065.39</v>
      </c>
      <c r="J341" s="356">
        <v>8796.9599999999991</v>
      </c>
      <c r="K341" s="356">
        <v>9226.66</v>
      </c>
      <c r="L341" s="356">
        <v>10766.27</v>
      </c>
      <c r="M341" s="356">
        <v>-77963.03</v>
      </c>
      <c r="N341" s="356">
        <v>-77532.06</v>
      </c>
      <c r="O341" s="356">
        <v>-58551.97</v>
      </c>
      <c r="P341" s="356">
        <v>-57247.18</v>
      </c>
      <c r="Q341" s="356">
        <v>-54967.360000000001</v>
      </c>
      <c r="R341" s="356">
        <v>-50592.21</v>
      </c>
      <c r="S341" s="357">
        <f t="shared" si="67"/>
        <v>-24353.220833333336</v>
      </c>
      <c r="U341" s="358"/>
      <c r="V341" s="359"/>
      <c r="W341" s="359">
        <f t="shared" si="65"/>
        <v>-24353.220833333336</v>
      </c>
      <c r="X341" s="360"/>
      <c r="Y341" s="359"/>
      <c r="Z341" s="359"/>
      <c r="AA341" s="358"/>
      <c r="AB341" s="359"/>
      <c r="AC341" s="271">
        <f t="shared" si="66"/>
        <v>-24353.220833333336</v>
      </c>
      <c r="AF341" s="289">
        <f t="shared" si="63"/>
        <v>0</v>
      </c>
    </row>
    <row r="342" spans="1:32">
      <c r="A342" s="113">
        <v>327</v>
      </c>
      <c r="B342" s="113" t="s">
        <v>1526</v>
      </c>
      <c r="C342" s="113" t="s">
        <v>2368</v>
      </c>
      <c r="D342" s="113" t="s">
        <v>1526</v>
      </c>
      <c r="E342" s="355" t="s">
        <v>2369</v>
      </c>
      <c r="F342" s="698">
        <v>2415606.38</v>
      </c>
      <c r="G342" s="698">
        <v>228429.18</v>
      </c>
      <c r="H342" s="698">
        <v>408581.92</v>
      </c>
      <c r="I342" s="698">
        <v>617771.65</v>
      </c>
      <c r="J342" s="698">
        <v>817381.03</v>
      </c>
      <c r="K342" s="698">
        <v>1008966.51</v>
      </c>
      <c r="L342" s="698">
        <v>1203311.8899999999</v>
      </c>
      <c r="M342" s="698">
        <v>1404170.63</v>
      </c>
      <c r="N342" s="698">
        <v>1585684.77</v>
      </c>
      <c r="O342" s="698">
        <v>1784368.72</v>
      </c>
      <c r="P342" s="698">
        <v>1987428.32</v>
      </c>
      <c r="Q342" s="698">
        <v>2175409.71</v>
      </c>
      <c r="R342" s="698">
        <v>2351148.16</v>
      </c>
      <c r="S342" s="357">
        <f>((F342+R342)+((G342+H342+I342+J342+K342+L342+M342+N342+O342+P342+Q342)*2))/24</f>
        <v>1300406.8</v>
      </c>
      <c r="U342" s="358"/>
      <c r="V342" s="359"/>
      <c r="W342" s="359">
        <f t="shared" si="65"/>
        <v>1300406.8</v>
      </c>
      <c r="X342" s="360"/>
      <c r="Y342" s="359"/>
      <c r="Z342" s="359"/>
      <c r="AA342" s="358"/>
      <c r="AB342" s="359"/>
      <c r="AC342" s="271">
        <f t="shared" si="66"/>
        <v>1300406.8</v>
      </c>
      <c r="AF342" s="289">
        <f t="shared" si="63"/>
        <v>0</v>
      </c>
    </row>
    <row r="343" spans="1:32">
      <c r="A343" s="113">
        <v>328</v>
      </c>
      <c r="E343" s="374" t="s">
        <v>2370</v>
      </c>
      <c r="F343" s="696">
        <f>SUM(F327:F342)</f>
        <v>30542472.069999997</v>
      </c>
      <c r="G343" s="696">
        <f t="shared" ref="G343:S343" si="68">SUM(G327:G342)</f>
        <v>4536994.2699999986</v>
      </c>
      <c r="H343" s="696">
        <f t="shared" si="68"/>
        <v>8450171.6499999985</v>
      </c>
      <c r="I343" s="696">
        <f t="shared" si="68"/>
        <v>12302283</v>
      </c>
      <c r="J343" s="696">
        <f t="shared" si="68"/>
        <v>15026617.399999999</v>
      </c>
      <c r="K343" s="696">
        <f t="shared" si="68"/>
        <v>17086776.140000001</v>
      </c>
      <c r="L343" s="696">
        <f t="shared" si="68"/>
        <v>18797028.25</v>
      </c>
      <c r="M343" s="696">
        <f t="shared" si="68"/>
        <v>20364544.549999997</v>
      </c>
      <c r="N343" s="696">
        <f t="shared" si="68"/>
        <v>22047093.91</v>
      </c>
      <c r="O343" s="696">
        <f t="shared" si="68"/>
        <v>23696834.609999999</v>
      </c>
      <c r="P343" s="696">
        <f t="shared" si="68"/>
        <v>25793227.52</v>
      </c>
      <c r="Q343" s="696">
        <f t="shared" si="68"/>
        <v>28876446.879999999</v>
      </c>
      <c r="R343" s="696">
        <f t="shared" si="68"/>
        <v>33154852.159999996</v>
      </c>
      <c r="S343" s="696">
        <f t="shared" si="68"/>
        <v>19068890.024583332</v>
      </c>
      <c r="U343" s="358"/>
      <c r="V343" s="359"/>
      <c r="W343" s="359"/>
      <c r="X343" s="360"/>
      <c r="Y343" s="359"/>
      <c r="Z343" s="359"/>
      <c r="AA343" s="358"/>
      <c r="AB343" s="359"/>
      <c r="AF343" s="289">
        <f t="shared" si="63"/>
        <v>0</v>
      </c>
    </row>
    <row r="344" spans="1:32">
      <c r="A344" s="113">
        <v>329</v>
      </c>
      <c r="E344" s="374"/>
      <c r="F344" s="356"/>
      <c r="G344" s="399"/>
      <c r="H344" s="387"/>
      <c r="I344" s="387"/>
      <c r="J344" s="388"/>
      <c r="K344" s="389"/>
      <c r="L344" s="390"/>
      <c r="M344" s="391"/>
      <c r="N344" s="392"/>
      <c r="O344" s="373"/>
      <c r="P344" s="393"/>
      <c r="Q344" s="400"/>
      <c r="R344" s="356"/>
      <c r="S344" s="96"/>
      <c r="U344" s="358"/>
      <c r="V344" s="359"/>
      <c r="W344" s="359"/>
      <c r="X344" s="360"/>
      <c r="Y344" s="359"/>
      <c r="Z344" s="359"/>
      <c r="AA344" s="358"/>
      <c r="AB344" s="359"/>
      <c r="AF344" s="289">
        <f t="shared" si="63"/>
        <v>0</v>
      </c>
    </row>
    <row r="345" spans="1:32">
      <c r="A345" s="113">
        <v>330</v>
      </c>
      <c r="B345" s="119" t="s">
        <v>1530</v>
      </c>
      <c r="C345" s="119" t="s">
        <v>2371</v>
      </c>
      <c r="E345" s="355" t="s">
        <v>2372</v>
      </c>
      <c r="F345" s="356">
        <v>29230447.98</v>
      </c>
      <c r="G345" s="356">
        <v>2544235.2400000002</v>
      </c>
      <c r="H345" s="356">
        <v>5102393.0599999996</v>
      </c>
      <c r="I345" s="356">
        <v>7667957.1699999999</v>
      </c>
      <c r="J345" s="356">
        <v>10247492.640000001</v>
      </c>
      <c r="K345" s="356">
        <v>12830612.939999999</v>
      </c>
      <c r="L345" s="356">
        <v>15419057.09</v>
      </c>
      <c r="M345" s="356">
        <v>18020859.960000001</v>
      </c>
      <c r="N345" s="356">
        <v>20637535.760000002</v>
      </c>
      <c r="O345" s="356">
        <v>23270347</v>
      </c>
      <c r="P345" s="356">
        <v>25918672.199999999</v>
      </c>
      <c r="Q345" s="356">
        <v>28582313.68</v>
      </c>
      <c r="R345" s="356">
        <v>31270347.91</v>
      </c>
      <c r="S345" s="96">
        <f>((F345+R345)+((G345+H345+I345+J345+K345+L345+M345+N345+O345+P345+Q345)*2))/24</f>
        <v>16707656.223750001</v>
      </c>
      <c r="U345" s="358"/>
      <c r="V345" s="359"/>
      <c r="W345" s="359">
        <f>+S345</f>
        <v>16707656.223750001</v>
      </c>
      <c r="X345" s="360"/>
      <c r="Y345" s="359"/>
      <c r="Z345" s="359"/>
      <c r="AA345" s="358"/>
      <c r="AB345" s="359"/>
      <c r="AC345" s="271">
        <f>+S345</f>
        <v>16707656.223750001</v>
      </c>
      <c r="AF345" s="289">
        <f t="shared" si="63"/>
        <v>0</v>
      </c>
    </row>
    <row r="346" spans="1:32">
      <c r="A346" s="113">
        <v>331</v>
      </c>
      <c r="B346" s="119" t="s">
        <v>1530</v>
      </c>
      <c r="C346" s="119" t="s">
        <v>2373</v>
      </c>
      <c r="E346" s="355" t="s">
        <v>2374</v>
      </c>
      <c r="F346" s="356">
        <v>3457659.27</v>
      </c>
      <c r="G346" s="356">
        <v>296017.63</v>
      </c>
      <c r="H346" s="356">
        <v>592187.13</v>
      </c>
      <c r="I346" s="356">
        <v>891837.16</v>
      </c>
      <c r="J346" s="356">
        <v>1191609.53</v>
      </c>
      <c r="K346" s="356">
        <v>1491420.73</v>
      </c>
      <c r="L346" s="356">
        <v>1790451.9</v>
      </c>
      <c r="M346" s="356">
        <v>2092205.64</v>
      </c>
      <c r="N346" s="356">
        <v>2394012.87</v>
      </c>
      <c r="O346" s="356">
        <v>2695763.14</v>
      </c>
      <c r="P346" s="356">
        <v>2985075.27</v>
      </c>
      <c r="Q346" s="356">
        <v>3251041.51</v>
      </c>
      <c r="R346" s="356">
        <v>3517419.93</v>
      </c>
      <c r="S346" s="96">
        <f>((F346+R346)+((G346+H346+I346+J346+K346+L346+M346+N346+O346+P346+Q346)*2))/24</f>
        <v>1929930.1758333333</v>
      </c>
      <c r="U346" s="358"/>
      <c r="V346" s="359"/>
      <c r="W346" s="359">
        <f>+S346</f>
        <v>1929930.1758333333</v>
      </c>
      <c r="X346" s="360"/>
      <c r="Y346" s="359"/>
      <c r="Z346" s="359"/>
      <c r="AA346" s="358"/>
      <c r="AB346" s="359"/>
      <c r="AC346" s="271">
        <f>+S346</f>
        <v>1929930.1758333333</v>
      </c>
      <c r="AF346" s="289">
        <f t="shared" si="63"/>
        <v>0</v>
      </c>
    </row>
    <row r="347" spans="1:32">
      <c r="A347" s="113">
        <v>332</v>
      </c>
      <c r="B347" s="119" t="s">
        <v>1530</v>
      </c>
      <c r="C347" s="395" t="s">
        <v>2375</v>
      </c>
      <c r="E347" s="355" t="s">
        <v>2376</v>
      </c>
      <c r="F347" s="698">
        <v>0</v>
      </c>
      <c r="G347" s="698">
        <v>0</v>
      </c>
      <c r="H347" s="698">
        <v>0</v>
      </c>
      <c r="I347" s="698">
        <v>0</v>
      </c>
      <c r="J347" s="698">
        <v>0</v>
      </c>
      <c r="K347" s="698">
        <v>0</v>
      </c>
      <c r="L347" s="698">
        <v>0</v>
      </c>
      <c r="M347" s="698">
        <v>0</v>
      </c>
      <c r="N347" s="698">
        <v>0</v>
      </c>
      <c r="O347" s="698">
        <v>0</v>
      </c>
      <c r="P347" s="698">
        <v>0</v>
      </c>
      <c r="Q347" s="698">
        <v>0</v>
      </c>
      <c r="R347" s="698">
        <v>0</v>
      </c>
      <c r="S347" s="96">
        <f>((F347+R347)+((G347+H347+I347+J347+K347+L347+M347+N347+O347+P347+Q347)*2))/24</f>
        <v>0</v>
      </c>
      <c r="U347" s="358"/>
      <c r="V347" s="359"/>
      <c r="W347" s="359">
        <f>+S347</f>
        <v>0</v>
      </c>
      <c r="X347" s="360"/>
      <c r="Y347" s="359"/>
      <c r="Z347" s="359"/>
      <c r="AA347" s="358"/>
      <c r="AB347" s="359"/>
      <c r="AC347" s="271">
        <f>+S347</f>
        <v>0</v>
      </c>
      <c r="AF347" s="289">
        <f t="shared" si="63"/>
        <v>0</v>
      </c>
    </row>
    <row r="348" spans="1:32">
      <c r="A348" s="113">
        <v>333</v>
      </c>
      <c r="E348" s="355" t="s">
        <v>2377</v>
      </c>
      <c r="F348" s="696">
        <f>SUM(F345:F347)</f>
        <v>32688107.25</v>
      </c>
      <c r="G348" s="696">
        <f t="shared" ref="G348:S348" si="69">SUM(G345:G347)</f>
        <v>2840252.87</v>
      </c>
      <c r="H348" s="696">
        <f t="shared" si="69"/>
        <v>5694580.1899999995</v>
      </c>
      <c r="I348" s="696">
        <f t="shared" si="69"/>
        <v>8559794.3300000001</v>
      </c>
      <c r="J348" s="696">
        <f t="shared" si="69"/>
        <v>11439102.17</v>
      </c>
      <c r="K348" s="696">
        <f t="shared" si="69"/>
        <v>14322033.67</v>
      </c>
      <c r="L348" s="696">
        <f t="shared" si="69"/>
        <v>17209508.989999998</v>
      </c>
      <c r="M348" s="696">
        <f t="shared" si="69"/>
        <v>20113065.600000001</v>
      </c>
      <c r="N348" s="696">
        <f t="shared" si="69"/>
        <v>23031548.630000003</v>
      </c>
      <c r="O348" s="696">
        <f t="shared" si="69"/>
        <v>25966110.140000001</v>
      </c>
      <c r="P348" s="696">
        <f t="shared" si="69"/>
        <v>28903747.469999999</v>
      </c>
      <c r="Q348" s="696">
        <f t="shared" si="69"/>
        <v>31833355.189999998</v>
      </c>
      <c r="R348" s="696">
        <f t="shared" si="69"/>
        <v>34787767.840000004</v>
      </c>
      <c r="S348" s="697">
        <f t="shared" si="69"/>
        <v>18637586.399583332</v>
      </c>
      <c r="U348" s="358"/>
      <c r="V348" s="359"/>
      <c r="W348" s="359"/>
      <c r="X348" s="360"/>
      <c r="Y348" s="359"/>
      <c r="Z348" s="359"/>
      <c r="AA348" s="358"/>
      <c r="AB348" s="359"/>
      <c r="AF348" s="289">
        <f t="shared" si="63"/>
        <v>0</v>
      </c>
    </row>
    <row r="349" spans="1:32">
      <c r="A349" s="113">
        <v>334</v>
      </c>
      <c r="E349" s="374"/>
      <c r="F349" s="356"/>
      <c r="G349" s="399"/>
      <c r="H349" s="387"/>
      <c r="I349" s="387"/>
      <c r="J349" s="388"/>
      <c r="K349" s="389"/>
      <c r="L349" s="390"/>
      <c r="M349" s="391"/>
      <c r="N349" s="392"/>
      <c r="O349" s="373"/>
      <c r="P349" s="393"/>
      <c r="Q349" s="400"/>
      <c r="R349" s="356"/>
      <c r="S349" s="96"/>
      <c r="U349" s="358"/>
      <c r="V349" s="359"/>
      <c r="W349" s="359"/>
      <c r="X349" s="360"/>
      <c r="Y349" s="359"/>
      <c r="Z349" s="359"/>
      <c r="AA349" s="358"/>
      <c r="AB349" s="359"/>
      <c r="AF349" s="289">
        <f t="shared" si="63"/>
        <v>0</v>
      </c>
    </row>
    <row r="350" spans="1:32">
      <c r="A350" s="113">
        <v>335</v>
      </c>
      <c r="B350" s="119" t="s">
        <v>1530</v>
      </c>
      <c r="C350" s="119" t="s">
        <v>2378</v>
      </c>
      <c r="E350" s="355" t="s">
        <v>2379</v>
      </c>
      <c r="F350" s="356">
        <v>0</v>
      </c>
      <c r="G350" s="356">
        <v>0</v>
      </c>
      <c r="H350" s="356">
        <v>0</v>
      </c>
      <c r="I350" s="356">
        <v>0</v>
      </c>
      <c r="J350" s="356">
        <v>0</v>
      </c>
      <c r="K350" s="356">
        <v>0</v>
      </c>
      <c r="L350" s="356">
        <v>0</v>
      </c>
      <c r="M350" s="356">
        <v>0</v>
      </c>
      <c r="N350" s="356">
        <v>0</v>
      </c>
      <c r="O350" s="356">
        <v>0</v>
      </c>
      <c r="P350" s="356">
        <v>0</v>
      </c>
      <c r="Q350" s="356">
        <v>0</v>
      </c>
      <c r="R350" s="356">
        <v>0</v>
      </c>
      <c r="S350" s="357">
        <f t="shared" ref="S350:S357" si="70">((F350+R350)+((G350+H350+I350+J350+K350+L350+M350+N350+O350+P350+Q350)*2))/24</f>
        <v>0</v>
      </c>
      <c r="U350" s="358"/>
      <c r="V350" s="359"/>
      <c r="W350" s="359"/>
      <c r="X350" s="360"/>
      <c r="Y350" s="359"/>
      <c r="Z350" s="359"/>
      <c r="AA350" s="358"/>
      <c r="AB350" s="359"/>
      <c r="AF350" s="289">
        <f t="shared" si="63"/>
        <v>0</v>
      </c>
    </row>
    <row r="351" spans="1:32">
      <c r="A351" s="113">
        <v>336</v>
      </c>
      <c r="B351" s="119" t="s">
        <v>1530</v>
      </c>
      <c r="C351" s="119" t="s">
        <v>2380</v>
      </c>
      <c r="E351" s="355" t="s">
        <v>2381</v>
      </c>
      <c r="F351" s="356">
        <v>12851615.869999999</v>
      </c>
      <c r="G351" s="356">
        <v>1173036.25</v>
      </c>
      <c r="H351" s="356">
        <v>2346072.4900000002</v>
      </c>
      <c r="I351" s="356">
        <v>3519108.75</v>
      </c>
      <c r="J351" s="356">
        <v>4692145</v>
      </c>
      <c r="K351" s="356">
        <v>5865181.2400000002</v>
      </c>
      <c r="L351" s="356">
        <v>7190717.5</v>
      </c>
      <c r="M351" s="356">
        <v>8516253.75</v>
      </c>
      <c r="N351" s="356">
        <v>9841733.1199999992</v>
      </c>
      <c r="O351" s="356">
        <v>11102087.51</v>
      </c>
      <c r="P351" s="356">
        <v>12362441.880000001</v>
      </c>
      <c r="Q351" s="356">
        <v>13586500.199999999</v>
      </c>
      <c r="R351" s="356">
        <v>14810558.539999999</v>
      </c>
      <c r="S351" s="357">
        <f t="shared" si="70"/>
        <v>7835530.407916666</v>
      </c>
      <c r="U351" s="358"/>
      <c r="V351" s="359"/>
      <c r="W351" s="359">
        <f t="shared" ref="W351:W365" si="71">+S351</f>
        <v>7835530.407916666</v>
      </c>
      <c r="X351" s="360"/>
      <c r="Y351" s="359"/>
      <c r="Z351" s="359"/>
      <c r="AA351" s="358"/>
      <c r="AB351" s="359"/>
      <c r="AC351" s="271">
        <f t="shared" ref="AC351:AC365" si="72">+S351</f>
        <v>7835530.407916666</v>
      </c>
      <c r="AF351" s="289">
        <f t="shared" si="63"/>
        <v>0</v>
      </c>
    </row>
    <row r="352" spans="1:32">
      <c r="A352" s="113">
        <v>337</v>
      </c>
      <c r="B352" s="119" t="s">
        <v>1530</v>
      </c>
      <c r="C352" s="119" t="s">
        <v>2380</v>
      </c>
      <c r="D352" s="119" t="s">
        <v>1503</v>
      </c>
      <c r="E352" s="373" t="s">
        <v>2382</v>
      </c>
      <c r="F352" s="356">
        <v>1237444.53</v>
      </c>
      <c r="G352" s="356">
        <v>201826.33</v>
      </c>
      <c r="H352" s="356">
        <v>317788.17</v>
      </c>
      <c r="I352" s="356">
        <v>421743.91</v>
      </c>
      <c r="J352" s="356">
        <v>506288.91</v>
      </c>
      <c r="K352" s="356">
        <v>579140.80000000005</v>
      </c>
      <c r="L352" s="356">
        <v>620019.06000000006</v>
      </c>
      <c r="M352" s="356">
        <v>639514.62</v>
      </c>
      <c r="N352" s="356">
        <v>679468.62</v>
      </c>
      <c r="O352" s="356">
        <v>758430.75</v>
      </c>
      <c r="P352" s="356">
        <v>845594.95</v>
      </c>
      <c r="Q352" s="356">
        <v>932601.67</v>
      </c>
      <c r="R352" s="356">
        <v>1014898.94</v>
      </c>
      <c r="S352" s="357">
        <f t="shared" si="70"/>
        <v>635715.79375000007</v>
      </c>
      <c r="U352" s="358"/>
      <c r="V352" s="359"/>
      <c r="W352" s="359">
        <f t="shared" si="71"/>
        <v>635715.79375000007</v>
      </c>
      <c r="X352" s="360"/>
      <c r="Y352" s="359"/>
      <c r="Z352" s="359"/>
      <c r="AA352" s="358"/>
      <c r="AB352" s="359"/>
      <c r="AC352" s="271">
        <f t="shared" si="72"/>
        <v>635715.79375000007</v>
      </c>
      <c r="AF352" s="289">
        <f t="shared" si="63"/>
        <v>0</v>
      </c>
    </row>
    <row r="353" spans="1:32">
      <c r="A353" s="113">
        <v>338</v>
      </c>
      <c r="B353" s="119" t="s">
        <v>1530</v>
      </c>
      <c r="C353" s="119" t="s">
        <v>2380</v>
      </c>
      <c r="D353" s="119" t="s">
        <v>1504</v>
      </c>
      <c r="E353" s="373" t="s">
        <v>2383</v>
      </c>
      <c r="F353" s="356">
        <v>113020.83</v>
      </c>
      <c r="G353" s="356">
        <v>10763.89</v>
      </c>
      <c r="H353" s="356">
        <v>20833.330000000002</v>
      </c>
      <c r="I353" s="356">
        <v>31597.22</v>
      </c>
      <c r="J353" s="356">
        <v>42013.89</v>
      </c>
      <c r="K353" s="356">
        <v>52777.78</v>
      </c>
      <c r="L353" s="356">
        <v>63194.44</v>
      </c>
      <c r="M353" s="356">
        <v>73958.33</v>
      </c>
      <c r="N353" s="356">
        <v>84722.22</v>
      </c>
      <c r="O353" s="356">
        <v>95138.880000000005</v>
      </c>
      <c r="P353" s="356">
        <v>105902.77</v>
      </c>
      <c r="Q353" s="356">
        <v>116319.44</v>
      </c>
      <c r="R353" s="356">
        <v>127083.32</v>
      </c>
      <c r="S353" s="357">
        <f t="shared" si="70"/>
        <v>68106.188749999987</v>
      </c>
      <c r="U353" s="358"/>
      <c r="V353" s="359"/>
      <c r="W353" s="359">
        <f t="shared" si="71"/>
        <v>68106.188749999987</v>
      </c>
      <c r="X353" s="360"/>
      <c r="Y353" s="359"/>
      <c r="Z353" s="359"/>
      <c r="AA353" s="358"/>
      <c r="AB353" s="359"/>
      <c r="AC353" s="271">
        <f>+W353</f>
        <v>68106.188749999987</v>
      </c>
      <c r="AF353" s="289"/>
    </row>
    <row r="354" spans="1:32">
      <c r="A354" s="113">
        <v>339</v>
      </c>
      <c r="B354" s="119" t="s">
        <v>1530</v>
      </c>
      <c r="C354" s="119" t="s">
        <v>2384</v>
      </c>
      <c r="D354" s="119" t="s">
        <v>2385</v>
      </c>
      <c r="E354" s="373" t="s">
        <v>2386</v>
      </c>
      <c r="F354" s="356">
        <v>3227</v>
      </c>
      <c r="G354" s="356">
        <v>0</v>
      </c>
      <c r="H354" s="356">
        <v>0</v>
      </c>
      <c r="I354" s="356">
        <v>1050</v>
      </c>
      <c r="J354" s="356">
        <v>1050</v>
      </c>
      <c r="K354" s="356">
        <v>1050</v>
      </c>
      <c r="L354" s="356">
        <v>2114</v>
      </c>
      <c r="M354" s="356">
        <v>2114</v>
      </c>
      <c r="N354" s="356">
        <v>2114</v>
      </c>
      <c r="O354" s="356">
        <v>2885</v>
      </c>
      <c r="P354" s="356">
        <v>2885</v>
      </c>
      <c r="Q354" s="356">
        <v>2885</v>
      </c>
      <c r="R354" s="356">
        <v>3709</v>
      </c>
      <c r="S354" s="357">
        <f t="shared" si="70"/>
        <v>1801.25</v>
      </c>
      <c r="U354" s="358"/>
      <c r="V354" s="359"/>
      <c r="W354" s="359">
        <f t="shared" si="71"/>
        <v>1801.25</v>
      </c>
      <c r="X354" s="360"/>
      <c r="Y354" s="359"/>
      <c r="Z354" s="359"/>
      <c r="AA354" s="358"/>
      <c r="AB354" s="359"/>
      <c r="AC354" s="271">
        <f>+W354</f>
        <v>1801.25</v>
      </c>
      <c r="AF354" s="289"/>
    </row>
    <row r="355" spans="1:32">
      <c r="A355" s="113">
        <v>340</v>
      </c>
      <c r="B355" s="119" t="s">
        <v>1530</v>
      </c>
      <c r="C355" s="119" t="s">
        <v>2384</v>
      </c>
      <c r="D355" s="119" t="s">
        <v>1933</v>
      </c>
      <c r="E355" s="355" t="s">
        <v>2387</v>
      </c>
      <c r="F355" s="356">
        <v>3.6379788070917101E-12</v>
      </c>
      <c r="G355" s="356">
        <v>0</v>
      </c>
      <c r="H355" s="356">
        <v>0</v>
      </c>
      <c r="I355" s="356">
        <v>0</v>
      </c>
      <c r="J355" s="356">
        <v>0</v>
      </c>
      <c r="K355" s="356">
        <v>0</v>
      </c>
      <c r="L355" s="356">
        <v>0</v>
      </c>
      <c r="M355" s="356">
        <v>0</v>
      </c>
      <c r="N355" s="356">
        <v>0</v>
      </c>
      <c r="O355" s="356">
        <v>0</v>
      </c>
      <c r="P355" s="356">
        <v>0</v>
      </c>
      <c r="Q355" s="356">
        <v>0</v>
      </c>
      <c r="R355" s="356">
        <v>0</v>
      </c>
      <c r="S355" s="357">
        <f t="shared" si="70"/>
        <v>1.5158245029548793E-13</v>
      </c>
      <c r="U355" s="358"/>
      <c r="V355" s="359"/>
      <c r="W355" s="359">
        <f t="shared" si="71"/>
        <v>1.5158245029548793E-13</v>
      </c>
      <c r="X355" s="360"/>
      <c r="Y355" s="359"/>
      <c r="Z355" s="359"/>
      <c r="AA355" s="358"/>
      <c r="AB355" s="359"/>
      <c r="AC355" s="271">
        <f t="shared" si="72"/>
        <v>1.5158245029548793E-13</v>
      </c>
      <c r="AF355" s="289">
        <f t="shared" si="63"/>
        <v>0</v>
      </c>
    </row>
    <row r="356" spans="1:32">
      <c r="A356" s="113">
        <v>341</v>
      </c>
      <c r="B356" s="119" t="s">
        <v>1530</v>
      </c>
      <c r="C356" s="119" t="s">
        <v>2384</v>
      </c>
      <c r="D356" s="119" t="s">
        <v>2388</v>
      </c>
      <c r="E356" s="355" t="s">
        <v>2389</v>
      </c>
      <c r="F356" s="356">
        <v>1212769.3899999999</v>
      </c>
      <c r="G356" s="356">
        <v>-0.01</v>
      </c>
      <c r="H356" s="356">
        <v>-0.01</v>
      </c>
      <c r="I356" s="356">
        <v>-0.01</v>
      </c>
      <c r="J356" s="356">
        <v>-0.01</v>
      </c>
      <c r="K356" s="356">
        <v>-0.01</v>
      </c>
      <c r="L356" s="356">
        <v>-0.01</v>
      </c>
      <c r="M356" s="356">
        <v>-0.01</v>
      </c>
      <c r="N356" s="356">
        <v>-0.01</v>
      </c>
      <c r="O356" s="356">
        <v>-0.01</v>
      </c>
      <c r="P356" s="356">
        <v>-0.01</v>
      </c>
      <c r="Q356" s="356">
        <v>-0.01</v>
      </c>
      <c r="R356" s="356">
        <v>-0.01</v>
      </c>
      <c r="S356" s="357">
        <f t="shared" si="70"/>
        <v>50532.048333333332</v>
      </c>
      <c r="U356" s="358"/>
      <c r="V356" s="359"/>
      <c r="W356" s="359">
        <f t="shared" si="71"/>
        <v>50532.048333333332</v>
      </c>
      <c r="X356" s="360"/>
      <c r="Y356" s="359"/>
      <c r="Z356" s="359"/>
      <c r="AA356" s="358"/>
      <c r="AB356" s="359"/>
      <c r="AC356" s="271">
        <f t="shared" si="72"/>
        <v>50532.048333333332</v>
      </c>
      <c r="AF356" s="289"/>
    </row>
    <row r="357" spans="1:32">
      <c r="A357" s="113">
        <v>342</v>
      </c>
      <c r="B357" s="119" t="s">
        <v>1530</v>
      </c>
      <c r="C357" s="119" t="s">
        <v>2384</v>
      </c>
      <c r="D357" s="119" t="s">
        <v>2390</v>
      </c>
      <c r="E357" s="355" t="s">
        <v>2391</v>
      </c>
      <c r="F357" s="356">
        <v>33252.980000000003</v>
      </c>
      <c r="G357" s="356">
        <v>0</v>
      </c>
      <c r="H357" s="356">
        <v>0</v>
      </c>
      <c r="I357" s="356">
        <v>8444.42</v>
      </c>
      <c r="J357" s="356">
        <v>8444.42</v>
      </c>
      <c r="K357" s="356">
        <v>14937.12</v>
      </c>
      <c r="L357" s="356">
        <v>18135.3</v>
      </c>
      <c r="M357" s="356">
        <v>18135.3</v>
      </c>
      <c r="N357" s="356">
        <v>18135.3</v>
      </c>
      <c r="O357" s="356">
        <v>27285.99</v>
      </c>
      <c r="P357" s="356">
        <v>27468.55</v>
      </c>
      <c r="Q357" s="356">
        <v>27285.99</v>
      </c>
      <c r="R357" s="356">
        <v>36361.96</v>
      </c>
      <c r="S357" s="357">
        <f t="shared" si="70"/>
        <v>16923.321666666667</v>
      </c>
      <c r="U357" s="358"/>
      <c r="V357" s="359"/>
      <c r="W357" s="359">
        <f t="shared" si="71"/>
        <v>16923.321666666667</v>
      </c>
      <c r="X357" s="360"/>
      <c r="Y357" s="359"/>
      <c r="Z357" s="359"/>
      <c r="AA357" s="358"/>
      <c r="AB357" s="359"/>
      <c r="AC357" s="271">
        <f t="shared" si="72"/>
        <v>16923.321666666667</v>
      </c>
      <c r="AF357" s="289"/>
    </row>
    <row r="358" spans="1:32">
      <c r="A358" s="113">
        <v>343</v>
      </c>
      <c r="B358" s="119" t="s">
        <v>1543</v>
      </c>
      <c r="C358" s="119" t="s">
        <v>2384</v>
      </c>
      <c r="D358" s="119" t="s">
        <v>2392</v>
      </c>
      <c r="E358" s="355" t="s">
        <v>2393</v>
      </c>
      <c r="F358" s="356">
        <v>4567.83</v>
      </c>
      <c r="G358" s="356">
        <v>24.65</v>
      </c>
      <c r="H358" s="356">
        <v>58.08</v>
      </c>
      <c r="I358" s="356">
        <v>103.18</v>
      </c>
      <c r="J358" s="356">
        <v>130.78</v>
      </c>
      <c r="K358" s="356">
        <v>252.71</v>
      </c>
      <c r="L358" s="356">
        <v>332.5</v>
      </c>
      <c r="M358" s="356">
        <v>384.72</v>
      </c>
      <c r="N358" s="356">
        <v>458.81</v>
      </c>
      <c r="O358" s="356">
        <v>567.53</v>
      </c>
      <c r="P358" s="356">
        <v>701.8</v>
      </c>
      <c r="Q358" s="356">
        <v>788.18</v>
      </c>
      <c r="R358" s="356">
        <v>1386.35</v>
      </c>
      <c r="S358" s="357">
        <f t="shared" ref="S358:S363" si="73">((F358+R358)+((G358+H358+I358+J358+K358+L358+M358+N358+O358+P358+Q358)*2))/24</f>
        <v>565.00250000000005</v>
      </c>
      <c r="U358" s="358"/>
      <c r="V358" s="359"/>
      <c r="W358" s="359">
        <f t="shared" si="71"/>
        <v>565.00250000000005</v>
      </c>
      <c r="X358" s="360"/>
      <c r="Y358" s="359"/>
      <c r="Z358" s="359"/>
      <c r="AA358" s="358"/>
      <c r="AB358" s="359"/>
      <c r="AC358" s="271">
        <f t="shared" si="72"/>
        <v>565.00250000000005</v>
      </c>
      <c r="AF358" s="289">
        <f t="shared" si="63"/>
        <v>0</v>
      </c>
    </row>
    <row r="359" spans="1:32">
      <c r="A359" s="113">
        <v>344</v>
      </c>
      <c r="B359" s="119" t="s">
        <v>1543</v>
      </c>
      <c r="C359" s="119" t="s">
        <v>2384</v>
      </c>
      <c r="D359" s="119" t="s">
        <v>2394</v>
      </c>
      <c r="E359" s="355" t="s">
        <v>2395</v>
      </c>
      <c r="F359" s="356">
        <v>0</v>
      </c>
      <c r="G359" s="356">
        <v>0</v>
      </c>
      <c r="H359" s="356">
        <v>0</v>
      </c>
      <c r="I359" s="356">
        <v>0</v>
      </c>
      <c r="J359" s="356">
        <v>0</v>
      </c>
      <c r="K359" s="356">
        <v>0</v>
      </c>
      <c r="L359" s="356">
        <v>0</v>
      </c>
      <c r="M359" s="356">
        <v>0</v>
      </c>
      <c r="N359" s="356">
        <v>0</v>
      </c>
      <c r="O359" s="356">
        <v>0</v>
      </c>
      <c r="P359" s="356">
        <v>0</v>
      </c>
      <c r="Q359" s="356">
        <v>0</v>
      </c>
      <c r="R359" s="356">
        <v>0</v>
      </c>
      <c r="S359" s="357">
        <f t="shared" si="73"/>
        <v>0</v>
      </c>
      <c r="U359" s="358"/>
      <c r="V359" s="359"/>
      <c r="W359" s="359">
        <f t="shared" si="71"/>
        <v>0</v>
      </c>
      <c r="X359" s="360"/>
      <c r="Y359" s="359"/>
      <c r="Z359" s="359"/>
      <c r="AA359" s="358"/>
      <c r="AB359" s="359"/>
      <c r="AC359" s="271">
        <f t="shared" si="72"/>
        <v>0</v>
      </c>
      <c r="AF359" s="289">
        <f t="shared" si="63"/>
        <v>0</v>
      </c>
    </row>
    <row r="360" spans="1:32">
      <c r="A360" s="113">
        <v>345</v>
      </c>
      <c r="B360" s="119" t="s">
        <v>1543</v>
      </c>
      <c r="C360" s="119" t="s">
        <v>2384</v>
      </c>
      <c r="D360" s="119" t="s">
        <v>2396</v>
      </c>
      <c r="E360" s="355" t="s">
        <v>2397</v>
      </c>
      <c r="F360" s="356">
        <v>92377.64</v>
      </c>
      <c r="G360" s="356">
        <v>5008.58</v>
      </c>
      <c r="H360" s="356">
        <v>7977.4</v>
      </c>
      <c r="I360" s="356">
        <v>9092.27</v>
      </c>
      <c r="J360" s="356">
        <v>10234.33</v>
      </c>
      <c r="K360" s="356">
        <v>10234.33</v>
      </c>
      <c r="L360" s="356">
        <v>10234.33</v>
      </c>
      <c r="M360" s="356">
        <v>10234.33</v>
      </c>
      <c r="N360" s="356">
        <v>10234.33</v>
      </c>
      <c r="O360" s="356">
        <v>10234.33</v>
      </c>
      <c r="P360" s="356">
        <v>10234.33</v>
      </c>
      <c r="Q360" s="356">
        <v>10234.33</v>
      </c>
      <c r="R360" s="356">
        <v>13347.42</v>
      </c>
      <c r="S360" s="357">
        <f t="shared" si="73"/>
        <v>13067.951666666668</v>
      </c>
      <c r="U360" s="358"/>
      <c r="V360" s="359"/>
      <c r="W360" s="359">
        <f t="shared" si="71"/>
        <v>13067.951666666668</v>
      </c>
      <c r="X360" s="360"/>
      <c r="Y360" s="359"/>
      <c r="Z360" s="359"/>
      <c r="AA360" s="358"/>
      <c r="AB360" s="359"/>
      <c r="AC360" s="271">
        <f t="shared" si="72"/>
        <v>13067.951666666668</v>
      </c>
      <c r="AF360" s="289">
        <f t="shared" si="63"/>
        <v>0</v>
      </c>
    </row>
    <row r="361" spans="1:32">
      <c r="A361" s="113">
        <v>346</v>
      </c>
      <c r="B361" s="119" t="s">
        <v>1523</v>
      </c>
      <c r="C361" s="119" t="s">
        <v>2384</v>
      </c>
      <c r="D361" s="119" t="s">
        <v>2392</v>
      </c>
      <c r="E361" s="355" t="s">
        <v>2393</v>
      </c>
      <c r="F361" s="356">
        <v>16599.79</v>
      </c>
      <c r="G361" s="356">
        <v>151.19999999999999</v>
      </c>
      <c r="H361" s="356">
        <v>283.37</v>
      </c>
      <c r="I361" s="356">
        <v>477.29</v>
      </c>
      <c r="J361" s="356">
        <v>740.81</v>
      </c>
      <c r="K361" s="356">
        <v>1214.43</v>
      </c>
      <c r="L361" s="356">
        <v>1777.6</v>
      </c>
      <c r="M361" s="356">
        <v>2475.8000000000002</v>
      </c>
      <c r="N361" s="356">
        <v>3053.27</v>
      </c>
      <c r="O361" s="356">
        <v>3960.22</v>
      </c>
      <c r="P361" s="356">
        <v>5233.59</v>
      </c>
      <c r="Q361" s="356">
        <v>6337.36</v>
      </c>
      <c r="R361" s="356">
        <v>9422.17</v>
      </c>
      <c r="S361" s="357">
        <f t="shared" si="73"/>
        <v>3226.3266666666664</v>
      </c>
      <c r="U361" s="358"/>
      <c r="V361" s="359"/>
      <c r="W361" s="359">
        <f t="shared" si="71"/>
        <v>3226.3266666666664</v>
      </c>
      <c r="X361" s="360"/>
      <c r="Y361" s="359"/>
      <c r="Z361" s="359"/>
      <c r="AA361" s="358"/>
      <c r="AB361" s="359"/>
      <c r="AC361" s="271">
        <f t="shared" si="72"/>
        <v>3226.3266666666664</v>
      </c>
      <c r="AF361" s="289">
        <f t="shared" si="63"/>
        <v>0</v>
      </c>
    </row>
    <row r="362" spans="1:32">
      <c r="A362" s="113">
        <v>347</v>
      </c>
      <c r="B362" s="119" t="s">
        <v>1523</v>
      </c>
      <c r="C362" s="119" t="s">
        <v>2384</v>
      </c>
      <c r="D362" s="119" t="s">
        <v>2394</v>
      </c>
      <c r="E362" s="355" t="s">
        <v>2395</v>
      </c>
      <c r="F362" s="356">
        <v>0</v>
      </c>
      <c r="G362" s="356">
        <v>0</v>
      </c>
      <c r="H362" s="356">
        <v>0</v>
      </c>
      <c r="I362" s="356">
        <v>0</v>
      </c>
      <c r="J362" s="356">
        <v>0</v>
      </c>
      <c r="K362" s="356">
        <v>0</v>
      </c>
      <c r="L362" s="356">
        <v>0</v>
      </c>
      <c r="M362" s="356">
        <v>0</v>
      </c>
      <c r="N362" s="356">
        <v>0</v>
      </c>
      <c r="O362" s="356">
        <v>0</v>
      </c>
      <c r="P362" s="356">
        <v>0</v>
      </c>
      <c r="Q362" s="356">
        <v>0</v>
      </c>
      <c r="R362" s="356">
        <v>0</v>
      </c>
      <c r="S362" s="357">
        <f t="shared" si="73"/>
        <v>0</v>
      </c>
      <c r="U362" s="358"/>
      <c r="V362" s="359"/>
      <c r="W362" s="359">
        <f t="shared" si="71"/>
        <v>0</v>
      </c>
      <c r="X362" s="360"/>
      <c r="Y362" s="359"/>
      <c r="Z362" s="359"/>
      <c r="AA362" s="358"/>
      <c r="AB362" s="359"/>
      <c r="AC362" s="271">
        <f t="shared" si="72"/>
        <v>0</v>
      </c>
      <c r="AF362" s="289">
        <f t="shared" si="63"/>
        <v>0</v>
      </c>
    </row>
    <row r="363" spans="1:32">
      <c r="A363" s="113">
        <v>348</v>
      </c>
      <c r="B363" s="119" t="s">
        <v>1523</v>
      </c>
      <c r="C363" s="119" t="s">
        <v>2384</v>
      </c>
      <c r="D363" s="119" t="s">
        <v>2396</v>
      </c>
      <c r="E363" s="355" t="s">
        <v>2397</v>
      </c>
      <c r="F363" s="356">
        <v>0</v>
      </c>
      <c r="G363" s="356">
        <v>0</v>
      </c>
      <c r="H363" s="356">
        <v>0</v>
      </c>
      <c r="I363" s="356">
        <v>0</v>
      </c>
      <c r="J363" s="356">
        <v>0</v>
      </c>
      <c r="K363" s="356">
        <v>0</v>
      </c>
      <c r="L363" s="356">
        <v>0</v>
      </c>
      <c r="M363" s="356">
        <v>0</v>
      </c>
      <c r="N363" s="356">
        <v>0</v>
      </c>
      <c r="O363" s="356">
        <v>0</v>
      </c>
      <c r="P363" s="356">
        <v>0</v>
      </c>
      <c r="Q363" s="356">
        <v>0</v>
      </c>
      <c r="R363" s="356">
        <v>0</v>
      </c>
      <c r="S363" s="357">
        <f t="shared" si="73"/>
        <v>0</v>
      </c>
      <c r="U363" s="358"/>
      <c r="V363" s="359"/>
      <c r="W363" s="359">
        <f t="shared" si="71"/>
        <v>0</v>
      </c>
      <c r="X363" s="360"/>
      <c r="Y363" s="359"/>
      <c r="Z363" s="359"/>
      <c r="AA363" s="358"/>
      <c r="AB363" s="359"/>
      <c r="AC363" s="271">
        <f t="shared" si="72"/>
        <v>0</v>
      </c>
      <c r="AF363" s="289">
        <f t="shared" si="63"/>
        <v>0</v>
      </c>
    </row>
    <row r="364" spans="1:32">
      <c r="A364" s="113">
        <v>349</v>
      </c>
      <c r="B364" s="119" t="s">
        <v>1530</v>
      </c>
      <c r="C364" s="119" t="s">
        <v>2398</v>
      </c>
      <c r="E364" s="355" t="s">
        <v>2399</v>
      </c>
      <c r="F364" s="356">
        <v>216975.49</v>
      </c>
      <c r="G364" s="356">
        <v>18520.37</v>
      </c>
      <c r="H364" s="356">
        <v>37040.75</v>
      </c>
      <c r="I364" s="356">
        <v>55561.120000000003</v>
      </c>
      <c r="J364" s="356">
        <v>74081.5</v>
      </c>
      <c r="K364" s="356">
        <v>92601.87</v>
      </c>
      <c r="L364" s="356">
        <v>111608.52</v>
      </c>
      <c r="M364" s="356">
        <v>130405.66</v>
      </c>
      <c r="N364" s="356">
        <v>148525.69</v>
      </c>
      <c r="O364" s="356">
        <v>166235.5</v>
      </c>
      <c r="P364" s="356">
        <v>184200.8</v>
      </c>
      <c r="Q364" s="356">
        <v>197821.21</v>
      </c>
      <c r="R364" s="356">
        <v>211496.36</v>
      </c>
      <c r="S364" s="357">
        <f>((F364+R364)+((G364+H364+I364+J364+K364+L364+M364+N364+O364+P364+Q364)*2))/24</f>
        <v>119236.57625</v>
      </c>
      <c r="U364" s="358"/>
      <c r="V364" s="359"/>
      <c r="W364" s="359">
        <f t="shared" si="71"/>
        <v>119236.57625</v>
      </c>
      <c r="X364" s="360"/>
      <c r="Y364" s="359"/>
      <c r="Z364" s="359"/>
      <c r="AA364" s="358"/>
      <c r="AB364" s="359"/>
      <c r="AC364" s="271">
        <f t="shared" si="72"/>
        <v>119236.57625</v>
      </c>
      <c r="AF364" s="289">
        <f t="shared" si="63"/>
        <v>0</v>
      </c>
    </row>
    <row r="365" spans="1:32">
      <c r="A365" s="113">
        <v>350</v>
      </c>
      <c r="B365" s="119" t="s">
        <v>1530</v>
      </c>
      <c r="C365" s="119" t="s">
        <v>2400</v>
      </c>
      <c r="E365" s="355" t="s">
        <v>2401</v>
      </c>
      <c r="F365" s="698">
        <v>40970.639999999999</v>
      </c>
      <c r="G365" s="698">
        <v>3414.22</v>
      </c>
      <c r="H365" s="698">
        <v>6828.44</v>
      </c>
      <c r="I365" s="698">
        <v>10242.66</v>
      </c>
      <c r="J365" s="698">
        <v>13656.88</v>
      </c>
      <c r="K365" s="698">
        <v>17071.099999999999</v>
      </c>
      <c r="L365" s="698">
        <v>20485.32</v>
      </c>
      <c r="M365" s="698">
        <v>23899.54</v>
      </c>
      <c r="N365" s="698">
        <v>27313.759999999998</v>
      </c>
      <c r="O365" s="698">
        <v>30727.98</v>
      </c>
      <c r="P365" s="698">
        <v>34142.199999999997</v>
      </c>
      <c r="Q365" s="698">
        <v>39125.19</v>
      </c>
      <c r="R365" s="698">
        <v>44118.75</v>
      </c>
      <c r="S365" s="357">
        <f>((F365+R365)+((G365+H365+I365+J365+K365+L365+M365+N365+O365+P365+Q365)*2))/24</f>
        <v>22454.332083333331</v>
      </c>
      <c r="U365" s="358"/>
      <c r="V365" s="359"/>
      <c r="W365" s="359">
        <f t="shared" si="71"/>
        <v>22454.332083333331</v>
      </c>
      <c r="X365" s="360"/>
      <c r="Y365" s="359"/>
      <c r="Z365" s="359"/>
      <c r="AA365" s="358"/>
      <c r="AB365" s="359"/>
      <c r="AC365" s="271">
        <f t="shared" si="72"/>
        <v>22454.332083333331</v>
      </c>
      <c r="AF365" s="289">
        <f t="shared" si="63"/>
        <v>0</v>
      </c>
    </row>
    <row r="366" spans="1:32">
      <c r="A366" s="113">
        <v>351</v>
      </c>
      <c r="E366" s="355" t="s">
        <v>2402</v>
      </c>
      <c r="F366" s="696">
        <f t="shared" ref="F366:S366" si="74">SUM(F350:F365)</f>
        <v>15822821.99</v>
      </c>
      <c r="G366" s="696">
        <f t="shared" si="74"/>
        <v>1412745.48</v>
      </c>
      <c r="H366" s="696">
        <f t="shared" si="74"/>
        <v>2736882.0200000005</v>
      </c>
      <c r="I366" s="696">
        <f t="shared" si="74"/>
        <v>4057420.810000001</v>
      </c>
      <c r="J366" s="696">
        <f t="shared" si="74"/>
        <v>5348786.51</v>
      </c>
      <c r="K366" s="696">
        <f t="shared" si="74"/>
        <v>6634461.3700000001</v>
      </c>
      <c r="L366" s="696">
        <f t="shared" si="74"/>
        <v>8038618.5600000005</v>
      </c>
      <c r="M366" s="696">
        <f t="shared" si="74"/>
        <v>9417376.040000001</v>
      </c>
      <c r="N366" s="696">
        <f t="shared" si="74"/>
        <v>10815759.109999999</v>
      </c>
      <c r="O366" s="696">
        <f t="shared" si="74"/>
        <v>12197553.680000002</v>
      </c>
      <c r="P366" s="696">
        <f t="shared" si="74"/>
        <v>13578805.860000001</v>
      </c>
      <c r="Q366" s="696">
        <f t="shared" si="74"/>
        <v>14919898.559999999</v>
      </c>
      <c r="R366" s="696">
        <f t="shared" si="74"/>
        <v>16272382.799999999</v>
      </c>
      <c r="S366" s="697">
        <f t="shared" si="74"/>
        <v>8767159.199583333</v>
      </c>
      <c r="U366" s="358"/>
      <c r="V366" s="359"/>
      <c r="W366" s="359"/>
      <c r="X366" s="360"/>
      <c r="Y366" s="359"/>
      <c r="Z366" s="359"/>
      <c r="AA366" s="358"/>
      <c r="AB366" s="359"/>
      <c r="AF366" s="289">
        <f t="shared" si="63"/>
        <v>0</v>
      </c>
    </row>
    <row r="367" spans="1:32">
      <c r="A367" s="113">
        <v>352</v>
      </c>
      <c r="E367" s="355"/>
      <c r="F367" s="356"/>
      <c r="G367" s="399"/>
      <c r="H367" s="387"/>
      <c r="I367" s="387"/>
      <c r="J367" s="388"/>
      <c r="K367" s="389"/>
      <c r="L367" s="390"/>
      <c r="M367" s="391"/>
      <c r="N367" s="392"/>
      <c r="O367" s="373"/>
      <c r="P367" s="393"/>
      <c r="Q367" s="400"/>
      <c r="R367" s="356"/>
      <c r="S367" s="96"/>
      <c r="U367" s="358"/>
      <c r="V367" s="359"/>
      <c r="W367" s="359"/>
      <c r="X367" s="360"/>
      <c r="Y367" s="359"/>
      <c r="Z367" s="359"/>
      <c r="AA367" s="358"/>
      <c r="AB367" s="359"/>
      <c r="AF367" s="289">
        <f t="shared" si="63"/>
        <v>0</v>
      </c>
    </row>
    <row r="368" spans="1:32">
      <c r="A368" s="113">
        <v>353</v>
      </c>
      <c r="B368" s="119" t="s">
        <v>1543</v>
      </c>
      <c r="C368" s="119" t="s">
        <v>2403</v>
      </c>
      <c r="D368" s="119" t="s">
        <v>2404</v>
      </c>
      <c r="E368" s="355" t="s">
        <v>2405</v>
      </c>
      <c r="F368" s="356">
        <v>-638181.51</v>
      </c>
      <c r="G368" s="356">
        <v>393090.82</v>
      </c>
      <c r="H368" s="356">
        <v>682081.63</v>
      </c>
      <c r="I368" s="356">
        <v>974827.02</v>
      </c>
      <c r="J368" s="356">
        <v>951179.27</v>
      </c>
      <c r="K368" s="356">
        <v>856739.88</v>
      </c>
      <c r="L368" s="356">
        <v>670177.22</v>
      </c>
      <c r="M368" s="356">
        <v>102307.01</v>
      </c>
      <c r="N368" s="356">
        <v>-126461.44</v>
      </c>
      <c r="O368" s="356">
        <v>-372360.01</v>
      </c>
      <c r="P368" s="356">
        <v>-291841.81</v>
      </c>
      <c r="Q368" s="356">
        <v>77384.039999999994</v>
      </c>
      <c r="R368" s="356">
        <v>485092.4</v>
      </c>
      <c r="S368" s="357">
        <f t="shared" ref="S368:S388" si="75">((F368+R368)+((G368+H368+I368+J368+K368+L368+M368+N368+O368+P368+Q368)*2))/24</f>
        <v>320048.25624999992</v>
      </c>
      <c r="U368" s="358"/>
      <c r="V368" s="359"/>
      <c r="W368" s="359">
        <f t="shared" ref="W368:W388" si="76">+S368</f>
        <v>320048.25624999992</v>
      </c>
      <c r="X368" s="360"/>
      <c r="Y368" s="359"/>
      <c r="Z368" s="359"/>
      <c r="AA368" s="358"/>
      <c r="AB368" s="359"/>
      <c r="AC368" s="271">
        <f t="shared" ref="AC368:AC388" si="77">+S368</f>
        <v>320048.25624999992</v>
      </c>
      <c r="AF368" s="289">
        <f t="shared" si="63"/>
        <v>0</v>
      </c>
    </row>
    <row r="369" spans="1:32">
      <c r="A369" s="113">
        <v>354</v>
      </c>
      <c r="B369" s="119" t="s">
        <v>1543</v>
      </c>
      <c r="C369" s="119" t="s">
        <v>2403</v>
      </c>
      <c r="D369" s="119" t="s">
        <v>2406</v>
      </c>
      <c r="E369" s="355" t="s">
        <v>2407</v>
      </c>
      <c r="F369" s="356">
        <v>-941388.15</v>
      </c>
      <c r="G369" s="356">
        <v>189291.87</v>
      </c>
      <c r="H369" s="356">
        <v>354089.9</v>
      </c>
      <c r="I369" s="356">
        <v>535835.34</v>
      </c>
      <c r="J369" s="356">
        <v>592637.09</v>
      </c>
      <c r="K369" s="356">
        <v>564272.03</v>
      </c>
      <c r="L369" s="356">
        <v>481804.37</v>
      </c>
      <c r="M369" s="356">
        <v>263621.01</v>
      </c>
      <c r="N369" s="356">
        <v>145966.26999999999</v>
      </c>
      <c r="O369" s="356">
        <v>79520.3</v>
      </c>
      <c r="P369" s="356">
        <v>99923.89</v>
      </c>
      <c r="Q369" s="356">
        <v>274617.82</v>
      </c>
      <c r="R369" s="356">
        <v>521437.46</v>
      </c>
      <c r="S369" s="357">
        <f t="shared" si="75"/>
        <v>280967.0454166666</v>
      </c>
      <c r="U369" s="358"/>
      <c r="V369" s="359"/>
      <c r="W369" s="359">
        <f t="shared" si="76"/>
        <v>280967.0454166666</v>
      </c>
      <c r="X369" s="360"/>
      <c r="Y369" s="359"/>
      <c r="Z369" s="359"/>
      <c r="AA369" s="358"/>
      <c r="AB369" s="359"/>
      <c r="AC369" s="271">
        <f t="shared" si="77"/>
        <v>280967.0454166666</v>
      </c>
      <c r="AF369" s="289">
        <f t="shared" si="63"/>
        <v>0</v>
      </c>
    </row>
    <row r="370" spans="1:32">
      <c r="A370" s="113">
        <v>355</v>
      </c>
      <c r="B370" s="119" t="s">
        <v>1523</v>
      </c>
      <c r="C370" s="119" t="s">
        <v>2403</v>
      </c>
      <c r="D370" s="119" t="s">
        <v>2404</v>
      </c>
      <c r="E370" s="355" t="s">
        <v>2405</v>
      </c>
      <c r="F370" s="356">
        <v>-10887316.07</v>
      </c>
      <c r="G370" s="356">
        <v>1765203.83</v>
      </c>
      <c r="H370" s="356">
        <v>3354661.12</v>
      </c>
      <c r="I370" s="356">
        <v>5141241.01</v>
      </c>
      <c r="J370" s="356">
        <v>5809459.6699999999</v>
      </c>
      <c r="K370" s="356">
        <v>5575423.7300000004</v>
      </c>
      <c r="L370" s="356">
        <v>4791429.04</v>
      </c>
      <c r="M370" s="356">
        <v>2855615.24</v>
      </c>
      <c r="N370" s="356">
        <v>1729257.55</v>
      </c>
      <c r="O370" s="356">
        <v>1335049.44</v>
      </c>
      <c r="P370" s="356">
        <v>1493246.46</v>
      </c>
      <c r="Q370" s="356">
        <v>3220221.33</v>
      </c>
      <c r="R370" s="356">
        <v>5466343.1399999997</v>
      </c>
      <c r="S370" s="357">
        <f t="shared" si="75"/>
        <v>2863360.1629166664</v>
      </c>
      <c r="U370" s="358"/>
      <c r="V370" s="359"/>
      <c r="W370" s="359">
        <f t="shared" si="76"/>
        <v>2863360.1629166664</v>
      </c>
      <c r="X370" s="360"/>
      <c r="Y370" s="359"/>
      <c r="Z370" s="359"/>
      <c r="AA370" s="358"/>
      <c r="AB370" s="359"/>
      <c r="AC370" s="271">
        <f t="shared" si="77"/>
        <v>2863360.1629166664</v>
      </c>
      <c r="AF370" s="289">
        <f t="shared" si="63"/>
        <v>0</v>
      </c>
    </row>
    <row r="371" spans="1:32">
      <c r="A371" s="113">
        <v>356</v>
      </c>
      <c r="B371" s="119" t="s">
        <v>1530</v>
      </c>
      <c r="C371" s="119" t="s">
        <v>2408</v>
      </c>
      <c r="D371" s="119" t="s">
        <v>2404</v>
      </c>
      <c r="E371" s="355" t="s">
        <v>2409</v>
      </c>
      <c r="F371" s="356">
        <v>0</v>
      </c>
      <c r="G371" s="356">
        <v>0</v>
      </c>
      <c r="H371" s="356">
        <v>0</v>
      </c>
      <c r="I371" s="356">
        <v>0</v>
      </c>
      <c r="J371" s="356">
        <v>0</v>
      </c>
      <c r="K371" s="356">
        <v>0</v>
      </c>
      <c r="L371" s="356">
        <v>0</v>
      </c>
      <c r="M371" s="356">
        <v>0</v>
      </c>
      <c r="N371" s="356">
        <v>0</v>
      </c>
      <c r="O371" s="356">
        <v>0</v>
      </c>
      <c r="P371" s="356">
        <v>0</v>
      </c>
      <c r="Q371" s="356">
        <v>0</v>
      </c>
      <c r="R371" s="356">
        <v>0</v>
      </c>
      <c r="S371" s="357">
        <f t="shared" si="75"/>
        <v>0</v>
      </c>
      <c r="U371" s="358"/>
      <c r="V371" s="359"/>
      <c r="W371" s="359">
        <f t="shared" si="76"/>
        <v>0</v>
      </c>
      <c r="X371" s="360"/>
      <c r="Y371" s="359"/>
      <c r="Z371" s="359"/>
      <c r="AA371" s="358"/>
      <c r="AB371" s="359"/>
      <c r="AC371" s="271">
        <f t="shared" si="77"/>
        <v>0</v>
      </c>
      <c r="AF371" s="289">
        <f t="shared" si="63"/>
        <v>0</v>
      </c>
    </row>
    <row r="372" spans="1:32">
      <c r="A372" s="113">
        <v>357</v>
      </c>
      <c r="B372" s="119" t="s">
        <v>1523</v>
      </c>
      <c r="C372" s="119" t="s">
        <v>2408</v>
      </c>
      <c r="D372" s="119" t="s">
        <v>2404</v>
      </c>
      <c r="E372" s="355" t="s">
        <v>2409</v>
      </c>
      <c r="F372" s="356">
        <v>616283.49</v>
      </c>
      <c r="G372" s="356">
        <v>77337.27</v>
      </c>
      <c r="H372" s="356">
        <v>135134.98000000001</v>
      </c>
      <c r="I372" s="356">
        <v>215032.32000000001</v>
      </c>
      <c r="J372" s="356">
        <v>263773.63</v>
      </c>
      <c r="K372" s="356">
        <v>309392.8</v>
      </c>
      <c r="L372" s="356">
        <v>422601.61</v>
      </c>
      <c r="M372" s="356">
        <v>452665.34</v>
      </c>
      <c r="N372" s="356">
        <v>483432.49</v>
      </c>
      <c r="O372" s="356">
        <v>620341.56999999995</v>
      </c>
      <c r="P372" s="356">
        <v>649378.97</v>
      </c>
      <c r="Q372" s="356">
        <v>675726.86</v>
      </c>
      <c r="R372" s="356">
        <v>1216827.98</v>
      </c>
      <c r="S372" s="357">
        <f t="shared" si="75"/>
        <v>435114.46458333335</v>
      </c>
      <c r="U372" s="358"/>
      <c r="V372" s="359"/>
      <c r="W372" s="359">
        <f t="shared" si="76"/>
        <v>435114.46458333335</v>
      </c>
      <c r="X372" s="360"/>
      <c r="Y372" s="359"/>
      <c r="Z372" s="359"/>
      <c r="AA372" s="358"/>
      <c r="AB372" s="359"/>
      <c r="AC372" s="271">
        <f t="shared" si="77"/>
        <v>435114.46458333335</v>
      </c>
      <c r="AF372" s="289">
        <f t="shared" si="63"/>
        <v>0</v>
      </c>
    </row>
    <row r="373" spans="1:32">
      <c r="A373" s="113">
        <v>358</v>
      </c>
      <c r="B373" s="119" t="s">
        <v>1543</v>
      </c>
      <c r="C373" s="119" t="s">
        <v>2408</v>
      </c>
      <c r="D373" s="119" t="s">
        <v>2404</v>
      </c>
      <c r="E373" s="355" t="s">
        <v>2409</v>
      </c>
      <c r="F373" s="356">
        <v>-29139.84</v>
      </c>
      <c r="G373" s="356">
        <v>-3050.82</v>
      </c>
      <c r="H373" s="356">
        <v>-4143.75</v>
      </c>
      <c r="I373" s="356">
        <v>1232.8499999999999</v>
      </c>
      <c r="J373" s="356">
        <v>-404.26</v>
      </c>
      <c r="K373" s="356">
        <v>-187.42</v>
      </c>
      <c r="L373" s="356">
        <v>50728.41</v>
      </c>
      <c r="M373" s="356">
        <v>48848.83</v>
      </c>
      <c r="N373" s="356">
        <v>48595.94</v>
      </c>
      <c r="O373" s="356">
        <v>74827</v>
      </c>
      <c r="P373" s="356">
        <v>81374.11</v>
      </c>
      <c r="Q373" s="356">
        <v>76721.649999999994</v>
      </c>
      <c r="R373" s="356">
        <v>233562.31</v>
      </c>
      <c r="S373" s="357">
        <f t="shared" si="75"/>
        <v>39729.481250000004</v>
      </c>
      <c r="U373" s="358"/>
      <c r="V373" s="359"/>
      <c r="W373" s="359">
        <f t="shared" si="76"/>
        <v>39729.481250000004</v>
      </c>
      <c r="X373" s="360"/>
      <c r="Y373" s="359"/>
      <c r="Z373" s="359"/>
      <c r="AA373" s="358"/>
      <c r="AB373" s="359"/>
      <c r="AC373" s="271">
        <f t="shared" si="77"/>
        <v>39729.481250000004</v>
      </c>
      <c r="AF373" s="289">
        <f t="shared" si="63"/>
        <v>0</v>
      </c>
    </row>
    <row r="374" spans="1:32">
      <c r="A374" s="113">
        <v>359</v>
      </c>
      <c r="B374" s="119" t="s">
        <v>1543</v>
      </c>
      <c r="C374" s="119" t="s">
        <v>2408</v>
      </c>
      <c r="D374" s="119" t="s">
        <v>2406</v>
      </c>
      <c r="E374" s="355" t="s">
        <v>2410</v>
      </c>
      <c r="F374" s="356">
        <v>-89092.800000000003</v>
      </c>
      <c r="G374" s="356">
        <v>6502</v>
      </c>
      <c r="H374" s="356">
        <v>11465.13</v>
      </c>
      <c r="I374" s="356">
        <v>18928.82</v>
      </c>
      <c r="J374" s="356">
        <v>23051.66</v>
      </c>
      <c r="K374" s="356">
        <v>27063.49</v>
      </c>
      <c r="L374" s="356">
        <v>41428.660000000003</v>
      </c>
      <c r="M374" s="356">
        <v>43895.51</v>
      </c>
      <c r="N374" s="356">
        <v>46566.3</v>
      </c>
      <c r="O374" s="356">
        <v>60845.3</v>
      </c>
      <c r="P374" s="356">
        <v>63959.86</v>
      </c>
      <c r="Q374" s="356">
        <v>76153.240000000005</v>
      </c>
      <c r="R374" s="356">
        <v>137241.26</v>
      </c>
      <c r="S374" s="357">
        <f t="shared" si="75"/>
        <v>36994.516666666663</v>
      </c>
      <c r="U374" s="358"/>
      <c r="V374" s="359"/>
      <c r="W374" s="359">
        <f t="shared" si="76"/>
        <v>36994.516666666663</v>
      </c>
      <c r="X374" s="360"/>
      <c r="Y374" s="359"/>
      <c r="Z374" s="359"/>
      <c r="AA374" s="358"/>
      <c r="AB374" s="359"/>
      <c r="AC374" s="271">
        <f t="shared" si="77"/>
        <v>36994.516666666663</v>
      </c>
      <c r="AF374" s="289">
        <f t="shared" si="63"/>
        <v>0</v>
      </c>
    </row>
    <row r="375" spans="1:32">
      <c r="A375" s="113">
        <v>360</v>
      </c>
      <c r="B375" s="119" t="s">
        <v>1543</v>
      </c>
      <c r="C375" s="119" t="s">
        <v>2411</v>
      </c>
      <c r="D375" s="119" t="s">
        <v>2404</v>
      </c>
      <c r="E375" s="355" t="s">
        <v>2412</v>
      </c>
      <c r="F375" s="356">
        <v>9119545.7400000002</v>
      </c>
      <c r="G375" s="356">
        <v>105759.23</v>
      </c>
      <c r="H375" s="356">
        <v>281177.64</v>
      </c>
      <c r="I375" s="356">
        <v>368316.21</v>
      </c>
      <c r="J375" s="356">
        <v>436062.01</v>
      </c>
      <c r="K375" s="356">
        <v>481450.34</v>
      </c>
      <c r="L375" s="356">
        <v>574726.92000000004</v>
      </c>
      <c r="M375" s="356">
        <v>937347.36</v>
      </c>
      <c r="N375" s="356">
        <v>1036470.46</v>
      </c>
      <c r="O375" s="356">
        <v>1160494.3999999999</v>
      </c>
      <c r="P375" s="356">
        <v>1214434.71</v>
      </c>
      <c r="Q375" s="356">
        <v>1446864.87</v>
      </c>
      <c r="R375" s="356">
        <v>2116757.21</v>
      </c>
      <c r="S375" s="357">
        <f t="shared" si="75"/>
        <v>1138437.96875</v>
      </c>
      <c r="U375" s="358"/>
      <c r="V375" s="359"/>
      <c r="W375" s="359">
        <f t="shared" si="76"/>
        <v>1138437.96875</v>
      </c>
      <c r="X375" s="360"/>
      <c r="Y375" s="359"/>
      <c r="Z375" s="359"/>
      <c r="AA375" s="358"/>
      <c r="AB375" s="359"/>
      <c r="AC375" s="271">
        <f t="shared" si="77"/>
        <v>1138437.96875</v>
      </c>
      <c r="AF375" s="289">
        <f t="shared" si="63"/>
        <v>0</v>
      </c>
    </row>
    <row r="376" spans="1:32">
      <c r="A376" s="113">
        <v>361</v>
      </c>
      <c r="B376" s="119" t="s">
        <v>1543</v>
      </c>
      <c r="C376" s="119" t="s">
        <v>2411</v>
      </c>
      <c r="D376" s="113" t="s">
        <v>2406</v>
      </c>
      <c r="E376" s="355" t="s">
        <v>2413</v>
      </c>
      <c r="F376" s="356">
        <v>3692365.67</v>
      </c>
      <c r="G376" s="356">
        <v>39918</v>
      </c>
      <c r="H376" s="356">
        <v>111127</v>
      </c>
      <c r="I376" s="356">
        <v>151047.19</v>
      </c>
      <c r="J376" s="356">
        <v>192570.95</v>
      </c>
      <c r="K376" s="356">
        <v>235724.93</v>
      </c>
      <c r="L376" s="356">
        <v>308957.98</v>
      </c>
      <c r="M376" s="356">
        <v>456606.54</v>
      </c>
      <c r="N376" s="356">
        <v>523630.26</v>
      </c>
      <c r="O376" s="356">
        <v>786358.69</v>
      </c>
      <c r="P376" s="356">
        <v>837364.85</v>
      </c>
      <c r="Q376" s="356">
        <v>936447.8</v>
      </c>
      <c r="R376" s="356">
        <v>1145102.26</v>
      </c>
      <c r="S376" s="357">
        <f t="shared" si="75"/>
        <v>583207.34625000006</v>
      </c>
      <c r="U376" s="358"/>
      <c r="V376" s="359"/>
      <c r="W376" s="359">
        <f t="shared" si="76"/>
        <v>583207.34625000006</v>
      </c>
      <c r="X376" s="360"/>
      <c r="Y376" s="359"/>
      <c r="Z376" s="359"/>
      <c r="AA376" s="358"/>
      <c r="AB376" s="359"/>
      <c r="AC376" s="271">
        <f t="shared" si="77"/>
        <v>583207.34625000006</v>
      </c>
      <c r="AF376" s="289">
        <f t="shared" si="63"/>
        <v>0</v>
      </c>
    </row>
    <row r="377" spans="1:32">
      <c r="A377" s="113">
        <v>362</v>
      </c>
      <c r="B377" s="119" t="s">
        <v>1523</v>
      </c>
      <c r="C377" s="119" t="s">
        <v>2411</v>
      </c>
      <c r="D377" s="113" t="s">
        <v>2404</v>
      </c>
      <c r="E377" s="355" t="s">
        <v>2412</v>
      </c>
      <c r="F377" s="356">
        <v>32227813.57</v>
      </c>
      <c r="G377" s="356">
        <v>182665.09</v>
      </c>
      <c r="H377" s="356">
        <v>662803.43999999994</v>
      </c>
      <c r="I377" s="356">
        <v>834610.82</v>
      </c>
      <c r="J377" s="356">
        <v>1066220.6499999999</v>
      </c>
      <c r="K377" s="356">
        <v>1330738.96</v>
      </c>
      <c r="L377" s="356">
        <v>1896796.38</v>
      </c>
      <c r="M377" s="356">
        <v>3055989.1</v>
      </c>
      <c r="N377" s="356">
        <v>3540925.42</v>
      </c>
      <c r="O377" s="356">
        <v>6324764.2699999996</v>
      </c>
      <c r="P377" s="356">
        <v>6678551.9400000004</v>
      </c>
      <c r="Q377" s="356">
        <v>7433199.8799999999</v>
      </c>
      <c r="R377" s="356">
        <v>9612418.3699999992</v>
      </c>
      <c r="S377" s="357">
        <f t="shared" si="75"/>
        <v>4493948.4933333332</v>
      </c>
      <c r="U377" s="358"/>
      <c r="V377" s="359"/>
      <c r="W377" s="359">
        <f t="shared" si="76"/>
        <v>4493948.4933333332</v>
      </c>
      <c r="X377" s="360"/>
      <c r="Y377" s="359"/>
      <c r="Z377" s="359"/>
      <c r="AA377" s="358"/>
      <c r="AB377" s="359"/>
      <c r="AC377" s="271">
        <f t="shared" si="77"/>
        <v>4493948.4933333332</v>
      </c>
      <c r="AF377" s="289">
        <f t="shared" si="63"/>
        <v>0</v>
      </c>
    </row>
    <row r="378" spans="1:32">
      <c r="A378" s="113">
        <v>363</v>
      </c>
      <c r="B378" s="119" t="s">
        <v>1530</v>
      </c>
      <c r="C378" s="119" t="s">
        <v>2414</v>
      </c>
      <c r="D378" s="113" t="s">
        <v>2404</v>
      </c>
      <c r="E378" s="355" t="s">
        <v>2415</v>
      </c>
      <c r="F378" s="356">
        <v>0</v>
      </c>
      <c r="G378" s="356">
        <v>0</v>
      </c>
      <c r="H378" s="356">
        <v>0</v>
      </c>
      <c r="I378" s="356">
        <v>0</v>
      </c>
      <c r="J378" s="356">
        <v>0</v>
      </c>
      <c r="K378" s="356">
        <v>0</v>
      </c>
      <c r="L378" s="356">
        <v>0</v>
      </c>
      <c r="M378" s="356">
        <v>0</v>
      </c>
      <c r="N378" s="356">
        <v>0</v>
      </c>
      <c r="O378" s="356">
        <v>0</v>
      </c>
      <c r="P378" s="356">
        <v>0</v>
      </c>
      <c r="Q378" s="356">
        <v>0</v>
      </c>
      <c r="R378" s="356">
        <v>0</v>
      </c>
      <c r="S378" s="357">
        <f t="shared" si="75"/>
        <v>0</v>
      </c>
      <c r="U378" s="358"/>
      <c r="V378" s="359"/>
      <c r="W378" s="359">
        <f t="shared" si="76"/>
        <v>0</v>
      </c>
      <c r="X378" s="360"/>
      <c r="Y378" s="359"/>
      <c r="Z378" s="359"/>
      <c r="AA378" s="358"/>
      <c r="AB378" s="359"/>
      <c r="AC378" s="271">
        <f t="shared" si="77"/>
        <v>0</v>
      </c>
      <c r="AF378" s="289">
        <f t="shared" si="63"/>
        <v>0</v>
      </c>
    </row>
    <row r="379" spans="1:32">
      <c r="A379" s="113">
        <v>364</v>
      </c>
      <c r="B379" s="119" t="s">
        <v>1523</v>
      </c>
      <c r="C379" s="119" t="s">
        <v>2414</v>
      </c>
      <c r="D379" s="113" t="s">
        <v>2404</v>
      </c>
      <c r="E379" s="355" t="s">
        <v>2415</v>
      </c>
      <c r="F379" s="356">
        <v>528076.93999999994</v>
      </c>
      <c r="G379" s="356">
        <v>8.02</v>
      </c>
      <c r="H379" s="356">
        <v>16.04</v>
      </c>
      <c r="I379" s="356">
        <v>24.06</v>
      </c>
      <c r="J379" s="356">
        <v>32.090000000000003</v>
      </c>
      <c r="K379" s="356">
        <v>40.11</v>
      </c>
      <c r="L379" s="356">
        <v>70.45</v>
      </c>
      <c r="M379" s="356">
        <v>82.19</v>
      </c>
      <c r="N379" s="356">
        <v>93.93</v>
      </c>
      <c r="O379" s="356">
        <v>105.67</v>
      </c>
      <c r="P379" s="356">
        <v>117.41</v>
      </c>
      <c r="Q379" s="356">
        <v>129.16999999999999</v>
      </c>
      <c r="R379" s="356">
        <v>887871.47</v>
      </c>
      <c r="S379" s="357">
        <f t="shared" si="75"/>
        <v>59057.778749999998</v>
      </c>
      <c r="U379" s="358"/>
      <c r="V379" s="359"/>
      <c r="W379" s="359">
        <f t="shared" si="76"/>
        <v>59057.778749999998</v>
      </c>
      <c r="X379" s="360"/>
      <c r="Y379" s="359"/>
      <c r="Z379" s="359"/>
      <c r="AA379" s="358"/>
      <c r="AB379" s="359"/>
      <c r="AC379" s="271">
        <f t="shared" si="77"/>
        <v>59057.778749999998</v>
      </c>
      <c r="AF379" s="289">
        <f t="shared" si="63"/>
        <v>0</v>
      </c>
    </row>
    <row r="380" spans="1:32">
      <c r="A380" s="113">
        <v>365</v>
      </c>
      <c r="B380" s="119" t="s">
        <v>1543</v>
      </c>
      <c r="C380" s="119" t="s">
        <v>2414</v>
      </c>
      <c r="D380" s="113" t="s">
        <v>2404</v>
      </c>
      <c r="E380" s="355" t="s">
        <v>2415</v>
      </c>
      <c r="F380" s="356">
        <v>174433.3</v>
      </c>
      <c r="G380" s="356">
        <v>2.66</v>
      </c>
      <c r="H380" s="356">
        <v>5.33</v>
      </c>
      <c r="I380" s="356">
        <v>8</v>
      </c>
      <c r="J380" s="356">
        <v>10.66</v>
      </c>
      <c r="K380" s="356">
        <v>13.33</v>
      </c>
      <c r="L380" s="356">
        <v>23.42</v>
      </c>
      <c r="M380" s="356">
        <v>27.32</v>
      </c>
      <c r="N380" s="356">
        <v>31.22</v>
      </c>
      <c r="O380" s="356">
        <v>35.130000000000003</v>
      </c>
      <c r="P380" s="356">
        <v>39.03</v>
      </c>
      <c r="Q380" s="356">
        <v>42.95</v>
      </c>
      <c r="R380" s="356">
        <v>295168.48</v>
      </c>
      <c r="S380" s="357">
        <f t="shared" si="75"/>
        <v>19586.661666666663</v>
      </c>
      <c r="U380" s="358"/>
      <c r="V380" s="359"/>
      <c r="W380" s="359">
        <f t="shared" si="76"/>
        <v>19586.661666666663</v>
      </c>
      <c r="X380" s="360"/>
      <c r="Y380" s="359"/>
      <c r="Z380" s="359"/>
      <c r="AA380" s="358"/>
      <c r="AB380" s="359"/>
      <c r="AC380" s="271">
        <f t="shared" si="77"/>
        <v>19586.661666666663</v>
      </c>
      <c r="AF380" s="289">
        <f t="shared" si="63"/>
        <v>0</v>
      </c>
    </row>
    <row r="381" spans="1:32">
      <c r="A381" s="113">
        <v>366</v>
      </c>
      <c r="B381" s="119" t="s">
        <v>1543</v>
      </c>
      <c r="C381" s="119" t="s">
        <v>2414</v>
      </c>
      <c r="D381" s="113" t="s">
        <v>2406</v>
      </c>
      <c r="E381" s="355" t="s">
        <v>2416</v>
      </c>
      <c r="F381" s="356">
        <v>60311.85</v>
      </c>
      <c r="G381" s="356">
        <v>0</v>
      </c>
      <c r="H381" s="356">
        <v>0</v>
      </c>
      <c r="I381" s="356">
        <v>0</v>
      </c>
      <c r="J381" s="356">
        <v>0</v>
      </c>
      <c r="K381" s="356">
        <v>0</v>
      </c>
      <c r="L381" s="356">
        <v>0</v>
      </c>
      <c r="M381" s="356">
        <v>0</v>
      </c>
      <c r="N381" s="356">
        <v>0</v>
      </c>
      <c r="O381" s="356">
        <v>0</v>
      </c>
      <c r="P381" s="356">
        <v>0</v>
      </c>
      <c r="Q381" s="356">
        <v>0.01</v>
      </c>
      <c r="R381" s="356">
        <v>100652.67</v>
      </c>
      <c r="S381" s="357">
        <f t="shared" si="75"/>
        <v>6706.8558333333322</v>
      </c>
      <c r="U381" s="358"/>
      <c r="V381" s="359"/>
      <c r="W381" s="359">
        <f t="shared" si="76"/>
        <v>6706.8558333333322</v>
      </c>
      <c r="X381" s="360"/>
      <c r="Y381" s="359"/>
      <c r="Z381" s="359"/>
      <c r="AA381" s="358"/>
      <c r="AB381" s="359"/>
      <c r="AC381" s="271">
        <f t="shared" si="77"/>
        <v>6706.8558333333322</v>
      </c>
      <c r="AF381" s="289">
        <f t="shared" si="63"/>
        <v>0</v>
      </c>
    </row>
    <row r="382" spans="1:32">
      <c r="A382" s="113">
        <v>367</v>
      </c>
      <c r="B382" s="119" t="s">
        <v>1543</v>
      </c>
      <c r="C382" s="119" t="s">
        <v>2390</v>
      </c>
      <c r="D382" s="113" t="s">
        <v>2404</v>
      </c>
      <c r="E382" s="355" t="s">
        <v>2417</v>
      </c>
      <c r="F382" s="356">
        <v>-8574114.7400000002</v>
      </c>
      <c r="G382" s="356">
        <v>-191992.55</v>
      </c>
      <c r="H382" s="356">
        <v>-378359.02</v>
      </c>
      <c r="I382" s="356">
        <v>-592259.86</v>
      </c>
      <c r="J382" s="356">
        <v>-699373</v>
      </c>
      <c r="K382" s="356">
        <v>-767755.5</v>
      </c>
      <c r="L382" s="356">
        <v>-862951.75</v>
      </c>
      <c r="M382" s="356">
        <v>-938492.95</v>
      </c>
      <c r="N382" s="356">
        <v>-1002617.24</v>
      </c>
      <c r="O382" s="356">
        <v>-1159045.02</v>
      </c>
      <c r="P382" s="356">
        <v>-1388379.21</v>
      </c>
      <c r="Q382" s="356">
        <v>-1744758.26</v>
      </c>
      <c r="R382" s="356">
        <v>-2411249.15</v>
      </c>
      <c r="S382" s="357">
        <f t="shared" si="75"/>
        <v>-1268222.1920833334</v>
      </c>
      <c r="U382" s="358"/>
      <c r="V382" s="359"/>
      <c r="W382" s="359">
        <f t="shared" si="76"/>
        <v>-1268222.1920833334</v>
      </c>
      <c r="X382" s="360"/>
      <c r="Y382" s="359"/>
      <c r="Z382" s="359"/>
      <c r="AA382" s="358"/>
      <c r="AB382" s="359"/>
      <c r="AC382" s="271">
        <f t="shared" si="77"/>
        <v>-1268222.1920833334</v>
      </c>
      <c r="AF382" s="289">
        <f t="shared" si="63"/>
        <v>0</v>
      </c>
    </row>
    <row r="383" spans="1:32">
      <c r="A383" s="113">
        <v>368</v>
      </c>
      <c r="B383" s="119" t="s">
        <v>1543</v>
      </c>
      <c r="C383" s="119" t="s">
        <v>2390</v>
      </c>
      <c r="D383" s="113" t="s">
        <v>2406</v>
      </c>
      <c r="E383" s="355" t="s">
        <v>2418</v>
      </c>
      <c r="F383" s="356">
        <v>-2456542.67</v>
      </c>
      <c r="G383" s="356">
        <v>-103488.65</v>
      </c>
      <c r="H383" s="356">
        <v>-221528.92</v>
      </c>
      <c r="I383" s="356">
        <v>-351079.89</v>
      </c>
      <c r="J383" s="356">
        <v>-417656.98</v>
      </c>
      <c r="K383" s="356">
        <v>-444149.95</v>
      </c>
      <c r="L383" s="356">
        <v>-473849.87</v>
      </c>
      <c r="M383" s="356">
        <v>-481739.43</v>
      </c>
      <c r="N383" s="356">
        <v>-491204.15</v>
      </c>
      <c r="O383" s="356">
        <v>-733231.83</v>
      </c>
      <c r="P383" s="356">
        <v>-790485.41</v>
      </c>
      <c r="Q383" s="356">
        <v>-945657.56</v>
      </c>
      <c r="R383" s="356">
        <v>-1255819.98</v>
      </c>
      <c r="S383" s="357">
        <f t="shared" si="75"/>
        <v>-609187.83041666669</v>
      </c>
      <c r="U383" s="358"/>
      <c r="V383" s="359"/>
      <c r="W383" s="359">
        <f t="shared" si="76"/>
        <v>-609187.83041666669</v>
      </c>
      <c r="X383" s="360"/>
      <c r="Y383" s="359"/>
      <c r="Z383" s="359"/>
      <c r="AA383" s="358"/>
      <c r="AB383" s="359"/>
      <c r="AC383" s="271">
        <f t="shared" si="77"/>
        <v>-609187.83041666669</v>
      </c>
      <c r="AF383" s="289">
        <f t="shared" si="63"/>
        <v>0</v>
      </c>
    </row>
    <row r="384" spans="1:32">
      <c r="A384" s="113">
        <v>369</v>
      </c>
      <c r="B384" s="119" t="s">
        <v>1523</v>
      </c>
      <c r="C384" s="119" t="s">
        <v>2390</v>
      </c>
      <c r="D384" s="113" t="s">
        <v>2404</v>
      </c>
      <c r="E384" s="355" t="s">
        <v>2417</v>
      </c>
      <c r="F384" s="356">
        <v>-22532955.920000002</v>
      </c>
      <c r="G384" s="356">
        <v>-1166058.77</v>
      </c>
      <c r="H384" s="356">
        <v>-2513625.56</v>
      </c>
      <c r="I384" s="356">
        <v>-3926039.24</v>
      </c>
      <c r="J384" s="356">
        <v>-4747842.03</v>
      </c>
      <c r="K384" s="356">
        <v>-5142331.32</v>
      </c>
      <c r="L384" s="356">
        <v>-5552415.4900000002</v>
      </c>
      <c r="M384" s="356">
        <v>-5745236.9299999997</v>
      </c>
      <c r="N384" s="356">
        <v>-5950870.7000000002</v>
      </c>
      <c r="O384" s="356">
        <v>-8809116.4299999997</v>
      </c>
      <c r="P384" s="356">
        <v>-9402208.8800000008</v>
      </c>
      <c r="Q384" s="356">
        <v>-10948927.16</v>
      </c>
      <c r="R384" s="356">
        <v>-14016587.960000001</v>
      </c>
      <c r="S384" s="357">
        <f t="shared" si="75"/>
        <v>-6848287.0375000006</v>
      </c>
      <c r="U384" s="358"/>
      <c r="V384" s="359"/>
      <c r="W384" s="359">
        <f t="shared" si="76"/>
        <v>-6848287.0375000006</v>
      </c>
      <c r="X384" s="360"/>
      <c r="Y384" s="359"/>
      <c r="Z384" s="359"/>
      <c r="AA384" s="358"/>
      <c r="AB384" s="359"/>
      <c r="AC384" s="271">
        <f t="shared" si="77"/>
        <v>-6848287.0375000006</v>
      </c>
      <c r="AF384" s="289">
        <f t="shared" si="63"/>
        <v>0</v>
      </c>
    </row>
    <row r="385" spans="1:32">
      <c r="A385" s="113">
        <v>370</v>
      </c>
      <c r="B385" s="119" t="s">
        <v>1543</v>
      </c>
      <c r="C385" s="119" t="s">
        <v>2419</v>
      </c>
      <c r="D385" s="113" t="s">
        <v>2404</v>
      </c>
      <c r="E385" s="355" t="s">
        <v>2420</v>
      </c>
      <c r="F385" s="356">
        <v>-13748.91</v>
      </c>
      <c r="G385" s="356">
        <v>-147.75</v>
      </c>
      <c r="H385" s="356">
        <v>-295.5</v>
      </c>
      <c r="I385" s="356">
        <v>-443.25</v>
      </c>
      <c r="J385" s="356">
        <v>-590.99</v>
      </c>
      <c r="K385" s="356">
        <v>-738.74</v>
      </c>
      <c r="L385" s="356">
        <v>-1297.6099999999999</v>
      </c>
      <c r="M385" s="356">
        <v>-1513.88</v>
      </c>
      <c r="N385" s="356">
        <v>-1730.15</v>
      </c>
      <c r="O385" s="356">
        <v>-1946.42</v>
      </c>
      <c r="P385" s="356">
        <v>-2162.69</v>
      </c>
      <c r="Q385" s="356">
        <v>-2378.9699999999998</v>
      </c>
      <c r="R385" s="356">
        <v>-170164.03</v>
      </c>
      <c r="S385" s="357">
        <f t="shared" si="75"/>
        <v>-8766.8683333333338</v>
      </c>
      <c r="U385" s="358"/>
      <c r="V385" s="359"/>
      <c r="W385" s="359">
        <f t="shared" si="76"/>
        <v>-8766.8683333333338</v>
      </c>
      <c r="X385" s="360"/>
      <c r="Y385" s="359"/>
      <c r="Z385" s="359"/>
      <c r="AA385" s="358"/>
      <c r="AB385" s="359"/>
      <c r="AC385" s="271">
        <f t="shared" si="77"/>
        <v>-8766.8683333333338</v>
      </c>
      <c r="AF385" s="289">
        <f t="shared" si="63"/>
        <v>0</v>
      </c>
    </row>
    <row r="386" spans="1:32">
      <c r="A386" s="113">
        <v>371</v>
      </c>
      <c r="B386" s="119" t="s">
        <v>1543</v>
      </c>
      <c r="C386" s="119" t="s">
        <v>2419</v>
      </c>
      <c r="D386" s="113" t="s">
        <v>2406</v>
      </c>
      <c r="E386" s="355" t="s">
        <v>2421</v>
      </c>
      <c r="F386" s="356">
        <v>-3670.46</v>
      </c>
      <c r="G386" s="356">
        <v>-50.9</v>
      </c>
      <c r="H386" s="356">
        <v>-101.8</v>
      </c>
      <c r="I386" s="356">
        <v>-152.69</v>
      </c>
      <c r="J386" s="356">
        <v>-203.59</v>
      </c>
      <c r="K386" s="356">
        <v>-254.48</v>
      </c>
      <c r="L386" s="356">
        <v>-447</v>
      </c>
      <c r="M386" s="356">
        <v>-521.49</v>
      </c>
      <c r="N386" s="356">
        <v>-595.99</v>
      </c>
      <c r="O386" s="356">
        <v>-670.49</v>
      </c>
      <c r="P386" s="356">
        <v>-745</v>
      </c>
      <c r="Q386" s="356">
        <v>-819.5</v>
      </c>
      <c r="R386" s="356">
        <v>-56800.43</v>
      </c>
      <c r="S386" s="357">
        <f t="shared" si="75"/>
        <v>-2899.8645833333335</v>
      </c>
      <c r="U386" s="358"/>
      <c r="V386" s="359"/>
      <c r="W386" s="359">
        <f t="shared" si="76"/>
        <v>-2899.8645833333335</v>
      </c>
      <c r="X386" s="360"/>
      <c r="Y386" s="359"/>
      <c r="Z386" s="359"/>
      <c r="AA386" s="358"/>
      <c r="AB386" s="359"/>
      <c r="AC386" s="271">
        <f t="shared" si="77"/>
        <v>-2899.8645833333335</v>
      </c>
      <c r="AF386" s="289">
        <f t="shared" si="63"/>
        <v>0</v>
      </c>
    </row>
    <row r="387" spans="1:32">
      <c r="A387" s="113">
        <v>372</v>
      </c>
      <c r="B387" s="119" t="s">
        <v>1523</v>
      </c>
      <c r="C387" s="119" t="s">
        <v>2419</v>
      </c>
      <c r="D387" s="113" t="s">
        <v>2404</v>
      </c>
      <c r="E387" s="355" t="s">
        <v>2420</v>
      </c>
      <c r="F387" s="356">
        <v>-41623.26</v>
      </c>
      <c r="G387" s="356">
        <v>-444.43</v>
      </c>
      <c r="H387" s="356">
        <v>-888.86</v>
      </c>
      <c r="I387" s="356">
        <v>-1333.29</v>
      </c>
      <c r="J387" s="356">
        <v>-1777.73</v>
      </c>
      <c r="K387" s="356">
        <v>-2222.16</v>
      </c>
      <c r="L387" s="356">
        <v>-3903.24</v>
      </c>
      <c r="M387" s="356">
        <v>-4553.78</v>
      </c>
      <c r="N387" s="356">
        <v>-5204.32</v>
      </c>
      <c r="O387" s="356">
        <v>-5854.86</v>
      </c>
      <c r="P387" s="356">
        <v>-6505.4</v>
      </c>
      <c r="Q387" s="356">
        <v>-7155.95</v>
      </c>
      <c r="R387" s="356">
        <v>-511856.07</v>
      </c>
      <c r="S387" s="357">
        <f t="shared" si="75"/>
        <v>-26381.973750000001</v>
      </c>
      <c r="U387" s="358"/>
      <c r="V387" s="359"/>
      <c r="W387" s="359">
        <f t="shared" si="76"/>
        <v>-26381.973750000001</v>
      </c>
      <c r="X387" s="360"/>
      <c r="Y387" s="359"/>
      <c r="Z387" s="359"/>
      <c r="AA387" s="358"/>
      <c r="AB387" s="359"/>
      <c r="AC387" s="271">
        <f t="shared" si="77"/>
        <v>-26381.973750000001</v>
      </c>
      <c r="AF387" s="289">
        <f t="shared" si="63"/>
        <v>0</v>
      </c>
    </row>
    <row r="388" spans="1:32">
      <c r="A388" s="113">
        <v>373</v>
      </c>
      <c r="B388" s="119" t="s">
        <v>1530</v>
      </c>
      <c r="C388" s="119" t="s">
        <v>2422</v>
      </c>
      <c r="E388" s="355" t="s">
        <v>2423</v>
      </c>
      <c r="F388" s="356">
        <v>-42018.96</v>
      </c>
      <c r="G388" s="356">
        <v>-3501.58</v>
      </c>
      <c r="H388" s="356">
        <v>-7003.16</v>
      </c>
      <c r="I388" s="356">
        <v>-10504.74</v>
      </c>
      <c r="J388" s="356">
        <v>-14006.32</v>
      </c>
      <c r="K388" s="356">
        <v>-17507.900000000001</v>
      </c>
      <c r="L388" s="356">
        <v>-21009.48</v>
      </c>
      <c r="M388" s="356">
        <v>-24511.06</v>
      </c>
      <c r="N388" s="356">
        <v>-28012.639999999999</v>
      </c>
      <c r="O388" s="356">
        <v>-31514.22</v>
      </c>
      <c r="P388" s="356">
        <v>-35015.800000000003</v>
      </c>
      <c r="Q388" s="356">
        <v>-38517.379999999997</v>
      </c>
      <c r="R388" s="356">
        <v>-42018.96</v>
      </c>
      <c r="S388" s="357">
        <f t="shared" si="75"/>
        <v>-22760.270000000004</v>
      </c>
      <c r="U388" s="358"/>
      <c r="V388" s="359"/>
      <c r="W388" s="359">
        <f t="shared" si="76"/>
        <v>-22760.270000000004</v>
      </c>
      <c r="X388" s="360"/>
      <c r="Y388" s="359"/>
      <c r="Z388" s="359"/>
      <c r="AA388" s="358"/>
      <c r="AB388" s="359"/>
      <c r="AC388" s="271">
        <f t="shared" si="77"/>
        <v>-22760.270000000004</v>
      </c>
      <c r="AF388" s="289">
        <f t="shared" ref="AF388:AF461" si="78">+U388+V388-AD388</f>
        <v>0</v>
      </c>
    </row>
    <row r="389" spans="1:32">
      <c r="A389" s="113">
        <v>374</v>
      </c>
      <c r="E389" s="355" t="s">
        <v>2424</v>
      </c>
      <c r="F389" s="696">
        <f t="shared" ref="F389:S389" si="79">SUM(F368:F388)</f>
        <v>169037.26999999196</v>
      </c>
      <c r="G389" s="696">
        <f t="shared" si="79"/>
        <v>1291043.3400000005</v>
      </c>
      <c r="H389" s="696">
        <f t="shared" si="79"/>
        <v>2466615.6399999997</v>
      </c>
      <c r="I389" s="696">
        <f t="shared" si="79"/>
        <v>3359290.6799999992</v>
      </c>
      <c r="J389" s="696">
        <f t="shared" si="79"/>
        <v>3453142.7799999993</v>
      </c>
      <c r="K389" s="696">
        <f t="shared" si="79"/>
        <v>3005712.129999999</v>
      </c>
      <c r="L389" s="696">
        <f t="shared" si="79"/>
        <v>2322870.0199999986</v>
      </c>
      <c r="M389" s="696">
        <f t="shared" si="79"/>
        <v>1020435.9300000006</v>
      </c>
      <c r="N389" s="696">
        <f t="shared" si="79"/>
        <v>-51726.790000001347</v>
      </c>
      <c r="O389" s="696">
        <f t="shared" si="79"/>
        <v>-671397.50999999954</v>
      </c>
      <c r="P389" s="696">
        <f t="shared" si="79"/>
        <v>-798952.97000000009</v>
      </c>
      <c r="Q389" s="696">
        <f t="shared" si="79"/>
        <v>529294.8399999988</v>
      </c>
      <c r="R389" s="696">
        <f t="shared" si="79"/>
        <v>3753978.430000002</v>
      </c>
      <c r="S389" s="697">
        <f t="shared" si="79"/>
        <v>1490652.9950000001</v>
      </c>
      <c r="U389" s="358"/>
      <c r="V389" s="359"/>
      <c r="W389" s="359"/>
      <c r="X389" s="360"/>
      <c r="Y389" s="359"/>
      <c r="Z389" s="359"/>
      <c r="AA389" s="358"/>
      <c r="AB389" s="359"/>
      <c r="AF389" s="289">
        <f t="shared" si="78"/>
        <v>0</v>
      </c>
    </row>
    <row r="390" spans="1:32">
      <c r="A390" s="113">
        <v>375</v>
      </c>
      <c r="E390" s="355"/>
      <c r="F390" s="356"/>
      <c r="G390" s="399"/>
      <c r="H390" s="387"/>
      <c r="I390" s="387"/>
      <c r="J390" s="388"/>
      <c r="K390" s="389"/>
      <c r="L390" s="390"/>
      <c r="M390" s="391"/>
      <c r="N390" s="392"/>
      <c r="O390" s="373"/>
      <c r="P390" s="393"/>
      <c r="Q390" s="400"/>
      <c r="R390" s="356"/>
      <c r="S390" s="96"/>
      <c r="U390" s="358"/>
      <c r="V390" s="359"/>
      <c r="W390" s="359"/>
      <c r="X390" s="360"/>
      <c r="Y390" s="359"/>
      <c r="Z390" s="359"/>
      <c r="AA390" s="358"/>
      <c r="AB390" s="359"/>
      <c r="AF390" s="289">
        <f t="shared" si="78"/>
        <v>0</v>
      </c>
    </row>
    <row r="391" spans="1:32">
      <c r="A391" s="113">
        <v>376</v>
      </c>
      <c r="E391" s="355"/>
      <c r="F391" s="356"/>
      <c r="G391" s="399"/>
      <c r="H391" s="387"/>
      <c r="I391" s="387"/>
      <c r="J391" s="388"/>
      <c r="K391" s="389"/>
      <c r="L391" s="390"/>
      <c r="M391" s="391"/>
      <c r="N391" s="392"/>
      <c r="O391" s="373"/>
      <c r="P391" s="393"/>
      <c r="Q391" s="400"/>
      <c r="R391" s="356"/>
      <c r="S391" s="96"/>
      <c r="U391" s="358"/>
      <c r="V391" s="359"/>
      <c r="W391" s="359"/>
      <c r="X391" s="360"/>
      <c r="Y391" s="359"/>
      <c r="Z391" s="359"/>
      <c r="AA391" s="358"/>
      <c r="AB391" s="359"/>
      <c r="AF391" s="289">
        <f t="shared" si="78"/>
        <v>0</v>
      </c>
    </row>
    <row r="392" spans="1:32">
      <c r="A392" s="113">
        <v>377</v>
      </c>
      <c r="B392" s="119" t="s">
        <v>1530</v>
      </c>
      <c r="C392" s="119" t="s">
        <v>2425</v>
      </c>
      <c r="E392" s="355" t="s">
        <v>2426</v>
      </c>
      <c r="F392" s="356">
        <v>-934.33</v>
      </c>
      <c r="G392" s="356">
        <v>0</v>
      </c>
      <c r="H392" s="356">
        <v>0</v>
      </c>
      <c r="I392" s="356">
        <v>0</v>
      </c>
      <c r="J392" s="356">
        <v>0</v>
      </c>
      <c r="K392" s="356">
        <v>0</v>
      </c>
      <c r="L392" s="356">
        <v>0</v>
      </c>
      <c r="M392" s="356">
        <v>0</v>
      </c>
      <c r="N392" s="356">
        <v>0</v>
      </c>
      <c r="O392" s="356">
        <v>0</v>
      </c>
      <c r="P392" s="356">
        <v>0</v>
      </c>
      <c r="Q392" s="356">
        <v>0</v>
      </c>
      <c r="R392" s="356">
        <v>0</v>
      </c>
      <c r="S392" s="357">
        <f t="shared" ref="S392:S401" si="80">((F392+R392)+((G392+H392+I392+J392+K392+L392+M392+N392+O392+P392+Q392)*2))/24</f>
        <v>-38.930416666666666</v>
      </c>
      <c r="U392" s="358"/>
      <c r="V392" s="359"/>
      <c r="W392" s="359">
        <f t="shared" ref="W392:W400" si="81">+S392</f>
        <v>-38.930416666666666</v>
      </c>
      <c r="X392" s="360"/>
      <c r="Y392" s="359"/>
      <c r="Z392" s="359"/>
      <c r="AA392" s="358"/>
      <c r="AB392" s="359"/>
      <c r="AC392" s="271">
        <f t="shared" ref="AC392:AC401" si="82">+S392</f>
        <v>-38.930416666666666</v>
      </c>
      <c r="AF392" s="289">
        <f t="shared" si="78"/>
        <v>0</v>
      </c>
    </row>
    <row r="393" spans="1:32">
      <c r="A393" s="113">
        <v>378</v>
      </c>
      <c r="B393" s="119" t="s">
        <v>1530</v>
      </c>
      <c r="C393" s="119" t="s">
        <v>2427</v>
      </c>
      <c r="E393" s="355" t="s">
        <v>2428</v>
      </c>
      <c r="F393" s="356">
        <v>0</v>
      </c>
      <c r="G393" s="356">
        <v>0</v>
      </c>
      <c r="H393" s="356">
        <v>0</v>
      </c>
      <c r="I393" s="356">
        <v>0</v>
      </c>
      <c r="J393" s="356">
        <v>0</v>
      </c>
      <c r="K393" s="356">
        <v>0</v>
      </c>
      <c r="L393" s="356">
        <v>0</v>
      </c>
      <c r="M393" s="356">
        <v>0</v>
      </c>
      <c r="N393" s="356">
        <v>0</v>
      </c>
      <c r="O393" s="356">
        <v>0</v>
      </c>
      <c r="P393" s="356">
        <v>0</v>
      </c>
      <c r="Q393" s="356">
        <v>0</v>
      </c>
      <c r="R393" s="356">
        <v>0</v>
      </c>
      <c r="S393" s="357">
        <f t="shared" si="80"/>
        <v>0</v>
      </c>
      <c r="U393" s="358"/>
      <c r="V393" s="359"/>
      <c r="W393" s="359">
        <f t="shared" si="81"/>
        <v>0</v>
      </c>
      <c r="X393" s="360"/>
      <c r="Y393" s="359"/>
      <c r="Z393" s="359"/>
      <c r="AA393" s="358"/>
      <c r="AB393" s="359"/>
      <c r="AC393" s="271">
        <f t="shared" si="82"/>
        <v>0</v>
      </c>
      <c r="AF393" s="289">
        <f t="shared" si="78"/>
        <v>0</v>
      </c>
    </row>
    <row r="394" spans="1:32">
      <c r="A394" s="113">
        <v>379</v>
      </c>
      <c r="B394" s="404" t="s">
        <v>1526</v>
      </c>
      <c r="C394" s="404" t="s">
        <v>1526</v>
      </c>
      <c r="D394" s="119" t="s">
        <v>2429</v>
      </c>
      <c r="E394" s="355" t="s">
        <v>2430</v>
      </c>
      <c r="F394" s="356">
        <v>251618.91</v>
      </c>
      <c r="G394" s="356">
        <v>17939.5</v>
      </c>
      <c r="H394" s="356">
        <v>30024.5</v>
      </c>
      <c r="I394" s="356">
        <v>42949.5</v>
      </c>
      <c r="J394" s="356">
        <v>50370.5</v>
      </c>
      <c r="K394" s="356">
        <v>57720.5</v>
      </c>
      <c r="L394" s="356">
        <v>71370.5</v>
      </c>
      <c r="M394" s="356">
        <v>109684.62</v>
      </c>
      <c r="N394" s="356">
        <v>110070.14</v>
      </c>
      <c r="O394" s="356">
        <v>112776.69</v>
      </c>
      <c r="P394" s="356">
        <v>118593.3</v>
      </c>
      <c r="Q394" s="356">
        <v>126224.7</v>
      </c>
      <c r="R394" s="356">
        <v>135910.32</v>
      </c>
      <c r="S394" s="357">
        <f t="shared" si="80"/>
        <v>86790.755416666667</v>
      </c>
      <c r="U394" s="358"/>
      <c r="V394" s="359"/>
      <c r="W394" s="359">
        <f t="shared" si="81"/>
        <v>86790.755416666667</v>
      </c>
      <c r="X394" s="360"/>
      <c r="Y394" s="359"/>
      <c r="Z394" s="359"/>
      <c r="AA394" s="358"/>
      <c r="AB394" s="359"/>
      <c r="AC394" s="271">
        <f t="shared" si="82"/>
        <v>86790.755416666667</v>
      </c>
      <c r="AF394" s="289">
        <f t="shared" si="78"/>
        <v>0</v>
      </c>
    </row>
    <row r="395" spans="1:32">
      <c r="A395" s="113">
        <v>380</v>
      </c>
      <c r="B395" s="404" t="s">
        <v>1526</v>
      </c>
      <c r="C395" s="404" t="s">
        <v>1526</v>
      </c>
      <c r="D395" s="119" t="s">
        <v>2431</v>
      </c>
      <c r="E395" s="355" t="s">
        <v>2432</v>
      </c>
      <c r="F395" s="356">
        <v>-783272.35</v>
      </c>
      <c r="G395" s="356">
        <v>-141378.97</v>
      </c>
      <c r="H395" s="356">
        <v>76039.63</v>
      </c>
      <c r="I395" s="356">
        <v>581670.07999999996</v>
      </c>
      <c r="J395" s="356">
        <v>90099.850000000093</v>
      </c>
      <c r="K395" s="356">
        <v>-127530.33</v>
      </c>
      <c r="L395" s="356">
        <v>-252573.73</v>
      </c>
      <c r="M395" s="356">
        <v>-457846.78</v>
      </c>
      <c r="N395" s="356">
        <v>-548980.29</v>
      </c>
      <c r="O395" s="356">
        <v>-565360.61</v>
      </c>
      <c r="P395" s="356">
        <v>-390722.08</v>
      </c>
      <c r="Q395" s="356">
        <v>-706071.87</v>
      </c>
      <c r="R395" s="356">
        <v>-6436487.3399999999</v>
      </c>
      <c r="S395" s="357">
        <f t="shared" si="80"/>
        <v>-504377.91208333336</v>
      </c>
      <c r="U395" s="358"/>
      <c r="V395" s="359"/>
      <c r="W395" s="359">
        <f t="shared" si="81"/>
        <v>-504377.91208333336</v>
      </c>
      <c r="X395" s="360"/>
      <c r="Y395" s="359"/>
      <c r="Z395" s="359"/>
      <c r="AA395" s="358"/>
      <c r="AB395" s="359"/>
      <c r="AC395" s="271">
        <f t="shared" si="82"/>
        <v>-504377.91208333336</v>
      </c>
      <c r="AF395" s="289">
        <f t="shared" si="78"/>
        <v>0</v>
      </c>
    </row>
    <row r="396" spans="1:32">
      <c r="A396" s="113">
        <v>381</v>
      </c>
      <c r="B396" s="404" t="s">
        <v>1526</v>
      </c>
      <c r="C396" s="404" t="s">
        <v>1526</v>
      </c>
      <c r="D396" s="119" t="s">
        <v>2433</v>
      </c>
      <c r="E396" s="355" t="s">
        <v>2434</v>
      </c>
      <c r="F396" s="356">
        <v>94.63</v>
      </c>
      <c r="G396" s="356">
        <v>0</v>
      </c>
      <c r="H396" s="356">
        <v>0</v>
      </c>
      <c r="I396" s="356">
        <v>24.66</v>
      </c>
      <c r="J396" s="356">
        <v>24.66</v>
      </c>
      <c r="K396" s="356">
        <v>46.47</v>
      </c>
      <c r="L396" s="356">
        <v>46.47</v>
      </c>
      <c r="M396" s="356">
        <v>46.47</v>
      </c>
      <c r="N396" s="356">
        <v>46.47</v>
      </c>
      <c r="O396" s="356">
        <v>46.47</v>
      </c>
      <c r="P396" s="356">
        <v>106.32</v>
      </c>
      <c r="Q396" s="356">
        <v>54.94</v>
      </c>
      <c r="R396" s="356">
        <v>54.94</v>
      </c>
      <c r="S396" s="357">
        <f t="shared" si="80"/>
        <v>43.142916666666657</v>
      </c>
      <c r="U396" s="358"/>
      <c r="V396" s="359"/>
      <c r="W396" s="359">
        <f t="shared" si="81"/>
        <v>43.142916666666657</v>
      </c>
      <c r="X396" s="360"/>
      <c r="Y396" s="359"/>
      <c r="Z396" s="359"/>
      <c r="AA396" s="358"/>
      <c r="AB396" s="359"/>
      <c r="AC396" s="271">
        <f t="shared" si="82"/>
        <v>43.142916666666657</v>
      </c>
      <c r="AF396" s="289">
        <f t="shared" si="78"/>
        <v>0</v>
      </c>
    </row>
    <row r="397" spans="1:32">
      <c r="A397" s="113">
        <v>382</v>
      </c>
      <c r="B397" s="404" t="s">
        <v>1526</v>
      </c>
      <c r="C397" s="404" t="s">
        <v>1526</v>
      </c>
      <c r="D397" s="119" t="s">
        <v>2435</v>
      </c>
      <c r="E397" s="355" t="s">
        <v>2436</v>
      </c>
      <c r="F397" s="356">
        <v>306253.81</v>
      </c>
      <c r="G397" s="356">
        <v>16475.78</v>
      </c>
      <c r="H397" s="356">
        <v>27021.58</v>
      </c>
      <c r="I397" s="356">
        <v>45622.58</v>
      </c>
      <c r="J397" s="356">
        <v>56272.58</v>
      </c>
      <c r="K397" s="356">
        <v>77877.06</v>
      </c>
      <c r="L397" s="356">
        <v>84934.48</v>
      </c>
      <c r="M397" s="356">
        <v>96434.48</v>
      </c>
      <c r="N397" s="356">
        <v>217024.1</v>
      </c>
      <c r="O397" s="356">
        <v>233149.1</v>
      </c>
      <c r="P397" s="356">
        <v>249185.38</v>
      </c>
      <c r="Q397" s="356">
        <v>266685.38</v>
      </c>
      <c r="R397" s="356">
        <v>270185.38</v>
      </c>
      <c r="S397" s="357">
        <f t="shared" si="80"/>
        <v>138241.84125</v>
      </c>
      <c r="U397" s="358"/>
      <c r="V397" s="359"/>
      <c r="W397" s="359">
        <f t="shared" si="81"/>
        <v>138241.84125</v>
      </c>
      <c r="X397" s="360"/>
      <c r="Y397" s="359"/>
      <c r="Z397" s="359"/>
      <c r="AA397" s="358"/>
      <c r="AB397" s="359"/>
      <c r="AC397" s="271">
        <f t="shared" si="82"/>
        <v>138241.84125</v>
      </c>
      <c r="AF397" s="289">
        <f t="shared" si="78"/>
        <v>0</v>
      </c>
    </row>
    <row r="398" spans="1:32">
      <c r="A398" s="113">
        <v>383</v>
      </c>
      <c r="B398" s="405" t="s">
        <v>1526</v>
      </c>
      <c r="C398" s="405" t="s">
        <v>1526</v>
      </c>
      <c r="D398" s="119" t="s">
        <v>2437</v>
      </c>
      <c r="E398" s="355" t="s">
        <v>2438</v>
      </c>
      <c r="F398" s="356">
        <v>1555.78</v>
      </c>
      <c r="G398" s="356">
        <v>0</v>
      </c>
      <c r="H398" s="356">
        <v>0</v>
      </c>
      <c r="I398" s="356">
        <v>0</v>
      </c>
      <c r="J398" s="356">
        <v>0</v>
      </c>
      <c r="K398" s="356">
        <v>0</v>
      </c>
      <c r="L398" s="356">
        <v>0</v>
      </c>
      <c r="M398" s="356">
        <v>0</v>
      </c>
      <c r="N398" s="356">
        <v>0</v>
      </c>
      <c r="O398" s="356">
        <v>0</v>
      </c>
      <c r="P398" s="356">
        <v>0</v>
      </c>
      <c r="Q398" s="356">
        <v>0</v>
      </c>
      <c r="R398" s="356">
        <v>0</v>
      </c>
      <c r="S398" s="357">
        <f t="shared" si="80"/>
        <v>64.82416666666667</v>
      </c>
      <c r="U398" s="358"/>
      <c r="V398" s="359"/>
      <c r="W398" s="359">
        <f t="shared" si="81"/>
        <v>64.82416666666667</v>
      </c>
      <c r="X398" s="360"/>
      <c r="Y398" s="359"/>
      <c r="Z398" s="359"/>
      <c r="AA398" s="358"/>
      <c r="AB398" s="359"/>
      <c r="AC398" s="271">
        <f t="shared" si="82"/>
        <v>64.82416666666667</v>
      </c>
      <c r="AF398" s="289">
        <f t="shared" si="78"/>
        <v>0</v>
      </c>
    </row>
    <row r="399" spans="1:32">
      <c r="A399" s="113">
        <v>384</v>
      </c>
      <c r="B399" s="405" t="s">
        <v>1526</v>
      </c>
      <c r="C399" s="405" t="s">
        <v>1526</v>
      </c>
      <c r="D399" s="119" t="s">
        <v>2439</v>
      </c>
      <c r="E399" s="355" t="s">
        <v>2440</v>
      </c>
      <c r="F399" s="356">
        <v>0</v>
      </c>
      <c r="G399" s="356">
        <v>0</v>
      </c>
      <c r="H399" s="356">
        <v>0</v>
      </c>
      <c r="I399" s="356">
        <v>0</v>
      </c>
      <c r="J399" s="356">
        <v>0</v>
      </c>
      <c r="K399" s="356">
        <v>0</v>
      </c>
      <c r="L399" s="356">
        <v>0</v>
      </c>
      <c r="M399" s="356">
        <v>0</v>
      </c>
      <c r="N399" s="356">
        <v>0</v>
      </c>
      <c r="O399" s="356">
        <v>0</v>
      </c>
      <c r="P399" s="356">
        <v>0</v>
      </c>
      <c r="Q399" s="356">
        <v>0</v>
      </c>
      <c r="R399" s="356">
        <v>0</v>
      </c>
      <c r="S399" s="357">
        <f t="shared" si="80"/>
        <v>0</v>
      </c>
      <c r="U399" s="358"/>
      <c r="V399" s="359"/>
      <c r="W399" s="359">
        <f t="shared" si="81"/>
        <v>0</v>
      </c>
      <c r="X399" s="360"/>
      <c r="Y399" s="359"/>
      <c r="Z399" s="359"/>
      <c r="AA399" s="358"/>
      <c r="AB399" s="359"/>
      <c r="AC399" s="271">
        <f t="shared" si="82"/>
        <v>0</v>
      </c>
      <c r="AF399" s="289">
        <f t="shared" si="78"/>
        <v>0</v>
      </c>
    </row>
    <row r="400" spans="1:32">
      <c r="A400" s="113">
        <v>385</v>
      </c>
      <c r="B400" s="119" t="s">
        <v>1526</v>
      </c>
      <c r="C400" s="119" t="s">
        <v>2441</v>
      </c>
      <c r="D400" s="119" t="s">
        <v>2439</v>
      </c>
      <c r="E400" s="406" t="s">
        <v>2442</v>
      </c>
      <c r="F400" s="356">
        <v>0</v>
      </c>
      <c r="G400" s="356">
        <v>0</v>
      </c>
      <c r="H400" s="356">
        <v>0</v>
      </c>
      <c r="I400" s="356">
        <v>0</v>
      </c>
      <c r="J400" s="356">
        <v>0</v>
      </c>
      <c r="K400" s="356">
        <v>0</v>
      </c>
      <c r="L400" s="356">
        <v>0</v>
      </c>
      <c r="M400" s="356">
        <v>0</v>
      </c>
      <c r="N400" s="356">
        <v>0</v>
      </c>
      <c r="O400" s="356">
        <v>0</v>
      </c>
      <c r="P400" s="356">
        <v>0</v>
      </c>
      <c r="Q400" s="356">
        <v>0</v>
      </c>
      <c r="R400" s="356">
        <v>0</v>
      </c>
      <c r="S400" s="357">
        <f t="shared" si="80"/>
        <v>0</v>
      </c>
      <c r="U400" s="358"/>
      <c r="V400" s="359"/>
      <c r="W400" s="359">
        <f t="shared" si="81"/>
        <v>0</v>
      </c>
      <c r="X400" s="360"/>
      <c r="Y400" s="359"/>
      <c r="Z400" s="359"/>
      <c r="AA400" s="358"/>
      <c r="AB400" s="359"/>
      <c r="AC400" s="271">
        <f t="shared" si="82"/>
        <v>0</v>
      </c>
      <c r="AF400" s="289">
        <f t="shared" si="78"/>
        <v>0</v>
      </c>
    </row>
    <row r="401" spans="1:32">
      <c r="A401" s="113">
        <v>386</v>
      </c>
      <c r="B401" s="119" t="s">
        <v>1523</v>
      </c>
      <c r="C401" s="119" t="s">
        <v>2443</v>
      </c>
      <c r="D401" s="119" t="s">
        <v>2364</v>
      </c>
      <c r="E401" s="355" t="s">
        <v>2444</v>
      </c>
      <c r="F401" s="698">
        <v>1072.1199999999999</v>
      </c>
      <c r="G401" s="698">
        <v>0</v>
      </c>
      <c r="H401" s="698">
        <v>0</v>
      </c>
      <c r="I401" s="698">
        <v>0</v>
      </c>
      <c r="J401" s="698">
        <v>0</v>
      </c>
      <c r="K401" s="698">
        <v>0</v>
      </c>
      <c r="L401" s="698">
        <v>558.49</v>
      </c>
      <c r="M401" s="698">
        <v>558.49</v>
      </c>
      <c r="N401" s="698">
        <v>558.49</v>
      </c>
      <c r="O401" s="698">
        <v>1116.98</v>
      </c>
      <c r="P401" s="698">
        <v>1116.98</v>
      </c>
      <c r="Q401" s="698">
        <v>1116.98</v>
      </c>
      <c r="R401" s="698">
        <v>1116.98</v>
      </c>
      <c r="S401" s="357">
        <f t="shared" si="80"/>
        <v>510.08</v>
      </c>
      <c r="U401" s="358"/>
      <c r="V401" s="359"/>
      <c r="W401" s="359">
        <f>+S401</f>
        <v>510.08</v>
      </c>
      <c r="X401" s="360"/>
      <c r="Y401" s="359"/>
      <c r="Z401" s="359"/>
      <c r="AA401" s="358"/>
      <c r="AB401" s="359"/>
      <c r="AC401" s="271">
        <f t="shared" si="82"/>
        <v>510.08</v>
      </c>
      <c r="AF401" s="289">
        <f t="shared" si="78"/>
        <v>0</v>
      </c>
    </row>
    <row r="402" spans="1:32">
      <c r="A402" s="113">
        <v>387</v>
      </c>
      <c r="E402" s="355" t="s">
        <v>2445</v>
      </c>
      <c r="F402" s="696">
        <f>SUM(F392:F401)</f>
        <v>-223611.43000000002</v>
      </c>
      <c r="G402" s="696">
        <f t="shared" ref="G402:S402" si="83">SUM(G392:G401)</f>
        <v>-106963.69</v>
      </c>
      <c r="H402" s="696">
        <f t="shared" si="83"/>
        <v>133085.71000000002</v>
      </c>
      <c r="I402" s="696">
        <f t="shared" si="83"/>
        <v>670266.81999999995</v>
      </c>
      <c r="J402" s="696">
        <f t="shared" si="83"/>
        <v>196767.59000000008</v>
      </c>
      <c r="K402" s="696">
        <f t="shared" si="83"/>
        <v>8113.6999999999971</v>
      </c>
      <c r="L402" s="696">
        <f t="shared" si="83"/>
        <v>-95663.790000000008</v>
      </c>
      <c r="M402" s="696">
        <f t="shared" si="83"/>
        <v>-251122.72000000009</v>
      </c>
      <c r="N402" s="696">
        <f t="shared" si="83"/>
        <v>-221281.09000000005</v>
      </c>
      <c r="O402" s="696">
        <f t="shared" si="83"/>
        <v>-218271.37</v>
      </c>
      <c r="P402" s="696">
        <f t="shared" si="83"/>
        <v>-21720.100000000017</v>
      </c>
      <c r="Q402" s="696">
        <f t="shared" si="83"/>
        <v>-311989.87000000011</v>
      </c>
      <c r="R402" s="696">
        <f t="shared" si="83"/>
        <v>-6029219.7199999988</v>
      </c>
      <c r="S402" s="697">
        <f t="shared" si="83"/>
        <v>-278766.19874999998</v>
      </c>
      <c r="U402" s="358"/>
      <c r="V402" s="359"/>
      <c r="W402" s="359"/>
      <c r="X402" s="360"/>
      <c r="Y402" s="359"/>
      <c r="Z402" s="359"/>
      <c r="AA402" s="358"/>
      <c r="AB402" s="359"/>
      <c r="AF402" s="289">
        <f t="shared" si="78"/>
        <v>0</v>
      </c>
    </row>
    <row r="403" spans="1:32">
      <c r="A403" s="113">
        <v>388</v>
      </c>
      <c r="E403" s="355"/>
      <c r="F403" s="356"/>
      <c r="G403" s="399"/>
      <c r="H403" s="387"/>
      <c r="I403" s="387"/>
      <c r="J403" s="388"/>
      <c r="K403" s="389"/>
      <c r="L403" s="390"/>
      <c r="M403" s="391"/>
      <c r="N403" s="392"/>
      <c r="O403" s="373"/>
      <c r="P403" s="393"/>
      <c r="Q403" s="400"/>
      <c r="R403" s="356"/>
      <c r="S403" s="96"/>
      <c r="U403" s="358"/>
      <c r="V403" s="359"/>
      <c r="W403" s="359"/>
      <c r="X403" s="360"/>
      <c r="Y403" s="359"/>
      <c r="Z403" s="359"/>
      <c r="AA403" s="358"/>
      <c r="AB403" s="359"/>
      <c r="AF403" s="289">
        <f t="shared" si="78"/>
        <v>0</v>
      </c>
    </row>
    <row r="404" spans="1:32">
      <c r="A404" s="113">
        <v>389</v>
      </c>
      <c r="B404" s="119" t="s">
        <v>1530</v>
      </c>
      <c r="C404" s="119" t="s">
        <v>2446</v>
      </c>
      <c r="D404" s="119" t="s">
        <v>1503</v>
      </c>
      <c r="E404" s="355" t="s">
        <v>2447</v>
      </c>
      <c r="F404" s="698">
        <v>10400000</v>
      </c>
      <c r="G404" s="698">
        <v>0</v>
      </c>
      <c r="H404" s="698">
        <v>2835000</v>
      </c>
      <c r="I404" s="698">
        <v>2835000</v>
      </c>
      <c r="J404" s="698">
        <v>2835000</v>
      </c>
      <c r="K404" s="698">
        <v>5670000</v>
      </c>
      <c r="L404" s="698">
        <v>5670000</v>
      </c>
      <c r="M404" s="698">
        <v>5670000</v>
      </c>
      <c r="N404" s="698">
        <v>8505000</v>
      </c>
      <c r="O404" s="698">
        <v>8505000</v>
      </c>
      <c r="P404" s="698">
        <v>8505000</v>
      </c>
      <c r="Q404" s="698">
        <v>12095000</v>
      </c>
      <c r="R404" s="698">
        <v>12095000</v>
      </c>
      <c r="S404" s="357">
        <f>((F404+R404)+((G404+H404+I404+J404+K404+L404+M404+N404+O404+P404+Q404)*2))/24</f>
        <v>6197708.333333333</v>
      </c>
      <c r="U404" s="358"/>
      <c r="V404" s="359"/>
      <c r="W404" s="359">
        <f>+S404</f>
        <v>6197708.333333333</v>
      </c>
      <c r="X404" s="360"/>
      <c r="Y404" s="359"/>
      <c r="Z404" s="359"/>
      <c r="AA404" s="358"/>
      <c r="AB404" s="359"/>
      <c r="AC404" s="271">
        <f>+S404</f>
        <v>6197708.333333333</v>
      </c>
      <c r="AF404" s="289">
        <f t="shared" si="78"/>
        <v>0</v>
      </c>
    </row>
    <row r="405" spans="1:32">
      <c r="A405" s="113">
        <v>390</v>
      </c>
      <c r="E405" s="355" t="s">
        <v>2448</v>
      </c>
      <c r="F405" s="696">
        <f>+F404</f>
        <v>10400000</v>
      </c>
      <c r="G405" s="696">
        <f t="shared" ref="G405:S405" si="84">+G404</f>
        <v>0</v>
      </c>
      <c r="H405" s="696">
        <f t="shared" si="84"/>
        <v>2835000</v>
      </c>
      <c r="I405" s="696">
        <f t="shared" si="84"/>
        <v>2835000</v>
      </c>
      <c r="J405" s="696">
        <f t="shared" si="84"/>
        <v>2835000</v>
      </c>
      <c r="K405" s="696">
        <f t="shared" si="84"/>
        <v>5670000</v>
      </c>
      <c r="L405" s="696">
        <f t="shared" si="84"/>
        <v>5670000</v>
      </c>
      <c r="M405" s="696">
        <f t="shared" si="84"/>
        <v>5670000</v>
      </c>
      <c r="N405" s="696">
        <f t="shared" si="84"/>
        <v>8505000</v>
      </c>
      <c r="O405" s="696">
        <f t="shared" si="84"/>
        <v>8505000</v>
      </c>
      <c r="P405" s="696">
        <f t="shared" si="84"/>
        <v>8505000</v>
      </c>
      <c r="Q405" s="696">
        <f t="shared" si="84"/>
        <v>12095000</v>
      </c>
      <c r="R405" s="696">
        <f t="shared" si="84"/>
        <v>12095000</v>
      </c>
      <c r="S405" s="697">
        <f t="shared" si="84"/>
        <v>6197708.333333333</v>
      </c>
      <c r="U405" s="358"/>
      <c r="V405" s="359"/>
      <c r="W405" s="359"/>
      <c r="X405" s="360"/>
      <c r="Y405" s="359"/>
      <c r="Z405" s="359"/>
      <c r="AA405" s="358"/>
      <c r="AB405" s="359"/>
      <c r="AF405" s="289">
        <f t="shared" si="78"/>
        <v>0</v>
      </c>
    </row>
    <row r="406" spans="1:32">
      <c r="A406" s="113">
        <v>391</v>
      </c>
      <c r="E406" s="355"/>
      <c r="F406" s="362"/>
      <c r="G406" s="407"/>
      <c r="H406" s="364"/>
      <c r="I406" s="364"/>
      <c r="J406" s="365"/>
      <c r="K406" s="366"/>
      <c r="L406" s="367"/>
      <c r="M406" s="368"/>
      <c r="N406" s="369"/>
      <c r="O406" s="370"/>
      <c r="P406" s="371"/>
      <c r="Q406" s="408"/>
      <c r="R406" s="362"/>
      <c r="S406" s="96"/>
      <c r="U406" s="358"/>
      <c r="V406" s="359"/>
      <c r="W406" s="359"/>
      <c r="X406" s="360"/>
      <c r="Y406" s="359"/>
      <c r="Z406" s="359"/>
      <c r="AA406" s="358"/>
      <c r="AB406" s="359"/>
      <c r="AF406" s="289">
        <f t="shared" si="78"/>
        <v>0</v>
      </c>
    </row>
    <row r="407" spans="1:32" ht="15.75" thickBot="1">
      <c r="A407" s="113">
        <v>392</v>
      </c>
      <c r="B407" s="4"/>
      <c r="C407" s="4"/>
      <c r="D407" s="4"/>
      <c r="E407" s="409" t="s">
        <v>2449</v>
      </c>
      <c r="F407" s="410">
        <f t="shared" ref="F407:S407" si="85">+F405+F402+F389+F366+F348+F343+F325+F324+F322+F316+F232+F228+F203+F201+F182+F170+F150+F123+F64+F47+F40+F37+F60+F184+F185+F186+F187+F188+F189+F190+F191+F192+F193+F194+F196+F195+F199+F200+F202+F204+F205+F206+F197+F198</f>
        <v>1262198971.2999995</v>
      </c>
      <c r="G407" s="410">
        <f t="shared" si="85"/>
        <v>984552125.33000004</v>
      </c>
      <c r="H407" s="410">
        <f t="shared" si="85"/>
        <v>1009604091.76</v>
      </c>
      <c r="I407" s="410">
        <f t="shared" si="85"/>
        <v>1038567759.4699998</v>
      </c>
      <c r="J407" s="410">
        <f t="shared" si="85"/>
        <v>1046700305.05</v>
      </c>
      <c r="K407" s="410">
        <f t="shared" si="85"/>
        <v>1062163982.4099996</v>
      </c>
      <c r="L407" s="410">
        <f t="shared" si="85"/>
        <v>1082593718.8100002</v>
      </c>
      <c r="M407" s="410">
        <f t="shared" si="85"/>
        <v>1107251282.0999997</v>
      </c>
      <c r="N407" s="410">
        <f t="shared" si="85"/>
        <v>1133579732.6099999</v>
      </c>
      <c r="O407" s="410">
        <f t="shared" si="85"/>
        <v>1178403726.77</v>
      </c>
      <c r="P407" s="410">
        <f t="shared" si="85"/>
        <v>1220519086.8700006</v>
      </c>
      <c r="Q407" s="410">
        <f t="shared" si="85"/>
        <v>1273973404.1899993</v>
      </c>
      <c r="R407" s="410">
        <f t="shared" si="85"/>
        <v>1333883549.25</v>
      </c>
      <c r="S407" s="410">
        <f t="shared" si="85"/>
        <v>1119662539.6370831</v>
      </c>
      <c r="T407" s="4"/>
      <c r="U407" s="411"/>
      <c r="V407" s="412"/>
      <c r="W407" s="412"/>
      <c r="X407" s="413"/>
      <c r="Y407" s="412"/>
      <c r="Z407" s="412"/>
      <c r="AA407" s="411"/>
      <c r="AB407" s="412"/>
      <c r="AC407" s="4"/>
      <c r="AD407" s="4"/>
      <c r="AE407" s="4"/>
      <c r="AF407" s="289">
        <f t="shared" si="78"/>
        <v>0</v>
      </c>
    </row>
    <row r="408" spans="1:32" ht="15.75" thickTop="1">
      <c r="A408" s="113">
        <v>393</v>
      </c>
      <c r="E408" s="355"/>
      <c r="F408" s="356"/>
      <c r="G408" s="399"/>
      <c r="H408" s="387"/>
      <c r="I408" s="387"/>
      <c r="J408" s="388"/>
      <c r="K408" s="389"/>
      <c r="L408" s="390"/>
      <c r="M408" s="391"/>
      <c r="N408" s="392"/>
      <c r="O408" s="373"/>
      <c r="P408" s="393"/>
      <c r="Q408" s="400"/>
      <c r="R408" s="356"/>
      <c r="S408" s="96"/>
      <c r="U408" s="358"/>
      <c r="V408" s="359"/>
      <c r="W408" s="359"/>
      <c r="X408" s="360"/>
      <c r="Y408" s="359"/>
      <c r="Z408" s="359"/>
      <c r="AA408" s="358"/>
      <c r="AB408" s="359"/>
      <c r="AF408" s="289">
        <f t="shared" si="78"/>
        <v>0</v>
      </c>
    </row>
    <row r="409" spans="1:32">
      <c r="A409" s="113">
        <v>394</v>
      </c>
      <c r="E409" s="355"/>
      <c r="F409" s="356"/>
      <c r="G409" s="399"/>
      <c r="H409" s="387"/>
      <c r="I409" s="387"/>
      <c r="J409" s="388"/>
      <c r="K409" s="389"/>
      <c r="L409" s="390"/>
      <c r="M409" s="391"/>
      <c r="N409" s="392"/>
      <c r="O409" s="373"/>
      <c r="P409" s="393"/>
      <c r="Q409" s="400"/>
      <c r="R409" s="356"/>
      <c r="S409" s="96"/>
      <c r="U409" s="358"/>
      <c r="V409" s="359"/>
      <c r="W409" s="359"/>
      <c r="X409" s="360"/>
      <c r="Y409" s="359"/>
      <c r="Z409" s="359"/>
      <c r="AA409" s="358"/>
      <c r="AB409" s="359"/>
      <c r="AF409" s="289">
        <f t="shared" si="78"/>
        <v>0</v>
      </c>
    </row>
    <row r="410" spans="1:32">
      <c r="A410" s="113">
        <v>395</v>
      </c>
      <c r="B410" s="119" t="s">
        <v>1530</v>
      </c>
      <c r="C410" s="119" t="s">
        <v>2450</v>
      </c>
      <c r="D410" s="119" t="s">
        <v>2451</v>
      </c>
      <c r="E410" s="374" t="s">
        <v>2452</v>
      </c>
      <c r="F410" s="356">
        <v>-1000</v>
      </c>
      <c r="G410" s="356">
        <v>-1000</v>
      </c>
      <c r="H410" s="356">
        <v>-1000</v>
      </c>
      <c r="I410" s="356">
        <v>-1000</v>
      </c>
      <c r="J410" s="356">
        <v>-1000</v>
      </c>
      <c r="K410" s="356">
        <v>-1000</v>
      </c>
      <c r="L410" s="356">
        <v>-1000</v>
      </c>
      <c r="M410" s="356">
        <v>-1000</v>
      </c>
      <c r="N410" s="356">
        <v>-1000</v>
      </c>
      <c r="O410" s="356">
        <v>-1000</v>
      </c>
      <c r="P410" s="356">
        <v>-1000</v>
      </c>
      <c r="Q410" s="356">
        <v>-1000</v>
      </c>
      <c r="R410" s="356">
        <v>-1000</v>
      </c>
      <c r="S410" s="357">
        <f>((F410+R410)+((G410+H410+I410+J410+K410+L410+M410+N410+O410+P410+Q410)*2))/24</f>
        <v>-1000</v>
      </c>
      <c r="U410" s="358"/>
      <c r="V410" s="359"/>
      <c r="W410" s="359">
        <f t="shared" ref="W410:W416" si="86">+S410</f>
        <v>-1000</v>
      </c>
      <c r="X410" s="360"/>
      <c r="Y410" s="359"/>
      <c r="Z410" s="359"/>
      <c r="AA410" s="358"/>
      <c r="AB410" s="359"/>
      <c r="AC410" s="271">
        <f>+S410</f>
        <v>-1000</v>
      </c>
      <c r="AF410" s="289">
        <f t="shared" si="78"/>
        <v>0</v>
      </c>
    </row>
    <row r="411" spans="1:32">
      <c r="A411" s="113">
        <v>396</v>
      </c>
      <c r="B411" s="119" t="s">
        <v>1530</v>
      </c>
      <c r="C411" s="119" t="s">
        <v>2453</v>
      </c>
      <c r="D411" s="119" t="s">
        <v>1503</v>
      </c>
      <c r="E411" s="374" t="s">
        <v>2454</v>
      </c>
      <c r="F411" s="356">
        <v>-34416893.780000001</v>
      </c>
      <c r="G411" s="356">
        <v>-40331709.530000001</v>
      </c>
      <c r="H411" s="356">
        <v>-40331709.530000001</v>
      </c>
      <c r="I411" s="356">
        <v>-40331709.530000001</v>
      </c>
      <c r="J411" s="356">
        <v>-40331709.530000001</v>
      </c>
      <c r="K411" s="356">
        <v>-40331709.530000001</v>
      </c>
      <c r="L411" s="356">
        <v>-40331709.530000001</v>
      </c>
      <c r="M411" s="356">
        <v>-40331709.530000001</v>
      </c>
      <c r="N411" s="356">
        <v>-40331709.530000001</v>
      </c>
      <c r="O411" s="356">
        <v>-40331709.530000001</v>
      </c>
      <c r="P411" s="356">
        <v>-40331709.530000001</v>
      </c>
      <c r="Q411" s="356">
        <v>-40331709.530000001</v>
      </c>
      <c r="R411" s="356">
        <v>-40331709.530000001</v>
      </c>
      <c r="S411" s="357">
        <f>((F411+R411)+((G411+H411+I411+J411+K411+L411+M411+N411+O411+P411+Q411)*2))/24</f>
        <v>-40085258.873749994</v>
      </c>
      <c r="U411" s="358"/>
      <c r="V411" s="359"/>
      <c r="W411" s="359">
        <f t="shared" si="86"/>
        <v>-40085258.873749994</v>
      </c>
      <c r="X411" s="360"/>
      <c r="Y411" s="359"/>
      <c r="Z411" s="359"/>
      <c r="AA411" s="358"/>
      <c r="AB411" s="359"/>
      <c r="AC411" s="271">
        <f>+W411</f>
        <v>-40085258.873749994</v>
      </c>
      <c r="AF411" s="289">
        <f t="shared" si="78"/>
        <v>0</v>
      </c>
    </row>
    <row r="412" spans="1:32">
      <c r="A412" s="113">
        <v>397</v>
      </c>
      <c r="B412" s="119" t="s">
        <v>1530</v>
      </c>
      <c r="C412" s="119" t="s">
        <v>2453</v>
      </c>
      <c r="D412" s="119" t="s">
        <v>1505</v>
      </c>
      <c r="E412" s="374" t="s">
        <v>2455</v>
      </c>
      <c r="F412" s="356">
        <v>13231</v>
      </c>
      <c r="G412" s="356">
        <v>2816</v>
      </c>
      <c r="H412" s="356">
        <v>5632</v>
      </c>
      <c r="I412" s="356">
        <v>8448</v>
      </c>
      <c r="J412" s="356">
        <v>11264</v>
      </c>
      <c r="K412" s="356">
        <v>14080</v>
      </c>
      <c r="L412" s="356">
        <v>17971</v>
      </c>
      <c r="M412" s="356">
        <v>21862</v>
      </c>
      <c r="N412" s="356">
        <v>25753</v>
      </c>
      <c r="O412" s="356">
        <v>30585</v>
      </c>
      <c r="P412" s="356">
        <v>36044</v>
      </c>
      <c r="Q412" s="356">
        <v>41503</v>
      </c>
      <c r="R412" s="356">
        <v>50221</v>
      </c>
      <c r="S412" s="357">
        <f t="shared" ref="S412:S479" si="87">((F412+R412)+((G412+H412+I412+J412+K412+L412+M412+N412+O412+P412+Q412)*2))/24</f>
        <v>20640.333333333332</v>
      </c>
      <c r="U412" s="358"/>
      <c r="V412" s="359"/>
      <c r="W412" s="359">
        <f t="shared" si="86"/>
        <v>20640.333333333332</v>
      </c>
      <c r="X412" s="360"/>
      <c r="Y412" s="359"/>
      <c r="Z412" s="359"/>
      <c r="AA412" s="358"/>
      <c r="AB412" s="359"/>
      <c r="AC412" s="271">
        <f>+S412</f>
        <v>20640.333333333332</v>
      </c>
      <c r="AF412" s="289">
        <f t="shared" si="78"/>
        <v>0</v>
      </c>
    </row>
    <row r="413" spans="1:32">
      <c r="A413" s="113">
        <v>398</v>
      </c>
      <c r="B413" s="119" t="s">
        <v>1530</v>
      </c>
      <c r="C413" s="119" t="s">
        <v>2456</v>
      </c>
      <c r="D413" s="119" t="s">
        <v>1503</v>
      </c>
      <c r="E413" s="374" t="s">
        <v>2457</v>
      </c>
      <c r="F413" s="356">
        <v>-266117553.21000001</v>
      </c>
      <c r="G413" s="356">
        <v>-266117553.21000001</v>
      </c>
      <c r="H413" s="356">
        <v>-266117553.21000001</v>
      </c>
      <c r="I413" s="356">
        <v>-266117553.21000001</v>
      </c>
      <c r="J413" s="356">
        <v>-266117553.21000001</v>
      </c>
      <c r="K413" s="356">
        <v>-266117553.21000001</v>
      </c>
      <c r="L413" s="356">
        <v>-266117553.21000001</v>
      </c>
      <c r="M413" s="356">
        <v>-266117553.21000001</v>
      </c>
      <c r="N413" s="356">
        <v>-266117553.21000001</v>
      </c>
      <c r="O413" s="356">
        <v>-266117553.21000001</v>
      </c>
      <c r="P413" s="356">
        <v>-266117553.21000001</v>
      </c>
      <c r="Q413" s="356">
        <v>-266117553.21000001</v>
      </c>
      <c r="R413" s="356">
        <v>-286117553.20999998</v>
      </c>
      <c r="S413" s="357">
        <f>((F413+R413)+((G413+H413+I413+J413+K413+L413+M413+N413+O413+P413+Q413)*2))/24</f>
        <v>-266950886.54333332</v>
      </c>
      <c r="U413" s="358"/>
      <c r="V413" s="359"/>
      <c r="W413" s="359">
        <f t="shared" si="86"/>
        <v>-266950886.54333332</v>
      </c>
      <c r="X413" s="360"/>
      <c r="Y413" s="359"/>
      <c r="Z413" s="359"/>
      <c r="AA413" s="358"/>
      <c r="AB413" s="359"/>
      <c r="AC413" s="271">
        <f>+S413</f>
        <v>-266950886.54333332</v>
      </c>
      <c r="AF413" s="289">
        <f t="shared" si="78"/>
        <v>0</v>
      </c>
    </row>
    <row r="414" spans="1:32">
      <c r="A414" s="113">
        <v>399</v>
      </c>
      <c r="B414" s="119" t="s">
        <v>1530</v>
      </c>
      <c r="C414" s="119" t="s">
        <v>2458</v>
      </c>
      <c r="D414" s="119"/>
      <c r="E414" s="374" t="s">
        <v>2459</v>
      </c>
      <c r="F414" s="356">
        <v>0</v>
      </c>
      <c r="G414" s="356">
        <v>0</v>
      </c>
      <c r="H414" s="356">
        <v>0</v>
      </c>
      <c r="I414" s="356">
        <v>0</v>
      </c>
      <c r="J414" s="356">
        <v>0</v>
      </c>
      <c r="K414" s="356">
        <v>0</v>
      </c>
      <c r="L414" s="356">
        <v>0</v>
      </c>
      <c r="M414" s="356">
        <v>0</v>
      </c>
      <c r="N414" s="356">
        <v>0</v>
      </c>
      <c r="O414" s="356">
        <v>0</v>
      </c>
      <c r="P414" s="356">
        <v>0</v>
      </c>
      <c r="Q414" s="356">
        <v>0</v>
      </c>
      <c r="R414" s="356">
        <v>0</v>
      </c>
      <c r="S414" s="357">
        <f t="shared" si="87"/>
        <v>0</v>
      </c>
      <c r="U414" s="358"/>
      <c r="V414" s="359"/>
      <c r="W414" s="359">
        <f t="shared" si="86"/>
        <v>0</v>
      </c>
      <c r="X414" s="360"/>
      <c r="Y414" s="359"/>
      <c r="Z414" s="359"/>
      <c r="AA414" s="358"/>
      <c r="AB414" s="359"/>
      <c r="AC414" s="271">
        <f>+S414</f>
        <v>0</v>
      </c>
      <c r="AF414" s="289">
        <f t="shared" si="78"/>
        <v>0</v>
      </c>
    </row>
    <row r="415" spans="1:32">
      <c r="A415" s="113">
        <v>400</v>
      </c>
      <c r="B415" s="119" t="s">
        <v>1530</v>
      </c>
      <c r="C415" s="119" t="s">
        <v>2460</v>
      </c>
      <c r="D415" s="113" t="s">
        <v>1526</v>
      </c>
      <c r="E415" s="374" t="s">
        <v>2461</v>
      </c>
      <c r="F415" s="356">
        <v>-2506034.75</v>
      </c>
      <c r="G415" s="356">
        <v>-2506034.75</v>
      </c>
      <c r="H415" s="356">
        <v>-2506034.75</v>
      </c>
      <c r="I415" s="356">
        <v>-2506034.75</v>
      </c>
      <c r="J415" s="356">
        <v>-2506034.75</v>
      </c>
      <c r="K415" s="356">
        <v>-2506034.75</v>
      </c>
      <c r="L415" s="356">
        <v>-2506034.75</v>
      </c>
      <c r="M415" s="356">
        <v>-2506034.75</v>
      </c>
      <c r="N415" s="356">
        <v>-2506034.75</v>
      </c>
      <c r="O415" s="356">
        <v>-2506034.75</v>
      </c>
      <c r="P415" s="356">
        <v>-2506034.75</v>
      </c>
      <c r="Q415" s="356">
        <v>-2506034.75</v>
      </c>
      <c r="R415" s="356">
        <v>1827414.09</v>
      </c>
      <c r="S415" s="357">
        <f t="shared" si="87"/>
        <v>-2325474.3816666664</v>
      </c>
      <c r="U415" s="358"/>
      <c r="V415" s="359"/>
      <c r="W415" s="359">
        <f t="shared" si="86"/>
        <v>-2325474.3816666664</v>
      </c>
      <c r="X415" s="360"/>
      <c r="Y415" s="359"/>
      <c r="Z415" s="359"/>
      <c r="AA415" s="358"/>
      <c r="AB415" s="359"/>
      <c r="AC415" s="271">
        <f>+S415</f>
        <v>-2325474.3816666664</v>
      </c>
      <c r="AF415" s="289">
        <f t="shared" si="78"/>
        <v>0</v>
      </c>
    </row>
    <row r="416" spans="1:32">
      <c r="A416" s="113">
        <v>401</v>
      </c>
      <c r="B416" s="119" t="s">
        <v>1530</v>
      </c>
      <c r="C416" s="119" t="s">
        <v>2462</v>
      </c>
      <c r="D416" s="119" t="s">
        <v>2451</v>
      </c>
      <c r="E416" s="374" t="s">
        <v>2463</v>
      </c>
      <c r="F416" s="698">
        <v>430592.4</v>
      </c>
      <c r="G416" s="698">
        <v>430592.4</v>
      </c>
      <c r="H416" s="698">
        <v>430592.4</v>
      </c>
      <c r="I416" s="698">
        <v>430592.4</v>
      </c>
      <c r="J416" s="698">
        <v>430592.4</v>
      </c>
      <c r="K416" s="698">
        <v>430592.4</v>
      </c>
      <c r="L416" s="698">
        <v>430592.4</v>
      </c>
      <c r="M416" s="698">
        <v>430592.4</v>
      </c>
      <c r="N416" s="698">
        <v>430592.4</v>
      </c>
      <c r="O416" s="698">
        <v>430592.4</v>
      </c>
      <c r="P416" s="698">
        <v>430592.4</v>
      </c>
      <c r="Q416" s="698">
        <v>430592.4</v>
      </c>
      <c r="R416" s="698">
        <v>630608.81999999995</v>
      </c>
      <c r="S416" s="700">
        <f t="shared" si="87"/>
        <v>438926.41750000004</v>
      </c>
      <c r="U416" s="358"/>
      <c r="V416" s="359"/>
      <c r="W416" s="359">
        <f t="shared" si="86"/>
        <v>438926.41750000004</v>
      </c>
      <c r="X416" s="360"/>
      <c r="Y416" s="359"/>
      <c r="Z416" s="359"/>
      <c r="AA416" s="358"/>
      <c r="AB416" s="359"/>
      <c r="AC416" s="271">
        <f>+S416</f>
        <v>438926.41750000004</v>
      </c>
      <c r="AF416" s="289">
        <f t="shared" si="78"/>
        <v>0</v>
      </c>
    </row>
    <row r="417" spans="1:32">
      <c r="A417" s="113">
        <v>402</v>
      </c>
      <c r="E417" s="374" t="s">
        <v>2464</v>
      </c>
      <c r="F417" s="696">
        <f t="shared" ref="F417:S417" si="88">SUM(F410:F416)</f>
        <v>-302597658.34000003</v>
      </c>
      <c r="G417" s="696">
        <f t="shared" si="88"/>
        <v>-308522889.09000003</v>
      </c>
      <c r="H417" s="696">
        <f t="shared" si="88"/>
        <v>-308520073.09000003</v>
      </c>
      <c r="I417" s="696">
        <f t="shared" si="88"/>
        <v>-308517257.09000003</v>
      </c>
      <c r="J417" s="696">
        <f t="shared" si="88"/>
        <v>-308514441.09000003</v>
      </c>
      <c r="K417" s="696">
        <f t="shared" si="88"/>
        <v>-308511625.09000003</v>
      </c>
      <c r="L417" s="696">
        <f t="shared" si="88"/>
        <v>-308507734.09000003</v>
      </c>
      <c r="M417" s="696">
        <f t="shared" si="88"/>
        <v>-308503843.09000003</v>
      </c>
      <c r="N417" s="696">
        <f t="shared" si="88"/>
        <v>-308499952.09000003</v>
      </c>
      <c r="O417" s="696">
        <f t="shared" si="88"/>
        <v>-308495120.09000003</v>
      </c>
      <c r="P417" s="696">
        <f t="shared" si="88"/>
        <v>-308489661.09000003</v>
      </c>
      <c r="Q417" s="696">
        <f t="shared" si="88"/>
        <v>-308484202.09000003</v>
      </c>
      <c r="R417" s="696">
        <f t="shared" si="88"/>
        <v>-323942018.83000004</v>
      </c>
      <c r="S417" s="697">
        <f t="shared" si="88"/>
        <v>-308903053.04791665</v>
      </c>
      <c r="U417" s="358"/>
      <c r="V417" s="359"/>
      <c r="W417" s="359"/>
      <c r="X417" s="360"/>
      <c r="Y417" s="359"/>
      <c r="Z417" s="359"/>
      <c r="AA417" s="358"/>
      <c r="AB417" s="359"/>
      <c r="AF417" s="289">
        <f t="shared" si="78"/>
        <v>0</v>
      </c>
    </row>
    <row r="418" spans="1:32">
      <c r="A418" s="113">
        <v>403</v>
      </c>
      <c r="E418" s="374"/>
      <c r="F418" s="396"/>
      <c r="G418" s="414"/>
      <c r="H418" s="415"/>
      <c r="I418" s="415"/>
      <c r="J418" s="416"/>
      <c r="K418" s="417"/>
      <c r="L418" s="418"/>
      <c r="M418" s="419"/>
      <c r="N418" s="420"/>
      <c r="O418" s="397"/>
      <c r="P418" s="421"/>
      <c r="Q418" s="422"/>
      <c r="R418" s="396"/>
      <c r="S418" s="96"/>
      <c r="U418" s="358"/>
      <c r="V418" s="359"/>
      <c r="W418" s="359"/>
      <c r="X418" s="360"/>
      <c r="Y418" s="359"/>
      <c r="Z418" s="359"/>
      <c r="AA418" s="358"/>
      <c r="AB418" s="359"/>
      <c r="AF418" s="289">
        <f t="shared" si="78"/>
        <v>0</v>
      </c>
    </row>
    <row r="419" spans="1:32">
      <c r="A419" s="113">
        <v>404</v>
      </c>
      <c r="B419" s="119" t="s">
        <v>1530</v>
      </c>
      <c r="C419" s="119" t="s">
        <v>2465</v>
      </c>
      <c r="D419" s="119" t="s">
        <v>387</v>
      </c>
      <c r="E419" s="423" t="s">
        <v>2466</v>
      </c>
      <c r="F419" s="356">
        <v>-20000000</v>
      </c>
      <c r="G419" s="356">
        <v>-20000000</v>
      </c>
      <c r="H419" s="356">
        <v>-20000000</v>
      </c>
      <c r="I419" s="356">
        <v>-20000000</v>
      </c>
      <c r="J419" s="356">
        <v>-20000000</v>
      </c>
      <c r="K419" s="356">
        <v>-20000000</v>
      </c>
      <c r="L419" s="356">
        <v>-20000000</v>
      </c>
      <c r="M419" s="356">
        <v>-20000000</v>
      </c>
      <c r="N419" s="356">
        <v>-20000000</v>
      </c>
      <c r="O419" s="356">
        <v>-20000000</v>
      </c>
      <c r="P419" s="356">
        <v>-20000000</v>
      </c>
      <c r="Q419" s="356">
        <v>-20000000</v>
      </c>
      <c r="R419" s="356">
        <v>-20000000</v>
      </c>
      <c r="S419" s="357">
        <f t="shared" si="87"/>
        <v>-20000000</v>
      </c>
      <c r="U419" s="358"/>
      <c r="V419" s="359"/>
      <c r="W419" s="359">
        <f t="shared" ref="W419:W439" si="89">+S419</f>
        <v>-20000000</v>
      </c>
      <c r="X419" s="360"/>
      <c r="Y419" s="359"/>
      <c r="Z419" s="359"/>
      <c r="AA419" s="358"/>
      <c r="AB419" s="359"/>
      <c r="AC419" s="271">
        <f t="shared" ref="AC419:AC439" si="90">+S419</f>
        <v>-20000000</v>
      </c>
      <c r="AF419" s="289">
        <f t="shared" si="78"/>
        <v>0</v>
      </c>
    </row>
    <row r="420" spans="1:32">
      <c r="A420" s="113">
        <v>405</v>
      </c>
      <c r="B420" s="119" t="s">
        <v>1530</v>
      </c>
      <c r="C420" s="119" t="s">
        <v>2465</v>
      </c>
      <c r="D420" s="119" t="s">
        <v>2171</v>
      </c>
      <c r="E420" s="423" t="s">
        <v>2467</v>
      </c>
      <c r="F420" s="356">
        <v>-15000000</v>
      </c>
      <c r="G420" s="356">
        <v>-15000000</v>
      </c>
      <c r="H420" s="356">
        <v>-15000000</v>
      </c>
      <c r="I420" s="356">
        <v>-15000000</v>
      </c>
      <c r="J420" s="356">
        <v>-15000000</v>
      </c>
      <c r="K420" s="356">
        <v>-15000000</v>
      </c>
      <c r="L420" s="356">
        <v>-15000000</v>
      </c>
      <c r="M420" s="356">
        <v>-15000000</v>
      </c>
      <c r="N420" s="356">
        <v>-15000000</v>
      </c>
      <c r="O420" s="356">
        <v>-15000000</v>
      </c>
      <c r="P420" s="356">
        <v>-15000000</v>
      </c>
      <c r="Q420" s="356">
        <v>-15000000</v>
      </c>
      <c r="R420" s="356">
        <v>-15000000</v>
      </c>
      <c r="S420" s="357">
        <f t="shared" si="87"/>
        <v>-15000000</v>
      </c>
      <c r="U420" s="358"/>
      <c r="V420" s="359"/>
      <c r="W420" s="359">
        <f t="shared" si="89"/>
        <v>-15000000</v>
      </c>
      <c r="X420" s="360"/>
      <c r="Y420" s="359"/>
      <c r="Z420" s="359"/>
      <c r="AA420" s="358"/>
      <c r="AB420" s="359"/>
      <c r="AC420" s="271">
        <f t="shared" si="90"/>
        <v>-15000000</v>
      </c>
      <c r="AF420" s="289">
        <f t="shared" si="78"/>
        <v>0</v>
      </c>
    </row>
    <row r="421" spans="1:32">
      <c r="A421" s="113">
        <v>406</v>
      </c>
      <c r="B421" s="119" t="s">
        <v>1530</v>
      </c>
      <c r="C421" s="119" t="s">
        <v>2465</v>
      </c>
      <c r="D421" s="119" t="s">
        <v>2173</v>
      </c>
      <c r="E421" s="423" t="s">
        <v>2468</v>
      </c>
      <c r="F421" s="356">
        <v>-24214000</v>
      </c>
      <c r="G421" s="356">
        <v>-24214000</v>
      </c>
      <c r="H421" s="356">
        <v>-24214000</v>
      </c>
      <c r="I421" s="356">
        <v>-24214000</v>
      </c>
      <c r="J421" s="356">
        <v>-24214000</v>
      </c>
      <c r="K421" s="356">
        <v>-24214000</v>
      </c>
      <c r="L421" s="356">
        <v>-24214000</v>
      </c>
      <c r="M421" s="356">
        <v>-24214000</v>
      </c>
      <c r="N421" s="356">
        <v>-24201000</v>
      </c>
      <c r="O421" s="356">
        <v>-24201000</v>
      </c>
      <c r="P421" s="356">
        <v>-24201000</v>
      </c>
      <c r="Q421" s="356">
        <v>0</v>
      </c>
      <c r="R421" s="356">
        <v>0</v>
      </c>
      <c r="S421" s="357">
        <f t="shared" si="87"/>
        <v>-21184000</v>
      </c>
      <c r="U421" s="358"/>
      <c r="V421" s="359"/>
      <c r="W421" s="359">
        <f t="shared" si="89"/>
        <v>-21184000</v>
      </c>
      <c r="X421" s="360"/>
      <c r="Y421" s="359"/>
      <c r="Z421" s="359"/>
      <c r="AA421" s="358"/>
      <c r="AB421" s="359"/>
      <c r="AC421" s="271">
        <f t="shared" si="90"/>
        <v>-21184000</v>
      </c>
      <c r="AF421" s="289">
        <f t="shared" si="78"/>
        <v>0</v>
      </c>
    </row>
    <row r="422" spans="1:32">
      <c r="A422" s="113">
        <v>407</v>
      </c>
      <c r="B422" s="119" t="s">
        <v>1530</v>
      </c>
      <c r="C422" s="119" t="s">
        <v>2465</v>
      </c>
      <c r="D422" s="119" t="s">
        <v>2109</v>
      </c>
      <c r="E422" s="423" t="s">
        <v>2469</v>
      </c>
      <c r="F422" s="356">
        <v>0</v>
      </c>
      <c r="G422" s="356">
        <v>0</v>
      </c>
      <c r="H422" s="356">
        <v>0</v>
      </c>
      <c r="I422" s="356">
        <v>0</v>
      </c>
      <c r="J422" s="356">
        <v>0</v>
      </c>
      <c r="K422" s="356">
        <v>0</v>
      </c>
      <c r="L422" s="356">
        <v>0</v>
      </c>
      <c r="M422" s="356">
        <v>0</v>
      </c>
      <c r="N422" s="356">
        <v>0</v>
      </c>
      <c r="O422" s="356">
        <v>0</v>
      </c>
      <c r="P422" s="356">
        <v>0</v>
      </c>
      <c r="Q422" s="356">
        <v>0</v>
      </c>
      <c r="R422" s="356">
        <v>0</v>
      </c>
      <c r="S422" s="357">
        <f t="shared" si="87"/>
        <v>0</v>
      </c>
      <c r="U422" s="358"/>
      <c r="V422" s="359"/>
      <c r="W422" s="359">
        <f t="shared" si="89"/>
        <v>0</v>
      </c>
      <c r="X422" s="360"/>
      <c r="Y422" s="359"/>
      <c r="Z422" s="359"/>
      <c r="AA422" s="358"/>
      <c r="AB422" s="359"/>
      <c r="AC422" s="271">
        <f t="shared" si="90"/>
        <v>0</v>
      </c>
      <c r="AF422" s="289">
        <f t="shared" si="78"/>
        <v>0</v>
      </c>
    </row>
    <row r="423" spans="1:32">
      <c r="A423" s="113">
        <v>408</v>
      </c>
      <c r="B423" s="119" t="s">
        <v>1530</v>
      </c>
      <c r="C423" s="119" t="s">
        <v>2465</v>
      </c>
      <c r="D423" s="119" t="s">
        <v>2111</v>
      </c>
      <c r="E423" s="423" t="s">
        <v>2470</v>
      </c>
      <c r="F423" s="356">
        <v>-40000000</v>
      </c>
      <c r="G423" s="356">
        <v>-40000000</v>
      </c>
      <c r="H423" s="356">
        <v>-40000000</v>
      </c>
      <c r="I423" s="356">
        <v>-40000000</v>
      </c>
      <c r="J423" s="356">
        <v>-40000000</v>
      </c>
      <c r="K423" s="356">
        <v>-40000000</v>
      </c>
      <c r="L423" s="356">
        <v>-40000000</v>
      </c>
      <c r="M423" s="356">
        <v>-40000000</v>
      </c>
      <c r="N423" s="356">
        <v>-40000000</v>
      </c>
      <c r="O423" s="356">
        <v>-40000000</v>
      </c>
      <c r="P423" s="356">
        <v>-40000000</v>
      </c>
      <c r="Q423" s="356">
        <v>-40000000</v>
      </c>
      <c r="R423" s="356">
        <v>-40000000</v>
      </c>
      <c r="S423" s="357">
        <f t="shared" si="87"/>
        <v>-40000000</v>
      </c>
      <c r="U423" s="358"/>
      <c r="V423" s="359"/>
      <c r="W423" s="359">
        <f t="shared" si="89"/>
        <v>-40000000</v>
      </c>
      <c r="X423" s="360"/>
      <c r="Y423" s="359"/>
      <c r="Z423" s="359"/>
      <c r="AA423" s="358"/>
      <c r="AB423" s="359"/>
      <c r="AC423" s="271">
        <f t="shared" si="90"/>
        <v>-40000000</v>
      </c>
      <c r="AF423" s="289">
        <f t="shared" si="78"/>
        <v>0</v>
      </c>
    </row>
    <row r="424" spans="1:32">
      <c r="A424" s="113">
        <v>409</v>
      </c>
      <c r="B424" s="119" t="s">
        <v>1530</v>
      </c>
      <c r="C424" s="119" t="s">
        <v>2465</v>
      </c>
      <c r="D424" s="119" t="s">
        <v>2001</v>
      </c>
      <c r="E424" s="424" t="s">
        <v>2471</v>
      </c>
      <c r="F424" s="356">
        <v>-25000000</v>
      </c>
      <c r="G424" s="356">
        <v>-25000000</v>
      </c>
      <c r="H424" s="356">
        <v>-25000000</v>
      </c>
      <c r="I424" s="356">
        <v>-25000000</v>
      </c>
      <c r="J424" s="356">
        <v>-25000000</v>
      </c>
      <c r="K424" s="356">
        <v>-25000000</v>
      </c>
      <c r="L424" s="356">
        <v>-25000000</v>
      </c>
      <c r="M424" s="356">
        <v>-25000000</v>
      </c>
      <c r="N424" s="356">
        <v>-25000000</v>
      </c>
      <c r="O424" s="356">
        <v>-25000000</v>
      </c>
      <c r="P424" s="356">
        <v>-25000000</v>
      </c>
      <c r="Q424" s="356">
        <v>-25000000</v>
      </c>
      <c r="R424" s="356">
        <v>-25000000</v>
      </c>
      <c r="S424" s="357">
        <f t="shared" si="87"/>
        <v>-25000000</v>
      </c>
      <c r="U424" s="358"/>
      <c r="V424" s="359"/>
      <c r="W424" s="359">
        <f t="shared" si="89"/>
        <v>-25000000</v>
      </c>
      <c r="X424" s="360"/>
      <c r="Y424" s="359"/>
      <c r="Z424" s="359"/>
      <c r="AA424" s="358"/>
      <c r="AB424" s="359"/>
      <c r="AC424" s="271">
        <f t="shared" si="90"/>
        <v>-25000000</v>
      </c>
      <c r="AF424" s="289">
        <f t="shared" si="78"/>
        <v>0</v>
      </c>
    </row>
    <row r="425" spans="1:32">
      <c r="A425" s="113">
        <v>410</v>
      </c>
      <c r="B425" s="119" t="s">
        <v>1530</v>
      </c>
      <c r="C425" s="119" t="s">
        <v>2465</v>
      </c>
      <c r="D425" s="119" t="s">
        <v>2178</v>
      </c>
      <c r="E425" s="424" t="s">
        <v>2472</v>
      </c>
      <c r="F425" s="356">
        <v>-25000000</v>
      </c>
      <c r="G425" s="356">
        <v>-25000000</v>
      </c>
      <c r="H425" s="356">
        <v>-25000000</v>
      </c>
      <c r="I425" s="356">
        <v>-25000000</v>
      </c>
      <c r="J425" s="356">
        <v>-25000000</v>
      </c>
      <c r="K425" s="356">
        <v>-25000000</v>
      </c>
      <c r="L425" s="356">
        <v>-25000000</v>
      </c>
      <c r="M425" s="356">
        <v>-25000000</v>
      </c>
      <c r="N425" s="356">
        <v>-25000000</v>
      </c>
      <c r="O425" s="356">
        <v>-25000000</v>
      </c>
      <c r="P425" s="356">
        <v>-25000000</v>
      </c>
      <c r="Q425" s="356">
        <v>-25000000</v>
      </c>
      <c r="R425" s="356">
        <v>-25000000</v>
      </c>
      <c r="S425" s="357">
        <f t="shared" si="87"/>
        <v>-25000000</v>
      </c>
      <c r="U425" s="358"/>
      <c r="V425" s="359"/>
      <c r="W425" s="359">
        <f t="shared" si="89"/>
        <v>-25000000</v>
      </c>
      <c r="X425" s="360"/>
      <c r="Y425" s="359"/>
      <c r="Z425" s="359"/>
      <c r="AA425" s="358"/>
      <c r="AB425" s="359"/>
      <c r="AC425" s="271">
        <f t="shared" si="90"/>
        <v>-25000000</v>
      </c>
      <c r="AF425" s="289">
        <f t="shared" si="78"/>
        <v>0</v>
      </c>
    </row>
    <row r="426" spans="1:32">
      <c r="A426" s="113">
        <v>411</v>
      </c>
      <c r="B426" s="119" t="s">
        <v>1530</v>
      </c>
      <c r="C426" s="119" t="s">
        <v>2465</v>
      </c>
      <c r="D426" s="119" t="s">
        <v>2116</v>
      </c>
      <c r="E426" s="424" t="s">
        <v>2473</v>
      </c>
      <c r="F426" s="356">
        <v>-12500000</v>
      </c>
      <c r="G426" s="356">
        <v>-12500000</v>
      </c>
      <c r="H426" s="356">
        <v>-12500000</v>
      </c>
      <c r="I426" s="356">
        <v>-12500000</v>
      </c>
      <c r="J426" s="356">
        <v>-12500000</v>
      </c>
      <c r="K426" s="356">
        <v>-12500000</v>
      </c>
      <c r="L426" s="356">
        <v>-12500000</v>
      </c>
      <c r="M426" s="356">
        <v>-12500000</v>
      </c>
      <c r="N426" s="356">
        <v>-12500000</v>
      </c>
      <c r="O426" s="356">
        <v>-12500000</v>
      </c>
      <c r="P426" s="356">
        <v>-12500000</v>
      </c>
      <c r="Q426" s="356">
        <v>-12500000</v>
      </c>
      <c r="R426" s="356">
        <v>-12500000</v>
      </c>
      <c r="S426" s="357">
        <f t="shared" si="87"/>
        <v>-12500000</v>
      </c>
      <c r="U426" s="358"/>
      <c r="V426" s="359"/>
      <c r="W426" s="359">
        <f t="shared" si="89"/>
        <v>-12500000</v>
      </c>
      <c r="X426" s="360"/>
      <c r="Y426" s="359"/>
      <c r="Z426" s="359"/>
      <c r="AA426" s="358"/>
      <c r="AB426" s="359"/>
      <c r="AC426" s="271">
        <f t="shared" si="90"/>
        <v>-12500000</v>
      </c>
      <c r="AF426" s="289">
        <f t="shared" si="78"/>
        <v>0</v>
      </c>
    </row>
    <row r="427" spans="1:32">
      <c r="A427" s="113">
        <v>412</v>
      </c>
      <c r="B427" s="119" t="s">
        <v>1530</v>
      </c>
      <c r="C427" s="119" t="s">
        <v>2465</v>
      </c>
      <c r="D427" s="119" t="s">
        <v>2182</v>
      </c>
      <c r="E427" s="424" t="s">
        <v>2474</v>
      </c>
      <c r="F427" s="356">
        <v>-12500000</v>
      </c>
      <c r="G427" s="356">
        <v>-12500000</v>
      </c>
      <c r="H427" s="356">
        <v>-12500000</v>
      </c>
      <c r="I427" s="356">
        <v>-12500000</v>
      </c>
      <c r="J427" s="356">
        <v>-12500000</v>
      </c>
      <c r="K427" s="356">
        <v>-12500000</v>
      </c>
      <c r="L427" s="356">
        <v>-12500000</v>
      </c>
      <c r="M427" s="356">
        <v>-12500000</v>
      </c>
      <c r="N427" s="356">
        <v>-12500000</v>
      </c>
      <c r="O427" s="356">
        <v>-12500000</v>
      </c>
      <c r="P427" s="356">
        <v>-12500000</v>
      </c>
      <c r="Q427" s="356">
        <v>-12500000</v>
      </c>
      <c r="R427" s="356">
        <v>-12500000</v>
      </c>
      <c r="S427" s="357">
        <f t="shared" si="87"/>
        <v>-12500000</v>
      </c>
      <c r="U427" s="358"/>
      <c r="V427" s="359"/>
      <c r="W427" s="359">
        <f t="shared" si="89"/>
        <v>-12500000</v>
      </c>
      <c r="X427" s="360"/>
      <c r="Y427" s="359"/>
      <c r="Z427" s="359"/>
      <c r="AA427" s="358"/>
      <c r="AB427" s="359"/>
      <c r="AC427" s="271">
        <f t="shared" si="90"/>
        <v>-12500000</v>
      </c>
      <c r="AF427" s="289">
        <f t="shared" si="78"/>
        <v>0</v>
      </c>
    </row>
    <row r="428" spans="1:32">
      <c r="A428" s="113">
        <v>413</v>
      </c>
      <c r="B428" s="119" t="s">
        <v>1530</v>
      </c>
      <c r="C428" s="119" t="s">
        <v>2465</v>
      </c>
      <c r="D428" s="119" t="s">
        <v>2184</v>
      </c>
      <c r="E428" s="424" t="s">
        <v>2475</v>
      </c>
      <c r="F428" s="356">
        <v>-12500000</v>
      </c>
      <c r="G428" s="356">
        <v>-12500000</v>
      </c>
      <c r="H428" s="356">
        <v>-12500000</v>
      </c>
      <c r="I428" s="356">
        <v>-12500000</v>
      </c>
      <c r="J428" s="356">
        <v>-12500000</v>
      </c>
      <c r="K428" s="356">
        <v>-12500000</v>
      </c>
      <c r="L428" s="356">
        <v>-12500000</v>
      </c>
      <c r="M428" s="356">
        <v>-12500000</v>
      </c>
      <c r="N428" s="356">
        <v>-12500000</v>
      </c>
      <c r="O428" s="356">
        <v>-12500000</v>
      </c>
      <c r="P428" s="356">
        <v>-12500000</v>
      </c>
      <c r="Q428" s="356">
        <v>-12500000</v>
      </c>
      <c r="R428" s="356">
        <v>-12500000</v>
      </c>
      <c r="S428" s="357">
        <f t="shared" si="87"/>
        <v>-12500000</v>
      </c>
      <c r="U428" s="358"/>
      <c r="V428" s="359"/>
      <c r="W428" s="359">
        <f t="shared" si="89"/>
        <v>-12500000</v>
      </c>
      <c r="X428" s="360"/>
      <c r="Y428" s="359"/>
      <c r="Z428" s="359"/>
      <c r="AA428" s="358"/>
      <c r="AB428" s="359"/>
      <c r="AC428" s="271">
        <f t="shared" si="90"/>
        <v>-12500000</v>
      </c>
      <c r="AF428" s="289">
        <f t="shared" si="78"/>
        <v>0</v>
      </c>
    </row>
    <row r="429" spans="1:32">
      <c r="A429" s="113">
        <v>414</v>
      </c>
      <c r="B429" s="119" t="s">
        <v>1530</v>
      </c>
      <c r="C429" s="119" t="s">
        <v>2465</v>
      </c>
      <c r="D429" s="119" t="s">
        <v>2186</v>
      </c>
      <c r="E429" s="424" t="s">
        <v>2476</v>
      </c>
      <c r="F429" s="356">
        <v>-12500000</v>
      </c>
      <c r="G429" s="356">
        <v>-12500000</v>
      </c>
      <c r="H429" s="356">
        <v>-12500000</v>
      </c>
      <c r="I429" s="356">
        <v>-12500000</v>
      </c>
      <c r="J429" s="356">
        <v>-12500000</v>
      </c>
      <c r="K429" s="356">
        <v>-12500000</v>
      </c>
      <c r="L429" s="356">
        <v>-12500000</v>
      </c>
      <c r="M429" s="356">
        <v>-12500000</v>
      </c>
      <c r="N429" s="356">
        <v>-12500000</v>
      </c>
      <c r="O429" s="356">
        <v>-12500000</v>
      </c>
      <c r="P429" s="356">
        <v>-12500000</v>
      </c>
      <c r="Q429" s="356">
        <v>-12500000</v>
      </c>
      <c r="R429" s="356">
        <v>-12500000</v>
      </c>
      <c r="S429" s="357">
        <f t="shared" si="87"/>
        <v>-12500000</v>
      </c>
      <c r="U429" s="358"/>
      <c r="V429" s="359"/>
      <c r="W429" s="359">
        <f t="shared" si="89"/>
        <v>-12500000</v>
      </c>
      <c r="X429" s="360"/>
      <c r="Y429" s="359"/>
      <c r="Z429" s="359"/>
      <c r="AA429" s="358"/>
      <c r="AB429" s="359"/>
      <c r="AC429" s="271">
        <f t="shared" si="90"/>
        <v>-12500000</v>
      </c>
      <c r="AF429" s="289">
        <f t="shared" si="78"/>
        <v>0</v>
      </c>
    </row>
    <row r="430" spans="1:32">
      <c r="A430" s="113">
        <v>415</v>
      </c>
      <c r="B430" s="119" t="s">
        <v>1530</v>
      </c>
      <c r="C430" s="119" t="s">
        <v>2465</v>
      </c>
      <c r="D430" s="119" t="s">
        <v>2188</v>
      </c>
      <c r="E430" s="424" t="s">
        <v>2477</v>
      </c>
      <c r="F430" s="356">
        <v>-25000000</v>
      </c>
      <c r="G430" s="356">
        <v>-25000000</v>
      </c>
      <c r="H430" s="356">
        <v>-25000000</v>
      </c>
      <c r="I430" s="356">
        <v>-25000000</v>
      </c>
      <c r="J430" s="356">
        <v>-25000000</v>
      </c>
      <c r="K430" s="356">
        <v>-25000000</v>
      </c>
      <c r="L430" s="356">
        <v>-25000000</v>
      </c>
      <c r="M430" s="356">
        <v>-25000000</v>
      </c>
      <c r="N430" s="356">
        <v>-25000000</v>
      </c>
      <c r="O430" s="356">
        <v>-25000000</v>
      </c>
      <c r="P430" s="356">
        <v>-25000000</v>
      </c>
      <c r="Q430" s="356">
        <v>-25000000</v>
      </c>
      <c r="R430" s="356">
        <v>-25000000</v>
      </c>
      <c r="S430" s="357">
        <f t="shared" si="87"/>
        <v>-25000000</v>
      </c>
      <c r="U430" s="358"/>
      <c r="V430" s="359"/>
      <c r="W430" s="359">
        <f t="shared" si="89"/>
        <v>-25000000</v>
      </c>
      <c r="X430" s="360"/>
      <c r="Y430" s="359"/>
      <c r="Z430" s="359"/>
      <c r="AA430" s="358"/>
      <c r="AB430" s="359"/>
      <c r="AC430" s="271">
        <f t="shared" si="90"/>
        <v>-25000000</v>
      </c>
      <c r="AF430" s="289"/>
    </row>
    <row r="431" spans="1:32">
      <c r="A431" s="113">
        <v>416</v>
      </c>
      <c r="B431" s="119" t="s">
        <v>1530</v>
      </c>
      <c r="C431" s="119" t="s">
        <v>2465</v>
      </c>
      <c r="D431" s="119" t="s">
        <v>2190</v>
      </c>
      <c r="E431" s="424" t="s">
        <v>2478</v>
      </c>
      <c r="F431" s="356">
        <v>-20000000</v>
      </c>
      <c r="G431" s="356">
        <v>-20000000</v>
      </c>
      <c r="H431" s="356">
        <v>-20000000</v>
      </c>
      <c r="I431" s="356">
        <v>-20000000</v>
      </c>
      <c r="J431" s="356">
        <v>-20000000</v>
      </c>
      <c r="K431" s="356">
        <v>-20000000</v>
      </c>
      <c r="L431" s="356">
        <v>-20000000</v>
      </c>
      <c r="M431" s="356">
        <v>-20000000</v>
      </c>
      <c r="N431" s="356">
        <v>-20000000</v>
      </c>
      <c r="O431" s="356">
        <v>-20000000</v>
      </c>
      <c r="P431" s="356">
        <v>-20000000</v>
      </c>
      <c r="Q431" s="356">
        <v>-20000000</v>
      </c>
      <c r="R431" s="356">
        <v>-20000000</v>
      </c>
      <c r="S431" s="357">
        <f t="shared" si="87"/>
        <v>-20000000</v>
      </c>
      <c r="U431" s="358"/>
      <c r="V431" s="359"/>
      <c r="W431" s="359">
        <f t="shared" si="89"/>
        <v>-20000000</v>
      </c>
      <c r="X431" s="360"/>
      <c r="Y431" s="359"/>
      <c r="Z431" s="359"/>
      <c r="AA431" s="358"/>
      <c r="AB431" s="359"/>
      <c r="AC431" s="271">
        <f t="shared" si="90"/>
        <v>-20000000</v>
      </c>
      <c r="AF431" s="289"/>
    </row>
    <row r="432" spans="1:32">
      <c r="A432" s="113">
        <v>417</v>
      </c>
      <c r="B432" s="119" t="s">
        <v>1530</v>
      </c>
      <c r="C432" s="119" t="s">
        <v>2465</v>
      </c>
      <c r="D432" s="119" t="s">
        <v>2192</v>
      </c>
      <c r="E432" s="424" t="s">
        <v>2479</v>
      </c>
      <c r="F432" s="356">
        <v>-30000000</v>
      </c>
      <c r="G432" s="356">
        <v>-30000000</v>
      </c>
      <c r="H432" s="356">
        <v>-30000000</v>
      </c>
      <c r="I432" s="356">
        <v>-30000000</v>
      </c>
      <c r="J432" s="356">
        <v>-30000000</v>
      </c>
      <c r="K432" s="356">
        <v>-30000000</v>
      </c>
      <c r="L432" s="356">
        <v>-30000000</v>
      </c>
      <c r="M432" s="356">
        <v>-30000000</v>
      </c>
      <c r="N432" s="356">
        <v>-30000000</v>
      </c>
      <c r="O432" s="356">
        <v>-30000000</v>
      </c>
      <c r="P432" s="356">
        <v>-30000000</v>
      </c>
      <c r="Q432" s="356">
        <v>-30000000</v>
      </c>
      <c r="R432" s="356">
        <v>-30000000</v>
      </c>
      <c r="S432" s="357">
        <f t="shared" si="87"/>
        <v>-30000000</v>
      </c>
      <c r="U432" s="358"/>
      <c r="V432" s="359"/>
      <c r="W432" s="359">
        <f t="shared" si="89"/>
        <v>-30000000</v>
      </c>
      <c r="X432" s="360"/>
      <c r="Y432" s="359"/>
      <c r="Z432" s="359"/>
      <c r="AA432" s="358"/>
      <c r="AB432" s="359"/>
      <c r="AC432" s="271">
        <f t="shared" si="90"/>
        <v>-30000000</v>
      </c>
      <c r="AF432" s="289"/>
    </row>
    <row r="433" spans="1:32">
      <c r="A433" s="113">
        <v>418</v>
      </c>
      <c r="B433" s="119" t="s">
        <v>2003</v>
      </c>
      <c r="C433" s="119" t="s">
        <v>2465</v>
      </c>
      <c r="D433" s="119" t="s">
        <v>2194</v>
      </c>
      <c r="E433" s="424" t="s">
        <v>2480</v>
      </c>
      <c r="F433" s="356">
        <v>0</v>
      </c>
      <c r="G433" s="356">
        <v>0</v>
      </c>
      <c r="H433" s="356">
        <v>0</v>
      </c>
      <c r="I433" s="356">
        <v>0</v>
      </c>
      <c r="J433" s="356">
        <v>0</v>
      </c>
      <c r="K433" s="356">
        <v>0</v>
      </c>
      <c r="L433" s="356">
        <v>-30000000</v>
      </c>
      <c r="M433" s="356">
        <v>-30000000</v>
      </c>
      <c r="N433" s="356">
        <v>-30000000</v>
      </c>
      <c r="O433" s="356">
        <v>-30000000</v>
      </c>
      <c r="P433" s="356">
        <v>-30000000</v>
      </c>
      <c r="Q433" s="356">
        <v>-30000000</v>
      </c>
      <c r="R433" s="356">
        <v>-30000000</v>
      </c>
      <c r="S433" s="357">
        <f t="shared" si="87"/>
        <v>-16250000</v>
      </c>
      <c r="U433" s="358"/>
      <c r="V433" s="359"/>
      <c r="W433" s="359">
        <f t="shared" si="89"/>
        <v>-16250000</v>
      </c>
      <c r="X433" s="360"/>
      <c r="Y433" s="359"/>
      <c r="Z433" s="359"/>
      <c r="AA433" s="358"/>
      <c r="AB433" s="359"/>
      <c r="AC433" s="271">
        <f t="shared" si="90"/>
        <v>-16250000</v>
      </c>
      <c r="AD433" s="271"/>
      <c r="AF433" s="289"/>
    </row>
    <row r="434" spans="1:32">
      <c r="A434" s="113">
        <v>419</v>
      </c>
      <c r="B434" s="119" t="s">
        <v>1530</v>
      </c>
      <c r="C434" s="119" t="s">
        <v>2465</v>
      </c>
      <c r="D434" s="119" t="s">
        <v>2196</v>
      </c>
      <c r="E434" s="424" t="s">
        <v>2481</v>
      </c>
      <c r="F434" s="356">
        <v>0</v>
      </c>
      <c r="G434" s="356">
        <v>0</v>
      </c>
      <c r="H434" s="356">
        <v>0</v>
      </c>
      <c r="I434" s="356">
        <v>0</v>
      </c>
      <c r="J434" s="356">
        <v>0</v>
      </c>
      <c r="K434" s="356">
        <v>0</v>
      </c>
      <c r="L434" s="356">
        <v>-20000000</v>
      </c>
      <c r="M434" s="356">
        <v>-20000000</v>
      </c>
      <c r="N434" s="356">
        <v>-20000000</v>
      </c>
      <c r="O434" s="356">
        <v>-20000000</v>
      </c>
      <c r="P434" s="356">
        <v>-20000000</v>
      </c>
      <c r="Q434" s="356">
        <v>-20000000</v>
      </c>
      <c r="R434" s="356">
        <v>-20000000</v>
      </c>
      <c r="S434" s="357">
        <f t="shared" si="87"/>
        <v>-10833333.333333334</v>
      </c>
      <c r="U434" s="358"/>
      <c r="V434" s="359"/>
      <c r="W434" s="359">
        <f t="shared" si="89"/>
        <v>-10833333.333333334</v>
      </c>
      <c r="X434" s="360"/>
      <c r="Y434" s="359"/>
      <c r="Z434" s="359"/>
      <c r="AA434" s="358"/>
      <c r="AB434" s="359"/>
      <c r="AC434" s="271">
        <f t="shared" si="90"/>
        <v>-10833333.333333334</v>
      </c>
      <c r="AD434" s="271"/>
      <c r="AF434" s="289" t="e">
        <f>+U434+V434-#REF!</f>
        <v>#REF!</v>
      </c>
    </row>
    <row r="435" spans="1:32">
      <c r="A435" s="113">
        <v>420</v>
      </c>
      <c r="B435" s="119"/>
      <c r="C435" s="119" t="s">
        <v>2465</v>
      </c>
      <c r="D435" s="119" t="s">
        <v>2198</v>
      </c>
      <c r="E435" s="424" t="s">
        <v>2482</v>
      </c>
      <c r="F435" s="356">
        <v>0</v>
      </c>
      <c r="G435" s="356">
        <v>0</v>
      </c>
      <c r="H435" s="356">
        <v>0</v>
      </c>
      <c r="I435" s="356">
        <v>0</v>
      </c>
      <c r="J435" s="356">
        <v>0</v>
      </c>
      <c r="K435" s="356">
        <v>0</v>
      </c>
      <c r="L435" s="356">
        <v>0</v>
      </c>
      <c r="M435" s="356">
        <v>0</v>
      </c>
      <c r="N435" s="356">
        <v>0</v>
      </c>
      <c r="O435" s="356">
        <v>0</v>
      </c>
      <c r="P435" s="356">
        <v>-25000000</v>
      </c>
      <c r="Q435" s="356">
        <v>-25000000</v>
      </c>
      <c r="R435" s="356">
        <v>-25000000</v>
      </c>
      <c r="S435" s="357">
        <f t="shared" si="87"/>
        <v>-5208333.333333333</v>
      </c>
      <c r="U435" s="358"/>
      <c r="V435" s="359"/>
      <c r="W435" s="359">
        <f t="shared" si="89"/>
        <v>-5208333.333333333</v>
      </c>
      <c r="X435" s="360"/>
      <c r="Y435" s="359"/>
      <c r="Z435" s="359"/>
      <c r="AA435" s="358"/>
      <c r="AB435" s="359"/>
      <c r="AC435" s="271">
        <f t="shared" si="90"/>
        <v>-5208333.333333333</v>
      </c>
      <c r="AD435" s="271"/>
      <c r="AF435" s="289"/>
    </row>
    <row r="436" spans="1:32">
      <c r="A436" s="113">
        <v>421</v>
      </c>
      <c r="B436" s="119" t="s">
        <v>1530</v>
      </c>
      <c r="C436" s="119" t="s">
        <v>2465</v>
      </c>
      <c r="D436" s="119" t="s">
        <v>2200</v>
      </c>
      <c r="E436" s="424" t="s">
        <v>2201</v>
      </c>
      <c r="F436" s="356">
        <v>0</v>
      </c>
      <c r="G436" s="356">
        <v>0</v>
      </c>
      <c r="H436" s="356">
        <v>0</v>
      </c>
      <c r="I436" s="356">
        <v>0</v>
      </c>
      <c r="J436" s="356">
        <v>0</v>
      </c>
      <c r="K436" s="356">
        <v>0</v>
      </c>
      <c r="L436" s="356">
        <v>0</v>
      </c>
      <c r="M436" s="356">
        <v>0</v>
      </c>
      <c r="N436" s="356">
        <v>0</v>
      </c>
      <c r="O436" s="356">
        <v>0</v>
      </c>
      <c r="P436" s="356">
        <v>0</v>
      </c>
      <c r="Q436" s="356">
        <v>0</v>
      </c>
      <c r="R436" s="356">
        <v>0</v>
      </c>
      <c r="S436" s="357">
        <f t="shared" si="87"/>
        <v>0</v>
      </c>
      <c r="U436" s="358"/>
      <c r="V436" s="359"/>
      <c r="W436" s="359">
        <f t="shared" si="89"/>
        <v>0</v>
      </c>
      <c r="X436" s="360"/>
      <c r="Y436" s="359"/>
      <c r="Z436" s="359"/>
      <c r="AA436" s="358"/>
      <c r="AB436" s="359"/>
      <c r="AC436" s="271">
        <f t="shared" si="90"/>
        <v>0</v>
      </c>
      <c r="AF436" s="289"/>
    </row>
    <row r="437" spans="1:32">
      <c r="A437" s="113">
        <v>422</v>
      </c>
      <c r="B437" s="119"/>
      <c r="C437" s="119" t="s">
        <v>2465</v>
      </c>
      <c r="D437" s="119" t="s">
        <v>1526</v>
      </c>
      <c r="E437" s="424" t="s">
        <v>2201</v>
      </c>
      <c r="F437" s="356">
        <v>1773272.34</v>
      </c>
      <c r="G437" s="356">
        <v>1761347.62</v>
      </c>
      <c r="H437" s="356">
        <v>1749422.89</v>
      </c>
      <c r="I437" s="356">
        <v>1737498.17</v>
      </c>
      <c r="J437" s="356">
        <v>1725573.44</v>
      </c>
      <c r="K437" s="356">
        <v>1748648.72</v>
      </c>
      <c r="L437" s="356">
        <v>1895747.56</v>
      </c>
      <c r="M437" s="356">
        <v>1904975.8</v>
      </c>
      <c r="N437" s="356">
        <v>1893451.42</v>
      </c>
      <c r="O437" s="356">
        <v>1882337.26</v>
      </c>
      <c r="P437" s="356">
        <v>1993603.61</v>
      </c>
      <c r="Q437" s="356">
        <v>1246663.8500000001</v>
      </c>
      <c r="R437" s="356">
        <v>1251846.3500000001</v>
      </c>
      <c r="S437" s="357">
        <f t="shared" si="87"/>
        <v>1754319.1404166669</v>
      </c>
      <c r="U437" s="358">
        <f>+S437</f>
        <v>1754319.1404166669</v>
      </c>
      <c r="V437" s="359"/>
      <c r="W437" s="359"/>
      <c r="X437" s="360"/>
      <c r="Y437" s="359"/>
      <c r="Z437" s="359"/>
      <c r="AA437" s="358"/>
      <c r="AB437" s="359"/>
      <c r="AC437" s="271"/>
      <c r="AD437" s="271">
        <f>+S437</f>
        <v>1754319.1404166669</v>
      </c>
      <c r="AF437" s="289"/>
    </row>
    <row r="438" spans="1:32">
      <c r="A438" s="113">
        <v>423</v>
      </c>
      <c r="B438" s="119" t="s">
        <v>1530</v>
      </c>
      <c r="C438" s="119" t="s">
        <v>2483</v>
      </c>
      <c r="D438" s="119" t="s">
        <v>2109</v>
      </c>
      <c r="E438" s="425" t="s">
        <v>2484</v>
      </c>
      <c r="F438" s="396">
        <v>-15000000</v>
      </c>
      <c r="G438" s="396">
        <v>-15000000</v>
      </c>
      <c r="H438" s="396">
        <v>-15000000</v>
      </c>
      <c r="I438" s="396">
        <v>-15000000</v>
      </c>
      <c r="J438" s="396">
        <v>-15000000</v>
      </c>
      <c r="K438" s="396">
        <v>-15000000</v>
      </c>
      <c r="L438" s="396">
        <v>-15000000</v>
      </c>
      <c r="M438" s="396">
        <v>-15000000</v>
      </c>
      <c r="N438" s="396">
        <v>-15000000</v>
      </c>
      <c r="O438" s="396">
        <v>0</v>
      </c>
      <c r="P438" s="396">
        <v>0</v>
      </c>
      <c r="Q438" s="396">
        <v>0</v>
      </c>
      <c r="R438" s="396">
        <v>0</v>
      </c>
      <c r="S438" s="236">
        <f t="shared" si="87"/>
        <v>-10625000</v>
      </c>
      <c r="U438" s="358"/>
      <c r="V438" s="359"/>
      <c r="W438" s="359">
        <f t="shared" si="89"/>
        <v>-10625000</v>
      </c>
      <c r="X438" s="360"/>
      <c r="Y438" s="359"/>
      <c r="Z438" s="359"/>
      <c r="AA438" s="358"/>
      <c r="AB438" s="359"/>
      <c r="AC438" s="271">
        <f t="shared" si="90"/>
        <v>-10625000</v>
      </c>
      <c r="AF438" s="289">
        <f t="shared" si="78"/>
        <v>0</v>
      </c>
    </row>
    <row r="439" spans="1:32">
      <c r="A439" s="113">
        <v>424</v>
      </c>
      <c r="B439" s="119"/>
      <c r="C439" s="119" t="s">
        <v>2485</v>
      </c>
      <c r="D439" s="119" t="s">
        <v>376</v>
      </c>
      <c r="E439" s="425" t="s">
        <v>2486</v>
      </c>
      <c r="F439" s="698">
        <v>-64600000</v>
      </c>
      <c r="G439" s="698">
        <v>-70400000</v>
      </c>
      <c r="H439" s="698">
        <v>-61375000</v>
      </c>
      <c r="I439" s="698">
        <v>-53550000</v>
      </c>
      <c r="J439" s="698">
        <v>-48350000</v>
      </c>
      <c r="K439" s="698">
        <v>-46050000</v>
      </c>
      <c r="L439" s="698">
        <v>0</v>
      </c>
      <c r="M439" s="698">
        <v>-15950000</v>
      </c>
      <c r="N439" s="698">
        <v>-22200000</v>
      </c>
      <c r="O439" s="698">
        <v>-52500000</v>
      </c>
      <c r="P439" s="698">
        <v>-45000000</v>
      </c>
      <c r="Q439" s="698">
        <v>-76200000</v>
      </c>
      <c r="R439" s="698">
        <v>-54000000</v>
      </c>
      <c r="S439" s="236">
        <f t="shared" si="87"/>
        <v>-45906250</v>
      </c>
      <c r="U439" s="358"/>
      <c r="V439" s="359"/>
      <c r="W439" s="359">
        <f t="shared" si="89"/>
        <v>-45906250</v>
      </c>
      <c r="X439" s="360"/>
      <c r="Y439" s="359"/>
      <c r="Z439" s="359"/>
      <c r="AA439" s="358"/>
      <c r="AB439" s="359"/>
      <c r="AC439" s="271">
        <f t="shared" si="90"/>
        <v>-45906250</v>
      </c>
      <c r="AF439" s="289"/>
    </row>
    <row r="440" spans="1:32">
      <c r="A440" s="113">
        <v>425</v>
      </c>
      <c r="E440" s="374" t="s">
        <v>2487</v>
      </c>
      <c r="F440" s="396">
        <f>SUM(F419:F439)</f>
        <v>-352040727.66000003</v>
      </c>
      <c r="G440" s="396">
        <f t="shared" ref="G440:S440" si="91">SUM(G419:G439)</f>
        <v>-357852652.38</v>
      </c>
      <c r="H440" s="396">
        <f t="shared" si="91"/>
        <v>-348839577.11000001</v>
      </c>
      <c r="I440" s="396">
        <f t="shared" si="91"/>
        <v>-341026501.82999998</v>
      </c>
      <c r="J440" s="396">
        <f t="shared" si="91"/>
        <v>-335838426.56</v>
      </c>
      <c r="K440" s="396">
        <f t="shared" si="91"/>
        <v>-333515351.27999997</v>
      </c>
      <c r="L440" s="396">
        <f t="shared" si="91"/>
        <v>-337318252.44</v>
      </c>
      <c r="M440" s="396">
        <f t="shared" si="91"/>
        <v>-353259024.19999999</v>
      </c>
      <c r="N440" s="396">
        <f t="shared" si="91"/>
        <v>-359507548.57999998</v>
      </c>
      <c r="O440" s="396">
        <f t="shared" si="91"/>
        <v>-374818662.74000001</v>
      </c>
      <c r="P440" s="396">
        <f t="shared" si="91"/>
        <v>-392207396.38999999</v>
      </c>
      <c r="Q440" s="396">
        <f t="shared" si="91"/>
        <v>-399953336.14999998</v>
      </c>
      <c r="R440" s="396">
        <f t="shared" si="91"/>
        <v>-377748153.64999998</v>
      </c>
      <c r="S440" s="396">
        <f t="shared" si="91"/>
        <v>-358252597.52624995</v>
      </c>
      <c r="U440" s="358"/>
      <c r="V440" s="359"/>
      <c r="W440" s="359"/>
      <c r="X440" s="360"/>
      <c r="Y440" s="359"/>
      <c r="Z440" s="359"/>
      <c r="AA440" s="358"/>
      <c r="AB440" s="359"/>
      <c r="AF440" s="289">
        <f t="shared" si="78"/>
        <v>0</v>
      </c>
    </row>
    <row r="441" spans="1:32">
      <c r="A441" s="113">
        <v>426</v>
      </c>
      <c r="E441" s="374"/>
      <c r="F441" s="356"/>
      <c r="G441" s="399"/>
      <c r="H441" s="387"/>
      <c r="I441" s="387"/>
      <c r="J441" s="388"/>
      <c r="K441" s="389"/>
      <c r="L441" s="390"/>
      <c r="M441" s="391"/>
      <c r="N441" s="392"/>
      <c r="O441" s="373"/>
      <c r="P441" s="393"/>
      <c r="Q441" s="400"/>
      <c r="R441" s="356"/>
      <c r="S441" s="236">
        <f>((F441+R441)+((G441+H441+I441+J441+K441+L441+M441+N441+O441+P441+Q441)*2))/24</f>
        <v>0</v>
      </c>
      <c r="U441" s="358"/>
      <c r="V441" s="359"/>
      <c r="W441" s="359"/>
      <c r="X441" s="360"/>
      <c r="Y441" s="359"/>
      <c r="Z441" s="359"/>
      <c r="AA441" s="358"/>
      <c r="AB441" s="359"/>
      <c r="AF441" s="289">
        <f t="shared" si="78"/>
        <v>0</v>
      </c>
    </row>
    <row r="442" spans="1:32">
      <c r="A442" s="113">
        <v>427</v>
      </c>
      <c r="B442" s="113" t="s">
        <v>2003</v>
      </c>
      <c r="C442" s="113" t="s">
        <v>2488</v>
      </c>
      <c r="D442" s="113" t="s">
        <v>2489</v>
      </c>
      <c r="E442" s="374" t="s">
        <v>2490</v>
      </c>
      <c r="F442" s="356">
        <v>-150363.85</v>
      </c>
      <c r="G442" s="399">
        <v>-143527.19</v>
      </c>
      <c r="H442" s="387">
        <v>-140396.4</v>
      </c>
      <c r="I442" s="387">
        <v>-136009.87</v>
      </c>
      <c r="J442" s="388">
        <v>-132833.54</v>
      </c>
      <c r="K442" s="389">
        <v>-230648.89</v>
      </c>
      <c r="L442" s="390">
        <v>-224272.53</v>
      </c>
      <c r="M442" s="391">
        <v>-209565.55</v>
      </c>
      <c r="N442" s="392">
        <v>-204353.86</v>
      </c>
      <c r="O442" s="373">
        <v>-197902.32</v>
      </c>
      <c r="P442" s="393">
        <v>-193858.69</v>
      </c>
      <c r="Q442" s="400">
        <v>-189803.56</v>
      </c>
      <c r="R442" s="356">
        <v>-184298.87</v>
      </c>
      <c r="S442" s="236">
        <f>((F442+R442)+((G442+H442+I442+J442+K442+L442+M442+N442+O442+P442+Q442)*2))/24</f>
        <v>-180875.31333333335</v>
      </c>
      <c r="U442" s="358"/>
      <c r="V442" s="359">
        <f>+S442</f>
        <v>-180875.31333333335</v>
      </c>
      <c r="W442" s="359"/>
      <c r="X442" s="360"/>
      <c r="Y442" s="359"/>
      <c r="Z442" s="359"/>
      <c r="AA442" s="358"/>
      <c r="AB442" s="359"/>
      <c r="AD442" s="271">
        <f>+V442</f>
        <v>-180875.31333333335</v>
      </c>
      <c r="AF442" s="289"/>
    </row>
    <row r="443" spans="1:32">
      <c r="A443" s="113">
        <v>428</v>
      </c>
      <c r="B443" s="113" t="s">
        <v>2003</v>
      </c>
      <c r="C443" s="113" t="s">
        <v>2488</v>
      </c>
      <c r="D443" s="113" t="s">
        <v>2491</v>
      </c>
      <c r="E443" s="374" t="s">
        <v>2492</v>
      </c>
      <c r="F443" s="356">
        <v>0</v>
      </c>
      <c r="G443" s="399">
        <v>0</v>
      </c>
      <c r="H443" s="387">
        <v>0</v>
      </c>
      <c r="I443" s="387">
        <v>0</v>
      </c>
      <c r="J443" s="388">
        <v>0</v>
      </c>
      <c r="K443" s="389">
        <v>0</v>
      </c>
      <c r="L443" s="390">
        <v>0</v>
      </c>
      <c r="M443" s="391">
        <v>0</v>
      </c>
      <c r="N443" s="392">
        <v>0</v>
      </c>
      <c r="O443" s="373">
        <v>0</v>
      </c>
      <c r="P443" s="393">
        <v>0</v>
      </c>
      <c r="Q443" s="400">
        <v>0</v>
      </c>
      <c r="R443" s="356">
        <v>0</v>
      </c>
      <c r="S443" s="236">
        <f>((F443+R443)+((G443+H443+I443+J443+K443+L443+M443+N443+O443+P443+Q443)*2))/24</f>
        <v>0</v>
      </c>
      <c r="U443" s="358"/>
      <c r="V443" s="359"/>
      <c r="W443" s="359"/>
      <c r="X443" s="360"/>
      <c r="Y443" s="359"/>
      <c r="Z443" s="359"/>
      <c r="AA443" s="358"/>
      <c r="AB443" s="359"/>
      <c r="AF443" s="289"/>
    </row>
    <row r="444" spans="1:32">
      <c r="A444" s="113">
        <v>429</v>
      </c>
      <c r="E444" s="374"/>
      <c r="F444" s="356"/>
      <c r="G444" s="399"/>
      <c r="H444" s="387"/>
      <c r="I444" s="387"/>
      <c r="J444" s="388"/>
      <c r="K444" s="389"/>
      <c r="L444" s="390"/>
      <c r="M444" s="391"/>
      <c r="N444" s="392"/>
      <c r="O444" s="373"/>
      <c r="P444" s="393"/>
      <c r="Q444" s="400"/>
      <c r="R444" s="356"/>
      <c r="S444" s="96"/>
      <c r="U444" s="358"/>
      <c r="V444" s="359"/>
      <c r="W444" s="359"/>
      <c r="X444" s="360"/>
      <c r="Y444" s="359"/>
      <c r="Z444" s="359"/>
      <c r="AA444" s="358"/>
      <c r="AB444" s="359"/>
      <c r="AF444" s="289"/>
    </row>
    <row r="445" spans="1:32">
      <c r="A445" s="113">
        <v>430</v>
      </c>
      <c r="B445" s="119" t="s">
        <v>1530</v>
      </c>
      <c r="C445" s="119" t="s">
        <v>2493</v>
      </c>
      <c r="D445" s="113" t="s">
        <v>1526</v>
      </c>
      <c r="E445" s="374" t="s">
        <v>2494</v>
      </c>
      <c r="F445" s="356">
        <v>0</v>
      </c>
      <c r="G445" s="356">
        <v>0</v>
      </c>
      <c r="H445" s="356">
        <v>0</v>
      </c>
      <c r="I445" s="356">
        <v>0</v>
      </c>
      <c r="J445" s="356">
        <v>0</v>
      </c>
      <c r="K445" s="356">
        <v>0</v>
      </c>
      <c r="L445" s="356">
        <v>0</v>
      </c>
      <c r="M445" s="356">
        <v>0</v>
      </c>
      <c r="N445" s="356">
        <v>0</v>
      </c>
      <c r="O445" s="356">
        <v>0</v>
      </c>
      <c r="P445" s="356">
        <v>0</v>
      </c>
      <c r="Q445" s="356">
        <v>0</v>
      </c>
      <c r="R445" s="356">
        <v>0</v>
      </c>
      <c r="S445" s="96">
        <f t="shared" si="87"/>
        <v>0</v>
      </c>
      <c r="U445" s="358"/>
      <c r="V445" s="359"/>
      <c r="W445" s="359">
        <f>+S445</f>
        <v>0</v>
      </c>
      <c r="X445" s="360"/>
      <c r="Y445" s="359"/>
      <c r="Z445" s="359"/>
      <c r="AA445" s="358"/>
      <c r="AB445" s="359"/>
      <c r="AC445" s="271">
        <f>+S445</f>
        <v>0</v>
      </c>
      <c r="AF445" s="289">
        <f t="shared" si="78"/>
        <v>0</v>
      </c>
    </row>
    <row r="446" spans="1:32">
      <c r="A446" s="113">
        <v>431</v>
      </c>
      <c r="B446" s="119" t="s">
        <v>1530</v>
      </c>
      <c r="C446" s="119" t="s">
        <v>2495</v>
      </c>
      <c r="D446" s="119" t="s">
        <v>2496</v>
      </c>
      <c r="E446" s="425" t="s">
        <v>2497</v>
      </c>
      <c r="F446" s="356">
        <v>0</v>
      </c>
      <c r="G446" s="356">
        <v>0</v>
      </c>
      <c r="H446" s="356">
        <v>0</v>
      </c>
      <c r="I446" s="356">
        <v>0</v>
      </c>
      <c r="J446" s="356">
        <v>0</v>
      </c>
      <c r="K446" s="356">
        <v>0</v>
      </c>
      <c r="L446" s="356">
        <v>0</v>
      </c>
      <c r="M446" s="356">
        <v>0</v>
      </c>
      <c r="N446" s="356">
        <v>0</v>
      </c>
      <c r="O446" s="356">
        <v>0</v>
      </c>
      <c r="P446" s="356">
        <v>0</v>
      </c>
      <c r="Q446" s="356">
        <v>0</v>
      </c>
      <c r="R446" s="356">
        <v>0</v>
      </c>
      <c r="S446" s="96">
        <f t="shared" si="87"/>
        <v>0</v>
      </c>
      <c r="U446" s="358"/>
      <c r="V446" s="359"/>
      <c r="W446" s="359">
        <f>+S446</f>
        <v>0</v>
      </c>
      <c r="X446" s="360"/>
      <c r="Y446" s="359"/>
      <c r="Z446" s="359"/>
      <c r="AA446" s="358"/>
      <c r="AB446" s="359"/>
      <c r="AC446" s="271">
        <f>+S446</f>
        <v>0</v>
      </c>
      <c r="AF446" s="289">
        <f t="shared" si="78"/>
        <v>0</v>
      </c>
    </row>
    <row r="447" spans="1:32">
      <c r="A447" s="113">
        <v>432</v>
      </c>
      <c r="E447" s="374"/>
      <c r="F447" s="356"/>
      <c r="G447" s="399"/>
      <c r="H447" s="387"/>
      <c r="I447" s="387"/>
      <c r="J447" s="388"/>
      <c r="K447" s="389"/>
      <c r="L447" s="390"/>
      <c r="M447" s="391"/>
      <c r="N447" s="392"/>
      <c r="O447" s="373"/>
      <c r="P447" s="393"/>
      <c r="Q447" s="400"/>
      <c r="R447" s="356"/>
      <c r="S447" s="96"/>
      <c r="U447" s="358"/>
      <c r="V447" s="359"/>
      <c r="W447" s="359"/>
      <c r="X447" s="360"/>
      <c r="Y447" s="359"/>
      <c r="Z447" s="359"/>
      <c r="AA447" s="358"/>
      <c r="AB447" s="359"/>
      <c r="AF447" s="289">
        <f t="shared" si="78"/>
        <v>0</v>
      </c>
    </row>
    <row r="448" spans="1:32">
      <c r="A448" s="113">
        <v>433</v>
      </c>
      <c r="B448" s="119" t="s">
        <v>1530</v>
      </c>
      <c r="C448" s="119" t="s">
        <v>2498</v>
      </c>
      <c r="D448" s="119" t="s">
        <v>1503</v>
      </c>
      <c r="E448" s="374" t="s">
        <v>2499</v>
      </c>
      <c r="F448" s="356">
        <v>-6520933.0099999998</v>
      </c>
      <c r="G448" s="356">
        <v>-2566785.16</v>
      </c>
      <c r="H448" s="356">
        <v>-1553952.74</v>
      </c>
      <c r="I448" s="356">
        <v>-3918656.59</v>
      </c>
      <c r="J448" s="356">
        <v>-1923501.23</v>
      </c>
      <c r="K448" s="356">
        <v>-3159733.53</v>
      </c>
      <c r="L448" s="356">
        <v>-2474586.7200000002</v>
      </c>
      <c r="M448" s="356">
        <v>-1111845.6100000001</v>
      </c>
      <c r="N448" s="356">
        <v>-2126229.83</v>
      </c>
      <c r="O448" s="356">
        <v>-2153492.65</v>
      </c>
      <c r="P448" s="356">
        <v>-2518397.61</v>
      </c>
      <c r="Q448" s="356">
        <v>-3147322.17</v>
      </c>
      <c r="R448" s="356">
        <v>-2255512.64</v>
      </c>
      <c r="S448" s="357">
        <f t="shared" si="87"/>
        <v>-2586893.8887499995</v>
      </c>
      <c r="U448" s="358"/>
      <c r="V448" s="359">
        <f t="shared" ref="V448:V461" si="92">+S448</f>
        <v>-2586893.8887499995</v>
      </c>
      <c r="W448" s="359"/>
      <c r="X448" s="360"/>
      <c r="Y448" s="359"/>
      <c r="Z448" s="359"/>
      <c r="AA448" s="358"/>
      <c r="AB448" s="359"/>
      <c r="AD448" s="271">
        <f t="shared" ref="AD448:AD462" si="93">+V448</f>
        <v>-2586893.8887499995</v>
      </c>
      <c r="AF448" s="289">
        <f t="shared" si="78"/>
        <v>0</v>
      </c>
    </row>
    <row r="449" spans="1:32">
      <c r="A449" s="113">
        <v>434</v>
      </c>
      <c r="B449" s="119" t="s">
        <v>1530</v>
      </c>
      <c r="C449" s="119" t="s">
        <v>2500</v>
      </c>
      <c r="D449" s="119" t="s">
        <v>2014</v>
      </c>
      <c r="E449" s="366" t="s">
        <v>2501</v>
      </c>
      <c r="F449" s="356">
        <v>-440504.1</v>
      </c>
      <c r="G449" s="356">
        <v>-553474.36</v>
      </c>
      <c r="H449" s="356">
        <v>-437749.96</v>
      </c>
      <c r="I449" s="356">
        <v>-323004.65000000002</v>
      </c>
      <c r="J449" s="356">
        <v>-191861.93</v>
      </c>
      <c r="K449" s="356">
        <v>-264032.96000000002</v>
      </c>
      <c r="L449" s="356">
        <v>-444507.86</v>
      </c>
      <c r="M449" s="356">
        <v>-840487.84</v>
      </c>
      <c r="N449" s="356">
        <v>-654632.56000000006</v>
      </c>
      <c r="O449" s="356">
        <v>-535765.93999999994</v>
      </c>
      <c r="P449" s="356">
        <v>-523753.18</v>
      </c>
      <c r="Q449" s="356">
        <v>-666195.36</v>
      </c>
      <c r="R449" s="356">
        <v>-425566.02</v>
      </c>
      <c r="S449" s="357">
        <f t="shared" si="87"/>
        <v>-489041.80499999999</v>
      </c>
      <c r="U449" s="358"/>
      <c r="V449" s="359">
        <f t="shared" si="92"/>
        <v>-489041.80499999999</v>
      </c>
      <c r="W449" s="359"/>
      <c r="X449" s="360"/>
      <c r="Y449" s="359"/>
      <c r="Z449" s="359"/>
      <c r="AA449" s="358"/>
      <c r="AB449" s="359"/>
      <c r="AD449" s="271">
        <f t="shared" si="93"/>
        <v>-489041.80499999999</v>
      </c>
      <c r="AF449" s="289">
        <f t="shared" si="78"/>
        <v>0</v>
      </c>
    </row>
    <row r="450" spans="1:32">
      <c r="A450" s="113">
        <v>435</v>
      </c>
      <c r="B450" s="119" t="s">
        <v>1530</v>
      </c>
      <c r="C450" s="119" t="s">
        <v>2500</v>
      </c>
      <c r="D450" s="119" t="s">
        <v>2502</v>
      </c>
      <c r="E450" s="374" t="s">
        <v>2503</v>
      </c>
      <c r="F450" s="356">
        <v>-1112884.77</v>
      </c>
      <c r="G450" s="356">
        <v>-731760.08</v>
      </c>
      <c r="H450" s="356">
        <v>-805972.9</v>
      </c>
      <c r="I450" s="356">
        <v>-1137865.1599999999</v>
      </c>
      <c r="J450" s="356">
        <v>-719198.37</v>
      </c>
      <c r="K450" s="356">
        <v>-843841.76</v>
      </c>
      <c r="L450" s="356">
        <v>-1588213.3</v>
      </c>
      <c r="M450" s="356">
        <v>-991002.66</v>
      </c>
      <c r="N450" s="356">
        <v>-1360850.66</v>
      </c>
      <c r="O450" s="356">
        <v>-1005713.93</v>
      </c>
      <c r="P450" s="356">
        <v>-835916.68</v>
      </c>
      <c r="Q450" s="356">
        <v>-715060.81</v>
      </c>
      <c r="R450" s="356">
        <v>-581594</v>
      </c>
      <c r="S450" s="357">
        <f t="shared" si="87"/>
        <v>-965219.64124999999</v>
      </c>
      <c r="U450" s="358"/>
      <c r="V450" s="359">
        <f t="shared" si="92"/>
        <v>-965219.64124999999</v>
      </c>
      <c r="W450" s="359"/>
      <c r="X450" s="360"/>
      <c r="Y450" s="359"/>
      <c r="Z450" s="359"/>
      <c r="AA450" s="358"/>
      <c r="AB450" s="359"/>
      <c r="AD450" s="271">
        <f t="shared" si="93"/>
        <v>-965219.64124999999</v>
      </c>
      <c r="AF450" s="289">
        <f t="shared" si="78"/>
        <v>0</v>
      </c>
    </row>
    <row r="451" spans="1:32">
      <c r="A451" s="113">
        <v>436</v>
      </c>
      <c r="B451" s="119" t="s">
        <v>1530</v>
      </c>
      <c r="C451" s="119" t="s">
        <v>2500</v>
      </c>
      <c r="D451" s="119" t="s">
        <v>2504</v>
      </c>
      <c r="E451" s="425" t="s">
        <v>2505</v>
      </c>
      <c r="F451" s="356">
        <v>-5546502.1100000003</v>
      </c>
      <c r="G451" s="356">
        <v>-3915148.64</v>
      </c>
      <c r="H451" s="356">
        <v>-3350898.37</v>
      </c>
      <c r="I451" s="356">
        <v>-5171725.2</v>
      </c>
      <c r="J451" s="356">
        <v>-3338185.59</v>
      </c>
      <c r="K451" s="356">
        <v>-3298156.01</v>
      </c>
      <c r="L451" s="356">
        <v>-2807263.96</v>
      </c>
      <c r="M451" s="356">
        <v>-3352529.75</v>
      </c>
      <c r="N451" s="356">
        <v>-3916004.39</v>
      </c>
      <c r="O451" s="356">
        <v>-4078387.56</v>
      </c>
      <c r="P451" s="356">
        <v>-5719852.1900000004</v>
      </c>
      <c r="Q451" s="356">
        <v>-3893496.12</v>
      </c>
      <c r="R451" s="356">
        <v>-4735591.24</v>
      </c>
      <c r="S451" s="357">
        <f t="shared" si="87"/>
        <v>-3998557.8712499999</v>
      </c>
      <c r="U451" s="358"/>
      <c r="V451" s="359">
        <f t="shared" si="92"/>
        <v>-3998557.8712499999</v>
      </c>
      <c r="W451" s="359"/>
      <c r="X451" s="360"/>
      <c r="Y451" s="359"/>
      <c r="Z451" s="359"/>
      <c r="AA451" s="358"/>
      <c r="AB451" s="359"/>
      <c r="AD451" s="271">
        <f t="shared" si="93"/>
        <v>-3998557.8712499999</v>
      </c>
      <c r="AF451" s="289">
        <f t="shared" si="78"/>
        <v>0</v>
      </c>
    </row>
    <row r="452" spans="1:32">
      <c r="A452" s="113">
        <v>437</v>
      </c>
      <c r="B452" s="119" t="s">
        <v>1530</v>
      </c>
      <c r="C452" s="119" t="s">
        <v>2500</v>
      </c>
      <c r="D452" s="119" t="s">
        <v>2506</v>
      </c>
      <c r="E452" s="425" t="s">
        <v>2507</v>
      </c>
      <c r="F452" s="356">
        <v>-26928352.75</v>
      </c>
      <c r="G452" s="356">
        <v>-21050208.91</v>
      </c>
      <c r="H452" s="356">
        <v>-14345202.140000001</v>
      </c>
      <c r="I452" s="356">
        <v>-12433168.49</v>
      </c>
      <c r="J452" s="356">
        <v>-9612138.1899999995</v>
      </c>
      <c r="K452" s="356">
        <v>-7566313.0099999998</v>
      </c>
      <c r="L452" s="356">
        <v>-6809422.29</v>
      </c>
      <c r="M452" s="356">
        <v>-7494546.1200000001</v>
      </c>
      <c r="N452" s="356">
        <v>-7355020.4199999999</v>
      </c>
      <c r="O452" s="356">
        <v>-8373940.5999999996</v>
      </c>
      <c r="P452" s="356">
        <v>-9681989.1400000006</v>
      </c>
      <c r="Q452" s="356">
        <v>-16749658.789999999</v>
      </c>
      <c r="R452" s="356">
        <v>-21867233.859999999</v>
      </c>
      <c r="S452" s="357">
        <f t="shared" si="87"/>
        <v>-12155783.450416667</v>
      </c>
      <c r="U452" s="358"/>
      <c r="V452" s="359">
        <f t="shared" si="92"/>
        <v>-12155783.450416667</v>
      </c>
      <c r="W452" s="359"/>
      <c r="X452" s="360"/>
      <c r="Y452" s="359"/>
      <c r="Z452" s="359"/>
      <c r="AA452" s="358"/>
      <c r="AB452" s="359"/>
      <c r="AD452" s="271">
        <f t="shared" si="93"/>
        <v>-12155783.450416667</v>
      </c>
      <c r="AF452" s="289">
        <f t="shared" si="78"/>
        <v>0</v>
      </c>
    </row>
    <row r="453" spans="1:32">
      <c r="A453" s="113">
        <v>438</v>
      </c>
      <c r="B453" s="119" t="s">
        <v>1530</v>
      </c>
      <c r="C453" s="119" t="s">
        <v>2500</v>
      </c>
      <c r="D453" s="119" t="s">
        <v>2011</v>
      </c>
      <c r="E453" s="374" t="s">
        <v>2508</v>
      </c>
      <c r="F453" s="356">
        <v>-237373</v>
      </c>
      <c r="G453" s="356">
        <v>632</v>
      </c>
      <c r="H453" s="356">
        <v>-21314.68</v>
      </c>
      <c r="I453" s="356">
        <v>-44894.19</v>
      </c>
      <c r="J453" s="356">
        <v>-69090.7</v>
      </c>
      <c r="K453" s="356">
        <v>-91511.38</v>
      </c>
      <c r="L453" s="356">
        <v>-111696.26</v>
      </c>
      <c r="M453" s="356">
        <v>-131279.06</v>
      </c>
      <c r="N453" s="356">
        <v>-151528.32000000001</v>
      </c>
      <c r="O453" s="356">
        <v>-172108.07</v>
      </c>
      <c r="P453" s="356">
        <v>-192559.72</v>
      </c>
      <c r="Q453" s="356">
        <v>-212960.53</v>
      </c>
      <c r="R453" s="356">
        <v>-232744.38</v>
      </c>
      <c r="S453" s="357">
        <f t="shared" si="87"/>
        <v>-119447.46666666667</v>
      </c>
      <c r="U453" s="358"/>
      <c r="V453" s="359">
        <f t="shared" si="92"/>
        <v>-119447.46666666667</v>
      </c>
      <c r="W453" s="359"/>
      <c r="X453" s="360"/>
      <c r="Y453" s="359"/>
      <c r="Z453" s="359"/>
      <c r="AA453" s="358"/>
      <c r="AB453" s="359"/>
      <c r="AD453" s="271">
        <f t="shared" si="93"/>
        <v>-119447.46666666667</v>
      </c>
      <c r="AF453" s="289">
        <f t="shared" si="78"/>
        <v>0</v>
      </c>
    </row>
    <row r="454" spans="1:32">
      <c r="A454" s="113">
        <v>439</v>
      </c>
      <c r="B454" s="119" t="s">
        <v>1530</v>
      </c>
      <c r="C454" s="119" t="s">
        <v>2500</v>
      </c>
      <c r="D454" s="119" t="s">
        <v>1034</v>
      </c>
      <c r="E454" s="374" t="s">
        <v>2509</v>
      </c>
      <c r="F454" s="356">
        <v>0</v>
      </c>
      <c r="G454" s="356">
        <v>0</v>
      </c>
      <c r="H454" s="356">
        <v>18.920000000000002</v>
      </c>
      <c r="I454" s="356">
        <v>18.920000000000002</v>
      </c>
      <c r="J454" s="356">
        <v>18.920000000000002</v>
      </c>
      <c r="K454" s="356">
        <v>18.920000000000002</v>
      </c>
      <c r="L454" s="356">
        <v>18.920000000000002</v>
      </c>
      <c r="M454" s="356">
        <v>18.920000000000002</v>
      </c>
      <c r="N454" s="356">
        <v>-18.920000000000002</v>
      </c>
      <c r="O454" s="356">
        <v>0</v>
      </c>
      <c r="P454" s="356">
        <v>6.42</v>
      </c>
      <c r="Q454" s="356">
        <v>0</v>
      </c>
      <c r="R454" s="356">
        <v>0</v>
      </c>
      <c r="S454" s="357">
        <f t="shared" si="87"/>
        <v>8.4183333333333348</v>
      </c>
      <c r="U454" s="358"/>
      <c r="V454" s="359">
        <f t="shared" si="92"/>
        <v>8.4183333333333348</v>
      </c>
      <c r="W454" s="359"/>
      <c r="X454" s="360"/>
      <c r="Y454" s="359"/>
      <c r="Z454" s="359"/>
      <c r="AA454" s="358"/>
      <c r="AB454" s="359"/>
      <c r="AD454" s="271">
        <f t="shared" si="93"/>
        <v>8.4183333333333348</v>
      </c>
      <c r="AF454" s="289">
        <f t="shared" si="78"/>
        <v>0</v>
      </c>
    </row>
    <row r="455" spans="1:32">
      <c r="A455" s="113">
        <v>440</v>
      </c>
      <c r="B455" s="119" t="s">
        <v>1530</v>
      </c>
      <c r="C455" s="119" t="s">
        <v>2500</v>
      </c>
      <c r="D455" s="119" t="s">
        <v>2510</v>
      </c>
      <c r="E455" s="374" t="s">
        <v>2511</v>
      </c>
      <c r="F455" s="356">
        <v>101096.61</v>
      </c>
      <c r="G455" s="356">
        <v>-74194.19</v>
      </c>
      <c r="H455" s="356">
        <v>-73744.639999999999</v>
      </c>
      <c r="I455" s="356">
        <v>-75922.59</v>
      </c>
      <c r="J455" s="356">
        <v>49074.82</v>
      </c>
      <c r="K455" s="356">
        <v>49074.82</v>
      </c>
      <c r="L455" s="356">
        <v>49074.82</v>
      </c>
      <c r="M455" s="356">
        <v>-73249.27</v>
      </c>
      <c r="N455" s="356">
        <v>-124440.79</v>
      </c>
      <c r="O455" s="356">
        <v>-119865.79</v>
      </c>
      <c r="P455" s="356">
        <v>1.45519152283669E-11</v>
      </c>
      <c r="Q455" s="356">
        <v>1.45519152283669E-11</v>
      </c>
      <c r="R455" s="356">
        <v>-108799.5</v>
      </c>
      <c r="S455" s="357">
        <f t="shared" si="87"/>
        <v>-33170.354583333326</v>
      </c>
      <c r="U455" s="358"/>
      <c r="V455" s="359">
        <f t="shared" si="92"/>
        <v>-33170.354583333326</v>
      </c>
      <c r="W455" s="359"/>
      <c r="X455" s="360"/>
      <c r="Y455" s="359"/>
      <c r="Z455" s="359"/>
      <c r="AA455" s="358"/>
      <c r="AB455" s="359"/>
      <c r="AD455" s="271">
        <f t="shared" si="93"/>
        <v>-33170.354583333326</v>
      </c>
      <c r="AF455" s="289">
        <f t="shared" si="78"/>
        <v>0</v>
      </c>
    </row>
    <row r="456" spans="1:32">
      <c r="A456" s="113">
        <v>441</v>
      </c>
      <c r="B456" s="119" t="s">
        <v>1530</v>
      </c>
      <c r="C456" s="119" t="s">
        <v>2500</v>
      </c>
      <c r="D456" s="119" t="s">
        <v>2512</v>
      </c>
      <c r="E456" s="374" t="s">
        <v>2513</v>
      </c>
      <c r="F456" s="356">
        <v>-11663.77</v>
      </c>
      <c r="G456" s="356">
        <v>-11433.61</v>
      </c>
      <c r="H456" s="356">
        <v>-12027.45</v>
      </c>
      <c r="I456" s="356">
        <v>-12438.16</v>
      </c>
      <c r="J456" s="356">
        <v>-13783.33</v>
      </c>
      <c r="K456" s="356">
        <v>-15173.91</v>
      </c>
      <c r="L456" s="356">
        <v>-17443.580000000002</v>
      </c>
      <c r="M456" s="356">
        <v>-17653.8</v>
      </c>
      <c r="N456" s="356">
        <v>-19109.349999999999</v>
      </c>
      <c r="O456" s="356">
        <v>-20744.98</v>
      </c>
      <c r="P456" s="356">
        <v>-21488.98</v>
      </c>
      <c r="Q456" s="356">
        <v>-19588.490000000002</v>
      </c>
      <c r="R456" s="356">
        <v>-19655.93</v>
      </c>
      <c r="S456" s="357">
        <f t="shared" si="87"/>
        <v>-16378.790833333334</v>
      </c>
      <c r="U456" s="358"/>
      <c r="V456" s="359">
        <f t="shared" si="92"/>
        <v>-16378.790833333334</v>
      </c>
      <c r="W456" s="359"/>
      <c r="X456" s="360"/>
      <c r="Y456" s="359"/>
      <c r="Z456" s="359"/>
      <c r="AA456" s="358"/>
      <c r="AB456" s="359"/>
      <c r="AD456" s="271">
        <f t="shared" si="93"/>
        <v>-16378.790833333334</v>
      </c>
      <c r="AF456" s="289">
        <f t="shared" si="78"/>
        <v>0</v>
      </c>
    </row>
    <row r="457" spans="1:32">
      <c r="A457" s="113">
        <v>442</v>
      </c>
      <c r="B457" s="119" t="s">
        <v>1530</v>
      </c>
      <c r="C457" s="119" t="s">
        <v>2500</v>
      </c>
      <c r="D457" s="119" t="s">
        <v>2514</v>
      </c>
      <c r="E457" s="374" t="s">
        <v>2515</v>
      </c>
      <c r="F457" s="356">
        <v>0</v>
      </c>
      <c r="G457" s="356">
        <v>111.8</v>
      </c>
      <c r="H457" s="356">
        <v>-220.5</v>
      </c>
      <c r="I457" s="356">
        <v>-220.5</v>
      </c>
      <c r="J457" s="356">
        <v>220.5</v>
      </c>
      <c r="K457" s="356">
        <v>0</v>
      </c>
      <c r="L457" s="356">
        <v>0</v>
      </c>
      <c r="M457" s="356">
        <v>-220.5</v>
      </c>
      <c r="N457" s="356">
        <v>-220.5</v>
      </c>
      <c r="O457" s="356">
        <v>-220.5</v>
      </c>
      <c r="P457" s="356">
        <v>0</v>
      </c>
      <c r="Q457" s="356">
        <v>0</v>
      </c>
      <c r="R457" s="356">
        <v>-220.5</v>
      </c>
      <c r="S457" s="357">
        <f t="shared" si="87"/>
        <v>-73.370833333333337</v>
      </c>
      <c r="U457" s="358"/>
      <c r="V457" s="359">
        <f t="shared" si="92"/>
        <v>-73.370833333333337</v>
      </c>
      <c r="W457" s="359"/>
      <c r="X457" s="360"/>
      <c r="Y457" s="359"/>
      <c r="Z457" s="359"/>
      <c r="AA457" s="358"/>
      <c r="AB457" s="359"/>
      <c r="AD457" s="271">
        <f t="shared" si="93"/>
        <v>-73.370833333333337</v>
      </c>
      <c r="AF457" s="289">
        <f t="shared" si="78"/>
        <v>0</v>
      </c>
    </row>
    <row r="458" spans="1:32">
      <c r="A458" s="113">
        <v>443</v>
      </c>
      <c r="B458" s="119" t="s">
        <v>1530</v>
      </c>
      <c r="C458" s="119" t="s">
        <v>2500</v>
      </c>
      <c r="D458" s="119" t="s">
        <v>2516</v>
      </c>
      <c r="E458" s="374" t="s">
        <v>2517</v>
      </c>
      <c r="F458" s="356">
        <v>-3.6379788070917101E-12</v>
      </c>
      <c r="G458" s="356">
        <v>0</v>
      </c>
      <c r="H458" s="356">
        <v>0</v>
      </c>
      <c r="I458" s="356">
        <v>0</v>
      </c>
      <c r="J458" s="356">
        <v>0</v>
      </c>
      <c r="K458" s="356">
        <v>0</v>
      </c>
      <c r="L458" s="356">
        <v>0</v>
      </c>
      <c r="M458" s="356">
        <v>0</v>
      </c>
      <c r="N458" s="356">
        <v>-20.2</v>
      </c>
      <c r="O458" s="356">
        <v>0</v>
      </c>
      <c r="P458" s="356">
        <v>0</v>
      </c>
      <c r="Q458" s="356">
        <v>0</v>
      </c>
      <c r="R458" s="356">
        <v>0</v>
      </c>
      <c r="S458" s="357">
        <f t="shared" si="87"/>
        <v>-1.6833333333334848</v>
      </c>
      <c r="U458" s="358"/>
      <c r="V458" s="359">
        <f t="shared" si="92"/>
        <v>-1.6833333333334848</v>
      </c>
      <c r="W458" s="359"/>
      <c r="X458" s="360"/>
      <c r="Y458" s="359"/>
      <c r="Z458" s="359"/>
      <c r="AA458" s="358"/>
      <c r="AB458" s="359"/>
      <c r="AD458" s="271">
        <f t="shared" si="93"/>
        <v>-1.6833333333334848</v>
      </c>
      <c r="AF458" s="289">
        <f t="shared" si="78"/>
        <v>0</v>
      </c>
    </row>
    <row r="459" spans="1:32">
      <c r="A459" s="113">
        <v>444</v>
      </c>
      <c r="B459" s="119" t="s">
        <v>1530</v>
      </c>
      <c r="C459" s="119" t="s">
        <v>2500</v>
      </c>
      <c r="D459" s="119" t="s">
        <v>2518</v>
      </c>
      <c r="E459" s="374" t="s">
        <v>2519</v>
      </c>
      <c r="F459" s="356">
        <v>-47891.3</v>
      </c>
      <c r="G459" s="356">
        <v>-45371.49</v>
      </c>
      <c r="H459" s="356">
        <v>-45657.87</v>
      </c>
      <c r="I459" s="356">
        <v>-45960.71</v>
      </c>
      <c r="J459" s="356">
        <v>-22348.69</v>
      </c>
      <c r="K459" s="356">
        <v>-22348.69</v>
      </c>
      <c r="L459" s="356">
        <v>-22348.69</v>
      </c>
      <c r="M459" s="356">
        <v>-41756.49</v>
      </c>
      <c r="N459" s="356">
        <v>-19664.3</v>
      </c>
      <c r="O459" s="356">
        <v>-19968.53</v>
      </c>
      <c r="P459" s="356">
        <v>0</v>
      </c>
      <c r="Q459" s="356">
        <v>0</v>
      </c>
      <c r="R459" s="356">
        <v>-19731.93</v>
      </c>
      <c r="S459" s="357">
        <f t="shared" si="87"/>
        <v>-26603.089583333331</v>
      </c>
      <c r="U459" s="358"/>
      <c r="V459" s="359">
        <f t="shared" si="92"/>
        <v>-26603.089583333331</v>
      </c>
      <c r="W459" s="359"/>
      <c r="X459" s="360"/>
      <c r="Y459" s="359"/>
      <c r="Z459" s="359"/>
      <c r="AA459" s="358"/>
      <c r="AB459" s="359"/>
      <c r="AD459" s="271">
        <f t="shared" si="93"/>
        <v>-26603.089583333331</v>
      </c>
      <c r="AF459" s="289">
        <f t="shared" si="78"/>
        <v>0</v>
      </c>
    </row>
    <row r="460" spans="1:32">
      <c r="A460" s="113">
        <v>445</v>
      </c>
      <c r="B460" s="119" t="s">
        <v>1530</v>
      </c>
      <c r="C460" s="119" t="s">
        <v>2500</v>
      </c>
      <c r="D460" s="119" t="s">
        <v>2520</v>
      </c>
      <c r="E460" s="374" t="s">
        <v>2521</v>
      </c>
      <c r="F460" s="356">
        <v>-9861.52</v>
      </c>
      <c r="G460" s="356">
        <v>-78.140000000001194</v>
      </c>
      <c r="H460" s="356">
        <v>-370.80000000000098</v>
      </c>
      <c r="I460" s="356">
        <v>-2451.7199999999998</v>
      </c>
      <c r="J460" s="356">
        <v>-5495.04</v>
      </c>
      <c r="K460" s="356">
        <v>-160.91000000000099</v>
      </c>
      <c r="L460" s="356">
        <v>-3265.89</v>
      </c>
      <c r="M460" s="356">
        <v>-2018</v>
      </c>
      <c r="N460" s="356">
        <v>-1328.19</v>
      </c>
      <c r="O460" s="356">
        <v>-7072.53</v>
      </c>
      <c r="P460" s="356">
        <v>893.469999999999</v>
      </c>
      <c r="Q460" s="356">
        <v>-3186.93</v>
      </c>
      <c r="R460" s="356">
        <v>-4563.1000000000004</v>
      </c>
      <c r="S460" s="357">
        <f t="shared" si="87"/>
        <v>-2645.5825000000009</v>
      </c>
      <c r="U460" s="358"/>
      <c r="V460" s="359">
        <f>+S460</f>
        <v>-2645.5825000000009</v>
      </c>
      <c r="W460" s="359"/>
      <c r="X460" s="360"/>
      <c r="Y460" s="359"/>
      <c r="Z460" s="359"/>
      <c r="AA460" s="358"/>
      <c r="AB460" s="359"/>
      <c r="AD460" s="271">
        <f t="shared" si="93"/>
        <v>-2645.5825000000009</v>
      </c>
      <c r="AF460" s="289">
        <f t="shared" si="78"/>
        <v>0</v>
      </c>
    </row>
    <row r="461" spans="1:32">
      <c r="A461" s="113">
        <v>446</v>
      </c>
      <c r="B461" s="119" t="s">
        <v>1530</v>
      </c>
      <c r="C461" s="119" t="s">
        <v>2522</v>
      </c>
      <c r="D461" s="119" t="s">
        <v>1503</v>
      </c>
      <c r="E461" s="374" t="s">
        <v>2523</v>
      </c>
      <c r="F461" s="356">
        <v>-3495159.53</v>
      </c>
      <c r="G461" s="356">
        <v>-2132290.0499999998</v>
      </c>
      <c r="H461" s="356">
        <v>-2964117.35</v>
      </c>
      <c r="I461" s="356">
        <v>-1163823.6100000001</v>
      </c>
      <c r="J461" s="356">
        <v>-2944974.51</v>
      </c>
      <c r="K461" s="356">
        <v>-2673549.36</v>
      </c>
      <c r="L461" s="356">
        <v>-4886454.3</v>
      </c>
      <c r="M461" s="356">
        <v>-5238610.72</v>
      </c>
      <c r="N461" s="356">
        <v>-4654764.04</v>
      </c>
      <c r="O461" s="356">
        <v>-5539155.0199999996</v>
      </c>
      <c r="P461" s="356">
        <v>-3480510.07</v>
      </c>
      <c r="Q461" s="356">
        <v>-1771711.8</v>
      </c>
      <c r="R461" s="356">
        <v>-2087546.22</v>
      </c>
      <c r="S461" s="357">
        <f t="shared" si="87"/>
        <v>-3353442.8087499994</v>
      </c>
      <c r="U461" s="358"/>
      <c r="V461" s="359">
        <f t="shared" si="92"/>
        <v>-3353442.8087499994</v>
      </c>
      <c r="W461" s="359"/>
      <c r="X461" s="360"/>
      <c r="Y461" s="359"/>
      <c r="Z461" s="359"/>
      <c r="AA461" s="358"/>
      <c r="AB461" s="359"/>
      <c r="AD461" s="271">
        <f t="shared" si="93"/>
        <v>-3353442.8087499994</v>
      </c>
      <c r="AF461" s="289">
        <f t="shared" si="78"/>
        <v>0</v>
      </c>
    </row>
    <row r="462" spans="1:32">
      <c r="A462" s="113">
        <v>447</v>
      </c>
      <c r="E462" s="374"/>
      <c r="F462" s="356"/>
      <c r="G462" s="399"/>
      <c r="H462" s="387"/>
      <c r="I462" s="387"/>
      <c r="J462" s="388"/>
      <c r="K462" s="389"/>
      <c r="L462" s="390"/>
      <c r="M462" s="391"/>
      <c r="N462" s="392"/>
      <c r="O462" s="373"/>
      <c r="P462" s="393"/>
      <c r="Q462" s="400"/>
      <c r="R462" s="356"/>
      <c r="S462" s="357"/>
      <c r="U462" s="358"/>
      <c r="V462" s="359"/>
      <c r="W462" s="359"/>
      <c r="X462" s="360"/>
      <c r="Y462" s="359"/>
      <c r="Z462" s="359"/>
      <c r="AA462" s="358"/>
      <c r="AB462" s="359"/>
      <c r="AD462" s="271">
        <f t="shared" si="93"/>
        <v>0</v>
      </c>
      <c r="AF462" s="289">
        <f t="shared" ref="AF462:AF536" si="94">+U462+V462-AD462</f>
        <v>0</v>
      </c>
    </row>
    <row r="463" spans="1:32">
      <c r="A463" s="113">
        <v>448</v>
      </c>
      <c r="B463" s="119" t="s">
        <v>1530</v>
      </c>
      <c r="C463" s="119" t="s">
        <v>2524</v>
      </c>
      <c r="D463" s="119" t="s">
        <v>2016</v>
      </c>
      <c r="E463" s="426" t="s">
        <v>2525</v>
      </c>
      <c r="F463" s="356">
        <v>-1330718.17</v>
      </c>
      <c r="G463" s="356">
        <v>-1766644.27</v>
      </c>
      <c r="H463" s="356">
        <v>-2911432.44</v>
      </c>
      <c r="I463" s="356">
        <v>-1133992.07</v>
      </c>
      <c r="J463" s="356">
        <v>-1254889.99</v>
      </c>
      <c r="K463" s="356">
        <v>-1142177.51</v>
      </c>
      <c r="L463" s="356">
        <v>-2031446.63</v>
      </c>
      <c r="M463" s="356">
        <v>-1127485.53</v>
      </c>
      <c r="N463" s="356">
        <v>-2180106.63</v>
      </c>
      <c r="O463" s="356">
        <v>-1114529.3899999999</v>
      </c>
      <c r="P463" s="356">
        <v>-1449861.32</v>
      </c>
      <c r="Q463" s="356">
        <v>-964182.72</v>
      </c>
      <c r="R463" s="356">
        <v>-1569700.6</v>
      </c>
      <c r="S463" s="357">
        <f t="shared" si="87"/>
        <v>-1543913.1570833335</v>
      </c>
      <c r="U463" s="358"/>
      <c r="V463" s="359"/>
      <c r="W463" s="359"/>
      <c r="X463" s="360">
        <f>+S463</f>
        <v>-1543913.1570833335</v>
      </c>
      <c r="Y463" s="359"/>
      <c r="Z463" s="359"/>
      <c r="AA463" s="358"/>
      <c r="AB463" s="359">
        <f t="shared" ref="AB463:AB472" si="95">+S463</f>
        <v>-1543913.1570833335</v>
      </c>
      <c r="AD463" s="271"/>
      <c r="AF463" s="289">
        <f t="shared" si="94"/>
        <v>0</v>
      </c>
    </row>
    <row r="464" spans="1:32">
      <c r="A464" s="113">
        <v>449</v>
      </c>
      <c r="B464" s="119" t="s">
        <v>1530</v>
      </c>
      <c r="C464" s="119" t="s">
        <v>2524</v>
      </c>
      <c r="D464" s="119" t="s">
        <v>2526</v>
      </c>
      <c r="E464" s="374" t="s">
        <v>2527</v>
      </c>
      <c r="F464" s="356">
        <v>-1029872.32</v>
      </c>
      <c r="G464" s="356">
        <v>-594583.09</v>
      </c>
      <c r="H464" s="356">
        <v>-284533.65999999997</v>
      </c>
      <c r="I464" s="356">
        <v>-790894.83</v>
      </c>
      <c r="J464" s="356">
        <v>-1344105.6</v>
      </c>
      <c r="K464" s="356">
        <v>-383590.43</v>
      </c>
      <c r="L464" s="356">
        <v>-860358.08</v>
      </c>
      <c r="M464" s="356">
        <v>-558866.4</v>
      </c>
      <c r="N464" s="356">
        <v>-988809.31</v>
      </c>
      <c r="O464" s="356">
        <v>-753716.54</v>
      </c>
      <c r="P464" s="356">
        <v>-730654.02</v>
      </c>
      <c r="Q464" s="356">
        <v>-399693.37</v>
      </c>
      <c r="R464" s="356">
        <v>-844192.45</v>
      </c>
      <c r="S464" s="357">
        <f t="shared" si="87"/>
        <v>-718903.14291666681</v>
      </c>
      <c r="U464" s="358"/>
      <c r="V464" s="359"/>
      <c r="W464" s="359"/>
      <c r="X464" s="360">
        <f t="shared" ref="X464:X472" si="96">+S464</f>
        <v>-718903.14291666681</v>
      </c>
      <c r="Y464" s="359"/>
      <c r="Z464" s="359"/>
      <c r="AA464" s="358"/>
      <c r="AB464" s="359">
        <f t="shared" si="95"/>
        <v>-718903.14291666681</v>
      </c>
      <c r="AD464" s="271"/>
      <c r="AF464" s="289">
        <f t="shared" si="94"/>
        <v>0</v>
      </c>
    </row>
    <row r="465" spans="1:32">
      <c r="A465" s="113">
        <v>450</v>
      </c>
      <c r="B465" s="119" t="s">
        <v>1530</v>
      </c>
      <c r="C465" s="119" t="s">
        <v>2524</v>
      </c>
      <c r="D465" s="119" t="s">
        <v>2528</v>
      </c>
      <c r="E465" s="374" t="s">
        <v>2529</v>
      </c>
      <c r="F465" s="356">
        <v>0</v>
      </c>
      <c r="G465" s="356">
        <v>0</v>
      </c>
      <c r="H465" s="356">
        <v>0</v>
      </c>
      <c r="I465" s="356">
        <v>0</v>
      </c>
      <c r="J465" s="356">
        <v>0</v>
      </c>
      <c r="K465" s="356">
        <v>0</v>
      </c>
      <c r="L465" s="356">
        <v>0</v>
      </c>
      <c r="M465" s="356">
        <v>0</v>
      </c>
      <c r="N465" s="356">
        <v>0</v>
      </c>
      <c r="O465" s="356">
        <v>0</v>
      </c>
      <c r="P465" s="356">
        <v>0</v>
      </c>
      <c r="Q465" s="356">
        <v>0</v>
      </c>
      <c r="R465" s="356">
        <v>0</v>
      </c>
      <c r="S465" s="357">
        <f t="shared" si="87"/>
        <v>0</v>
      </c>
      <c r="U465" s="358"/>
      <c r="V465" s="359"/>
      <c r="W465" s="359"/>
      <c r="X465" s="360">
        <f t="shared" si="96"/>
        <v>0</v>
      </c>
      <c r="Y465" s="359"/>
      <c r="Z465" s="359"/>
      <c r="AA465" s="358"/>
      <c r="AB465" s="359">
        <f t="shared" si="95"/>
        <v>0</v>
      </c>
      <c r="AD465" s="271"/>
      <c r="AF465" s="289">
        <f t="shared" si="94"/>
        <v>0</v>
      </c>
    </row>
    <row r="466" spans="1:32">
      <c r="A466" s="113">
        <v>451</v>
      </c>
      <c r="B466" s="119" t="s">
        <v>1530</v>
      </c>
      <c r="C466" s="119" t="s">
        <v>2524</v>
      </c>
      <c r="D466" s="119" t="s">
        <v>2530</v>
      </c>
      <c r="E466" s="426" t="s">
        <v>2531</v>
      </c>
      <c r="F466" s="356">
        <v>-156065.51</v>
      </c>
      <c r="G466" s="356">
        <v>-1132621.67</v>
      </c>
      <c r="H466" s="356">
        <v>-1193639.94</v>
      </c>
      <c r="I466" s="356">
        <v>-145370.54</v>
      </c>
      <c r="J466" s="356">
        <v>-995.70999999993398</v>
      </c>
      <c r="K466" s="356">
        <v>-1039.99999999993</v>
      </c>
      <c r="L466" s="356">
        <v>-43225.839999999902</v>
      </c>
      <c r="M466" s="356">
        <v>6.5483618527650794E-11</v>
      </c>
      <c r="N466" s="356">
        <v>-76590.599999999904</v>
      </c>
      <c r="O466" s="356">
        <v>-21186.029999999901</v>
      </c>
      <c r="P466" s="356">
        <v>-721.99999999994895</v>
      </c>
      <c r="Q466" s="356">
        <v>-222216.42</v>
      </c>
      <c r="R466" s="356">
        <v>-222638.92</v>
      </c>
      <c r="S466" s="357">
        <f t="shared" si="87"/>
        <v>-252246.74708333329</v>
      </c>
      <c r="U466" s="358"/>
      <c r="V466" s="359"/>
      <c r="W466" s="359"/>
      <c r="X466" s="360">
        <f t="shared" si="96"/>
        <v>-252246.74708333329</v>
      </c>
      <c r="Y466" s="359"/>
      <c r="Z466" s="359"/>
      <c r="AA466" s="358"/>
      <c r="AB466" s="359">
        <f t="shared" si="95"/>
        <v>-252246.74708333329</v>
      </c>
      <c r="AD466" s="271"/>
      <c r="AF466" s="289">
        <f t="shared" si="94"/>
        <v>0</v>
      </c>
    </row>
    <row r="467" spans="1:32">
      <c r="A467" s="113">
        <v>452</v>
      </c>
      <c r="B467" s="119" t="s">
        <v>1530</v>
      </c>
      <c r="C467" s="119" t="s">
        <v>2524</v>
      </c>
      <c r="D467" s="119" t="s">
        <v>2532</v>
      </c>
      <c r="E467" s="426" t="s">
        <v>2533</v>
      </c>
      <c r="F467" s="356">
        <v>0</v>
      </c>
      <c r="G467" s="356">
        <v>0</v>
      </c>
      <c r="H467" s="356">
        <v>0</v>
      </c>
      <c r="I467" s="356">
        <v>13116</v>
      </c>
      <c r="J467" s="356">
        <v>13116</v>
      </c>
      <c r="K467" s="356">
        <v>13116</v>
      </c>
      <c r="L467" s="356">
        <v>13116</v>
      </c>
      <c r="M467" s="356">
        <v>12752</v>
      </c>
      <c r="N467" s="356">
        <v>12752</v>
      </c>
      <c r="O467" s="356">
        <v>0</v>
      </c>
      <c r="P467" s="356">
        <v>0</v>
      </c>
      <c r="Q467" s="356">
        <v>0</v>
      </c>
      <c r="R467" s="356">
        <v>0</v>
      </c>
      <c r="S467" s="357">
        <f t="shared" si="87"/>
        <v>6497.333333333333</v>
      </c>
      <c r="U467" s="358"/>
      <c r="V467" s="359"/>
      <c r="W467" s="359"/>
      <c r="X467" s="360">
        <f t="shared" si="96"/>
        <v>6497.333333333333</v>
      </c>
      <c r="Y467" s="359"/>
      <c r="Z467" s="359"/>
      <c r="AA467" s="358"/>
      <c r="AB467" s="359">
        <f t="shared" si="95"/>
        <v>6497.333333333333</v>
      </c>
      <c r="AD467" s="271"/>
      <c r="AF467" s="289">
        <f t="shared" si="94"/>
        <v>0</v>
      </c>
    </row>
    <row r="468" spans="1:32">
      <c r="A468" s="113">
        <v>453</v>
      </c>
      <c r="B468" s="119" t="s">
        <v>1530</v>
      </c>
      <c r="C468" s="119" t="s">
        <v>2524</v>
      </c>
      <c r="D468" s="119" t="s">
        <v>2024</v>
      </c>
      <c r="E468" s="426" t="s">
        <v>2534</v>
      </c>
      <c r="F468" s="356">
        <v>0</v>
      </c>
      <c r="G468" s="356">
        <v>0</v>
      </c>
      <c r="H468" s="356">
        <v>0</v>
      </c>
      <c r="I468" s="356">
        <v>0</v>
      </c>
      <c r="J468" s="356">
        <v>0</v>
      </c>
      <c r="K468" s="356">
        <v>0</v>
      </c>
      <c r="L468" s="356">
        <v>0</v>
      </c>
      <c r="M468" s="356">
        <v>0</v>
      </c>
      <c r="N468" s="356">
        <v>0</v>
      </c>
      <c r="O468" s="356">
        <v>0</v>
      </c>
      <c r="P468" s="356">
        <v>0</v>
      </c>
      <c r="Q468" s="356">
        <v>0</v>
      </c>
      <c r="R468" s="356">
        <v>0</v>
      </c>
      <c r="S468" s="357">
        <f t="shared" si="87"/>
        <v>0</v>
      </c>
      <c r="U468" s="358"/>
      <c r="V468" s="359"/>
      <c r="W468" s="359"/>
      <c r="X468" s="360">
        <f t="shared" si="96"/>
        <v>0</v>
      </c>
      <c r="Y468" s="359"/>
      <c r="Z468" s="359"/>
      <c r="AA468" s="358"/>
      <c r="AB468" s="359">
        <f t="shared" si="95"/>
        <v>0</v>
      </c>
      <c r="AD468" s="271"/>
      <c r="AF468" s="289">
        <f t="shared" si="94"/>
        <v>0</v>
      </c>
    </row>
    <row r="469" spans="1:32">
      <c r="A469" s="113">
        <v>454</v>
      </c>
      <c r="B469" s="119" t="s">
        <v>1530</v>
      </c>
      <c r="C469" s="119" t="s">
        <v>2524</v>
      </c>
      <c r="D469" s="119" t="s">
        <v>2026</v>
      </c>
      <c r="E469" s="374" t="s">
        <v>2535</v>
      </c>
      <c r="F469" s="356">
        <v>-122705.44</v>
      </c>
      <c r="G469" s="356">
        <v>-278601.82</v>
      </c>
      <c r="H469" s="356">
        <v>-272468.78000000003</v>
      </c>
      <c r="I469" s="356">
        <v>-110191.73</v>
      </c>
      <c r="J469" s="356">
        <v>-122371.47</v>
      </c>
      <c r="K469" s="356">
        <v>-105897.55</v>
      </c>
      <c r="L469" s="356">
        <v>-216074.43</v>
      </c>
      <c r="M469" s="356">
        <v>-252342.93</v>
      </c>
      <c r="N469" s="356">
        <v>-252611.36</v>
      </c>
      <c r="O469" s="356">
        <v>-94070.030000000101</v>
      </c>
      <c r="P469" s="356">
        <v>-106146.07</v>
      </c>
      <c r="Q469" s="356">
        <v>-95344.380000000107</v>
      </c>
      <c r="R469" s="356">
        <v>-104245.61</v>
      </c>
      <c r="S469" s="357">
        <f t="shared" si="87"/>
        <v>-168299.67291666666</v>
      </c>
      <c r="U469" s="358"/>
      <c r="V469" s="359"/>
      <c r="W469" s="359"/>
      <c r="X469" s="360">
        <f t="shared" si="96"/>
        <v>-168299.67291666666</v>
      </c>
      <c r="Y469" s="359"/>
      <c r="Z469" s="359"/>
      <c r="AA469" s="358"/>
      <c r="AB469" s="359">
        <f t="shared" si="95"/>
        <v>-168299.67291666666</v>
      </c>
      <c r="AD469" s="271"/>
      <c r="AF469" s="289">
        <f t="shared" si="94"/>
        <v>0</v>
      </c>
    </row>
    <row r="470" spans="1:32">
      <c r="A470" s="113">
        <v>455</v>
      </c>
      <c r="B470" s="119" t="s">
        <v>1530</v>
      </c>
      <c r="C470" s="119" t="s">
        <v>2524</v>
      </c>
      <c r="D470" s="119" t="s">
        <v>2028</v>
      </c>
      <c r="E470" s="374" t="s">
        <v>2536</v>
      </c>
      <c r="F470" s="396">
        <v>0</v>
      </c>
      <c r="G470" s="396">
        <v>0</v>
      </c>
      <c r="H470" s="396">
        <v>0</v>
      </c>
      <c r="I470" s="396">
        <v>0</v>
      </c>
      <c r="J470" s="396">
        <v>0</v>
      </c>
      <c r="K470" s="396">
        <v>0</v>
      </c>
      <c r="L470" s="396">
        <v>0</v>
      </c>
      <c r="M470" s="396">
        <v>0</v>
      </c>
      <c r="N470" s="396">
        <v>0</v>
      </c>
      <c r="O470" s="396">
        <v>0</v>
      </c>
      <c r="P470" s="396">
        <v>0</v>
      </c>
      <c r="Q470" s="396">
        <v>0</v>
      </c>
      <c r="R470" s="396">
        <v>0</v>
      </c>
      <c r="S470" s="357">
        <f t="shared" si="87"/>
        <v>0</v>
      </c>
      <c r="U470" s="358"/>
      <c r="V470" s="359"/>
      <c r="W470" s="359"/>
      <c r="X470" s="360">
        <f t="shared" si="96"/>
        <v>0</v>
      </c>
      <c r="Y470" s="359"/>
      <c r="Z470" s="359"/>
      <c r="AA470" s="358"/>
      <c r="AB470" s="359">
        <f t="shared" si="95"/>
        <v>0</v>
      </c>
      <c r="AD470" s="271"/>
      <c r="AF470" s="289">
        <f t="shared" si="94"/>
        <v>0</v>
      </c>
    </row>
    <row r="471" spans="1:32">
      <c r="A471" s="113">
        <v>456</v>
      </c>
      <c r="B471" s="119" t="s">
        <v>1530</v>
      </c>
      <c r="C471" s="119" t="s">
        <v>2524</v>
      </c>
      <c r="D471" s="119" t="s">
        <v>2030</v>
      </c>
      <c r="E471" s="374" t="s">
        <v>2537</v>
      </c>
      <c r="F471" s="396">
        <v>-5404.1</v>
      </c>
      <c r="G471" s="396">
        <v>1434.96</v>
      </c>
      <c r="H471" s="396">
        <v>-2495.16</v>
      </c>
      <c r="I471" s="396">
        <v>-1145.9000000000001</v>
      </c>
      <c r="J471" s="396">
        <v>-2321.83</v>
      </c>
      <c r="K471" s="396">
        <v>1434.96</v>
      </c>
      <c r="L471" s="396">
        <v>-5164.76</v>
      </c>
      <c r="M471" s="396">
        <v>1434.96</v>
      </c>
      <c r="N471" s="396">
        <v>-7446.75</v>
      </c>
      <c r="O471" s="396">
        <v>9.0949470177292804E-13</v>
      </c>
      <c r="P471" s="396">
        <v>-6027.54</v>
      </c>
      <c r="Q471" s="396">
        <v>-5433.37</v>
      </c>
      <c r="R471" s="396">
        <v>-263.51999999999902</v>
      </c>
      <c r="S471" s="357">
        <f t="shared" si="87"/>
        <v>-2380.353333333333</v>
      </c>
      <c r="U471" s="358"/>
      <c r="V471" s="359"/>
      <c r="W471" s="359"/>
      <c r="X471" s="360">
        <f t="shared" si="96"/>
        <v>-2380.353333333333</v>
      </c>
      <c r="Y471" s="359"/>
      <c r="Z471" s="359"/>
      <c r="AA471" s="358"/>
      <c r="AB471" s="359">
        <f t="shared" si="95"/>
        <v>-2380.353333333333</v>
      </c>
      <c r="AD471" s="271"/>
      <c r="AF471" s="289"/>
    </row>
    <row r="472" spans="1:32">
      <c r="A472" s="113">
        <v>457</v>
      </c>
      <c r="B472" s="119"/>
      <c r="C472" s="119" t="s">
        <v>2524</v>
      </c>
      <c r="D472" s="119" t="s">
        <v>2020</v>
      </c>
      <c r="E472" s="374" t="s">
        <v>2538</v>
      </c>
      <c r="F472" s="396">
        <v>0</v>
      </c>
      <c r="G472" s="396">
        <v>0</v>
      </c>
      <c r="H472" s="396">
        <v>-178.6</v>
      </c>
      <c r="I472" s="396">
        <v>-178.6</v>
      </c>
      <c r="J472" s="396">
        <v>-220.5</v>
      </c>
      <c r="K472" s="396">
        <v>0</v>
      </c>
      <c r="L472" s="396">
        <v>0</v>
      </c>
      <c r="M472" s="396">
        <v>-11.95</v>
      </c>
      <c r="N472" s="396">
        <v>-11.95</v>
      </c>
      <c r="O472" s="396">
        <v>-11.95</v>
      </c>
      <c r="P472" s="396">
        <v>-11.95</v>
      </c>
      <c r="Q472" s="396">
        <v>-11.95</v>
      </c>
      <c r="R472" s="396">
        <v>-11.95</v>
      </c>
      <c r="S472" s="357">
        <f t="shared" si="87"/>
        <v>-53.618750000000027</v>
      </c>
      <c r="U472" s="358"/>
      <c r="V472" s="359"/>
      <c r="W472" s="359"/>
      <c r="X472" s="360">
        <f t="shared" si="96"/>
        <v>-53.618750000000027</v>
      </c>
      <c r="Y472" s="359"/>
      <c r="Z472" s="359"/>
      <c r="AA472" s="358"/>
      <c r="AB472" s="359">
        <f t="shared" si="95"/>
        <v>-53.618750000000027</v>
      </c>
      <c r="AD472" s="271"/>
      <c r="AF472" s="289"/>
    </row>
    <row r="473" spans="1:32">
      <c r="A473" s="113">
        <v>458</v>
      </c>
      <c r="E473" s="374" t="s">
        <v>2539</v>
      </c>
      <c r="F473" s="696">
        <f>SUM(F463:F472)</f>
        <v>-2644765.54</v>
      </c>
      <c r="G473" s="696">
        <f t="shared" ref="G473:R473" si="97">SUM(G463:G472)</f>
        <v>-3771015.8899999997</v>
      </c>
      <c r="H473" s="696">
        <f t="shared" si="97"/>
        <v>-4664748.58</v>
      </c>
      <c r="I473" s="696">
        <f t="shared" si="97"/>
        <v>-2168657.67</v>
      </c>
      <c r="J473" s="696">
        <f t="shared" si="97"/>
        <v>-2711789.1</v>
      </c>
      <c r="K473" s="696">
        <f t="shared" si="97"/>
        <v>-1618154.53</v>
      </c>
      <c r="L473" s="696">
        <f t="shared" si="97"/>
        <v>-3143153.7399999998</v>
      </c>
      <c r="M473" s="696">
        <f t="shared" si="97"/>
        <v>-1924519.85</v>
      </c>
      <c r="N473" s="696">
        <f t="shared" si="97"/>
        <v>-3492824.6</v>
      </c>
      <c r="O473" s="696">
        <f t="shared" si="97"/>
        <v>-1983513.9399999997</v>
      </c>
      <c r="P473" s="696">
        <f t="shared" si="97"/>
        <v>-2293422.9</v>
      </c>
      <c r="Q473" s="696">
        <f t="shared" si="97"/>
        <v>-1686882.21</v>
      </c>
      <c r="R473" s="696">
        <f t="shared" si="97"/>
        <v>-2741053.05</v>
      </c>
      <c r="S473" s="696">
        <f>SUM(S463:S472)</f>
        <v>-2679299.3587500001</v>
      </c>
      <c r="U473" s="358"/>
      <c r="V473" s="359"/>
      <c r="W473" s="359"/>
      <c r="X473" s="360"/>
      <c r="Y473" s="359"/>
      <c r="Z473" s="359"/>
      <c r="AA473" s="358"/>
      <c r="AB473" s="359"/>
      <c r="AF473" s="289">
        <f t="shared" si="94"/>
        <v>0</v>
      </c>
    </row>
    <row r="474" spans="1:32">
      <c r="A474" s="113">
        <v>459</v>
      </c>
      <c r="E474" s="374"/>
      <c r="F474" s="356"/>
      <c r="G474" s="399"/>
      <c r="H474" s="387"/>
      <c r="I474" s="387"/>
      <c r="J474" s="388"/>
      <c r="K474" s="389"/>
      <c r="L474" s="390"/>
      <c r="M474" s="391"/>
      <c r="N474" s="392"/>
      <c r="O474" s="373"/>
      <c r="P474" s="393"/>
      <c r="Q474" s="400"/>
      <c r="R474" s="356"/>
      <c r="S474" s="96"/>
      <c r="U474" s="358"/>
      <c r="V474" s="359"/>
      <c r="W474" s="359"/>
      <c r="X474" s="360"/>
      <c r="Y474" s="359"/>
      <c r="Z474" s="359"/>
      <c r="AA474" s="358"/>
      <c r="AB474" s="359"/>
      <c r="AF474" s="289">
        <f t="shared" si="94"/>
        <v>0</v>
      </c>
    </row>
    <row r="475" spans="1:32">
      <c r="A475" s="113">
        <v>460</v>
      </c>
      <c r="B475" s="119" t="s">
        <v>1530</v>
      </c>
      <c r="C475" s="119" t="s">
        <v>2540</v>
      </c>
      <c r="D475" s="113" t="s">
        <v>1503</v>
      </c>
      <c r="E475" s="374" t="s">
        <v>2541</v>
      </c>
      <c r="F475" s="356">
        <v>0</v>
      </c>
      <c r="G475" s="356">
        <v>-110240.86</v>
      </c>
      <c r="H475" s="356">
        <v>-115302.1</v>
      </c>
      <c r="I475" s="356">
        <v>0</v>
      </c>
      <c r="J475" s="356">
        <v>0</v>
      </c>
      <c r="K475" s="356">
        <v>0</v>
      </c>
      <c r="L475" s="356">
        <v>0</v>
      </c>
      <c r="M475" s="356">
        <v>-113750.31</v>
      </c>
      <c r="N475" s="356">
        <v>0</v>
      </c>
      <c r="O475" s="356">
        <v>0</v>
      </c>
      <c r="P475" s="356">
        <v>0</v>
      </c>
      <c r="Q475" s="356">
        <v>0</v>
      </c>
      <c r="R475" s="356">
        <v>-139722.44</v>
      </c>
      <c r="S475" s="357">
        <f t="shared" si="87"/>
        <v>-34096.207499999997</v>
      </c>
      <c r="U475" s="358"/>
      <c r="V475" s="359">
        <f>+S475</f>
        <v>-34096.207499999997</v>
      </c>
      <c r="W475" s="359"/>
      <c r="X475" s="360"/>
      <c r="Y475" s="359"/>
      <c r="Z475" s="359"/>
      <c r="AA475" s="358"/>
      <c r="AB475" s="359"/>
      <c r="AD475" s="271">
        <f>+V475</f>
        <v>-34096.207499999997</v>
      </c>
      <c r="AF475" s="289">
        <f t="shared" si="94"/>
        <v>0</v>
      </c>
    </row>
    <row r="476" spans="1:32">
      <c r="A476" s="113">
        <v>461</v>
      </c>
      <c r="B476" s="119" t="s">
        <v>1530</v>
      </c>
      <c r="C476" s="119" t="s">
        <v>2540</v>
      </c>
      <c r="D476" s="113" t="s">
        <v>1504</v>
      </c>
      <c r="E476" s="374" t="s">
        <v>2542</v>
      </c>
      <c r="F476" s="356">
        <v>907.8</v>
      </c>
      <c r="G476" s="356">
        <v>-80912.160000000003</v>
      </c>
      <c r="H476" s="356">
        <v>-82795.070000000007</v>
      </c>
      <c r="I476" s="356">
        <v>907.79999999998802</v>
      </c>
      <c r="J476" s="356">
        <v>907.79999999998802</v>
      </c>
      <c r="K476" s="356">
        <v>907.79999999998802</v>
      </c>
      <c r="L476" s="356">
        <v>-1.1596057447604799E-11</v>
      </c>
      <c r="M476" s="356">
        <v>-65483.19</v>
      </c>
      <c r="N476" s="356">
        <v>-1.45519152283669E-11</v>
      </c>
      <c r="O476" s="356">
        <v>-1.45519152283669E-11</v>
      </c>
      <c r="P476" s="356">
        <v>-1.45519152283669E-11</v>
      </c>
      <c r="Q476" s="356">
        <v>-1.45519152283669E-11</v>
      </c>
      <c r="R476" s="356">
        <v>-66722.81</v>
      </c>
      <c r="S476" s="357">
        <f t="shared" si="87"/>
        <v>-21614.543750000008</v>
      </c>
      <c r="U476" s="358"/>
      <c r="V476" s="359">
        <f>+S476</f>
        <v>-21614.543750000008</v>
      </c>
      <c r="W476" s="359"/>
      <c r="X476" s="360"/>
      <c r="Y476" s="359"/>
      <c r="Z476" s="359"/>
      <c r="AA476" s="358"/>
      <c r="AB476" s="359"/>
      <c r="AD476" s="271">
        <f>+V476</f>
        <v>-21614.543750000008</v>
      </c>
      <c r="AF476" s="289">
        <f t="shared" si="94"/>
        <v>0</v>
      </c>
    </row>
    <row r="477" spans="1:32">
      <c r="A477" s="113">
        <v>462</v>
      </c>
      <c r="B477" s="119"/>
      <c r="C477" s="119" t="s">
        <v>2540</v>
      </c>
      <c r="D477" s="113" t="s">
        <v>1505</v>
      </c>
      <c r="E477" s="374" t="s">
        <v>2543</v>
      </c>
      <c r="F477" s="356">
        <v>0</v>
      </c>
      <c r="G477" s="356">
        <v>0</v>
      </c>
      <c r="H477" s="356">
        <v>0</v>
      </c>
      <c r="I477" s="356">
        <v>0</v>
      </c>
      <c r="J477" s="356">
        <v>0</v>
      </c>
      <c r="K477" s="356">
        <v>0</v>
      </c>
      <c r="L477" s="356">
        <v>0</v>
      </c>
      <c r="M477" s="356">
        <v>-15837.09</v>
      </c>
      <c r="N477" s="356">
        <v>0</v>
      </c>
      <c r="O477" s="356">
        <v>0</v>
      </c>
      <c r="P477" s="356">
        <v>0</v>
      </c>
      <c r="Q477" s="356">
        <v>0</v>
      </c>
      <c r="R477" s="356">
        <v>-17986.45</v>
      </c>
      <c r="S477" s="357">
        <f t="shared" si="87"/>
        <v>-2069.1929166666669</v>
      </c>
      <c r="U477" s="358"/>
      <c r="V477" s="359">
        <f>+S477</f>
        <v>-2069.1929166666669</v>
      </c>
      <c r="W477" s="359"/>
      <c r="X477" s="360"/>
      <c r="Y477" s="359"/>
      <c r="Z477" s="359"/>
      <c r="AA477" s="358"/>
      <c r="AB477" s="359"/>
      <c r="AD477" s="271">
        <f>+V477</f>
        <v>-2069.1929166666669</v>
      </c>
      <c r="AF477" s="289"/>
    </row>
    <row r="478" spans="1:32">
      <c r="A478" s="113">
        <v>463</v>
      </c>
      <c r="B478" s="119" t="s">
        <v>1530</v>
      </c>
      <c r="C478" s="119" t="s">
        <v>2544</v>
      </c>
      <c r="D478" s="119" t="s">
        <v>1496</v>
      </c>
      <c r="E478" s="374" t="s">
        <v>2545</v>
      </c>
      <c r="F478" s="356">
        <v>-1.8189894035458601E-12</v>
      </c>
      <c r="G478" s="356">
        <v>-12908.79</v>
      </c>
      <c r="H478" s="356">
        <v>-13716.53</v>
      </c>
      <c r="I478" s="356">
        <v>0</v>
      </c>
      <c r="J478" s="356">
        <v>0</v>
      </c>
      <c r="K478" s="356">
        <v>0</v>
      </c>
      <c r="L478" s="356">
        <v>0</v>
      </c>
      <c r="M478" s="356">
        <v>-13495.43</v>
      </c>
      <c r="N478" s="356">
        <v>0</v>
      </c>
      <c r="O478" s="356">
        <v>0</v>
      </c>
      <c r="P478" s="356">
        <v>0</v>
      </c>
      <c r="Q478" s="356">
        <v>0</v>
      </c>
      <c r="R478" s="356">
        <v>-14968.48</v>
      </c>
      <c r="S478" s="357">
        <f t="shared" si="87"/>
        <v>-3967.0825</v>
      </c>
      <c r="U478" s="358"/>
      <c r="V478" s="359">
        <f>+S478</f>
        <v>-3967.0825</v>
      </c>
      <c r="W478" s="359"/>
      <c r="X478" s="360"/>
      <c r="Y478" s="359"/>
      <c r="Z478" s="359"/>
      <c r="AA478" s="358"/>
      <c r="AB478" s="359"/>
      <c r="AD478" s="271">
        <f>+V478</f>
        <v>-3967.0825</v>
      </c>
      <c r="AF478" s="289">
        <f t="shared" si="94"/>
        <v>0</v>
      </c>
    </row>
    <row r="479" spans="1:32">
      <c r="A479" s="113">
        <v>464</v>
      </c>
      <c r="B479" s="119" t="s">
        <v>1530</v>
      </c>
      <c r="C479" s="119" t="s">
        <v>2544</v>
      </c>
      <c r="D479" s="119" t="s">
        <v>2546</v>
      </c>
      <c r="E479" s="374" t="s">
        <v>2547</v>
      </c>
      <c r="F479" s="356">
        <v>-1221.53</v>
      </c>
      <c r="G479" s="356">
        <v>-568.54</v>
      </c>
      <c r="H479" s="356">
        <v>-1101.55</v>
      </c>
      <c r="I479" s="356">
        <v>-1507.91</v>
      </c>
      <c r="J479" s="356">
        <v>-1918.54</v>
      </c>
      <c r="K479" s="356">
        <v>-809.1</v>
      </c>
      <c r="L479" s="356">
        <v>-1230.3900000000001</v>
      </c>
      <c r="M479" s="356">
        <v>-619.19000000000005</v>
      </c>
      <c r="N479" s="356">
        <v>-1041.77</v>
      </c>
      <c r="O479" s="356">
        <v>-1435.38</v>
      </c>
      <c r="P479" s="356">
        <v>-1833.62</v>
      </c>
      <c r="Q479" s="356">
        <v>-826.85</v>
      </c>
      <c r="R479" s="356">
        <v>-1472.97</v>
      </c>
      <c r="S479" s="357">
        <f t="shared" si="87"/>
        <v>-1186.6741666666669</v>
      </c>
      <c r="U479" s="358"/>
      <c r="V479" s="359">
        <f>+S479</f>
        <v>-1186.6741666666669</v>
      </c>
      <c r="W479" s="359"/>
      <c r="X479" s="360"/>
      <c r="Y479" s="359"/>
      <c r="Z479" s="359"/>
      <c r="AA479" s="358"/>
      <c r="AB479" s="359"/>
      <c r="AD479" s="271">
        <f>+V479</f>
        <v>-1186.6741666666669</v>
      </c>
      <c r="AF479" s="289">
        <f t="shared" si="94"/>
        <v>0</v>
      </c>
    </row>
    <row r="480" spans="1:32">
      <c r="A480" s="113">
        <v>465</v>
      </c>
      <c r="E480" s="374" t="s">
        <v>2548</v>
      </c>
      <c r="F480" s="696">
        <f t="shared" ref="F480:S480" si="98">SUM(F475:F479)</f>
        <v>-313.73000000000184</v>
      </c>
      <c r="G480" s="696">
        <f t="shared" si="98"/>
        <v>-204630.35000000003</v>
      </c>
      <c r="H480" s="696">
        <f t="shared" si="98"/>
        <v>-212915.25</v>
      </c>
      <c r="I480" s="696">
        <f t="shared" si="98"/>
        <v>-600.11000000001206</v>
      </c>
      <c r="J480" s="696">
        <f t="shared" si="98"/>
        <v>-1010.7400000000119</v>
      </c>
      <c r="K480" s="696">
        <f t="shared" si="98"/>
        <v>98.699999999987995</v>
      </c>
      <c r="L480" s="696">
        <f t="shared" si="98"/>
        <v>-1230.3900000000117</v>
      </c>
      <c r="M480" s="696">
        <f t="shared" si="98"/>
        <v>-209185.21</v>
      </c>
      <c r="N480" s="696">
        <f t="shared" si="98"/>
        <v>-1041.7700000000145</v>
      </c>
      <c r="O480" s="696">
        <f t="shared" si="98"/>
        <v>-1435.3800000000147</v>
      </c>
      <c r="P480" s="696">
        <f t="shared" si="98"/>
        <v>-1833.6200000000144</v>
      </c>
      <c r="Q480" s="696">
        <f t="shared" si="98"/>
        <v>-826.85000000001457</v>
      </c>
      <c r="R480" s="696">
        <f t="shared" si="98"/>
        <v>-240873.15000000002</v>
      </c>
      <c r="S480" s="697">
        <f t="shared" si="98"/>
        <v>-62933.700833333329</v>
      </c>
      <c r="U480" s="358"/>
      <c r="V480" s="359"/>
      <c r="W480" s="359"/>
      <c r="X480" s="360"/>
      <c r="Y480" s="359"/>
      <c r="Z480" s="359"/>
      <c r="AA480" s="358"/>
      <c r="AB480" s="359"/>
      <c r="AF480" s="289">
        <f t="shared" si="94"/>
        <v>0</v>
      </c>
    </row>
    <row r="481" spans="1:32">
      <c r="A481" s="113">
        <v>466</v>
      </c>
      <c r="E481" s="374"/>
      <c r="F481" s="356"/>
      <c r="G481" s="399"/>
      <c r="H481" s="387"/>
      <c r="I481" s="387"/>
      <c r="J481" s="388"/>
      <c r="K481" s="389"/>
      <c r="L481" s="390"/>
      <c r="M481" s="391"/>
      <c r="N481" s="392"/>
      <c r="O481" s="373"/>
      <c r="P481" s="393"/>
      <c r="Q481" s="400"/>
      <c r="R481" s="356"/>
      <c r="S481" s="96"/>
      <c r="U481" s="358"/>
      <c r="V481" s="359"/>
      <c r="W481" s="359"/>
      <c r="X481" s="360"/>
      <c r="Y481" s="359"/>
      <c r="Z481" s="359"/>
      <c r="AA481" s="358"/>
      <c r="AB481" s="359"/>
      <c r="AF481" s="289">
        <f t="shared" si="94"/>
        <v>0</v>
      </c>
    </row>
    <row r="482" spans="1:32">
      <c r="A482" s="113">
        <v>467</v>
      </c>
      <c r="E482" s="374" t="s">
        <v>2549</v>
      </c>
      <c r="F482" s="696">
        <f>SUM(F442:F461)+F473+F480</f>
        <v>-47045472.370000005</v>
      </c>
      <c r="G482" s="696">
        <f>SUM(G442:G461)+G473+G480</f>
        <v>-35199174.259999998</v>
      </c>
      <c r="H482" s="696">
        <f t="shared" ref="H482:R482" si="99">SUM(H442:H461)+H473+H480</f>
        <v>-28629270.710000001</v>
      </c>
      <c r="I482" s="696">
        <f t="shared" si="99"/>
        <v>-26635380.299999997</v>
      </c>
      <c r="J482" s="696">
        <f t="shared" si="99"/>
        <v>-21636896.719999995</v>
      </c>
      <c r="K482" s="696">
        <f t="shared" si="99"/>
        <v>-19734432.500000004</v>
      </c>
      <c r="L482" s="696">
        <f t="shared" si="99"/>
        <v>-22484765.77</v>
      </c>
      <c r="M482" s="696">
        <f t="shared" si="99"/>
        <v>-21638451.510000005</v>
      </c>
      <c r="N482" s="696">
        <f t="shared" si="99"/>
        <v>-24082052.699999999</v>
      </c>
      <c r="O482" s="696">
        <f t="shared" si="99"/>
        <v>-24209287.739999998</v>
      </c>
      <c r="P482" s="696">
        <f t="shared" si="99"/>
        <v>-25462682.890000001</v>
      </c>
      <c r="Q482" s="696">
        <f t="shared" si="99"/>
        <v>-29056693.620000001</v>
      </c>
      <c r="R482" s="696">
        <f t="shared" si="99"/>
        <v>-35504984.389999993</v>
      </c>
      <c r="S482" s="697">
        <f>SUM(S445:S461)+S473+S480+S442+S443</f>
        <v>-26670359.758333329</v>
      </c>
      <c r="U482" s="358"/>
      <c r="V482" s="359"/>
      <c r="W482" s="359"/>
      <c r="X482" s="360"/>
      <c r="Y482" s="359"/>
      <c r="Z482" s="359"/>
      <c r="AA482" s="358"/>
      <c r="AB482" s="359"/>
      <c r="AF482" s="289">
        <f t="shared" si="94"/>
        <v>0</v>
      </c>
    </row>
    <row r="483" spans="1:32">
      <c r="A483" s="113">
        <v>468</v>
      </c>
      <c r="E483" s="374"/>
      <c r="F483" s="356"/>
      <c r="G483" s="399"/>
      <c r="H483" s="387"/>
      <c r="I483" s="387"/>
      <c r="J483" s="388"/>
      <c r="K483" s="389"/>
      <c r="L483" s="390"/>
      <c r="M483" s="391"/>
      <c r="N483" s="392"/>
      <c r="O483" s="373"/>
      <c r="P483" s="393"/>
      <c r="Q483" s="400"/>
      <c r="R483" s="356"/>
      <c r="S483" s="96"/>
      <c r="U483" s="358"/>
      <c r="V483" s="359"/>
      <c r="W483" s="359"/>
      <c r="X483" s="360"/>
      <c r="Y483" s="359"/>
      <c r="Z483" s="359"/>
      <c r="AA483" s="358"/>
      <c r="AB483" s="359"/>
      <c r="AF483" s="289">
        <f t="shared" si="94"/>
        <v>0</v>
      </c>
    </row>
    <row r="484" spans="1:32">
      <c r="A484" s="113">
        <v>469</v>
      </c>
      <c r="E484" s="374"/>
      <c r="F484" s="356"/>
      <c r="G484" s="399"/>
      <c r="H484" s="387"/>
      <c r="I484" s="387"/>
      <c r="J484" s="388"/>
      <c r="K484" s="389"/>
      <c r="L484" s="390"/>
      <c r="M484" s="391"/>
      <c r="N484" s="392"/>
      <c r="O484" s="373"/>
      <c r="P484" s="393"/>
      <c r="Q484" s="400"/>
      <c r="R484" s="356"/>
      <c r="S484" s="96"/>
      <c r="U484" s="358"/>
      <c r="V484" s="359"/>
      <c r="W484" s="359"/>
      <c r="X484" s="360"/>
      <c r="Y484" s="359"/>
      <c r="Z484" s="359"/>
      <c r="AA484" s="358"/>
      <c r="AB484" s="359"/>
      <c r="AF484" s="289"/>
    </row>
    <row r="485" spans="1:32">
      <c r="A485" s="113">
        <v>470</v>
      </c>
      <c r="B485" s="113">
        <v>47</v>
      </c>
      <c r="C485" s="113" t="s">
        <v>2550</v>
      </c>
      <c r="D485" s="113" t="s">
        <v>376</v>
      </c>
      <c r="E485" s="374" t="s">
        <v>2551</v>
      </c>
      <c r="F485" s="356">
        <v>-30100</v>
      </c>
      <c r="G485" s="399">
        <v>-138800</v>
      </c>
      <c r="H485" s="387">
        <v>-39300</v>
      </c>
      <c r="I485" s="387">
        <v>-39000</v>
      </c>
      <c r="J485" s="388">
        <v>-39000</v>
      </c>
      <c r="K485" s="389">
        <v>-28900</v>
      </c>
      <c r="L485" s="390">
        <v>-198800</v>
      </c>
      <c r="M485" s="391">
        <v>-28900</v>
      </c>
      <c r="N485" s="392">
        <v>-28900</v>
      </c>
      <c r="O485" s="373">
        <v>-29900</v>
      </c>
      <c r="P485" s="393">
        <v>-32700</v>
      </c>
      <c r="Q485" s="400">
        <v>-36500</v>
      </c>
      <c r="R485" s="356">
        <v>-36500</v>
      </c>
      <c r="S485" s="357">
        <f t="shared" ref="S485:S721" si="100">((F485+R485)+((G485+H485+I485+J485+K485+L485+M485+N485+O485+P485+Q485)*2))/24</f>
        <v>-56166.666666666664</v>
      </c>
      <c r="U485" s="358"/>
      <c r="V485" s="359">
        <f>+S485</f>
        <v>-56166.666666666664</v>
      </c>
      <c r="W485" s="359"/>
      <c r="X485" s="360"/>
      <c r="Y485" s="359"/>
      <c r="Z485" s="359"/>
      <c r="AA485" s="358"/>
      <c r="AB485" s="359"/>
      <c r="AD485" s="271">
        <f>+S485</f>
        <v>-56166.666666666664</v>
      </c>
      <c r="AF485" s="289"/>
    </row>
    <row r="486" spans="1:32">
      <c r="A486" s="113">
        <v>471</v>
      </c>
      <c r="B486" s="119" t="s">
        <v>1530</v>
      </c>
      <c r="C486" s="119" t="s">
        <v>2552</v>
      </c>
      <c r="D486" s="119" t="s">
        <v>378</v>
      </c>
      <c r="E486" s="374" t="s">
        <v>2553</v>
      </c>
      <c r="F486" s="356">
        <v>-24135</v>
      </c>
      <c r="G486" s="356">
        <v>-24135</v>
      </c>
      <c r="H486" s="356">
        <v>-24135</v>
      </c>
      <c r="I486" s="356">
        <v>-24135</v>
      </c>
      <c r="J486" s="356">
        <v>-24135</v>
      </c>
      <c r="K486" s="356">
        <v>-24135</v>
      </c>
      <c r="L486" s="356">
        <v>-24135</v>
      </c>
      <c r="M486" s="356">
        <v>-24135</v>
      </c>
      <c r="N486" s="356">
        <v>-24135</v>
      </c>
      <c r="O486" s="356">
        <v>-24135</v>
      </c>
      <c r="P486" s="356">
        <v>-24135</v>
      </c>
      <c r="Q486" s="356">
        <v>-24135</v>
      </c>
      <c r="R486" s="356">
        <v>-24135</v>
      </c>
      <c r="S486" s="357">
        <f t="shared" si="100"/>
        <v>-24135</v>
      </c>
      <c r="U486" s="358"/>
      <c r="V486" s="359">
        <f t="shared" ref="V486:V510" si="101">+S486</f>
        <v>-24135</v>
      </c>
      <c r="W486" s="359"/>
      <c r="X486" s="360"/>
      <c r="Y486" s="359"/>
      <c r="Z486" s="359"/>
      <c r="AA486" s="358"/>
      <c r="AB486" s="359"/>
      <c r="AD486" s="271">
        <f t="shared" ref="AD486:AD503" si="102">+V486</f>
        <v>-24135</v>
      </c>
      <c r="AF486" s="289">
        <f t="shared" si="94"/>
        <v>0</v>
      </c>
    </row>
    <row r="487" spans="1:32">
      <c r="A487" s="113">
        <v>472</v>
      </c>
      <c r="B487" s="119" t="s">
        <v>1530</v>
      </c>
      <c r="C487" s="119" t="s">
        <v>2554</v>
      </c>
      <c r="D487" s="119" t="s">
        <v>386</v>
      </c>
      <c r="E487" s="374" t="s">
        <v>2555</v>
      </c>
      <c r="F487" s="356">
        <v>0</v>
      </c>
      <c r="G487" s="356">
        <v>0</v>
      </c>
      <c r="H487" s="356">
        <v>-805083.21</v>
      </c>
      <c r="I487" s="356">
        <v>-2962432.42</v>
      </c>
      <c r="J487" s="356">
        <v>-3654107.53</v>
      </c>
      <c r="K487" s="356">
        <v>-3371468.21</v>
      </c>
      <c r="L487" s="356">
        <v>-2549985.5099999998</v>
      </c>
      <c r="M487" s="356">
        <v>0</v>
      </c>
      <c r="N487" s="356">
        <v>0</v>
      </c>
      <c r="O487" s="356">
        <v>0</v>
      </c>
      <c r="P487" s="356">
        <v>0</v>
      </c>
      <c r="Q487" s="356">
        <v>0</v>
      </c>
      <c r="R487" s="356">
        <v>30646.74</v>
      </c>
      <c r="S487" s="357">
        <f t="shared" si="100"/>
        <v>-1110646.1258333335</v>
      </c>
      <c r="U487" s="358"/>
      <c r="V487" s="359">
        <f t="shared" si="101"/>
        <v>-1110646.1258333335</v>
      </c>
      <c r="W487" s="359"/>
      <c r="X487" s="360"/>
      <c r="Y487" s="359"/>
      <c r="Z487" s="359"/>
      <c r="AA487" s="358"/>
      <c r="AB487" s="359"/>
      <c r="AD487" s="271">
        <f t="shared" si="102"/>
        <v>-1110646.1258333335</v>
      </c>
      <c r="AF487" s="289">
        <f t="shared" si="94"/>
        <v>0</v>
      </c>
    </row>
    <row r="488" spans="1:32">
      <c r="A488" s="113">
        <v>473</v>
      </c>
      <c r="B488" s="119" t="s">
        <v>1530</v>
      </c>
      <c r="C488" s="119" t="s">
        <v>2554</v>
      </c>
      <c r="D488" s="119" t="s">
        <v>2491</v>
      </c>
      <c r="E488" s="374" t="s">
        <v>2556</v>
      </c>
      <c r="F488" s="356">
        <v>0</v>
      </c>
      <c r="G488" s="356">
        <v>0</v>
      </c>
      <c r="H488" s="356">
        <v>-103941.2</v>
      </c>
      <c r="I488" s="356">
        <v>-112241.21</v>
      </c>
      <c r="J488" s="356">
        <v>-112241.21</v>
      </c>
      <c r="K488" s="356">
        <v>-112241.21</v>
      </c>
      <c r="L488" s="356">
        <v>-128355.2</v>
      </c>
      <c r="M488" s="356">
        <v>0</v>
      </c>
      <c r="N488" s="356">
        <v>0</v>
      </c>
      <c r="O488" s="356">
        <v>0</v>
      </c>
      <c r="P488" s="356">
        <v>0</v>
      </c>
      <c r="Q488" s="356">
        <v>0</v>
      </c>
      <c r="R488" s="356">
        <v>-88263</v>
      </c>
      <c r="S488" s="357">
        <f t="shared" si="100"/>
        <v>-51095.960833333338</v>
      </c>
      <c r="U488" s="358"/>
      <c r="V488" s="359">
        <f t="shared" si="101"/>
        <v>-51095.960833333338</v>
      </c>
      <c r="W488" s="359"/>
      <c r="X488" s="360"/>
      <c r="Y488" s="359"/>
      <c r="Z488" s="359"/>
      <c r="AA488" s="358"/>
      <c r="AB488" s="359"/>
      <c r="AD488" s="271">
        <f t="shared" si="102"/>
        <v>-51095.960833333338</v>
      </c>
      <c r="AF488" s="289">
        <f t="shared" si="94"/>
        <v>0</v>
      </c>
    </row>
    <row r="489" spans="1:32">
      <c r="A489" s="113">
        <v>474</v>
      </c>
      <c r="B489" s="119" t="s">
        <v>1530</v>
      </c>
      <c r="C489" s="119" t="s">
        <v>2557</v>
      </c>
      <c r="D489" s="119" t="s">
        <v>385</v>
      </c>
      <c r="E489" s="374" t="s">
        <v>2558</v>
      </c>
      <c r="F489" s="356">
        <v>-139783.25</v>
      </c>
      <c r="G489" s="356">
        <v>-162732.12</v>
      </c>
      <c r="H489" s="356">
        <v>-166497.94</v>
      </c>
      <c r="I489" s="356">
        <v>-97720.68</v>
      </c>
      <c r="J489" s="356">
        <v>-14743.53</v>
      </c>
      <c r="K489" s="356">
        <v>-14743.53</v>
      </c>
      <c r="L489" s="356">
        <v>-15651.33</v>
      </c>
      <c r="M489" s="356">
        <v>-15651.33</v>
      </c>
      <c r="N489" s="356">
        <v>-1.2732925824821E-11</v>
      </c>
      <c r="O489" s="356">
        <v>-1.2732925824821E-11</v>
      </c>
      <c r="P489" s="356">
        <v>-1.2732925824821E-11</v>
      </c>
      <c r="Q489" s="356">
        <v>-1.2732925824821E-11</v>
      </c>
      <c r="R489" s="356">
        <v>-1.2732925824821E-11</v>
      </c>
      <c r="S489" s="357">
        <f t="shared" si="100"/>
        <v>-46469.340416666673</v>
      </c>
      <c r="U489" s="358"/>
      <c r="V489" s="359">
        <f t="shared" si="101"/>
        <v>-46469.340416666673</v>
      </c>
      <c r="W489" s="359"/>
      <c r="X489" s="360"/>
      <c r="Y489" s="359"/>
      <c r="Z489" s="359"/>
      <c r="AA489" s="358"/>
      <c r="AB489" s="359"/>
      <c r="AD489" s="271">
        <f t="shared" si="102"/>
        <v>-46469.340416666673</v>
      </c>
      <c r="AF489" s="289">
        <f t="shared" si="94"/>
        <v>0</v>
      </c>
    </row>
    <row r="490" spans="1:32">
      <c r="A490" s="113">
        <v>475</v>
      </c>
      <c r="B490" s="119" t="s">
        <v>1530</v>
      </c>
      <c r="C490" s="119" t="s">
        <v>2557</v>
      </c>
      <c r="D490" s="119" t="s">
        <v>2506</v>
      </c>
      <c r="E490" s="374" t="s">
        <v>2559</v>
      </c>
      <c r="F490" s="356">
        <v>-147991.14000000001</v>
      </c>
      <c r="G490" s="356">
        <v>-158654.45000000001</v>
      </c>
      <c r="H490" s="356">
        <v>-20068.89</v>
      </c>
      <c r="I490" s="356">
        <v>-27736.63</v>
      </c>
      <c r="J490" s="356">
        <v>-31198.22</v>
      </c>
      <c r="K490" s="356">
        <v>-34853.599999999999</v>
      </c>
      <c r="L490" s="356">
        <v>-38679.629999999997</v>
      </c>
      <c r="M490" s="356">
        <v>-46831.5</v>
      </c>
      <c r="N490" s="356">
        <v>-53998.9</v>
      </c>
      <c r="O490" s="356">
        <v>-68141.31</v>
      </c>
      <c r="P490" s="356">
        <v>-86977.52</v>
      </c>
      <c r="Q490" s="356">
        <v>-105424.06</v>
      </c>
      <c r="R490" s="356">
        <v>-116367.72</v>
      </c>
      <c r="S490" s="357">
        <f t="shared" si="100"/>
        <v>-67062.011666666658</v>
      </c>
      <c r="U490" s="358"/>
      <c r="V490" s="359">
        <f t="shared" si="101"/>
        <v>-67062.011666666658</v>
      </c>
      <c r="W490" s="359"/>
      <c r="X490" s="360"/>
      <c r="Y490" s="359"/>
      <c r="Z490" s="359"/>
      <c r="AA490" s="358"/>
      <c r="AB490" s="359"/>
      <c r="AD490" s="271">
        <f t="shared" si="102"/>
        <v>-67062.011666666658</v>
      </c>
      <c r="AF490" s="289">
        <f t="shared" si="94"/>
        <v>0</v>
      </c>
    </row>
    <row r="491" spans="1:32">
      <c r="A491" s="113">
        <v>476</v>
      </c>
      <c r="B491" s="119" t="s">
        <v>1530</v>
      </c>
      <c r="C491" s="119" t="s">
        <v>2557</v>
      </c>
      <c r="D491" s="119" t="s">
        <v>2560</v>
      </c>
      <c r="E491" s="374" t="s">
        <v>2561</v>
      </c>
      <c r="F491" s="356">
        <v>0</v>
      </c>
      <c r="G491" s="356">
        <v>0</v>
      </c>
      <c r="H491" s="356">
        <v>0</v>
      </c>
      <c r="I491" s="356">
        <v>0</v>
      </c>
      <c r="J491" s="356">
        <v>-226126.78</v>
      </c>
      <c r="K491" s="356">
        <v>-369574.68</v>
      </c>
      <c r="L491" s="356">
        <v>-516048.71</v>
      </c>
      <c r="M491" s="356">
        <v>-668029.13</v>
      </c>
      <c r="N491" s="356">
        <v>-808712.05</v>
      </c>
      <c r="O491" s="356">
        <v>-950731.04</v>
      </c>
      <c r="P491" s="356">
        <v>-1096052.19</v>
      </c>
      <c r="Q491" s="356">
        <v>-1229986.74</v>
      </c>
      <c r="R491" s="356">
        <v>-720542.66</v>
      </c>
      <c r="S491" s="357">
        <f t="shared" si="100"/>
        <v>-518794.38750000001</v>
      </c>
      <c r="U491" s="358"/>
      <c r="V491" s="359">
        <f t="shared" si="101"/>
        <v>-518794.38750000001</v>
      </c>
      <c r="W491" s="359"/>
      <c r="X491" s="360"/>
      <c r="Y491" s="359"/>
      <c r="Z491" s="359"/>
      <c r="AA491" s="358"/>
      <c r="AB491" s="359"/>
      <c r="AD491" s="271">
        <f t="shared" si="102"/>
        <v>-518794.38750000001</v>
      </c>
      <c r="AF491" s="289">
        <f t="shared" si="94"/>
        <v>0</v>
      </c>
    </row>
    <row r="492" spans="1:32">
      <c r="A492" s="113">
        <v>477</v>
      </c>
      <c r="B492" s="119" t="s">
        <v>1530</v>
      </c>
      <c r="C492" s="119" t="s">
        <v>2557</v>
      </c>
      <c r="D492" s="113" t="s">
        <v>2562</v>
      </c>
      <c r="E492" s="374" t="s">
        <v>2563</v>
      </c>
      <c r="F492" s="356">
        <v>0</v>
      </c>
      <c r="G492" s="356">
        <v>0</v>
      </c>
      <c r="H492" s="356">
        <v>0</v>
      </c>
      <c r="I492" s="356">
        <v>0</v>
      </c>
      <c r="J492" s="356">
        <v>0</v>
      </c>
      <c r="K492" s="356">
        <v>0</v>
      </c>
      <c r="L492" s="356">
        <v>0</v>
      </c>
      <c r="M492" s="356">
        <v>0</v>
      </c>
      <c r="N492" s="356">
        <v>0</v>
      </c>
      <c r="O492" s="356">
        <v>0</v>
      </c>
      <c r="P492" s="356">
        <v>0</v>
      </c>
      <c r="Q492" s="356">
        <v>0</v>
      </c>
      <c r="R492" s="356">
        <v>-662939.05000000005</v>
      </c>
      <c r="S492" s="357">
        <f t="shared" si="100"/>
        <v>-27622.460416666669</v>
      </c>
      <c r="U492" s="358"/>
      <c r="V492" s="359">
        <f t="shared" si="101"/>
        <v>-27622.460416666669</v>
      </c>
      <c r="W492" s="359"/>
      <c r="X492" s="360"/>
      <c r="Y492" s="359"/>
      <c r="Z492" s="359"/>
      <c r="AA492" s="358"/>
      <c r="AB492" s="359"/>
      <c r="AD492" s="271">
        <f t="shared" si="102"/>
        <v>-27622.460416666669</v>
      </c>
      <c r="AF492" s="289">
        <f t="shared" si="94"/>
        <v>0</v>
      </c>
    </row>
    <row r="493" spans="1:32">
      <c r="A493" s="113">
        <v>478</v>
      </c>
      <c r="B493" s="119" t="s">
        <v>1530</v>
      </c>
      <c r="C493" s="119" t="s">
        <v>2557</v>
      </c>
      <c r="D493" s="119" t="s">
        <v>2564</v>
      </c>
      <c r="E493" s="374" t="s">
        <v>2565</v>
      </c>
      <c r="F493" s="356">
        <v>0</v>
      </c>
      <c r="G493" s="356">
        <v>0</v>
      </c>
      <c r="H493" s="356">
        <v>0</v>
      </c>
      <c r="I493" s="356">
        <v>0</v>
      </c>
      <c r="J493" s="356">
        <v>-6430.7</v>
      </c>
      <c r="K493" s="356">
        <v>-8912.5400000000009</v>
      </c>
      <c r="L493" s="356">
        <v>-11274.58</v>
      </c>
      <c r="M493" s="356">
        <v>-15940.27</v>
      </c>
      <c r="N493" s="356">
        <v>-17190.5</v>
      </c>
      <c r="O493" s="356">
        <v>-20350.68</v>
      </c>
      <c r="P493" s="356">
        <v>-24205.08</v>
      </c>
      <c r="Q493" s="356">
        <v>-25442.53</v>
      </c>
      <c r="R493" s="356">
        <v>-32452.03</v>
      </c>
      <c r="S493" s="357">
        <f t="shared" si="100"/>
        <v>-12164.407916666665</v>
      </c>
      <c r="U493" s="358"/>
      <c r="V493" s="359">
        <f t="shared" si="101"/>
        <v>-12164.407916666665</v>
      </c>
      <c r="W493" s="359"/>
      <c r="X493" s="360"/>
      <c r="Y493" s="359"/>
      <c r="Z493" s="359"/>
      <c r="AA493" s="358"/>
      <c r="AB493" s="359"/>
      <c r="AD493" s="271">
        <f t="shared" si="102"/>
        <v>-12164.407916666665</v>
      </c>
      <c r="AF493" s="289">
        <f t="shared" si="94"/>
        <v>0</v>
      </c>
    </row>
    <row r="494" spans="1:32">
      <c r="A494" s="113">
        <v>479</v>
      </c>
      <c r="B494" s="119" t="s">
        <v>1530</v>
      </c>
      <c r="C494" s="119" t="s">
        <v>2557</v>
      </c>
      <c r="D494" s="119" t="s">
        <v>386</v>
      </c>
      <c r="E494" s="374" t="s">
        <v>2566</v>
      </c>
      <c r="F494" s="356">
        <v>-11252.53</v>
      </c>
      <c r="G494" s="356">
        <v>-15316.63</v>
      </c>
      <c r="H494" s="356">
        <v>-14222.28</v>
      </c>
      <c r="I494" s="356">
        <v>-14262.33</v>
      </c>
      <c r="J494" s="356">
        <v>-13.450000000000699</v>
      </c>
      <c r="K494" s="356">
        <v>-13.450000000000699</v>
      </c>
      <c r="L494" s="356">
        <v>-13.450000000000699</v>
      </c>
      <c r="M494" s="356">
        <v>-7.2830630415410299E-13</v>
      </c>
      <c r="N494" s="356">
        <v>-63.070000000000697</v>
      </c>
      <c r="O494" s="356">
        <v>-114.030000000001</v>
      </c>
      <c r="P494" s="356">
        <v>-202.83000000000101</v>
      </c>
      <c r="Q494" s="356">
        <v>-227.10000000000099</v>
      </c>
      <c r="R494" s="356">
        <v>-277.43000000000097</v>
      </c>
      <c r="S494" s="357">
        <f t="shared" si="100"/>
        <v>-4184.4666666666662</v>
      </c>
      <c r="U494" s="358"/>
      <c r="V494" s="359">
        <f t="shared" si="101"/>
        <v>-4184.4666666666662</v>
      </c>
      <c r="W494" s="359"/>
      <c r="X494" s="360"/>
      <c r="Y494" s="359"/>
      <c r="Z494" s="359"/>
      <c r="AA494" s="358"/>
      <c r="AB494" s="359"/>
      <c r="AD494" s="271">
        <f t="shared" si="102"/>
        <v>-4184.4666666666662</v>
      </c>
      <c r="AF494" s="289">
        <f t="shared" si="94"/>
        <v>0</v>
      </c>
    </row>
    <row r="495" spans="1:32">
      <c r="A495" s="113">
        <v>480</v>
      </c>
      <c r="B495" s="119" t="s">
        <v>1530</v>
      </c>
      <c r="C495" s="119" t="s">
        <v>2557</v>
      </c>
      <c r="D495" s="119" t="s">
        <v>2567</v>
      </c>
      <c r="E495" s="374" t="s">
        <v>2568</v>
      </c>
      <c r="F495" s="356">
        <v>0</v>
      </c>
      <c r="G495" s="356">
        <v>0</v>
      </c>
      <c r="H495" s="356">
        <v>0</v>
      </c>
      <c r="I495" s="356">
        <v>0</v>
      </c>
      <c r="J495" s="356">
        <v>0</v>
      </c>
      <c r="K495" s="356">
        <v>0</v>
      </c>
      <c r="L495" s="356">
        <v>0</v>
      </c>
      <c r="M495" s="356">
        <v>0</v>
      </c>
      <c r="N495" s="356">
        <v>0</v>
      </c>
      <c r="O495" s="356">
        <v>0</v>
      </c>
      <c r="P495" s="356">
        <v>0</v>
      </c>
      <c r="Q495" s="356">
        <v>0</v>
      </c>
      <c r="R495" s="356">
        <v>-87733.82</v>
      </c>
      <c r="S495" s="357">
        <f t="shared" si="100"/>
        <v>-3655.5758333333338</v>
      </c>
      <c r="U495" s="358"/>
      <c r="V495" s="359">
        <f t="shared" si="101"/>
        <v>-3655.5758333333338</v>
      </c>
      <c r="W495" s="359"/>
      <c r="X495" s="360"/>
      <c r="Y495" s="359"/>
      <c r="Z495" s="359"/>
      <c r="AA495" s="358"/>
      <c r="AB495" s="359"/>
      <c r="AD495" s="271">
        <f t="shared" si="102"/>
        <v>-3655.5758333333338</v>
      </c>
      <c r="AF495" s="289">
        <f t="shared" si="94"/>
        <v>0</v>
      </c>
    </row>
    <row r="496" spans="1:32">
      <c r="A496" s="113">
        <v>481</v>
      </c>
      <c r="B496" s="119" t="s">
        <v>1530</v>
      </c>
      <c r="C496" s="119" t="s">
        <v>2557</v>
      </c>
      <c r="D496" s="119" t="s">
        <v>1496</v>
      </c>
      <c r="E496" s="374" t="s">
        <v>2569</v>
      </c>
      <c r="F496" s="356">
        <v>-5342.62</v>
      </c>
      <c r="G496" s="356">
        <v>-9168.6299999999992</v>
      </c>
      <c r="H496" s="356">
        <v>-14901.46</v>
      </c>
      <c r="I496" s="356">
        <v>-19833.759999999998</v>
      </c>
      <c r="J496" s="356">
        <v>-7338.38</v>
      </c>
      <c r="K496" s="356">
        <v>-10507.63</v>
      </c>
      <c r="L496" s="356">
        <v>-12204.15</v>
      </c>
      <c r="M496" s="356">
        <v>-2366.8000000000002</v>
      </c>
      <c r="N496" s="356">
        <v>-2725.69</v>
      </c>
      <c r="O496" s="356">
        <v>-2968.49</v>
      </c>
      <c r="P496" s="356">
        <v>-451.67000000000297</v>
      </c>
      <c r="Q496" s="356">
        <v>-586.79000000000303</v>
      </c>
      <c r="R496" s="356">
        <v>-761.080000000003</v>
      </c>
      <c r="S496" s="357">
        <f t="shared" si="100"/>
        <v>-7175.4416666666666</v>
      </c>
      <c r="U496" s="358"/>
      <c r="V496" s="359">
        <f>+S496</f>
        <v>-7175.4416666666666</v>
      </c>
      <c r="W496" s="359"/>
      <c r="X496" s="360"/>
      <c r="Y496" s="359"/>
      <c r="Z496" s="359"/>
      <c r="AA496" s="358"/>
      <c r="AB496" s="359"/>
      <c r="AD496" s="271">
        <f t="shared" si="102"/>
        <v>-7175.4416666666666</v>
      </c>
      <c r="AF496" s="289">
        <f t="shared" si="94"/>
        <v>0</v>
      </c>
    </row>
    <row r="497" spans="1:32">
      <c r="A497" s="113">
        <v>482</v>
      </c>
      <c r="B497" s="119" t="s">
        <v>1530</v>
      </c>
      <c r="C497" s="119" t="s">
        <v>2557</v>
      </c>
      <c r="D497" s="119" t="s">
        <v>2272</v>
      </c>
      <c r="E497" s="374" t="s">
        <v>2570</v>
      </c>
      <c r="F497" s="356">
        <v>0</v>
      </c>
      <c r="G497" s="356">
        <v>5575.28</v>
      </c>
      <c r="H497" s="356">
        <v>7227.57</v>
      </c>
      <c r="I497" s="356">
        <v>11370</v>
      </c>
      <c r="J497" s="356">
        <v>15156.65</v>
      </c>
      <c r="K497" s="356">
        <v>19314.25</v>
      </c>
      <c r="L497" s="356">
        <v>23452.53</v>
      </c>
      <c r="M497" s="356">
        <v>27515.26</v>
      </c>
      <c r="N497" s="356">
        <v>31761.91</v>
      </c>
      <c r="O497" s="356">
        <v>36314.58</v>
      </c>
      <c r="P497" s="356">
        <v>35572.04</v>
      </c>
      <c r="Q497" s="356">
        <v>35291.589999999997</v>
      </c>
      <c r="R497" s="356">
        <v>0</v>
      </c>
      <c r="S497" s="357">
        <f t="shared" si="100"/>
        <v>20712.638333333332</v>
      </c>
      <c r="U497" s="358"/>
      <c r="V497" s="359">
        <f t="shared" si="101"/>
        <v>20712.638333333332</v>
      </c>
      <c r="W497" s="359"/>
      <c r="X497" s="360"/>
      <c r="Y497" s="359"/>
      <c r="Z497" s="359"/>
      <c r="AA497" s="358"/>
      <c r="AB497" s="359"/>
      <c r="AD497" s="271">
        <f t="shared" si="102"/>
        <v>20712.638333333332</v>
      </c>
      <c r="AF497" s="289">
        <f t="shared" si="94"/>
        <v>0</v>
      </c>
    </row>
    <row r="498" spans="1:32">
      <c r="A498" s="113">
        <v>483</v>
      </c>
      <c r="B498" s="119" t="s">
        <v>1523</v>
      </c>
      <c r="C498" s="119" t="s">
        <v>2557</v>
      </c>
      <c r="D498" s="119" t="s">
        <v>2571</v>
      </c>
      <c r="E498" s="374" t="s">
        <v>2572</v>
      </c>
      <c r="F498" s="356">
        <v>-766.71</v>
      </c>
      <c r="G498" s="356">
        <v>-339.1</v>
      </c>
      <c r="H498" s="356">
        <v>-559.65</v>
      </c>
      <c r="I498" s="356">
        <v>-800.31</v>
      </c>
      <c r="J498" s="356">
        <v>-309.22000000000003</v>
      </c>
      <c r="K498" s="356">
        <v>-555.15</v>
      </c>
      <c r="L498" s="356">
        <v>-790.96</v>
      </c>
      <c r="M498" s="356">
        <v>-376.91</v>
      </c>
      <c r="N498" s="356">
        <v>-624.92999999999995</v>
      </c>
      <c r="O498" s="356">
        <v>-844.89</v>
      </c>
      <c r="P498" s="356">
        <v>-297.39</v>
      </c>
      <c r="Q498" s="356">
        <v>-519.70000000000005</v>
      </c>
      <c r="R498" s="356">
        <v>-798.49</v>
      </c>
      <c r="S498" s="357">
        <f t="shared" si="100"/>
        <v>-566.73416666666674</v>
      </c>
      <c r="U498" s="358"/>
      <c r="V498" s="359">
        <f t="shared" si="101"/>
        <v>-566.73416666666674</v>
      </c>
      <c r="W498" s="359"/>
      <c r="X498" s="360"/>
      <c r="Y498" s="359"/>
      <c r="Z498" s="359"/>
      <c r="AA498" s="358"/>
      <c r="AB498" s="359"/>
      <c r="AD498" s="271">
        <f t="shared" si="102"/>
        <v>-566.73416666666674</v>
      </c>
      <c r="AF498" s="289">
        <f t="shared" si="94"/>
        <v>0</v>
      </c>
    </row>
    <row r="499" spans="1:32">
      <c r="A499" s="113">
        <v>484</v>
      </c>
      <c r="B499" s="119" t="s">
        <v>1543</v>
      </c>
      <c r="C499" s="119" t="s">
        <v>2557</v>
      </c>
      <c r="D499" s="119" t="s">
        <v>1495</v>
      </c>
      <c r="E499" s="374" t="s">
        <v>2573</v>
      </c>
      <c r="F499" s="356">
        <v>-10011.82</v>
      </c>
      <c r="G499" s="356">
        <v>-17651.919999999998</v>
      </c>
      <c r="H499" s="356">
        <v>-32159.51</v>
      </c>
      <c r="I499" s="356">
        <v>-41448.14</v>
      </c>
      <c r="J499" s="356">
        <v>-13205.37</v>
      </c>
      <c r="K499" s="356">
        <v>-20070.23</v>
      </c>
      <c r="L499" s="356">
        <v>-25602.29</v>
      </c>
      <c r="M499" s="356">
        <v>-5853.21</v>
      </c>
      <c r="N499" s="356">
        <v>-8620.82</v>
      </c>
      <c r="O499" s="356">
        <v>-9698.35</v>
      </c>
      <c r="P499" s="356">
        <v>-1272.75</v>
      </c>
      <c r="Q499" s="356">
        <v>-1818.18</v>
      </c>
      <c r="R499" s="356">
        <v>-2325.4299999999998</v>
      </c>
      <c r="S499" s="357">
        <f t="shared" si="100"/>
        <v>-15297.449583333333</v>
      </c>
      <c r="U499" s="358"/>
      <c r="V499" s="359">
        <f t="shared" si="101"/>
        <v>-15297.449583333333</v>
      </c>
      <c r="W499" s="359"/>
      <c r="X499" s="360"/>
      <c r="Y499" s="359"/>
      <c r="Z499" s="359"/>
      <c r="AA499" s="358"/>
      <c r="AB499" s="359"/>
      <c r="AD499" s="271">
        <f t="shared" si="102"/>
        <v>-15297.449583333333</v>
      </c>
      <c r="AF499" s="289">
        <f t="shared" si="94"/>
        <v>0</v>
      </c>
    </row>
    <row r="500" spans="1:32">
      <c r="A500" s="113">
        <v>485</v>
      </c>
      <c r="B500" s="119" t="s">
        <v>1543</v>
      </c>
      <c r="C500" s="119" t="s">
        <v>2557</v>
      </c>
      <c r="D500" s="119" t="s">
        <v>2574</v>
      </c>
      <c r="E500" s="374" t="s">
        <v>2575</v>
      </c>
      <c r="F500" s="356">
        <v>-79962.61</v>
      </c>
      <c r="G500" s="356">
        <v>-99596.55</v>
      </c>
      <c r="H500" s="356">
        <v>-66210</v>
      </c>
      <c r="I500" s="356">
        <v>-92063.86</v>
      </c>
      <c r="J500" s="356">
        <v>-118008.4</v>
      </c>
      <c r="K500" s="356">
        <v>-63411.67</v>
      </c>
      <c r="L500" s="356">
        <v>-88805.6</v>
      </c>
      <c r="M500" s="356">
        <v>-117005.89</v>
      </c>
      <c r="N500" s="356">
        <v>-67879.72</v>
      </c>
      <c r="O500" s="356">
        <v>-93655.05</v>
      </c>
      <c r="P500" s="356">
        <v>-119246.76</v>
      </c>
      <c r="Q500" s="356">
        <v>-62318.5</v>
      </c>
      <c r="R500" s="356">
        <v>-44.969999999979301</v>
      </c>
      <c r="S500" s="357">
        <f t="shared" si="100"/>
        <v>-85683.815833333341</v>
      </c>
      <c r="U500" s="358"/>
      <c r="V500" s="359">
        <f t="shared" si="101"/>
        <v>-85683.815833333341</v>
      </c>
      <c r="W500" s="359"/>
      <c r="X500" s="360"/>
      <c r="Y500" s="359"/>
      <c r="Z500" s="359"/>
      <c r="AA500" s="358"/>
      <c r="AB500" s="359"/>
      <c r="AD500" s="271">
        <f t="shared" si="102"/>
        <v>-85683.815833333341</v>
      </c>
      <c r="AF500" s="289">
        <f t="shared" si="94"/>
        <v>0</v>
      </c>
    </row>
    <row r="501" spans="1:32">
      <c r="A501" s="113">
        <v>486</v>
      </c>
      <c r="B501" s="119" t="s">
        <v>1523</v>
      </c>
      <c r="C501" s="119" t="s">
        <v>2557</v>
      </c>
      <c r="D501" s="119" t="s">
        <v>2576</v>
      </c>
      <c r="E501" s="374" t="s">
        <v>2575</v>
      </c>
      <c r="F501" s="356">
        <v>-23699.43</v>
      </c>
      <c r="G501" s="356">
        <v>-33334.129999999997</v>
      </c>
      <c r="H501" s="356">
        <v>-24861.22</v>
      </c>
      <c r="I501" s="356">
        <v>-32567.26</v>
      </c>
      <c r="J501" s="356">
        <v>-39969.230000000003</v>
      </c>
      <c r="K501" s="356">
        <v>-16275.89</v>
      </c>
      <c r="L501" s="356">
        <v>-23821.78</v>
      </c>
      <c r="M501" s="356">
        <v>-33574.15</v>
      </c>
      <c r="N501" s="356">
        <v>-19434.45</v>
      </c>
      <c r="O501" s="356">
        <v>-26763.35</v>
      </c>
      <c r="P501" s="356">
        <v>-34077.53</v>
      </c>
      <c r="Q501" s="356">
        <v>-16111.36</v>
      </c>
      <c r="R501" s="356">
        <v>-25374.95</v>
      </c>
      <c r="S501" s="357">
        <f t="shared" si="100"/>
        <v>-27110.62833333333</v>
      </c>
      <c r="U501" s="358"/>
      <c r="V501" s="359">
        <f t="shared" si="101"/>
        <v>-27110.62833333333</v>
      </c>
      <c r="W501" s="359"/>
      <c r="X501" s="360"/>
      <c r="Y501" s="359"/>
      <c r="Z501" s="359"/>
      <c r="AA501" s="358"/>
      <c r="AB501" s="359"/>
      <c r="AD501" s="271">
        <f t="shared" si="102"/>
        <v>-27110.62833333333</v>
      </c>
      <c r="AF501" s="289">
        <f t="shared" si="94"/>
        <v>0</v>
      </c>
    </row>
    <row r="502" spans="1:32">
      <c r="A502" s="113">
        <v>487</v>
      </c>
      <c r="B502" s="119" t="s">
        <v>1523</v>
      </c>
      <c r="C502" s="119" t="s">
        <v>2577</v>
      </c>
      <c r="D502" s="119"/>
      <c r="E502" s="374" t="s">
        <v>2578</v>
      </c>
      <c r="F502" s="356">
        <v>-11696.45</v>
      </c>
      <c r="G502" s="356">
        <v>-11991.94</v>
      </c>
      <c r="H502" s="356">
        <v>2004.49</v>
      </c>
      <c r="I502" s="356">
        <v>1317.75</v>
      </c>
      <c r="J502" s="356">
        <v>-1974.11</v>
      </c>
      <c r="K502" s="356">
        <v>-587.71</v>
      </c>
      <c r="L502" s="356">
        <v>-6076.43</v>
      </c>
      <c r="M502" s="356">
        <v>88489.91</v>
      </c>
      <c r="N502" s="356">
        <v>-562.05000000000302</v>
      </c>
      <c r="O502" s="356">
        <v>-26323.66</v>
      </c>
      <c r="P502" s="356">
        <v>-1782.87</v>
      </c>
      <c r="Q502" s="356">
        <v>-4274.79</v>
      </c>
      <c r="R502" s="356">
        <v>-9745.14</v>
      </c>
      <c r="S502" s="357">
        <f t="shared" si="100"/>
        <v>2293.1495833333333</v>
      </c>
      <c r="U502" s="358"/>
      <c r="V502" s="359">
        <f t="shared" si="101"/>
        <v>2293.1495833333333</v>
      </c>
      <c r="W502" s="359"/>
      <c r="X502" s="360"/>
      <c r="Y502" s="359"/>
      <c r="Z502" s="359"/>
      <c r="AA502" s="358"/>
      <c r="AB502" s="359"/>
      <c r="AD502" s="271">
        <f t="shared" si="102"/>
        <v>2293.1495833333333</v>
      </c>
      <c r="AF502" s="289">
        <f t="shared" si="94"/>
        <v>0</v>
      </c>
    </row>
    <row r="503" spans="1:32">
      <c r="A503" s="113">
        <v>488</v>
      </c>
      <c r="B503" s="119" t="s">
        <v>1523</v>
      </c>
      <c r="C503" s="119" t="s">
        <v>2577</v>
      </c>
      <c r="D503" s="119" t="s">
        <v>1503</v>
      </c>
      <c r="E503" s="374" t="s">
        <v>2579</v>
      </c>
      <c r="F503" s="356">
        <v>0</v>
      </c>
      <c r="G503" s="356">
        <v>0</v>
      </c>
      <c r="H503" s="356">
        <v>0</v>
      </c>
      <c r="I503" s="356">
        <v>-0.46</v>
      </c>
      <c r="J503" s="356">
        <v>-0.46</v>
      </c>
      <c r="K503" s="356">
        <v>-0.46</v>
      </c>
      <c r="L503" s="356">
        <v>-0.46</v>
      </c>
      <c r="M503" s="356">
        <v>-48.51</v>
      </c>
      <c r="N503" s="356">
        <v>0</v>
      </c>
      <c r="O503" s="356">
        <v>0</v>
      </c>
      <c r="P503" s="356">
        <v>0</v>
      </c>
      <c r="Q503" s="356">
        <v>0</v>
      </c>
      <c r="R503" s="356">
        <v>0</v>
      </c>
      <c r="S503" s="357">
        <f t="shared" si="100"/>
        <v>-4.1958333333333337</v>
      </c>
      <c r="U503" s="358"/>
      <c r="V503" s="359">
        <f t="shared" si="101"/>
        <v>-4.1958333333333337</v>
      </c>
      <c r="W503" s="359"/>
      <c r="X503" s="360"/>
      <c r="Y503" s="359"/>
      <c r="Z503" s="359"/>
      <c r="AA503" s="358"/>
      <c r="AB503" s="359"/>
      <c r="AD503" s="271">
        <f t="shared" si="102"/>
        <v>-4.1958333333333337</v>
      </c>
      <c r="AF503" s="289">
        <f t="shared" si="94"/>
        <v>0</v>
      </c>
    </row>
    <row r="504" spans="1:32">
      <c r="A504" s="113">
        <v>489</v>
      </c>
      <c r="B504" s="119" t="s">
        <v>1523</v>
      </c>
      <c r="C504" s="119" t="s">
        <v>2580</v>
      </c>
      <c r="D504" s="119" t="s">
        <v>1526</v>
      </c>
      <c r="E504" s="374" t="s">
        <v>2581</v>
      </c>
      <c r="F504" s="356">
        <v>-9.9999999874853494E-3</v>
      </c>
      <c r="G504" s="356">
        <v>0</v>
      </c>
      <c r="H504" s="356">
        <v>0</v>
      </c>
      <c r="I504" s="356">
        <v>0</v>
      </c>
      <c r="J504" s="356">
        <v>0</v>
      </c>
      <c r="K504" s="356">
        <v>30943.83</v>
      </c>
      <c r="L504" s="356">
        <v>0</v>
      </c>
      <c r="M504" s="356">
        <v>0</v>
      </c>
      <c r="N504" s="356">
        <v>0</v>
      </c>
      <c r="O504" s="356">
        <v>0</v>
      </c>
      <c r="P504" s="356">
        <v>0</v>
      </c>
      <c r="Q504" s="356">
        <v>0</v>
      </c>
      <c r="R504" s="356">
        <v>0</v>
      </c>
      <c r="S504" s="357">
        <f t="shared" si="100"/>
        <v>2578.6520833333338</v>
      </c>
      <c r="U504" s="358"/>
      <c r="V504" s="359">
        <f t="shared" si="101"/>
        <v>2578.6520833333338</v>
      </c>
      <c r="W504" s="359"/>
      <c r="X504" s="360"/>
      <c r="Y504" s="359"/>
      <c r="Z504" s="359"/>
      <c r="AA504" s="358"/>
      <c r="AB504" s="359"/>
      <c r="AD504" s="271">
        <f>+S504</f>
        <v>2578.6520833333338</v>
      </c>
      <c r="AF504" s="289">
        <f t="shared" si="94"/>
        <v>0</v>
      </c>
    </row>
    <row r="505" spans="1:32">
      <c r="A505" s="113">
        <v>490</v>
      </c>
      <c r="B505" s="119" t="s">
        <v>1523</v>
      </c>
      <c r="C505" s="119" t="s">
        <v>2582</v>
      </c>
      <c r="D505" s="119" t="s">
        <v>2004</v>
      </c>
      <c r="E505" s="374" t="s">
        <v>2583</v>
      </c>
      <c r="F505" s="356">
        <v>3.6379788070917101E-12</v>
      </c>
      <c r="G505" s="356">
        <v>-10763.89</v>
      </c>
      <c r="H505" s="356">
        <v>-20833.330000000002</v>
      </c>
      <c r="I505" s="356">
        <v>0</v>
      </c>
      <c r="J505" s="356">
        <v>-10416.67</v>
      </c>
      <c r="K505" s="356">
        <v>-21180.560000000001</v>
      </c>
      <c r="L505" s="356">
        <v>3.6379788070917101E-12</v>
      </c>
      <c r="M505" s="356">
        <v>-10763.89</v>
      </c>
      <c r="N505" s="356">
        <v>-21527.78</v>
      </c>
      <c r="O505" s="356">
        <v>3.6379788070917101E-12</v>
      </c>
      <c r="P505" s="356">
        <v>-10763.89</v>
      </c>
      <c r="Q505" s="356">
        <v>-21180.560000000001</v>
      </c>
      <c r="R505" s="356">
        <v>3.6379788070917101E-12</v>
      </c>
      <c r="S505" s="357">
        <f t="shared" si="100"/>
        <v>-10619.214166666667</v>
      </c>
      <c r="U505" s="358"/>
      <c r="V505" s="359">
        <f t="shared" si="101"/>
        <v>-10619.214166666667</v>
      </c>
      <c r="W505" s="359"/>
      <c r="X505" s="360"/>
      <c r="Y505" s="359"/>
      <c r="Z505" s="359"/>
      <c r="AA505" s="358"/>
      <c r="AB505" s="359"/>
      <c r="AD505" s="271">
        <f>+S505</f>
        <v>-10619.214166666667</v>
      </c>
      <c r="AF505" s="289">
        <f t="shared" si="94"/>
        <v>0</v>
      </c>
    </row>
    <row r="506" spans="1:32">
      <c r="A506" s="113">
        <v>491</v>
      </c>
      <c r="B506" s="119" t="s">
        <v>1523</v>
      </c>
      <c r="C506" s="119" t="s">
        <v>2582</v>
      </c>
      <c r="D506" s="119" t="s">
        <v>2506</v>
      </c>
      <c r="E506" s="374" t="s">
        <v>2584</v>
      </c>
      <c r="F506" s="356">
        <v>-16790.72</v>
      </c>
      <c r="G506" s="356">
        <v>-218617.05</v>
      </c>
      <c r="H506" s="356">
        <v>-234455.22</v>
      </c>
      <c r="I506" s="356">
        <v>-48481.16</v>
      </c>
      <c r="J506" s="356">
        <v>-60936.57</v>
      </c>
      <c r="K506" s="356">
        <v>-113168.55</v>
      </c>
      <c r="L506" s="356">
        <v>-1.45519152283669E-11</v>
      </c>
      <c r="M506" s="356">
        <v>-19495.560000000001</v>
      </c>
      <c r="N506" s="356">
        <v>-59449.56</v>
      </c>
      <c r="O506" s="356">
        <v>-12308.59</v>
      </c>
      <c r="P506" s="356">
        <v>-76805.490000000005</v>
      </c>
      <c r="Q506" s="356">
        <v>-122504.5</v>
      </c>
      <c r="R506" s="356">
        <v>-30509.360000000001</v>
      </c>
      <c r="S506" s="357">
        <f t="shared" si="100"/>
        <v>-82489.357500000013</v>
      </c>
      <c r="U506" s="358"/>
      <c r="V506" s="359">
        <f t="shared" si="101"/>
        <v>-82489.357500000013</v>
      </c>
      <c r="W506" s="359"/>
      <c r="X506" s="360"/>
      <c r="Y506" s="359"/>
      <c r="Z506" s="359"/>
      <c r="AA506" s="358"/>
      <c r="AB506" s="359"/>
      <c r="AD506" s="271">
        <f>+S506</f>
        <v>-82489.357500000013</v>
      </c>
      <c r="AF506" s="289">
        <f t="shared" si="94"/>
        <v>0</v>
      </c>
    </row>
    <row r="507" spans="1:32">
      <c r="A507" s="113">
        <v>492</v>
      </c>
      <c r="B507" s="119" t="s">
        <v>1523</v>
      </c>
      <c r="C507" s="119" t="s">
        <v>2582</v>
      </c>
      <c r="D507" s="119" t="s">
        <v>387</v>
      </c>
      <c r="E507" s="374" t="s">
        <v>2585</v>
      </c>
      <c r="F507" s="356">
        <v>-374000</v>
      </c>
      <c r="G507" s="356">
        <v>-498666.67</v>
      </c>
      <c r="H507" s="356">
        <v>-623333.34</v>
      </c>
      <c r="I507" s="356">
        <v>-748000</v>
      </c>
      <c r="J507" s="356">
        <v>-124666.67</v>
      </c>
      <c r="K507" s="356">
        <v>-249333.34</v>
      </c>
      <c r="L507" s="356">
        <v>-374000</v>
      </c>
      <c r="M507" s="356">
        <v>-498666.67</v>
      </c>
      <c r="N507" s="356">
        <v>-623333.34</v>
      </c>
      <c r="O507" s="356">
        <v>-748000</v>
      </c>
      <c r="P507" s="356">
        <v>-124666.67</v>
      </c>
      <c r="Q507" s="356">
        <v>-249333.34</v>
      </c>
      <c r="R507" s="356">
        <v>-374000</v>
      </c>
      <c r="S507" s="357">
        <f t="shared" si="100"/>
        <v>-436333.33666666661</v>
      </c>
      <c r="U507" s="358"/>
      <c r="V507" s="359">
        <f t="shared" si="101"/>
        <v>-436333.33666666661</v>
      </c>
      <c r="W507" s="359"/>
      <c r="X507" s="360"/>
      <c r="Y507" s="359"/>
      <c r="Z507" s="359"/>
      <c r="AA507" s="358"/>
      <c r="AB507" s="359"/>
      <c r="AD507" s="271">
        <f>+V507</f>
        <v>-436333.33666666661</v>
      </c>
      <c r="AF507" s="289">
        <f t="shared" si="94"/>
        <v>0</v>
      </c>
    </row>
    <row r="508" spans="1:32">
      <c r="A508" s="113">
        <v>493</v>
      </c>
      <c r="B508" s="119" t="s">
        <v>1530</v>
      </c>
      <c r="C508" s="119" t="s">
        <v>2582</v>
      </c>
      <c r="D508" s="113" t="s">
        <v>2171</v>
      </c>
      <c r="E508" s="374" t="s">
        <v>2586</v>
      </c>
      <c r="F508" s="356">
        <v>-266175</v>
      </c>
      <c r="G508" s="356">
        <v>-354900</v>
      </c>
      <c r="H508" s="356">
        <v>-443625</v>
      </c>
      <c r="I508" s="356">
        <v>-532350</v>
      </c>
      <c r="J508" s="356">
        <v>-88725</v>
      </c>
      <c r="K508" s="356">
        <v>-177450</v>
      </c>
      <c r="L508" s="356">
        <v>-266175</v>
      </c>
      <c r="M508" s="356">
        <v>-354900</v>
      </c>
      <c r="N508" s="356">
        <v>-443625</v>
      </c>
      <c r="O508" s="356">
        <v>-532350</v>
      </c>
      <c r="P508" s="356">
        <v>-88725</v>
      </c>
      <c r="Q508" s="356">
        <v>-177450</v>
      </c>
      <c r="R508" s="356">
        <v>-266175</v>
      </c>
      <c r="S508" s="357">
        <f t="shared" si="100"/>
        <v>-310537.5</v>
      </c>
      <c r="U508" s="358"/>
      <c r="V508" s="359">
        <f t="shared" si="101"/>
        <v>-310537.5</v>
      </c>
      <c r="W508" s="359"/>
      <c r="X508" s="360"/>
      <c r="Y508" s="359"/>
      <c r="Z508" s="359"/>
      <c r="AA508" s="358"/>
      <c r="AB508" s="359"/>
      <c r="AC508" s="271">
        <f>+W508</f>
        <v>0</v>
      </c>
      <c r="AD508" s="271">
        <f>+V508</f>
        <v>-310537.5</v>
      </c>
      <c r="AF508" s="289">
        <f t="shared" si="94"/>
        <v>0</v>
      </c>
    </row>
    <row r="509" spans="1:32">
      <c r="A509" s="113">
        <v>494</v>
      </c>
      <c r="B509" s="119" t="s">
        <v>1543</v>
      </c>
      <c r="C509" s="119" t="s">
        <v>2582</v>
      </c>
      <c r="D509" s="113" t="s">
        <v>2173</v>
      </c>
      <c r="E509" s="374" t="s">
        <v>2587</v>
      </c>
      <c r="F509" s="356">
        <v>-211872.5</v>
      </c>
      <c r="G509" s="356">
        <v>-317808.75</v>
      </c>
      <c r="H509" s="356">
        <v>-105936.25</v>
      </c>
      <c r="I509" s="356">
        <v>-211872.5</v>
      </c>
      <c r="J509" s="356">
        <v>-317808.75</v>
      </c>
      <c r="K509" s="356">
        <v>-105936.25</v>
      </c>
      <c r="L509" s="356">
        <v>-211872.5</v>
      </c>
      <c r="M509" s="356">
        <v>-317808.75</v>
      </c>
      <c r="N509" s="356">
        <v>-105879.38</v>
      </c>
      <c r="O509" s="356">
        <v>-211758.76</v>
      </c>
      <c r="P509" s="356">
        <v>-317638.13</v>
      </c>
      <c r="Q509" s="356">
        <v>0</v>
      </c>
      <c r="R509" s="356">
        <v>0</v>
      </c>
      <c r="S509" s="357">
        <f t="shared" si="100"/>
        <v>-194188.02249999999</v>
      </c>
      <c r="U509" s="358"/>
      <c r="V509" s="359">
        <f t="shared" si="101"/>
        <v>-194188.02249999999</v>
      </c>
      <c r="W509" s="359"/>
      <c r="X509" s="359"/>
      <c r="Y509" s="359"/>
      <c r="Z509" s="359"/>
      <c r="AA509" s="358"/>
      <c r="AB509" s="271">
        <f>+X509</f>
        <v>0</v>
      </c>
      <c r="AD509" s="271">
        <f>+V509</f>
        <v>-194188.02249999999</v>
      </c>
      <c r="AF509" s="289">
        <f t="shared" si="94"/>
        <v>0</v>
      </c>
    </row>
    <row r="510" spans="1:32">
      <c r="A510" s="113">
        <v>495</v>
      </c>
      <c r="B510" s="119" t="s">
        <v>1523</v>
      </c>
      <c r="C510" s="119" t="s">
        <v>2582</v>
      </c>
      <c r="D510" s="119" t="s">
        <v>2109</v>
      </c>
      <c r="E510" s="374" t="s">
        <v>2588</v>
      </c>
      <c r="F510" s="356">
        <v>-260500</v>
      </c>
      <c r="G510" s="356">
        <v>-325625</v>
      </c>
      <c r="H510" s="356">
        <v>-390750</v>
      </c>
      <c r="I510" s="356">
        <v>-65125</v>
      </c>
      <c r="J510" s="356">
        <v>-130250</v>
      </c>
      <c r="K510" s="356">
        <v>-195375</v>
      </c>
      <c r="L510" s="356">
        <v>-260500</v>
      </c>
      <c r="M510" s="356">
        <v>-325625</v>
      </c>
      <c r="N510" s="356">
        <v>-390750</v>
      </c>
      <c r="O510" s="356">
        <v>0</v>
      </c>
      <c r="P510" s="356">
        <v>0</v>
      </c>
      <c r="Q510" s="356">
        <v>0</v>
      </c>
      <c r="R510" s="356">
        <v>0</v>
      </c>
      <c r="S510" s="357">
        <f t="shared" si="100"/>
        <v>-184520.83333333334</v>
      </c>
      <c r="U510" s="358"/>
      <c r="V510" s="359">
        <f t="shared" si="101"/>
        <v>-184520.83333333334</v>
      </c>
      <c r="W510" s="359"/>
      <c r="X510" s="359"/>
      <c r="Y510" s="359"/>
      <c r="Z510" s="359"/>
      <c r="AA510" s="358"/>
      <c r="AB510" s="271">
        <f>+X510</f>
        <v>0</v>
      </c>
      <c r="AD510" s="271">
        <f>+V510</f>
        <v>-184520.83333333334</v>
      </c>
      <c r="AF510" s="289">
        <f t="shared" si="94"/>
        <v>0</v>
      </c>
    </row>
    <row r="511" spans="1:32">
      <c r="A511" s="113">
        <v>496</v>
      </c>
      <c r="B511" s="119" t="s">
        <v>1530</v>
      </c>
      <c r="C511" s="119" t="s">
        <v>2582</v>
      </c>
      <c r="D511" s="119" t="s">
        <v>2111</v>
      </c>
      <c r="E511" s="374" t="s">
        <v>2589</v>
      </c>
      <c r="F511" s="356">
        <v>-772000</v>
      </c>
      <c r="G511" s="356">
        <v>-965000</v>
      </c>
      <c r="H511" s="356">
        <v>-1158000</v>
      </c>
      <c r="I511" s="356">
        <v>-193000</v>
      </c>
      <c r="J511" s="356">
        <v>-386000</v>
      </c>
      <c r="K511" s="356">
        <v>-579000</v>
      </c>
      <c r="L511" s="356">
        <v>-772000</v>
      </c>
      <c r="M511" s="356">
        <v>-965000</v>
      </c>
      <c r="N511" s="356">
        <v>-1158000</v>
      </c>
      <c r="O511" s="356">
        <v>-193000</v>
      </c>
      <c r="P511" s="356">
        <v>-386000</v>
      </c>
      <c r="Q511" s="356">
        <v>-579000</v>
      </c>
      <c r="R511" s="356">
        <v>-772000</v>
      </c>
      <c r="S511" s="357">
        <f t="shared" si="100"/>
        <v>-675500</v>
      </c>
      <c r="U511" s="358"/>
      <c r="V511" s="359">
        <f t="shared" ref="V511:V562" si="103">+S511</f>
        <v>-675500</v>
      </c>
      <c r="W511" s="359"/>
      <c r="X511" s="360"/>
      <c r="Y511" s="359"/>
      <c r="Z511" s="359"/>
      <c r="AA511" s="358"/>
      <c r="AB511" s="359"/>
      <c r="AD511" s="271">
        <f t="shared" ref="AD511:AD581" si="104">+V511</f>
        <v>-675500</v>
      </c>
      <c r="AF511" s="289">
        <f t="shared" si="94"/>
        <v>0</v>
      </c>
    </row>
    <row r="512" spans="1:32">
      <c r="A512" s="113">
        <v>497</v>
      </c>
      <c r="B512" s="119" t="s">
        <v>1530</v>
      </c>
      <c r="C512" s="119" t="s">
        <v>2582</v>
      </c>
      <c r="D512" s="119" t="s">
        <v>2001</v>
      </c>
      <c r="E512" s="374" t="s">
        <v>2590</v>
      </c>
      <c r="F512" s="356">
        <v>-342500</v>
      </c>
      <c r="G512" s="356">
        <v>-428125</v>
      </c>
      <c r="H512" s="356">
        <v>0</v>
      </c>
      <c r="I512" s="356">
        <v>-85625</v>
      </c>
      <c r="J512" s="356">
        <v>-171250</v>
      </c>
      <c r="K512" s="356">
        <v>-256875</v>
      </c>
      <c r="L512" s="356">
        <v>-342500</v>
      </c>
      <c r="M512" s="356">
        <v>-428125</v>
      </c>
      <c r="N512" s="356">
        <v>0</v>
      </c>
      <c r="O512" s="356">
        <v>-85625</v>
      </c>
      <c r="P512" s="356">
        <v>-171250</v>
      </c>
      <c r="Q512" s="356">
        <v>-256875</v>
      </c>
      <c r="R512" s="356">
        <v>-342500</v>
      </c>
      <c r="S512" s="357">
        <f t="shared" si="100"/>
        <v>-214062.5</v>
      </c>
      <c r="U512" s="358"/>
      <c r="V512" s="359">
        <f t="shared" si="103"/>
        <v>-214062.5</v>
      </c>
      <c r="W512" s="359"/>
      <c r="X512" s="360"/>
      <c r="Y512" s="359"/>
      <c r="Z512" s="359"/>
      <c r="AA512" s="358"/>
      <c r="AB512" s="359"/>
      <c r="AD512" s="271">
        <f t="shared" si="104"/>
        <v>-214062.5</v>
      </c>
      <c r="AF512" s="289">
        <f t="shared" si="94"/>
        <v>0</v>
      </c>
    </row>
    <row r="513" spans="1:32">
      <c r="A513" s="113">
        <v>498</v>
      </c>
      <c r="B513" s="119" t="s">
        <v>1530</v>
      </c>
      <c r="C513" s="119" t="s">
        <v>2582</v>
      </c>
      <c r="D513" s="119" t="s">
        <v>2178</v>
      </c>
      <c r="E513" s="374" t="s">
        <v>2591</v>
      </c>
      <c r="F513" s="356">
        <v>-363333.33</v>
      </c>
      <c r="G513" s="356">
        <v>-454166.66</v>
      </c>
      <c r="H513" s="356">
        <v>-5.8207660913467401E-11</v>
      </c>
      <c r="I513" s="356">
        <v>-90833.330000000104</v>
      </c>
      <c r="J513" s="356">
        <v>-181666.66</v>
      </c>
      <c r="K513" s="356">
        <v>-272500</v>
      </c>
      <c r="L513" s="356">
        <v>-363333.33</v>
      </c>
      <c r="M513" s="356">
        <v>-454166.66</v>
      </c>
      <c r="N513" s="356">
        <v>-1.16415321826935E-10</v>
      </c>
      <c r="O513" s="356">
        <v>-90833.330000000104</v>
      </c>
      <c r="P513" s="356">
        <v>-181666.66</v>
      </c>
      <c r="Q513" s="356">
        <v>-272500</v>
      </c>
      <c r="R513" s="356">
        <v>-363333.33</v>
      </c>
      <c r="S513" s="357">
        <f t="shared" si="100"/>
        <v>-227083.33</v>
      </c>
      <c r="U513" s="358"/>
      <c r="V513" s="359">
        <f t="shared" si="103"/>
        <v>-227083.33</v>
      </c>
      <c r="W513" s="359"/>
      <c r="X513" s="360"/>
      <c r="Y513" s="359"/>
      <c r="Z513" s="359"/>
      <c r="AA513" s="358"/>
      <c r="AB513" s="359"/>
      <c r="AD513" s="271">
        <f t="shared" si="104"/>
        <v>-227083.33</v>
      </c>
      <c r="AF513" s="289">
        <f t="shared" si="94"/>
        <v>0</v>
      </c>
    </row>
    <row r="514" spans="1:32">
      <c r="A514" s="113">
        <v>499</v>
      </c>
      <c r="B514" s="119" t="s">
        <v>1530</v>
      </c>
      <c r="C514" s="119" t="s">
        <v>2582</v>
      </c>
      <c r="D514" s="119" t="s">
        <v>2116</v>
      </c>
      <c r="E514" s="374" t="s">
        <v>2592</v>
      </c>
      <c r="F514" s="356">
        <v>-42604.17</v>
      </c>
      <c r="G514" s="356">
        <v>-85208.34</v>
      </c>
      <c r="H514" s="356">
        <v>-127812.5</v>
      </c>
      <c r="I514" s="356">
        <v>-170416.67</v>
      </c>
      <c r="J514" s="356">
        <v>-213020.84</v>
      </c>
      <c r="K514" s="356">
        <v>2.91038304567337E-11</v>
      </c>
      <c r="L514" s="356">
        <v>-42604.17</v>
      </c>
      <c r="M514" s="356">
        <v>-85208.34</v>
      </c>
      <c r="N514" s="356">
        <v>-127812.5</v>
      </c>
      <c r="O514" s="356">
        <v>-170416.67</v>
      </c>
      <c r="P514" s="356">
        <v>-213020.84</v>
      </c>
      <c r="Q514" s="356">
        <v>2.91038304567337E-11</v>
      </c>
      <c r="R514" s="356">
        <v>-42604.17</v>
      </c>
      <c r="S514" s="357">
        <f t="shared" si="100"/>
        <v>-106510.42</v>
      </c>
      <c r="U514" s="358"/>
      <c r="V514" s="359">
        <f t="shared" si="103"/>
        <v>-106510.42</v>
      </c>
      <c r="W514" s="359"/>
      <c r="X514" s="360"/>
      <c r="Y514" s="359"/>
      <c r="Z514" s="359"/>
      <c r="AA514" s="358"/>
      <c r="AB514" s="359"/>
      <c r="AD514" s="271">
        <f t="shared" si="104"/>
        <v>-106510.42</v>
      </c>
      <c r="AF514" s="289">
        <f t="shared" si="94"/>
        <v>0</v>
      </c>
    </row>
    <row r="515" spans="1:32">
      <c r="A515" s="113">
        <v>500</v>
      </c>
      <c r="B515" s="119" t="s">
        <v>1530</v>
      </c>
      <c r="C515" s="119" t="s">
        <v>2582</v>
      </c>
      <c r="D515" s="119" t="s">
        <v>2182</v>
      </c>
      <c r="E515" s="374" t="s">
        <v>2593</v>
      </c>
      <c r="F515" s="356">
        <v>-44166.67</v>
      </c>
      <c r="G515" s="356">
        <v>-88333.34</v>
      </c>
      <c r="H515" s="356">
        <v>-132500</v>
      </c>
      <c r="I515" s="356">
        <v>-176666.67</v>
      </c>
      <c r="J515" s="356">
        <v>-220833.34</v>
      </c>
      <c r="K515" s="356">
        <v>2.91038304567337E-11</v>
      </c>
      <c r="L515" s="356">
        <v>-44166.67</v>
      </c>
      <c r="M515" s="356">
        <v>-88333.34</v>
      </c>
      <c r="N515" s="356">
        <v>-132500</v>
      </c>
      <c r="O515" s="356">
        <v>-176666.67</v>
      </c>
      <c r="P515" s="356">
        <v>-220833.34</v>
      </c>
      <c r="Q515" s="356">
        <v>2.91038304567337E-11</v>
      </c>
      <c r="R515" s="356">
        <v>-44166.67</v>
      </c>
      <c r="S515" s="357">
        <f t="shared" si="100"/>
        <v>-110416.67</v>
      </c>
      <c r="U515" s="358"/>
      <c r="V515" s="359">
        <f t="shared" si="103"/>
        <v>-110416.67</v>
      </c>
      <c r="W515" s="359"/>
      <c r="X515" s="360"/>
      <c r="Y515" s="359"/>
      <c r="Z515" s="359"/>
      <c r="AA515" s="358"/>
      <c r="AB515" s="359"/>
      <c r="AD515" s="271">
        <f t="shared" si="104"/>
        <v>-110416.67</v>
      </c>
      <c r="AF515" s="289">
        <f t="shared" si="94"/>
        <v>0</v>
      </c>
    </row>
    <row r="516" spans="1:32">
      <c r="A516" s="113">
        <v>501</v>
      </c>
      <c r="B516" s="119" t="s">
        <v>1530</v>
      </c>
      <c r="C516" s="119" t="s">
        <v>2582</v>
      </c>
      <c r="D516" s="119" t="s">
        <v>2184</v>
      </c>
      <c r="E516" s="374" t="s">
        <v>2594</v>
      </c>
      <c r="F516" s="356">
        <v>-213020.84</v>
      </c>
      <c r="G516" s="356">
        <v>0</v>
      </c>
      <c r="H516" s="356">
        <v>-42604.17</v>
      </c>
      <c r="I516" s="356">
        <v>-85208.34</v>
      </c>
      <c r="J516" s="356">
        <v>-127812.5</v>
      </c>
      <c r="K516" s="356">
        <v>-170416.67</v>
      </c>
      <c r="L516" s="356">
        <v>-213020.84</v>
      </c>
      <c r="M516" s="356">
        <v>2.91038304567337E-11</v>
      </c>
      <c r="N516" s="356">
        <v>-42604.17</v>
      </c>
      <c r="O516" s="356">
        <v>-85208.34</v>
      </c>
      <c r="P516" s="356">
        <v>-127812.5</v>
      </c>
      <c r="Q516" s="356">
        <v>-170416.67</v>
      </c>
      <c r="R516" s="356">
        <v>-213020.84</v>
      </c>
      <c r="S516" s="357">
        <f t="shared" si="100"/>
        <v>-106510.42</v>
      </c>
      <c r="U516" s="358"/>
      <c r="V516" s="359">
        <f t="shared" si="103"/>
        <v>-106510.42</v>
      </c>
      <c r="W516" s="359"/>
      <c r="X516" s="360"/>
      <c r="Y516" s="359"/>
      <c r="Z516" s="359"/>
      <c r="AA516" s="358"/>
      <c r="AB516" s="359"/>
      <c r="AD516" s="271">
        <f t="shared" si="104"/>
        <v>-106510.42</v>
      </c>
      <c r="AF516" s="289">
        <f t="shared" si="94"/>
        <v>0</v>
      </c>
    </row>
    <row r="517" spans="1:32">
      <c r="A517" s="113">
        <v>502</v>
      </c>
      <c r="B517" s="119" t="s">
        <v>1530</v>
      </c>
      <c r="C517" s="119" t="s">
        <v>2582</v>
      </c>
      <c r="D517" s="119" t="s">
        <v>2186</v>
      </c>
      <c r="E517" s="374" t="s">
        <v>2595</v>
      </c>
      <c r="F517" s="356">
        <v>-220833.34</v>
      </c>
      <c r="G517" s="356">
        <v>0</v>
      </c>
      <c r="H517" s="356">
        <v>-44166.67</v>
      </c>
      <c r="I517" s="356">
        <v>-88333.34</v>
      </c>
      <c r="J517" s="356">
        <v>-132500</v>
      </c>
      <c r="K517" s="356">
        <v>-176666.67</v>
      </c>
      <c r="L517" s="356">
        <v>-220833.34</v>
      </c>
      <c r="M517" s="356">
        <v>2.91038304567337E-11</v>
      </c>
      <c r="N517" s="356">
        <v>-44166.67</v>
      </c>
      <c r="O517" s="356">
        <v>-88333.34</v>
      </c>
      <c r="P517" s="356">
        <v>-132500</v>
      </c>
      <c r="Q517" s="356">
        <v>-176666.67</v>
      </c>
      <c r="R517" s="356">
        <v>-220833.34</v>
      </c>
      <c r="S517" s="357">
        <f t="shared" si="100"/>
        <v>-110416.67</v>
      </c>
      <c r="U517" s="358"/>
      <c r="V517" s="359">
        <f t="shared" si="103"/>
        <v>-110416.67</v>
      </c>
      <c r="W517" s="359"/>
      <c r="X517" s="360"/>
      <c r="Y517" s="359"/>
      <c r="Z517" s="359"/>
      <c r="AA517" s="358"/>
      <c r="AB517" s="359"/>
      <c r="AD517" s="271">
        <f t="shared" si="104"/>
        <v>-110416.67</v>
      </c>
      <c r="AF517" s="289">
        <f t="shared" si="94"/>
        <v>0</v>
      </c>
    </row>
    <row r="518" spans="1:32">
      <c r="A518" s="113">
        <v>503</v>
      </c>
      <c r="B518" s="119" t="s">
        <v>1530</v>
      </c>
      <c r="C518" s="119" t="s">
        <v>2582</v>
      </c>
      <c r="D518" s="119" t="s">
        <v>2188</v>
      </c>
      <c r="E518" s="374" t="s">
        <v>2596</v>
      </c>
      <c r="F518" s="356">
        <v>-75416.67</v>
      </c>
      <c r="G518" s="356">
        <v>-150833.34</v>
      </c>
      <c r="H518" s="356">
        <v>-226250</v>
      </c>
      <c r="I518" s="356">
        <v>-301666.67</v>
      </c>
      <c r="J518" s="356">
        <v>-377083.34</v>
      </c>
      <c r="K518" s="356">
        <v>-452500</v>
      </c>
      <c r="L518" s="356">
        <v>-75416.67</v>
      </c>
      <c r="M518" s="356">
        <v>-150833.34</v>
      </c>
      <c r="N518" s="356">
        <v>-226250</v>
      </c>
      <c r="O518" s="356">
        <v>-301666.67</v>
      </c>
      <c r="P518" s="356">
        <v>-377083.34</v>
      </c>
      <c r="Q518" s="356">
        <v>-452500</v>
      </c>
      <c r="R518" s="356">
        <v>-75416.67</v>
      </c>
      <c r="S518" s="357">
        <f t="shared" si="100"/>
        <v>-263958.33666666667</v>
      </c>
      <c r="U518" s="358"/>
      <c r="V518" s="359">
        <f t="shared" si="103"/>
        <v>-263958.33666666667</v>
      </c>
      <c r="W518" s="359"/>
      <c r="X518" s="360"/>
      <c r="Y518" s="359"/>
      <c r="Z518" s="359"/>
      <c r="AA518" s="358"/>
      <c r="AB518" s="359"/>
      <c r="AD518" s="271">
        <f t="shared" si="104"/>
        <v>-263958.33666666667</v>
      </c>
      <c r="AF518" s="289">
        <f t="shared" si="94"/>
        <v>0</v>
      </c>
    </row>
    <row r="519" spans="1:32">
      <c r="A519" s="113">
        <v>504</v>
      </c>
      <c r="B519" s="119" t="s">
        <v>1530</v>
      </c>
      <c r="C519" s="119" t="s">
        <v>2582</v>
      </c>
      <c r="D519" s="119" t="s">
        <v>2190</v>
      </c>
      <c r="E519" s="374" t="s">
        <v>2597</v>
      </c>
      <c r="F519" s="356">
        <v>-63666.67</v>
      </c>
      <c r="G519" s="356">
        <v>-127333.34</v>
      </c>
      <c r="H519" s="356">
        <v>-191000</v>
      </c>
      <c r="I519" s="356">
        <v>-254666.67</v>
      </c>
      <c r="J519" s="356">
        <v>-318333.34000000003</v>
      </c>
      <c r="K519" s="356">
        <v>-382000</v>
      </c>
      <c r="L519" s="356">
        <v>-63666.67</v>
      </c>
      <c r="M519" s="356">
        <v>-127333.34</v>
      </c>
      <c r="N519" s="356">
        <v>-191000</v>
      </c>
      <c r="O519" s="356">
        <v>-254666.67</v>
      </c>
      <c r="P519" s="356">
        <v>-318333.34000000003</v>
      </c>
      <c r="Q519" s="356">
        <v>-382000</v>
      </c>
      <c r="R519" s="356">
        <v>-63666.67</v>
      </c>
      <c r="S519" s="357">
        <f t="shared" si="100"/>
        <v>-222833.33666666667</v>
      </c>
      <c r="U519" s="358"/>
      <c r="V519" s="359">
        <f t="shared" si="103"/>
        <v>-222833.33666666667</v>
      </c>
      <c r="W519" s="359"/>
      <c r="X519" s="360"/>
      <c r="Y519" s="359"/>
      <c r="Z519" s="359"/>
      <c r="AA519" s="358"/>
      <c r="AB519" s="359"/>
      <c r="AD519" s="271">
        <f t="shared" si="104"/>
        <v>-222833.33666666667</v>
      </c>
      <c r="AF519" s="289">
        <f t="shared" si="94"/>
        <v>0</v>
      </c>
    </row>
    <row r="520" spans="1:32">
      <c r="A520" s="113">
        <v>505</v>
      </c>
      <c r="B520" s="119" t="s">
        <v>1530</v>
      </c>
      <c r="C520" s="119" t="s">
        <v>2582</v>
      </c>
      <c r="D520" s="119" t="s">
        <v>2192</v>
      </c>
      <c r="E520" s="374" t="s">
        <v>2598</v>
      </c>
      <c r="F520" s="356">
        <v>-106500</v>
      </c>
      <c r="G520" s="356">
        <v>-213000</v>
      </c>
      <c r="H520" s="356">
        <v>-319500</v>
      </c>
      <c r="I520" s="356">
        <v>-426000</v>
      </c>
      <c r="J520" s="356">
        <v>-532500</v>
      </c>
      <c r="K520" s="356">
        <v>-639000</v>
      </c>
      <c r="L520" s="356">
        <v>-106500</v>
      </c>
      <c r="M520" s="356">
        <v>-213000</v>
      </c>
      <c r="N520" s="356">
        <v>-319500</v>
      </c>
      <c r="O520" s="356">
        <v>-426000</v>
      </c>
      <c r="P520" s="356">
        <v>-532500</v>
      </c>
      <c r="Q520" s="356">
        <v>-639000</v>
      </c>
      <c r="R520" s="356">
        <v>-106500</v>
      </c>
      <c r="S520" s="357">
        <f t="shared" si="100"/>
        <v>-372750</v>
      </c>
      <c r="U520" s="358"/>
      <c r="V520" s="359">
        <f t="shared" si="103"/>
        <v>-372750</v>
      </c>
      <c r="W520" s="359"/>
      <c r="X520" s="360"/>
      <c r="Y520" s="359"/>
      <c r="Z520" s="359"/>
      <c r="AA520" s="358"/>
      <c r="AB520" s="359"/>
      <c r="AD520" s="271">
        <f t="shared" si="104"/>
        <v>-372750</v>
      </c>
      <c r="AF520" s="289">
        <f t="shared" si="94"/>
        <v>0</v>
      </c>
    </row>
    <row r="521" spans="1:32">
      <c r="A521" s="113">
        <v>506</v>
      </c>
      <c r="B521" s="119" t="s">
        <v>1530</v>
      </c>
      <c r="C521" s="119" t="s">
        <v>2582</v>
      </c>
      <c r="D521" s="119" t="s">
        <v>2194</v>
      </c>
      <c r="E521" s="374" t="s">
        <v>2599</v>
      </c>
      <c r="F521" s="356">
        <v>0</v>
      </c>
      <c r="G521" s="356">
        <v>0</v>
      </c>
      <c r="H521" s="356">
        <v>0</v>
      </c>
      <c r="I521" s="356">
        <v>0</v>
      </c>
      <c r="J521" s="356">
        <v>0</v>
      </c>
      <c r="K521" s="356">
        <v>0</v>
      </c>
      <c r="L521" s="356">
        <v>-89500</v>
      </c>
      <c r="M521" s="356">
        <v>-179000</v>
      </c>
      <c r="N521" s="356">
        <v>-268500</v>
      </c>
      <c r="O521" s="356">
        <v>-358000</v>
      </c>
      <c r="P521" s="356">
        <v>-447500</v>
      </c>
      <c r="Q521" s="356">
        <v>-537000</v>
      </c>
      <c r="R521" s="356">
        <v>-89500</v>
      </c>
      <c r="S521" s="357">
        <f t="shared" si="100"/>
        <v>-160354.16666666666</v>
      </c>
      <c r="U521" s="358"/>
      <c r="V521" s="359">
        <f t="shared" si="103"/>
        <v>-160354.16666666666</v>
      </c>
      <c r="W521" s="359"/>
      <c r="X521" s="360"/>
      <c r="Y521" s="359"/>
      <c r="Z521" s="359"/>
      <c r="AA521" s="358"/>
      <c r="AB521" s="359"/>
      <c r="AD521" s="271">
        <f t="shared" si="104"/>
        <v>-160354.16666666666</v>
      </c>
      <c r="AF521" s="289">
        <f t="shared" si="94"/>
        <v>0</v>
      </c>
    </row>
    <row r="522" spans="1:32">
      <c r="A522" s="113">
        <v>507</v>
      </c>
      <c r="B522" s="119" t="s">
        <v>1530</v>
      </c>
      <c r="C522" s="119" t="s">
        <v>2582</v>
      </c>
      <c r="D522" s="119" t="s">
        <v>2196</v>
      </c>
      <c r="E522" s="374" t="s">
        <v>2600</v>
      </c>
      <c r="F522" s="356">
        <v>0</v>
      </c>
      <c r="G522" s="356">
        <v>0</v>
      </c>
      <c r="H522" s="356">
        <v>0</v>
      </c>
      <c r="I522" s="356">
        <v>0</v>
      </c>
      <c r="J522" s="356">
        <v>0</v>
      </c>
      <c r="K522" s="356">
        <v>0</v>
      </c>
      <c r="L522" s="356">
        <v>-63000</v>
      </c>
      <c r="M522" s="356">
        <v>-126000</v>
      </c>
      <c r="N522" s="356">
        <v>-189000</v>
      </c>
      <c r="O522" s="356">
        <v>-252000</v>
      </c>
      <c r="P522" s="356">
        <v>-315000</v>
      </c>
      <c r="Q522" s="356">
        <v>-378000</v>
      </c>
      <c r="R522" s="356">
        <v>-63000</v>
      </c>
      <c r="S522" s="357">
        <f t="shared" si="100"/>
        <v>-112875</v>
      </c>
      <c r="U522" s="358"/>
      <c r="V522" s="359">
        <f>+S522</f>
        <v>-112875</v>
      </c>
      <c r="W522" s="359"/>
      <c r="X522" s="360"/>
      <c r="Y522" s="359"/>
      <c r="Z522" s="359"/>
      <c r="AA522" s="358"/>
      <c r="AB522" s="359"/>
      <c r="AD522" s="271">
        <f t="shared" si="104"/>
        <v>-112875</v>
      </c>
      <c r="AF522" s="289">
        <f t="shared" si="94"/>
        <v>0</v>
      </c>
    </row>
    <row r="523" spans="1:32">
      <c r="A523" s="113">
        <v>508</v>
      </c>
      <c r="B523" s="119" t="s">
        <v>1530</v>
      </c>
      <c r="C523" s="119" t="s">
        <v>2582</v>
      </c>
      <c r="D523" s="119" t="s">
        <v>2198</v>
      </c>
      <c r="E523" s="374" t="s">
        <v>2601</v>
      </c>
      <c r="F523" s="356">
        <v>0</v>
      </c>
      <c r="G523" s="356">
        <v>0</v>
      </c>
      <c r="H523" s="356">
        <v>0</v>
      </c>
      <c r="I523" s="356">
        <v>0</v>
      </c>
      <c r="J523" s="356">
        <v>0</v>
      </c>
      <c r="K523" s="356">
        <v>0</v>
      </c>
      <c r="L523" s="356">
        <v>0</v>
      </c>
      <c r="M523" s="356">
        <v>0</v>
      </c>
      <c r="N523" s="356">
        <v>0</v>
      </c>
      <c r="O523" s="356">
        <v>0</v>
      </c>
      <c r="P523" s="356">
        <v>0</v>
      </c>
      <c r="Q523" s="356">
        <v>-69583.33</v>
      </c>
      <c r="R523" s="356">
        <v>-139166.66</v>
      </c>
      <c r="S523" s="357">
        <f t="shared" si="100"/>
        <v>-11597.221666666666</v>
      </c>
      <c r="U523" s="358"/>
      <c r="V523" s="359">
        <f>+S523</f>
        <v>-11597.221666666666</v>
      </c>
      <c r="W523" s="359"/>
      <c r="X523" s="360"/>
      <c r="Y523" s="359"/>
      <c r="Z523" s="359"/>
      <c r="AA523" s="358"/>
      <c r="AB523" s="359"/>
      <c r="AD523" s="271">
        <f t="shared" si="104"/>
        <v>-11597.221666666666</v>
      </c>
      <c r="AF523" s="289">
        <f t="shared" si="94"/>
        <v>0</v>
      </c>
    </row>
    <row r="524" spans="1:32">
      <c r="A524" s="113">
        <v>509</v>
      </c>
      <c r="B524" s="119" t="s">
        <v>1530</v>
      </c>
      <c r="C524" s="119" t="s">
        <v>2602</v>
      </c>
      <c r="D524" s="119" t="s">
        <v>1994</v>
      </c>
      <c r="E524" s="374" t="s">
        <v>2603</v>
      </c>
      <c r="F524" s="356">
        <v>-2480000</v>
      </c>
      <c r="G524" s="356">
        <v>0</v>
      </c>
      <c r="H524" s="356">
        <v>-2835000</v>
      </c>
      <c r="I524" s="356">
        <v>-2835000</v>
      </c>
      <c r="J524" s="356">
        <v>0</v>
      </c>
      <c r="K524" s="356">
        <v>-2835000</v>
      </c>
      <c r="L524" s="356">
        <v>-2835000</v>
      </c>
      <c r="M524" s="356">
        <v>0</v>
      </c>
      <c r="N524" s="356">
        <v>-2835000</v>
      </c>
      <c r="O524" s="356">
        <v>-2835000</v>
      </c>
      <c r="P524" s="356">
        <v>0</v>
      </c>
      <c r="Q524" s="356">
        <v>-3590000</v>
      </c>
      <c r="R524" s="356">
        <v>-3590000</v>
      </c>
      <c r="S524" s="357">
        <f t="shared" si="100"/>
        <v>-1969583.3333333333</v>
      </c>
      <c r="U524" s="358"/>
      <c r="V524" s="359"/>
      <c r="W524" s="359">
        <f>+S524</f>
        <v>-1969583.3333333333</v>
      </c>
      <c r="X524" s="360"/>
      <c r="Y524" s="359"/>
      <c r="Z524" s="359"/>
      <c r="AA524" s="358"/>
      <c r="AB524" s="359"/>
      <c r="AC524" s="271">
        <f>+W524</f>
        <v>-1969583.3333333333</v>
      </c>
      <c r="AD524" s="271">
        <f t="shared" si="104"/>
        <v>0</v>
      </c>
      <c r="AF524" s="289">
        <f t="shared" si="94"/>
        <v>0</v>
      </c>
    </row>
    <row r="525" spans="1:32">
      <c r="A525" s="113">
        <v>510</v>
      </c>
      <c r="B525" s="119" t="s">
        <v>1530</v>
      </c>
      <c r="C525" s="119" t="s">
        <v>2604</v>
      </c>
      <c r="D525" s="119" t="s">
        <v>2605</v>
      </c>
      <c r="E525" s="374" t="s">
        <v>2606</v>
      </c>
      <c r="F525" s="356">
        <v>-219560</v>
      </c>
      <c r="G525" s="356">
        <v>-229064.1</v>
      </c>
      <c r="H525" s="356">
        <v>-219560</v>
      </c>
      <c r="I525" s="356">
        <v>0</v>
      </c>
      <c r="J525" s="356">
        <v>0</v>
      </c>
      <c r="K525" s="356">
        <v>0</v>
      </c>
      <c r="L525" s="356">
        <v>0</v>
      </c>
      <c r="M525" s="356">
        <v>0</v>
      </c>
      <c r="N525" s="356">
        <v>0</v>
      </c>
      <c r="O525" s="356">
        <v>0</v>
      </c>
      <c r="P525" s="356">
        <v>0</v>
      </c>
      <c r="Q525" s="356">
        <v>0</v>
      </c>
      <c r="R525" s="356">
        <v>-66090</v>
      </c>
      <c r="S525" s="357">
        <f t="shared" si="100"/>
        <v>-49287.424999999996</v>
      </c>
      <c r="U525" s="358"/>
      <c r="V525" s="359">
        <f>+S525</f>
        <v>-49287.424999999996</v>
      </c>
      <c r="W525" s="359"/>
      <c r="X525" s="360"/>
      <c r="Y525" s="359"/>
      <c r="Z525" s="359"/>
      <c r="AA525" s="358"/>
      <c r="AB525" s="359"/>
      <c r="AD525" s="271">
        <f>+S525</f>
        <v>-49287.424999999996</v>
      </c>
      <c r="AF525" s="289">
        <f t="shared" si="94"/>
        <v>0</v>
      </c>
    </row>
    <row r="526" spans="1:32">
      <c r="A526" s="113">
        <v>511</v>
      </c>
      <c r="B526" s="119" t="s">
        <v>1530</v>
      </c>
      <c r="C526" s="119" t="s">
        <v>2604</v>
      </c>
      <c r="D526" s="119" t="s">
        <v>2607</v>
      </c>
      <c r="E526" s="374" t="s">
        <v>2606</v>
      </c>
      <c r="F526" s="356">
        <v>0</v>
      </c>
      <c r="G526" s="356">
        <v>0</v>
      </c>
      <c r="H526" s="356">
        <v>0</v>
      </c>
      <c r="I526" s="356">
        <v>0</v>
      </c>
      <c r="J526" s="356">
        <v>0</v>
      </c>
      <c r="K526" s="356">
        <v>0</v>
      </c>
      <c r="L526" s="356">
        <v>0</v>
      </c>
      <c r="M526" s="356">
        <v>0</v>
      </c>
      <c r="N526" s="356">
        <v>0</v>
      </c>
      <c r="O526" s="356">
        <v>-664110.06999999995</v>
      </c>
      <c r="P526" s="356">
        <v>-142374.1</v>
      </c>
      <c r="Q526" s="356">
        <v>-95839.039999999994</v>
      </c>
      <c r="R526" s="356">
        <v>-6465598.1600000001</v>
      </c>
      <c r="S526" s="357">
        <f t="shared" si="100"/>
        <v>-344593.52416666667</v>
      </c>
      <c r="U526" s="358"/>
      <c r="V526" s="359">
        <f t="shared" si="103"/>
        <v>-344593.52416666667</v>
      </c>
      <c r="W526" s="359"/>
      <c r="X526" s="360"/>
      <c r="Y526" s="359"/>
      <c r="Z526" s="359"/>
      <c r="AA526" s="358"/>
      <c r="AB526" s="359"/>
      <c r="AD526" s="271">
        <f t="shared" si="104"/>
        <v>-344593.52416666667</v>
      </c>
      <c r="AF526" s="289">
        <f t="shared" si="94"/>
        <v>0</v>
      </c>
    </row>
    <row r="527" spans="1:32">
      <c r="A527" s="113">
        <v>512</v>
      </c>
      <c r="B527" s="119" t="s">
        <v>1530</v>
      </c>
      <c r="C527" s="119" t="s">
        <v>2604</v>
      </c>
      <c r="D527" s="119" t="s">
        <v>2165</v>
      </c>
      <c r="E527" s="374" t="s">
        <v>2606</v>
      </c>
      <c r="F527" s="356">
        <v>-4864687.42</v>
      </c>
      <c r="G527" s="356">
        <v>-4052420.14</v>
      </c>
      <c r="H527" s="356">
        <v>-3500014.38</v>
      </c>
      <c r="I527" s="356">
        <v>-3161521.7</v>
      </c>
      <c r="J527" s="356">
        <v>-2776383.66</v>
      </c>
      <c r="K527" s="356">
        <v>-2595669.61</v>
      </c>
      <c r="L527" s="356">
        <v>-2661913.42</v>
      </c>
      <c r="M527" s="356">
        <v>-2784199.63</v>
      </c>
      <c r="N527" s="356">
        <v>-2950256.94</v>
      </c>
      <c r="O527" s="356">
        <v>-3003026.24</v>
      </c>
      <c r="P527" s="356">
        <v>-2942600.78</v>
      </c>
      <c r="Q527" s="356">
        <v>-2941183.59</v>
      </c>
      <c r="R527" s="356">
        <v>-1178669.27</v>
      </c>
      <c r="S527" s="357">
        <f t="shared" si="100"/>
        <v>-3032572.3695833334</v>
      </c>
      <c r="U527" s="358"/>
      <c r="V527" s="359">
        <f t="shared" si="103"/>
        <v>-3032572.3695833334</v>
      </c>
      <c r="W527" s="359"/>
      <c r="X527" s="360"/>
      <c r="Y527" s="359"/>
      <c r="Z527" s="359"/>
      <c r="AA527" s="358"/>
      <c r="AB527" s="359"/>
      <c r="AD527" s="271">
        <f t="shared" si="104"/>
        <v>-3032572.3695833334</v>
      </c>
      <c r="AF527" s="289">
        <f t="shared" si="94"/>
        <v>0</v>
      </c>
    </row>
    <row r="528" spans="1:32">
      <c r="A528" s="113">
        <v>513</v>
      </c>
      <c r="B528" s="119" t="s">
        <v>1530</v>
      </c>
      <c r="C528" s="119" t="s">
        <v>2604</v>
      </c>
      <c r="D528" s="119" t="s">
        <v>2167</v>
      </c>
      <c r="E528" s="374" t="s">
        <v>2606</v>
      </c>
      <c r="F528" s="356">
        <v>-9808230.1500000004</v>
      </c>
      <c r="G528" s="356">
        <v>-7800226.21</v>
      </c>
      <c r="H528" s="356">
        <v>-7601891.7300000004</v>
      </c>
      <c r="I528" s="356">
        <v>-7469962.3300000001</v>
      </c>
      <c r="J528" s="356">
        <v>-6235228.2999999998</v>
      </c>
      <c r="K528" s="356">
        <v>-6272515.71</v>
      </c>
      <c r="L528" s="356">
        <v>-6669566.0700000003</v>
      </c>
      <c r="M528" s="356">
        <v>-7592948.9800000004</v>
      </c>
      <c r="N528" s="356">
        <v>-9457323.1999999993</v>
      </c>
      <c r="O528" s="356">
        <v>-10076922.039999999</v>
      </c>
      <c r="P528" s="356">
        <v>-10889275.970000001</v>
      </c>
      <c r="Q528" s="356">
        <v>-9360149.75</v>
      </c>
      <c r="R528" s="356">
        <v>-1274525.3500000001</v>
      </c>
      <c r="S528" s="357">
        <f t="shared" si="100"/>
        <v>-7913949.0033333329</v>
      </c>
      <c r="U528" s="358"/>
      <c r="V528" s="359">
        <f t="shared" si="103"/>
        <v>-7913949.0033333329</v>
      </c>
      <c r="W528" s="359"/>
      <c r="X528" s="360"/>
      <c r="Y528" s="359"/>
      <c r="Z528" s="359"/>
      <c r="AA528" s="358"/>
      <c r="AB528" s="359"/>
      <c r="AD528" s="271">
        <f t="shared" si="104"/>
        <v>-7913949.0033333329</v>
      </c>
      <c r="AF528" s="289">
        <f t="shared" si="94"/>
        <v>0</v>
      </c>
    </row>
    <row r="529" spans="1:32">
      <c r="A529" s="113">
        <v>514</v>
      </c>
      <c r="B529" s="119" t="s">
        <v>1530</v>
      </c>
      <c r="C529" s="119" t="s">
        <v>2604</v>
      </c>
      <c r="D529" s="119" t="s">
        <v>2608</v>
      </c>
      <c r="E529" s="374" t="s">
        <v>2609</v>
      </c>
      <c r="F529" s="356">
        <v>0</v>
      </c>
      <c r="G529" s="356">
        <v>-25000</v>
      </c>
      <c r="H529" s="356">
        <v>-50000</v>
      </c>
      <c r="I529" s="356">
        <v>-73256.14</v>
      </c>
      <c r="J529" s="356">
        <v>-25871.93</v>
      </c>
      <c r="K529" s="356">
        <v>-49128.07</v>
      </c>
      <c r="L529" s="356">
        <v>-72384.210000000006</v>
      </c>
      <c r="M529" s="356">
        <v>-29614.35</v>
      </c>
      <c r="N529" s="356">
        <v>-48256.14</v>
      </c>
      <c r="O529" s="356">
        <v>-5661.3899999999903</v>
      </c>
      <c r="P529" s="356">
        <v>-24478.29</v>
      </c>
      <c r="Q529" s="356">
        <v>-43120.08</v>
      </c>
      <c r="R529" s="356">
        <v>-61761.87</v>
      </c>
      <c r="S529" s="357">
        <f t="shared" si="100"/>
        <v>-39804.294583333336</v>
      </c>
      <c r="U529" s="358"/>
      <c r="V529" s="359">
        <f t="shared" si="103"/>
        <v>-39804.294583333336</v>
      </c>
      <c r="W529" s="359"/>
      <c r="X529" s="360"/>
      <c r="Y529" s="359"/>
      <c r="Z529" s="359"/>
      <c r="AA529" s="358"/>
      <c r="AB529" s="359"/>
      <c r="AD529" s="271">
        <f t="shared" si="104"/>
        <v>-39804.294583333336</v>
      </c>
      <c r="AF529" s="289">
        <f t="shared" si="94"/>
        <v>0</v>
      </c>
    </row>
    <row r="530" spans="1:32">
      <c r="A530" s="113">
        <v>515</v>
      </c>
      <c r="B530" s="119" t="s">
        <v>1530</v>
      </c>
      <c r="C530" s="119" t="s">
        <v>2604</v>
      </c>
      <c r="D530" s="119" t="s">
        <v>2610</v>
      </c>
      <c r="E530" s="374" t="s">
        <v>2611</v>
      </c>
      <c r="F530" s="356">
        <v>-554325</v>
      </c>
      <c r="G530" s="356">
        <v>-554325</v>
      </c>
      <c r="H530" s="356">
        <v>-554325</v>
      </c>
      <c r="I530" s="356">
        <v>-554325</v>
      </c>
      <c r="J530" s="356">
        <v>-554325</v>
      </c>
      <c r="K530" s="356">
        <v>-554325</v>
      </c>
      <c r="L530" s="356">
        <v>-554325</v>
      </c>
      <c r="M530" s="356">
        <v>-554325</v>
      </c>
      <c r="N530" s="356">
        <v>-554325</v>
      </c>
      <c r="O530" s="356">
        <v>-554325</v>
      </c>
      <c r="P530" s="356">
        <v>-554325</v>
      </c>
      <c r="Q530" s="356">
        <v>-554325</v>
      </c>
      <c r="R530" s="356">
        <v>-570707</v>
      </c>
      <c r="S530" s="357">
        <f t="shared" si="100"/>
        <v>-555007.58333333337</v>
      </c>
      <c r="U530" s="358"/>
      <c r="V530" s="359">
        <f t="shared" si="103"/>
        <v>-555007.58333333337</v>
      </c>
      <c r="W530" s="359"/>
      <c r="X530" s="360"/>
      <c r="Y530" s="359"/>
      <c r="Z530" s="359"/>
      <c r="AA530" s="358"/>
      <c r="AB530" s="359"/>
      <c r="AD530" s="271">
        <f t="shared" si="104"/>
        <v>-555007.58333333337</v>
      </c>
      <c r="AF530" s="289">
        <f t="shared" si="94"/>
        <v>0</v>
      </c>
    </row>
    <row r="531" spans="1:32">
      <c r="A531" s="113">
        <v>516</v>
      </c>
      <c r="B531" s="119" t="s">
        <v>2003</v>
      </c>
      <c r="C531" s="119" t="s">
        <v>2612</v>
      </c>
      <c r="D531" s="119" t="s">
        <v>1503</v>
      </c>
      <c r="E531" s="374" t="s">
        <v>2613</v>
      </c>
      <c r="F531" s="356">
        <v>-1925850.86</v>
      </c>
      <c r="G531" s="356">
        <v>-1115369.48</v>
      </c>
      <c r="H531" s="356">
        <v>-1140596.31</v>
      </c>
      <c r="I531" s="356">
        <v>-1356576.95</v>
      </c>
      <c r="J531" s="356">
        <v>-1594504.36</v>
      </c>
      <c r="K531" s="356">
        <v>-1771197.42</v>
      </c>
      <c r="L531" s="356">
        <v>-1944337.85</v>
      </c>
      <c r="M531" s="356">
        <v>-1137038.46</v>
      </c>
      <c r="N531" s="356">
        <v>-1241361.32</v>
      </c>
      <c r="O531" s="356">
        <v>-1469706.02</v>
      </c>
      <c r="P531" s="356">
        <v>-1746137.36</v>
      </c>
      <c r="Q531" s="356">
        <v>-1835241.4</v>
      </c>
      <c r="R531" s="356">
        <v>-1026586.12</v>
      </c>
      <c r="S531" s="357">
        <f t="shared" si="100"/>
        <v>-1485690.4516666669</v>
      </c>
      <c r="U531" s="358"/>
      <c r="V531" s="359">
        <f>+S531</f>
        <v>-1485690.4516666669</v>
      </c>
      <c r="W531" s="359"/>
      <c r="X531" s="360"/>
      <c r="Y531" s="359"/>
      <c r="Z531" s="359"/>
      <c r="AA531" s="358"/>
      <c r="AB531" s="359"/>
      <c r="AD531" s="271">
        <f t="shared" si="104"/>
        <v>-1485690.4516666669</v>
      </c>
      <c r="AF531" s="289">
        <f t="shared" si="94"/>
        <v>0</v>
      </c>
    </row>
    <row r="532" spans="1:32">
      <c r="A532" s="113">
        <v>517</v>
      </c>
      <c r="B532" s="119" t="s">
        <v>2003</v>
      </c>
      <c r="C532" s="119" t="s">
        <v>2612</v>
      </c>
      <c r="D532" s="119" t="s">
        <v>1505</v>
      </c>
      <c r="E532" s="374" t="s">
        <v>2614</v>
      </c>
      <c r="F532" s="356">
        <v>-1697134.42</v>
      </c>
      <c r="G532" s="356">
        <v>-1836523.29</v>
      </c>
      <c r="H532" s="356">
        <v>-262338.15000000002</v>
      </c>
      <c r="I532" s="356">
        <v>-285570.96999999997</v>
      </c>
      <c r="J532" s="356">
        <v>-330818.46999999997</v>
      </c>
      <c r="K532" s="356">
        <v>-378599.67</v>
      </c>
      <c r="L532" s="356">
        <v>-505611.55</v>
      </c>
      <c r="M532" s="356">
        <v>-612172.01</v>
      </c>
      <c r="N532" s="356">
        <v>-705864.88</v>
      </c>
      <c r="O532" s="356">
        <v>-1089425.81</v>
      </c>
      <c r="P532" s="356">
        <v>-1335651.52</v>
      </c>
      <c r="Q532" s="356">
        <v>-1378091.8</v>
      </c>
      <c r="R532" s="356">
        <v>-1521146.44</v>
      </c>
      <c r="S532" s="357">
        <f t="shared" si="100"/>
        <v>-860817.37916666653</v>
      </c>
      <c r="U532" s="358"/>
      <c r="V532" s="359">
        <f>+S532</f>
        <v>-860817.37916666653</v>
      </c>
      <c r="W532" s="359"/>
      <c r="X532" s="360"/>
      <c r="Y532" s="359"/>
      <c r="Z532" s="359"/>
      <c r="AA532" s="358"/>
      <c r="AB532" s="359"/>
      <c r="AD532" s="271">
        <f t="shared" si="104"/>
        <v>-860817.37916666653</v>
      </c>
      <c r="AF532" s="289"/>
    </row>
    <row r="533" spans="1:32">
      <c r="A533" s="113">
        <v>518</v>
      </c>
      <c r="B533" s="119" t="s">
        <v>2003</v>
      </c>
      <c r="C533" s="119" t="s">
        <v>2615</v>
      </c>
      <c r="D533" s="119" t="s">
        <v>1503</v>
      </c>
      <c r="E533" s="374" t="s">
        <v>2616</v>
      </c>
      <c r="F533" s="356">
        <v>-2137261.0299999998</v>
      </c>
      <c r="G533" s="356">
        <v>-2146738.13</v>
      </c>
      <c r="H533" s="356">
        <v>-2154621.0099999998</v>
      </c>
      <c r="I533" s="356">
        <v>-2154047.64</v>
      </c>
      <c r="J533" s="356">
        <v>-2162920.21</v>
      </c>
      <c r="K533" s="356">
        <v>-2097912.2200000002</v>
      </c>
      <c r="L533" s="356">
        <v>-2104500.14</v>
      </c>
      <c r="M533" s="356">
        <v>-2099812.4300000002</v>
      </c>
      <c r="N533" s="356">
        <v>-2074851.52</v>
      </c>
      <c r="O533" s="356">
        <v>-2083578.04</v>
      </c>
      <c r="P533" s="356">
        <v>-2092320.34</v>
      </c>
      <c r="Q533" s="356">
        <v>-2091675.51</v>
      </c>
      <c r="R533" s="356">
        <v>-2449529.34</v>
      </c>
      <c r="S533" s="357">
        <f t="shared" si="100"/>
        <v>-2129697.6979166665</v>
      </c>
      <c r="U533" s="358"/>
      <c r="V533" s="359">
        <f>+S533</f>
        <v>-2129697.6979166665</v>
      </c>
      <c r="W533" s="359"/>
      <c r="X533" s="360"/>
      <c r="Y533" s="359"/>
      <c r="Z533" s="359"/>
      <c r="AA533" s="358"/>
      <c r="AB533" s="359"/>
      <c r="AD533" s="271">
        <f t="shared" si="104"/>
        <v>-2129697.6979166665</v>
      </c>
      <c r="AF533" s="289"/>
    </row>
    <row r="534" spans="1:32">
      <c r="A534" s="113">
        <v>519</v>
      </c>
      <c r="B534" s="119" t="s">
        <v>1530</v>
      </c>
      <c r="C534" s="119" t="s">
        <v>2617</v>
      </c>
      <c r="D534" s="119" t="s">
        <v>1503</v>
      </c>
      <c r="E534" s="374" t="s">
        <v>2101</v>
      </c>
      <c r="F534" s="356">
        <v>5.8207660913467397E-10</v>
      </c>
      <c r="G534" s="356">
        <v>-348.87</v>
      </c>
      <c r="H534" s="356">
        <v>-103755.31</v>
      </c>
      <c r="I534" s="356">
        <v>-22421.81</v>
      </c>
      <c r="J534" s="356">
        <v>-31763.65</v>
      </c>
      <c r="K534" s="356">
        <v>-82805.19</v>
      </c>
      <c r="L534" s="356">
        <v>-370249.46</v>
      </c>
      <c r="M534" s="356">
        <v>-663576.93000000005</v>
      </c>
      <c r="N534" s="356">
        <v>-620018.16</v>
      </c>
      <c r="O534" s="356">
        <v>1.16415321826935E-10</v>
      </c>
      <c r="P534" s="356">
        <v>-40693.849999999897</v>
      </c>
      <c r="Q534" s="356">
        <v>-159437.01999999999</v>
      </c>
      <c r="R534" s="356">
        <v>-213748.65</v>
      </c>
      <c r="S534" s="357">
        <f t="shared" si="100"/>
        <v>-183495.38124999998</v>
      </c>
      <c r="U534" s="358"/>
      <c r="V534" s="359">
        <f t="shared" si="103"/>
        <v>-183495.38124999998</v>
      </c>
      <c r="W534" s="359"/>
      <c r="X534" s="360"/>
      <c r="Y534" s="359"/>
      <c r="Z534" s="359"/>
      <c r="AA534" s="358"/>
      <c r="AB534" s="359"/>
      <c r="AD534" s="271">
        <f t="shared" si="104"/>
        <v>-183495.38124999998</v>
      </c>
      <c r="AF534" s="289">
        <f t="shared" si="94"/>
        <v>0</v>
      </c>
    </row>
    <row r="535" spans="1:32">
      <c r="A535" s="113">
        <v>520</v>
      </c>
      <c r="B535" s="119" t="s">
        <v>1530</v>
      </c>
      <c r="C535" s="119" t="s">
        <v>2618</v>
      </c>
      <c r="D535" s="119" t="s">
        <v>2619</v>
      </c>
      <c r="E535" s="374" t="s">
        <v>2620</v>
      </c>
      <c r="F535" s="356">
        <v>-20872.259999999998</v>
      </c>
      <c r="G535" s="356">
        <v>-80676.320000000007</v>
      </c>
      <c r="H535" s="356">
        <v>-81716.14</v>
      </c>
      <c r="I535" s="356">
        <v>-87420.7</v>
      </c>
      <c r="J535" s="356">
        <v>-64987.93</v>
      </c>
      <c r="K535" s="356">
        <v>-70097.03</v>
      </c>
      <c r="L535" s="356">
        <v>-74991.41</v>
      </c>
      <c r="M535" s="356">
        <v>-82935.570000000007</v>
      </c>
      <c r="N535" s="356">
        <v>-59359.92</v>
      </c>
      <c r="O535" s="356">
        <v>-62695.91</v>
      </c>
      <c r="P535" s="356">
        <v>-42483.74</v>
      </c>
      <c r="Q535" s="356">
        <v>-41470.5</v>
      </c>
      <c r="R535" s="356">
        <v>-67919.5</v>
      </c>
      <c r="S535" s="357">
        <f t="shared" si="100"/>
        <v>-66102.587500000009</v>
      </c>
      <c r="U535" s="358"/>
      <c r="V535" s="359">
        <f t="shared" si="103"/>
        <v>-66102.587500000009</v>
      </c>
      <c r="W535" s="359"/>
      <c r="X535" s="360"/>
      <c r="Y535" s="359"/>
      <c r="Z535" s="359"/>
      <c r="AA535" s="358"/>
      <c r="AB535" s="359"/>
      <c r="AD535" s="271">
        <f t="shared" si="104"/>
        <v>-66102.587500000009</v>
      </c>
      <c r="AF535" s="289">
        <f t="shared" si="94"/>
        <v>0</v>
      </c>
    </row>
    <row r="536" spans="1:32">
      <c r="A536" s="113">
        <v>521</v>
      </c>
      <c r="B536" s="119" t="s">
        <v>1530</v>
      </c>
      <c r="C536" s="119" t="s">
        <v>2618</v>
      </c>
      <c r="D536" s="119" t="s">
        <v>2621</v>
      </c>
      <c r="E536" s="374" t="s">
        <v>2622</v>
      </c>
      <c r="F536" s="356">
        <v>-1244918.45</v>
      </c>
      <c r="G536" s="356">
        <v>-1407556.82</v>
      </c>
      <c r="H536" s="356">
        <v>-431262.87</v>
      </c>
      <c r="I536" s="356">
        <v>-591153.12</v>
      </c>
      <c r="J536" s="356">
        <v>-749732.25</v>
      </c>
      <c r="K536" s="356">
        <v>-903047.87</v>
      </c>
      <c r="L536" s="356">
        <v>-1061710.1000000001</v>
      </c>
      <c r="M536" s="356">
        <v>-1229013.1399999999</v>
      </c>
      <c r="N536" s="356">
        <v>-590585.78</v>
      </c>
      <c r="O536" s="356">
        <v>-748392.14</v>
      </c>
      <c r="P536" s="356">
        <v>-907506.14</v>
      </c>
      <c r="Q536" s="356">
        <v>-1059898.94</v>
      </c>
      <c r="R536" s="356">
        <v>-1228898.25</v>
      </c>
      <c r="S536" s="357">
        <f t="shared" si="100"/>
        <v>-909730.62666666659</v>
      </c>
      <c r="U536" s="358"/>
      <c r="V536" s="359">
        <f t="shared" si="103"/>
        <v>-909730.62666666659</v>
      </c>
      <c r="W536" s="359"/>
      <c r="X536" s="360"/>
      <c r="Y536" s="359"/>
      <c r="Z536" s="359"/>
      <c r="AA536" s="358"/>
      <c r="AB536" s="359"/>
      <c r="AD536" s="271">
        <f t="shared" si="104"/>
        <v>-909730.62666666659</v>
      </c>
      <c r="AF536" s="289">
        <f t="shared" si="94"/>
        <v>0</v>
      </c>
    </row>
    <row r="537" spans="1:32">
      <c r="A537" s="113">
        <v>522</v>
      </c>
      <c r="B537" s="119" t="s">
        <v>1530</v>
      </c>
      <c r="C537" s="119" t="s">
        <v>2618</v>
      </c>
      <c r="D537" s="119" t="s">
        <v>2623</v>
      </c>
      <c r="E537" s="374" t="s">
        <v>2624</v>
      </c>
      <c r="F537" s="356">
        <v>628.39</v>
      </c>
      <c r="G537" s="356">
        <v>0</v>
      </c>
      <c r="H537" s="356">
        <v>0</v>
      </c>
      <c r="I537" s="356">
        <v>0</v>
      </c>
      <c r="J537" s="356">
        <v>0</v>
      </c>
      <c r="K537" s="356">
        <v>0</v>
      </c>
      <c r="L537" s="356">
        <v>0</v>
      </c>
      <c r="M537" s="356">
        <v>0</v>
      </c>
      <c r="N537" s="356">
        <v>0</v>
      </c>
      <c r="O537" s="356">
        <v>0</v>
      </c>
      <c r="P537" s="356">
        <v>0</v>
      </c>
      <c r="Q537" s="356">
        <v>0</v>
      </c>
      <c r="R537" s="356">
        <v>0</v>
      </c>
      <c r="S537" s="357">
        <f t="shared" si="100"/>
        <v>26.182916666666667</v>
      </c>
      <c r="U537" s="358"/>
      <c r="V537" s="359">
        <f t="shared" si="103"/>
        <v>26.182916666666667</v>
      </c>
      <c r="W537" s="359"/>
      <c r="X537" s="360"/>
      <c r="Y537" s="359"/>
      <c r="Z537" s="359"/>
      <c r="AA537" s="358"/>
      <c r="AB537" s="359"/>
      <c r="AD537" s="271">
        <f t="shared" si="104"/>
        <v>26.182916666666667</v>
      </c>
      <c r="AF537" s="289">
        <f t="shared" ref="AF537:AF616" si="105">+U537+V537-AD537</f>
        <v>0</v>
      </c>
    </row>
    <row r="538" spans="1:32">
      <c r="A538" s="113">
        <v>523</v>
      </c>
      <c r="B538" s="119" t="s">
        <v>1530</v>
      </c>
      <c r="C538" s="119" t="s">
        <v>2618</v>
      </c>
      <c r="D538" s="119" t="s">
        <v>2625</v>
      </c>
      <c r="E538" s="374" t="s">
        <v>2626</v>
      </c>
      <c r="F538" s="356">
        <v>-115735.99</v>
      </c>
      <c r="G538" s="356">
        <v>-113369.06</v>
      </c>
      <c r="H538" s="356">
        <v>-103337.95</v>
      </c>
      <c r="I538" s="356">
        <v>-92439.23</v>
      </c>
      <c r="J538" s="356">
        <v>-75919.520000000004</v>
      </c>
      <c r="K538" s="356">
        <v>-42972.160000000003</v>
      </c>
      <c r="L538" s="356">
        <v>-17121.21</v>
      </c>
      <c r="M538" s="356">
        <v>-14264.23</v>
      </c>
      <c r="N538" s="356">
        <v>-15309.23</v>
      </c>
      <c r="O538" s="356">
        <v>-12245.16</v>
      </c>
      <c r="P538" s="356">
        <v>-22678.69</v>
      </c>
      <c r="Q538" s="356">
        <v>-28501.66</v>
      </c>
      <c r="R538" s="356">
        <v>-36542.800000000003</v>
      </c>
      <c r="S538" s="357">
        <f t="shared" si="100"/>
        <v>-51191.457916666666</v>
      </c>
      <c r="U538" s="358"/>
      <c r="V538" s="359">
        <f t="shared" si="103"/>
        <v>-51191.457916666666</v>
      </c>
      <c r="W538" s="359"/>
      <c r="X538" s="360"/>
      <c r="Y538" s="359"/>
      <c r="Z538" s="359"/>
      <c r="AA538" s="358"/>
      <c r="AB538" s="359"/>
      <c r="AD538" s="271">
        <f t="shared" si="104"/>
        <v>-51191.457916666666</v>
      </c>
      <c r="AF538" s="289">
        <f t="shared" si="105"/>
        <v>0</v>
      </c>
    </row>
    <row r="539" spans="1:32">
      <c r="A539" s="113">
        <v>524</v>
      </c>
      <c r="B539" s="119" t="s">
        <v>1543</v>
      </c>
      <c r="C539" s="119" t="s">
        <v>2627</v>
      </c>
      <c r="D539" s="113" t="s">
        <v>2489</v>
      </c>
      <c r="E539" s="374" t="s">
        <v>2628</v>
      </c>
      <c r="F539" s="356">
        <v>-70339.81</v>
      </c>
      <c r="G539" s="356">
        <v>-68001.740000000005</v>
      </c>
      <c r="H539" s="356">
        <v>-65657.34</v>
      </c>
      <c r="I539" s="356">
        <v>-63307.59</v>
      </c>
      <c r="J539" s="356">
        <v>-60951.49</v>
      </c>
      <c r="K539" s="356">
        <v>-81334.7</v>
      </c>
      <c r="L539" s="356">
        <v>-81150.080000000002</v>
      </c>
      <c r="M539" s="356">
        <v>-80964.69</v>
      </c>
      <c r="N539" s="356">
        <v>-80779.649999999994</v>
      </c>
      <c r="O539" s="356">
        <v>-80594.02</v>
      </c>
      <c r="P539" s="356">
        <v>-79678.89</v>
      </c>
      <c r="Q539" s="356">
        <v>-78760.69</v>
      </c>
      <c r="R539" s="356">
        <v>-76614.75</v>
      </c>
      <c r="S539" s="357">
        <f t="shared" si="100"/>
        <v>-74554.846666666679</v>
      </c>
      <c r="U539" s="358"/>
      <c r="V539" s="359">
        <f t="shared" si="103"/>
        <v>-74554.846666666679</v>
      </c>
      <c r="W539" s="359"/>
      <c r="X539" s="360"/>
      <c r="Y539" s="359"/>
      <c r="Z539" s="359"/>
      <c r="AA539" s="358"/>
      <c r="AB539" s="359"/>
      <c r="AD539" s="271">
        <f t="shared" si="104"/>
        <v>-74554.846666666679</v>
      </c>
      <c r="AF539" s="289">
        <f t="shared" si="105"/>
        <v>0</v>
      </c>
    </row>
    <row r="540" spans="1:32">
      <c r="A540" s="113">
        <v>525</v>
      </c>
      <c r="B540" s="119" t="s">
        <v>1543</v>
      </c>
      <c r="C540" s="119" t="s">
        <v>2629</v>
      </c>
      <c r="D540" s="113" t="s">
        <v>1503</v>
      </c>
      <c r="E540" s="374" t="s">
        <v>2133</v>
      </c>
      <c r="F540" s="356">
        <v>0</v>
      </c>
      <c r="G540" s="356">
        <v>-43786.81</v>
      </c>
      <c r="H540" s="356">
        <v>-124157.07</v>
      </c>
      <c r="I540" s="356">
        <v>-81802.87</v>
      </c>
      <c r="J540" s="356">
        <v>0</v>
      </c>
      <c r="K540" s="356">
        <v>0</v>
      </c>
      <c r="L540" s="356">
        <v>-391.06</v>
      </c>
      <c r="M540" s="356">
        <v>0</v>
      </c>
      <c r="N540" s="356">
        <v>0</v>
      </c>
      <c r="O540" s="356">
        <v>0</v>
      </c>
      <c r="P540" s="356">
        <v>0</v>
      </c>
      <c r="Q540" s="356">
        <v>-314565.40000000002</v>
      </c>
      <c r="R540" s="356">
        <v>-558997.84</v>
      </c>
      <c r="S540" s="357">
        <f t="shared" si="100"/>
        <v>-70350.177499999991</v>
      </c>
      <c r="U540" s="358"/>
      <c r="V540" s="359">
        <f t="shared" si="103"/>
        <v>-70350.177499999991</v>
      </c>
      <c r="W540" s="359"/>
      <c r="X540" s="360"/>
      <c r="Y540" s="359"/>
      <c r="Z540" s="359"/>
      <c r="AA540" s="358"/>
      <c r="AB540" s="359"/>
      <c r="AD540" s="271">
        <f t="shared" si="104"/>
        <v>-70350.177499999991</v>
      </c>
      <c r="AF540" s="289">
        <f t="shared" si="105"/>
        <v>0</v>
      </c>
    </row>
    <row r="541" spans="1:32">
      <c r="A541" s="113">
        <v>526</v>
      </c>
      <c r="B541" s="119" t="s">
        <v>1543</v>
      </c>
      <c r="C541" s="119" t="s">
        <v>2630</v>
      </c>
      <c r="D541" s="113" t="s">
        <v>1526</v>
      </c>
      <c r="E541" s="374" t="s">
        <v>2631</v>
      </c>
      <c r="F541" s="356">
        <v>0</v>
      </c>
      <c r="G541" s="356">
        <v>0</v>
      </c>
      <c r="H541" s="356">
        <v>0</v>
      </c>
      <c r="I541" s="356">
        <v>0</v>
      </c>
      <c r="J541" s="356">
        <v>0</v>
      </c>
      <c r="K541" s="356">
        <v>0</v>
      </c>
      <c r="L541" s="356">
        <v>0</v>
      </c>
      <c r="M541" s="356">
        <v>0</v>
      </c>
      <c r="N541" s="356">
        <v>0</v>
      </c>
      <c r="O541" s="356">
        <v>0</v>
      </c>
      <c r="P541" s="356">
        <v>0</v>
      </c>
      <c r="Q541" s="356">
        <v>0</v>
      </c>
      <c r="R541" s="356">
        <v>0</v>
      </c>
      <c r="S541" s="357">
        <f t="shared" si="100"/>
        <v>0</v>
      </c>
      <c r="U541" s="358"/>
      <c r="V541" s="359">
        <f t="shared" si="103"/>
        <v>0</v>
      </c>
      <c r="W541" s="359"/>
      <c r="X541" s="360"/>
      <c r="Y541" s="359"/>
      <c r="Z541" s="359"/>
      <c r="AA541" s="358"/>
      <c r="AB541" s="359"/>
      <c r="AD541" s="271">
        <f t="shared" si="104"/>
        <v>0</v>
      </c>
      <c r="AF541" s="289">
        <f t="shared" si="105"/>
        <v>0</v>
      </c>
    </row>
    <row r="542" spans="1:32">
      <c r="A542" s="113">
        <v>527</v>
      </c>
      <c r="B542" s="119" t="s">
        <v>1543</v>
      </c>
      <c r="C542" s="119" t="s">
        <v>2632</v>
      </c>
      <c r="D542" s="113" t="s">
        <v>2451</v>
      </c>
      <c r="E542" s="374" t="s">
        <v>2633</v>
      </c>
      <c r="F542" s="356">
        <v>-118440.31</v>
      </c>
      <c r="G542" s="356">
        <v>-114977.46</v>
      </c>
      <c r="H542" s="356">
        <v>-111039.46</v>
      </c>
      <c r="I542" s="356">
        <v>-107275</v>
      </c>
      <c r="J542" s="356">
        <v>-104603</v>
      </c>
      <c r="K542" s="356">
        <v>-88279.01</v>
      </c>
      <c r="L542" s="356">
        <v>-80997.45</v>
      </c>
      <c r="M542" s="356">
        <v>-77336.460000000006</v>
      </c>
      <c r="N542" s="356">
        <v>-82958.399999999994</v>
      </c>
      <c r="O542" s="356">
        <v>-76208.66</v>
      </c>
      <c r="P542" s="356">
        <v>-70638.52</v>
      </c>
      <c r="Q542" s="356">
        <v>-73408.479999999996</v>
      </c>
      <c r="R542" s="356">
        <v>-67384.36</v>
      </c>
      <c r="S542" s="357">
        <f t="shared" si="100"/>
        <v>-90052.85291666667</v>
      </c>
      <c r="U542" s="358"/>
      <c r="V542" s="359"/>
      <c r="W542" s="359"/>
      <c r="X542" s="360">
        <f>+S542</f>
        <v>-90052.85291666667</v>
      </c>
      <c r="Y542" s="359"/>
      <c r="Z542" s="359"/>
      <c r="AA542" s="358"/>
      <c r="AB542" s="359">
        <f>+X542</f>
        <v>-90052.85291666667</v>
      </c>
      <c r="AD542" s="271">
        <f t="shared" si="104"/>
        <v>0</v>
      </c>
      <c r="AF542" s="289">
        <f t="shared" si="105"/>
        <v>0</v>
      </c>
    </row>
    <row r="543" spans="1:32">
      <c r="A543" s="113">
        <v>528</v>
      </c>
      <c r="B543" s="119" t="s">
        <v>1523</v>
      </c>
      <c r="C543" s="119" t="s">
        <v>2554</v>
      </c>
      <c r="D543" s="113" t="s">
        <v>2178</v>
      </c>
      <c r="E543" s="374" t="s">
        <v>2634</v>
      </c>
      <c r="F543" s="356">
        <v>0</v>
      </c>
      <c r="G543" s="356">
        <v>0</v>
      </c>
      <c r="H543" s="356">
        <v>-83539.039999999994</v>
      </c>
      <c r="I543" s="356">
        <v>-272748.17</v>
      </c>
      <c r="J543" s="356">
        <v>-333672.76</v>
      </c>
      <c r="K543" s="356">
        <v>-309319.53000000003</v>
      </c>
      <c r="L543" s="356">
        <v>-241217.04</v>
      </c>
      <c r="M543" s="356">
        <v>-2.91038304567337E-11</v>
      </c>
      <c r="N543" s="356">
        <v>-2.91038304567337E-11</v>
      </c>
      <c r="O543" s="356">
        <v>-2.91038304567337E-11</v>
      </c>
      <c r="P543" s="356">
        <v>-2.91038304567337E-11</v>
      </c>
      <c r="Q543" s="356">
        <v>-2.91038304567337E-11</v>
      </c>
      <c r="R543" s="356">
        <v>-185595.73</v>
      </c>
      <c r="S543" s="357">
        <f t="shared" si="100"/>
        <v>-111107.86708333333</v>
      </c>
      <c r="U543" s="358"/>
      <c r="V543" s="359">
        <f t="shared" si="103"/>
        <v>-111107.86708333333</v>
      </c>
      <c r="W543" s="359"/>
      <c r="X543" s="360"/>
      <c r="Y543" s="359"/>
      <c r="Z543" s="359"/>
      <c r="AA543" s="358"/>
      <c r="AB543" s="359"/>
      <c r="AD543" s="271">
        <f t="shared" si="104"/>
        <v>-111107.86708333333</v>
      </c>
      <c r="AF543" s="289">
        <f t="shared" si="105"/>
        <v>0</v>
      </c>
    </row>
    <row r="544" spans="1:32">
      <c r="A544" s="113">
        <v>529</v>
      </c>
      <c r="B544" s="119" t="s">
        <v>1530</v>
      </c>
      <c r="C544" s="119" t="s">
        <v>2635</v>
      </c>
      <c r="D544" s="113" t="s">
        <v>385</v>
      </c>
      <c r="E544" s="374" t="s">
        <v>2636</v>
      </c>
      <c r="F544" s="356">
        <v>0</v>
      </c>
      <c r="G544" s="356">
        <v>0</v>
      </c>
      <c r="H544" s="356">
        <v>0</v>
      </c>
      <c r="I544" s="356">
        <v>0</v>
      </c>
      <c r="J544" s="356">
        <v>0</v>
      </c>
      <c r="K544" s="356">
        <v>0</v>
      </c>
      <c r="L544" s="356">
        <v>0</v>
      </c>
      <c r="M544" s="356">
        <v>-182381</v>
      </c>
      <c r="N544" s="356">
        <v>-364762</v>
      </c>
      <c r="O544" s="356">
        <v>-547143</v>
      </c>
      <c r="P544" s="356">
        <v>-729524</v>
      </c>
      <c r="Q544" s="356">
        <v>0</v>
      </c>
      <c r="R544" s="356">
        <v>0</v>
      </c>
      <c r="S544" s="357">
        <f t="shared" si="100"/>
        <v>-151984.16666666666</v>
      </c>
      <c r="U544" s="358"/>
      <c r="V544" s="359">
        <f t="shared" si="103"/>
        <v>-151984.16666666666</v>
      </c>
      <c r="W544" s="359"/>
      <c r="X544" s="360"/>
      <c r="Y544" s="359"/>
      <c r="Z544" s="359"/>
      <c r="AA544" s="358"/>
      <c r="AB544" s="359"/>
      <c r="AD544" s="271">
        <f t="shared" si="104"/>
        <v>-151984.16666666666</v>
      </c>
      <c r="AF544" s="289">
        <f t="shared" si="105"/>
        <v>0</v>
      </c>
    </row>
    <row r="545" spans="1:32">
      <c r="A545" s="113">
        <v>530</v>
      </c>
      <c r="B545" s="119" t="s">
        <v>1530</v>
      </c>
      <c r="C545" s="119" t="s">
        <v>2635</v>
      </c>
      <c r="D545" s="113" t="s">
        <v>2001</v>
      </c>
      <c r="E545" s="374" t="s">
        <v>2637</v>
      </c>
      <c r="F545" s="356">
        <v>-920291.67</v>
      </c>
      <c r="G545" s="356">
        <v>-673723.19</v>
      </c>
      <c r="H545" s="356">
        <v>-928210.33</v>
      </c>
      <c r="I545" s="356">
        <v>-1198004.44</v>
      </c>
      <c r="J545" s="356">
        <v>-411757.19</v>
      </c>
      <c r="K545" s="356">
        <v>-494697.81</v>
      </c>
      <c r="L545" s="356">
        <v>-574281.56999999995</v>
      </c>
      <c r="M545" s="356">
        <v>-157960.82999999999</v>
      </c>
      <c r="N545" s="356">
        <v>-221996.79999999999</v>
      </c>
      <c r="O545" s="356">
        <v>-306469.76000000001</v>
      </c>
      <c r="P545" s="356">
        <v>-216800.66</v>
      </c>
      <c r="Q545" s="356">
        <v>-500260.4</v>
      </c>
      <c r="R545" s="356">
        <v>-924639.48</v>
      </c>
      <c r="S545" s="357">
        <f t="shared" si="100"/>
        <v>-550552.37958333339</v>
      </c>
      <c r="U545" s="358"/>
      <c r="V545" s="359">
        <f t="shared" si="103"/>
        <v>-550552.37958333339</v>
      </c>
      <c r="W545" s="359"/>
      <c r="X545" s="360"/>
      <c r="Y545" s="359"/>
      <c r="Z545" s="359"/>
      <c r="AA545" s="358"/>
      <c r="AB545" s="359"/>
      <c r="AD545" s="271">
        <f t="shared" si="104"/>
        <v>-550552.37958333339</v>
      </c>
      <c r="AF545" s="289">
        <f t="shared" si="105"/>
        <v>0</v>
      </c>
    </row>
    <row r="546" spans="1:32">
      <c r="A546" s="113">
        <v>531</v>
      </c>
      <c r="B546" s="119" t="s">
        <v>1530</v>
      </c>
      <c r="C546" s="119" t="s">
        <v>2635</v>
      </c>
      <c r="D546" s="113" t="s">
        <v>2194</v>
      </c>
      <c r="E546" s="374" t="s">
        <v>2638</v>
      </c>
      <c r="F546" s="356">
        <v>0</v>
      </c>
      <c r="G546" s="356">
        <v>-15487.26</v>
      </c>
      <c r="H546" s="356">
        <v>-30974.52</v>
      </c>
      <c r="I546" s="356">
        <v>0</v>
      </c>
      <c r="J546" s="356">
        <v>0</v>
      </c>
      <c r="K546" s="356">
        <v>0</v>
      </c>
      <c r="L546" s="356">
        <v>0</v>
      </c>
      <c r="M546" s="356">
        <v>0</v>
      </c>
      <c r="N546" s="356">
        <v>0</v>
      </c>
      <c r="O546" s="356">
        <v>0</v>
      </c>
      <c r="P546" s="356">
        <v>0</v>
      </c>
      <c r="Q546" s="356">
        <v>0</v>
      </c>
      <c r="R546" s="356">
        <v>0</v>
      </c>
      <c r="S546" s="357">
        <f t="shared" si="100"/>
        <v>-3871.8150000000001</v>
      </c>
      <c r="U546" s="358"/>
      <c r="V546" s="359">
        <f t="shared" si="103"/>
        <v>-3871.8150000000001</v>
      </c>
      <c r="W546" s="359"/>
      <c r="X546" s="360"/>
      <c r="Y546" s="359"/>
      <c r="Z546" s="359"/>
      <c r="AA546" s="358"/>
      <c r="AB546" s="359"/>
      <c r="AD546" s="271">
        <f t="shared" si="104"/>
        <v>-3871.8150000000001</v>
      </c>
      <c r="AF546" s="289">
        <f t="shared" si="105"/>
        <v>0</v>
      </c>
    </row>
    <row r="547" spans="1:32">
      <c r="A547" s="113">
        <v>532</v>
      </c>
      <c r="B547" s="119" t="s">
        <v>1543</v>
      </c>
      <c r="C547" s="119" t="s">
        <v>2635</v>
      </c>
      <c r="D547" s="113" t="s">
        <v>2489</v>
      </c>
      <c r="E547" s="374" t="s">
        <v>2639</v>
      </c>
      <c r="F547" s="356">
        <v>0</v>
      </c>
      <c r="G547" s="356">
        <v>0</v>
      </c>
      <c r="H547" s="356">
        <v>0</v>
      </c>
      <c r="I547" s="356">
        <v>0</v>
      </c>
      <c r="J547" s="356">
        <v>0</v>
      </c>
      <c r="K547" s="356">
        <v>0</v>
      </c>
      <c r="L547" s="356">
        <v>0</v>
      </c>
      <c r="M547" s="356">
        <v>0</v>
      </c>
      <c r="N547" s="356">
        <v>0</v>
      </c>
      <c r="O547" s="356">
        <v>0</v>
      </c>
      <c r="P547" s="356">
        <v>0</v>
      </c>
      <c r="Q547" s="356">
        <v>0</v>
      </c>
      <c r="R547" s="356">
        <v>0</v>
      </c>
      <c r="S547" s="357">
        <f t="shared" si="100"/>
        <v>0</v>
      </c>
      <c r="U547" s="358"/>
      <c r="V547" s="359">
        <f>+S547</f>
        <v>0</v>
      </c>
      <c r="W547" s="359"/>
      <c r="X547" s="360"/>
      <c r="Y547" s="359"/>
      <c r="Z547" s="359"/>
      <c r="AA547" s="358"/>
      <c r="AB547" s="359"/>
      <c r="AD547" s="271">
        <f t="shared" si="104"/>
        <v>0</v>
      </c>
      <c r="AF547" s="289">
        <f t="shared" si="105"/>
        <v>0</v>
      </c>
    </row>
    <row r="548" spans="1:32">
      <c r="A548" s="113">
        <v>533</v>
      </c>
      <c r="B548" s="119" t="s">
        <v>1543</v>
      </c>
      <c r="C548" s="119" t="s">
        <v>2635</v>
      </c>
      <c r="D548" s="113" t="s">
        <v>2640</v>
      </c>
      <c r="E548" s="374" t="s">
        <v>2641</v>
      </c>
      <c r="F548" s="356">
        <v>0</v>
      </c>
      <c r="G548" s="356">
        <v>0</v>
      </c>
      <c r="H548" s="356">
        <v>0</v>
      </c>
      <c r="I548" s="356">
        <v>-75000</v>
      </c>
      <c r="J548" s="356">
        <v>0</v>
      </c>
      <c r="K548" s="356">
        <v>0</v>
      </c>
      <c r="L548" s="356">
        <v>-75000</v>
      </c>
      <c r="M548" s="356">
        <v>0</v>
      </c>
      <c r="N548" s="356">
        <v>0</v>
      </c>
      <c r="O548" s="356">
        <v>-75000</v>
      </c>
      <c r="P548" s="356">
        <v>-75000</v>
      </c>
      <c r="Q548" s="356">
        <v>-75000</v>
      </c>
      <c r="R548" s="356">
        <v>-150000</v>
      </c>
      <c r="S548" s="357">
        <f t="shared" si="100"/>
        <v>-37500</v>
      </c>
      <c r="U548" s="358"/>
      <c r="V548" s="359">
        <f>+S548</f>
        <v>-37500</v>
      </c>
      <c r="W548" s="359"/>
      <c r="X548" s="360"/>
      <c r="Y548" s="359"/>
      <c r="Z548" s="359"/>
      <c r="AA548" s="358"/>
      <c r="AB548" s="359"/>
      <c r="AD548" s="271">
        <f t="shared" si="104"/>
        <v>-37500</v>
      </c>
      <c r="AF548" s="289"/>
    </row>
    <row r="549" spans="1:32">
      <c r="A549" s="113">
        <v>534</v>
      </c>
      <c r="B549" s="119" t="s">
        <v>2003</v>
      </c>
      <c r="C549" s="119" t="s">
        <v>2618</v>
      </c>
      <c r="D549" s="113" t="s">
        <v>1994</v>
      </c>
      <c r="E549" s="374" t="s">
        <v>2642</v>
      </c>
      <c r="F549" s="356">
        <v>-532108.17000000004</v>
      </c>
      <c r="G549" s="356">
        <v>-538734.47</v>
      </c>
      <c r="H549" s="356">
        <v>-374652.77</v>
      </c>
      <c r="I549" s="356">
        <v>-334984.5</v>
      </c>
      <c r="J549" s="356">
        <v>-195539.25</v>
      </c>
      <c r="K549" s="356">
        <v>-143031.43</v>
      </c>
      <c r="L549" s="356">
        <v>-119935.67999999999</v>
      </c>
      <c r="M549" s="356">
        <v>-100445.33</v>
      </c>
      <c r="N549" s="356">
        <v>-104857</v>
      </c>
      <c r="O549" s="356">
        <v>-115781.97</v>
      </c>
      <c r="P549" s="356">
        <v>-239135.9</v>
      </c>
      <c r="Q549" s="356">
        <v>-430821.37</v>
      </c>
      <c r="R549" s="356">
        <v>-506755.45</v>
      </c>
      <c r="S549" s="357">
        <f t="shared" si="100"/>
        <v>-268112.62333333335</v>
      </c>
      <c r="U549" s="358"/>
      <c r="V549" s="359">
        <f t="shared" si="103"/>
        <v>-268112.62333333335</v>
      </c>
      <c r="W549" s="359"/>
      <c r="X549" s="360"/>
      <c r="Y549" s="359"/>
      <c r="Z549" s="359"/>
      <c r="AA549" s="358"/>
      <c r="AB549" s="359"/>
      <c r="AD549" s="271">
        <f t="shared" si="104"/>
        <v>-268112.62333333335</v>
      </c>
      <c r="AF549" s="289">
        <f t="shared" si="105"/>
        <v>0</v>
      </c>
    </row>
    <row r="550" spans="1:32">
      <c r="A550" s="113">
        <v>535</v>
      </c>
      <c r="B550" s="119" t="s">
        <v>2003</v>
      </c>
      <c r="C550" s="119" t="s">
        <v>2618</v>
      </c>
      <c r="D550" s="113" t="s">
        <v>376</v>
      </c>
      <c r="E550" s="374" t="s">
        <v>2643</v>
      </c>
      <c r="F550" s="356">
        <v>-1017468.45</v>
      </c>
      <c r="G550" s="356">
        <v>-1009468.17</v>
      </c>
      <c r="H550" s="356">
        <v>-995648.43</v>
      </c>
      <c r="I550" s="356">
        <v>-990673.87</v>
      </c>
      <c r="J550" s="356">
        <v>-987770.06</v>
      </c>
      <c r="K550" s="356">
        <v>-985646.06</v>
      </c>
      <c r="L550" s="356">
        <v>-983865.07</v>
      </c>
      <c r="M550" s="356">
        <v>-982373.43</v>
      </c>
      <c r="N550" s="356">
        <v>-980816.24</v>
      </c>
      <c r="O550" s="356">
        <v>-979096.87</v>
      </c>
      <c r="P550" s="356">
        <v>-975545.69</v>
      </c>
      <c r="Q550" s="356">
        <v>-969148.01</v>
      </c>
      <c r="R550" s="356">
        <v>-965203.02</v>
      </c>
      <c r="S550" s="357">
        <f t="shared" si="100"/>
        <v>-985948.96958333312</v>
      </c>
      <c r="U550" s="358"/>
      <c r="V550" s="359">
        <f t="shared" si="103"/>
        <v>-985948.96958333312</v>
      </c>
      <c r="W550" s="359"/>
      <c r="X550" s="360"/>
      <c r="Y550" s="359"/>
      <c r="Z550" s="359"/>
      <c r="AA550" s="358"/>
      <c r="AB550" s="359"/>
      <c r="AD550" s="271">
        <f t="shared" si="104"/>
        <v>-985948.96958333312</v>
      </c>
      <c r="AF550" s="289">
        <f t="shared" si="105"/>
        <v>0</v>
      </c>
    </row>
    <row r="551" spans="1:32">
      <c r="A551" s="113">
        <v>536</v>
      </c>
      <c r="B551" s="119" t="s">
        <v>2003</v>
      </c>
      <c r="C551" s="119" t="s">
        <v>2618</v>
      </c>
      <c r="D551" s="119" t="s">
        <v>377</v>
      </c>
      <c r="E551" s="374" t="s">
        <v>2644</v>
      </c>
      <c r="F551" s="356">
        <v>-2164.79</v>
      </c>
      <c r="G551" s="356">
        <v>-8564.11</v>
      </c>
      <c r="H551" s="356">
        <v>-11119.52</v>
      </c>
      <c r="I551" s="356">
        <v>-12686</v>
      </c>
      <c r="J551" s="356">
        <v>-10186.75</v>
      </c>
      <c r="K551" s="356">
        <v>-7393.59</v>
      </c>
      <c r="L551" s="356">
        <v>-5674.2</v>
      </c>
      <c r="M551" s="356">
        <v>-1279.47</v>
      </c>
      <c r="N551" s="356">
        <v>6470.56</v>
      </c>
      <c r="O551" s="356">
        <v>14536.57</v>
      </c>
      <c r="P551" s="356">
        <v>14864.75</v>
      </c>
      <c r="Q551" s="356">
        <v>11403.15</v>
      </c>
      <c r="R551" s="356">
        <v>19876.919999999998</v>
      </c>
      <c r="S551" s="357">
        <f t="shared" si="100"/>
        <v>-64.378750000000309</v>
      </c>
      <c r="U551" s="358"/>
      <c r="V551" s="359">
        <f t="shared" si="103"/>
        <v>-64.378750000000309</v>
      </c>
      <c r="W551" s="359"/>
      <c r="X551" s="360"/>
      <c r="Y551" s="359"/>
      <c r="Z551" s="359"/>
      <c r="AA551" s="358"/>
      <c r="AB551" s="359"/>
      <c r="AD551" s="271">
        <f t="shared" si="104"/>
        <v>-64.378750000000309</v>
      </c>
      <c r="AF551" s="289">
        <f t="shared" si="105"/>
        <v>0</v>
      </c>
    </row>
    <row r="552" spans="1:32">
      <c r="A552" s="113">
        <v>537</v>
      </c>
      <c r="B552" s="119"/>
      <c r="C552" s="119" t="s">
        <v>2618</v>
      </c>
      <c r="D552" s="119" t="s">
        <v>378</v>
      </c>
      <c r="E552" s="374" t="s">
        <v>2645</v>
      </c>
      <c r="F552" s="356">
        <v>490971.99</v>
      </c>
      <c r="G552" s="356">
        <v>490971.99</v>
      </c>
      <c r="H552" s="356">
        <v>502715.93</v>
      </c>
      <c r="I552" s="356">
        <v>502715.93</v>
      </c>
      <c r="J552" s="356">
        <v>502715.93</v>
      </c>
      <c r="K552" s="356">
        <v>502715.93</v>
      </c>
      <c r="L552" s="356">
        <v>502715.93</v>
      </c>
      <c r="M552" s="356">
        <v>502715.93</v>
      </c>
      <c r="N552" s="356">
        <v>502715.93</v>
      </c>
      <c r="O552" s="356">
        <v>502715.93</v>
      </c>
      <c r="P552" s="356">
        <v>502715.93</v>
      </c>
      <c r="Q552" s="356">
        <v>502715.93</v>
      </c>
      <c r="R552" s="356">
        <v>495465.93</v>
      </c>
      <c r="S552" s="357">
        <f t="shared" si="100"/>
        <v>500945.85416666669</v>
      </c>
      <c r="U552" s="358"/>
      <c r="V552" s="359">
        <f t="shared" si="103"/>
        <v>500945.85416666669</v>
      </c>
      <c r="W552" s="359"/>
      <c r="X552" s="360"/>
      <c r="Y552" s="359"/>
      <c r="Z552" s="359"/>
      <c r="AA552" s="358"/>
      <c r="AB552" s="359"/>
      <c r="AD552" s="271">
        <f t="shared" si="104"/>
        <v>500945.85416666669</v>
      </c>
      <c r="AF552" s="289"/>
    </row>
    <row r="553" spans="1:32">
      <c r="A553" s="113">
        <v>538</v>
      </c>
      <c r="B553" s="119"/>
      <c r="C553" s="119" t="s">
        <v>2646</v>
      </c>
      <c r="D553" s="119" t="s">
        <v>376</v>
      </c>
      <c r="E553" s="374" t="s">
        <v>2647</v>
      </c>
      <c r="F553" s="356">
        <v>0</v>
      </c>
      <c r="G553" s="356">
        <v>0</v>
      </c>
      <c r="H553" s="356">
        <v>0</v>
      </c>
      <c r="I553" s="356">
        <v>0</v>
      </c>
      <c r="J553" s="356">
        <v>0</v>
      </c>
      <c r="K553" s="356">
        <v>0</v>
      </c>
      <c r="L553" s="356">
        <v>0</v>
      </c>
      <c r="M553" s="356">
        <v>0</v>
      </c>
      <c r="N553" s="356">
        <v>0</v>
      </c>
      <c r="O553" s="356">
        <v>0</v>
      </c>
      <c r="P553" s="356">
        <v>0</v>
      </c>
      <c r="Q553" s="356">
        <v>0</v>
      </c>
      <c r="R553" s="356">
        <v>0</v>
      </c>
      <c r="S553" s="357">
        <f t="shared" si="100"/>
        <v>0</v>
      </c>
      <c r="U553" s="358"/>
      <c r="V553" s="359"/>
      <c r="W553" s="359"/>
      <c r="X553" s="360"/>
      <c r="Y553" s="359"/>
      <c r="Z553" s="359"/>
      <c r="AA553" s="358"/>
      <c r="AB553" s="359"/>
      <c r="AD553" s="271"/>
      <c r="AF553" s="289"/>
    </row>
    <row r="554" spans="1:32">
      <c r="A554" s="113">
        <v>539</v>
      </c>
      <c r="B554" s="119"/>
      <c r="C554" s="119" t="s">
        <v>2646</v>
      </c>
      <c r="D554" s="119" t="s">
        <v>2648</v>
      </c>
      <c r="E554" s="374" t="s">
        <v>2649</v>
      </c>
      <c r="F554" s="356">
        <v>3387386.16</v>
      </c>
      <c r="G554" s="356">
        <v>4592256.99</v>
      </c>
      <c r="H554" s="356">
        <v>5102116.53</v>
      </c>
      <c r="I554" s="356">
        <v>5183843.9400000004</v>
      </c>
      <c r="J554" s="356">
        <v>5117129.46</v>
      </c>
      <c r="K554" s="356">
        <v>5075765.97</v>
      </c>
      <c r="L554" s="356">
        <v>5079052.58</v>
      </c>
      <c r="M554" s="356">
        <v>5101325.05</v>
      </c>
      <c r="N554" s="356">
        <v>5119288.28</v>
      </c>
      <c r="O554" s="356">
        <v>5235646.2300000004</v>
      </c>
      <c r="P554" s="356">
        <v>4996113.91</v>
      </c>
      <c r="Q554" s="356">
        <v>14494.6699999999</v>
      </c>
      <c r="R554" s="356">
        <v>893069.05</v>
      </c>
      <c r="S554" s="357">
        <f t="shared" si="100"/>
        <v>4396438.4345833333</v>
      </c>
      <c r="U554" s="358"/>
      <c r="V554" s="359"/>
      <c r="W554" s="359"/>
      <c r="X554" s="360">
        <f>+S554</f>
        <v>4396438.4345833333</v>
      </c>
      <c r="Y554" s="359"/>
      <c r="Z554" s="359"/>
      <c r="AA554" s="358"/>
      <c r="AB554" s="359">
        <f>+X554</f>
        <v>4396438.4345833333</v>
      </c>
      <c r="AD554" s="271"/>
      <c r="AF554" s="289"/>
    </row>
    <row r="555" spans="1:32">
      <c r="A555" s="113">
        <v>540</v>
      </c>
      <c r="B555" s="119"/>
      <c r="C555" s="119" t="s">
        <v>2646</v>
      </c>
      <c r="D555" s="119" t="s">
        <v>2650</v>
      </c>
      <c r="E555" s="374" t="s">
        <v>2651</v>
      </c>
      <c r="F555" s="356">
        <v>-2322389.21</v>
      </c>
      <c r="G555" s="356">
        <v>-3025659.98</v>
      </c>
      <c r="H555" s="356">
        <v>-3412593.56</v>
      </c>
      <c r="I555" s="356">
        <v>-3593812.04</v>
      </c>
      <c r="J555" s="356">
        <v>-3272096.7</v>
      </c>
      <c r="K555" s="356">
        <v>-2997477.27</v>
      </c>
      <c r="L555" s="356">
        <v>-2667112.09</v>
      </c>
      <c r="M555" s="356">
        <v>-2200113.27</v>
      </c>
      <c r="N555" s="356">
        <v>-1764176.61</v>
      </c>
      <c r="O555" s="356">
        <v>-1363437.49</v>
      </c>
      <c r="P555" s="356">
        <v>-1431012.51</v>
      </c>
      <c r="Q555" s="356">
        <v>1082148.8400000001</v>
      </c>
      <c r="R555" s="356">
        <v>471950.01</v>
      </c>
      <c r="S555" s="357">
        <f t="shared" si="100"/>
        <v>-2130880.19</v>
      </c>
      <c r="U555" s="358"/>
      <c r="V555" s="359"/>
      <c r="W555" s="359"/>
      <c r="X555" s="360">
        <f>+S555</f>
        <v>-2130880.19</v>
      </c>
      <c r="Y555" s="359"/>
      <c r="Z555" s="359"/>
      <c r="AA555" s="358"/>
      <c r="AB555" s="359">
        <f>+X555</f>
        <v>-2130880.19</v>
      </c>
      <c r="AD555" s="271"/>
      <c r="AF555" s="289"/>
    </row>
    <row r="556" spans="1:32">
      <c r="A556" s="113">
        <v>541</v>
      </c>
      <c r="B556" s="119"/>
      <c r="C556" s="119" t="s">
        <v>2646</v>
      </c>
      <c r="D556" s="119" t="s">
        <v>2652</v>
      </c>
      <c r="E556" s="374" t="s">
        <v>2653</v>
      </c>
      <c r="F556" s="356">
        <v>4487237.01</v>
      </c>
      <c r="G556" s="356">
        <v>3567298.8</v>
      </c>
      <c r="H556" s="356">
        <v>2843113.06</v>
      </c>
      <c r="I556" s="356">
        <v>2134420.77</v>
      </c>
      <c r="J556" s="356">
        <v>1567523.92</v>
      </c>
      <c r="K556" s="356">
        <v>1276376.28</v>
      </c>
      <c r="L556" s="356">
        <v>1043516.35</v>
      </c>
      <c r="M556" s="356">
        <v>867802.09999999905</v>
      </c>
      <c r="N556" s="356">
        <v>737422.52999999898</v>
      </c>
      <c r="O556" s="356">
        <v>588877.929999999</v>
      </c>
      <c r="P556" s="356">
        <v>374922.34999999899</v>
      </c>
      <c r="Q556" s="356">
        <v>2392593.36</v>
      </c>
      <c r="R556" s="356">
        <v>1993693.98</v>
      </c>
      <c r="S556" s="357">
        <f t="shared" si="100"/>
        <v>1719527.7454166664</v>
      </c>
      <c r="U556" s="358"/>
      <c r="V556" s="359"/>
      <c r="W556" s="359"/>
      <c r="X556" s="360">
        <f>+S556</f>
        <v>1719527.7454166664</v>
      </c>
      <c r="Y556" s="359"/>
      <c r="Z556" s="359"/>
      <c r="AA556" s="358"/>
      <c r="AB556" s="359">
        <f>+X556</f>
        <v>1719527.7454166664</v>
      </c>
      <c r="AD556" s="271"/>
      <c r="AF556" s="289"/>
    </row>
    <row r="557" spans="1:32">
      <c r="A557" s="113">
        <v>542</v>
      </c>
      <c r="B557" s="119"/>
      <c r="C557" s="119" t="s">
        <v>2646</v>
      </c>
      <c r="D557" s="119" t="s">
        <v>2654</v>
      </c>
      <c r="E557" s="374" t="s">
        <v>2655</v>
      </c>
      <c r="F557" s="356">
        <v>0</v>
      </c>
      <c r="G557" s="356">
        <v>0</v>
      </c>
      <c r="H557" s="356">
        <v>0</v>
      </c>
      <c r="I557" s="356">
        <v>0</v>
      </c>
      <c r="J557" s="356">
        <v>0</v>
      </c>
      <c r="K557" s="356">
        <v>0</v>
      </c>
      <c r="L557" s="356">
        <v>0</v>
      </c>
      <c r="M557" s="356">
        <v>0</v>
      </c>
      <c r="N557" s="356">
        <v>0</v>
      </c>
      <c r="O557" s="356">
        <v>0</v>
      </c>
      <c r="P557" s="356">
        <v>0</v>
      </c>
      <c r="Q557" s="356">
        <v>0</v>
      </c>
      <c r="R557" s="356">
        <v>-188000.76</v>
      </c>
      <c r="S557" s="357">
        <f t="shared" si="100"/>
        <v>-7833.3650000000007</v>
      </c>
      <c r="U557" s="358"/>
      <c r="V557" s="359"/>
      <c r="W557" s="359"/>
      <c r="X557" s="360">
        <f>+S557</f>
        <v>-7833.3650000000007</v>
      </c>
      <c r="Y557" s="359"/>
      <c r="Z557" s="359"/>
      <c r="AA557" s="358"/>
      <c r="AB557" s="359">
        <f>+X557</f>
        <v>-7833.3650000000007</v>
      </c>
      <c r="AD557" s="271"/>
      <c r="AF557" s="289"/>
    </row>
    <row r="558" spans="1:32">
      <c r="A558" s="113">
        <v>543</v>
      </c>
      <c r="B558" s="119"/>
      <c r="C558" s="119" t="s">
        <v>2646</v>
      </c>
      <c r="D558" s="119" t="s">
        <v>2656</v>
      </c>
      <c r="E558" s="374" t="s">
        <v>2657</v>
      </c>
      <c r="F558" s="356">
        <v>-543667.46</v>
      </c>
      <c r="G558" s="356">
        <v>-459159.83</v>
      </c>
      <c r="H558" s="356">
        <v>-413229.8</v>
      </c>
      <c r="I558" s="356">
        <v>-323817.87</v>
      </c>
      <c r="J558" s="356">
        <v>-136172.85</v>
      </c>
      <c r="K558" s="356">
        <v>-86728.17</v>
      </c>
      <c r="L558" s="356">
        <v>-49741.08</v>
      </c>
      <c r="M558" s="356">
        <v>-29766.2</v>
      </c>
      <c r="N558" s="356">
        <v>-51939.97</v>
      </c>
      <c r="O558" s="356">
        <v>-77002.009999999995</v>
      </c>
      <c r="P558" s="356">
        <v>-237194.61</v>
      </c>
      <c r="Q558" s="356">
        <v>-230663.09</v>
      </c>
      <c r="R558" s="356">
        <v>-260938.27</v>
      </c>
      <c r="S558" s="357">
        <f t="shared" si="100"/>
        <v>-208143.19541666668</v>
      </c>
      <c r="U558" s="358"/>
      <c r="V558" s="359"/>
      <c r="W558" s="359"/>
      <c r="X558" s="360">
        <f>+S558</f>
        <v>-208143.19541666668</v>
      </c>
      <c r="Y558" s="359"/>
      <c r="Z558" s="359"/>
      <c r="AA558" s="358"/>
      <c r="AB558" s="359">
        <f>+X558</f>
        <v>-208143.19541666668</v>
      </c>
      <c r="AD558" s="271"/>
      <c r="AF558" s="289"/>
    </row>
    <row r="559" spans="1:32">
      <c r="A559" s="113">
        <v>544</v>
      </c>
      <c r="B559" s="119"/>
      <c r="C559" s="119" t="s">
        <v>2646</v>
      </c>
      <c r="D559" s="119" t="s">
        <v>2658</v>
      </c>
      <c r="E559" s="374" t="s">
        <v>2659</v>
      </c>
      <c r="F559" s="356">
        <v>-29908.85</v>
      </c>
      <c r="G559" s="356">
        <v>0</v>
      </c>
      <c r="H559" s="356">
        <v>0</v>
      </c>
      <c r="I559" s="356">
        <v>0</v>
      </c>
      <c r="J559" s="356">
        <v>-33704.89</v>
      </c>
      <c r="K559" s="356">
        <v>-13648.74</v>
      </c>
      <c r="L559" s="356">
        <v>1.8189894035458601E-12</v>
      </c>
      <c r="M559" s="356">
        <v>-3702.18</v>
      </c>
      <c r="N559" s="356">
        <v>-27313.49</v>
      </c>
      <c r="O559" s="356">
        <v>-53351.37</v>
      </c>
      <c r="P559" s="356">
        <v>-128890.85</v>
      </c>
      <c r="Q559" s="356">
        <v>1.45519152283669E-11</v>
      </c>
      <c r="R559" s="356">
        <v>1.45519152283669E-11</v>
      </c>
      <c r="S559" s="357">
        <f t="shared" si="100"/>
        <v>-22963.828750000001</v>
      </c>
      <c r="U559" s="358"/>
      <c r="V559" s="359">
        <f>+S559</f>
        <v>-22963.828750000001</v>
      </c>
      <c r="W559" s="359"/>
      <c r="X559" s="360"/>
      <c r="Y559" s="359"/>
      <c r="Z559" s="359"/>
      <c r="AA559" s="358"/>
      <c r="AB559" s="359"/>
      <c r="AD559" s="271">
        <f>+S559</f>
        <v>-22963.828750000001</v>
      </c>
      <c r="AF559" s="289"/>
    </row>
    <row r="560" spans="1:32">
      <c r="A560" s="113">
        <v>545</v>
      </c>
      <c r="B560" s="119"/>
      <c r="C560" s="119" t="s">
        <v>2646</v>
      </c>
      <c r="D560" s="119" t="s">
        <v>2165</v>
      </c>
      <c r="E560" s="374" t="s">
        <v>2660</v>
      </c>
      <c r="F560" s="356">
        <v>-5008566.5</v>
      </c>
      <c r="G560" s="356">
        <v>-4674735.9800000004</v>
      </c>
      <c r="H560" s="356">
        <v>-4119406.23</v>
      </c>
      <c r="I560" s="356">
        <v>-3400634.8</v>
      </c>
      <c r="J560" s="356">
        <v>-3276383.83</v>
      </c>
      <c r="K560" s="356">
        <v>-3267936.81</v>
      </c>
      <c r="L560" s="356">
        <v>-3405715.76</v>
      </c>
      <c r="M560" s="356">
        <v>-3739247.68</v>
      </c>
      <c r="N560" s="356">
        <v>-4040594.23</v>
      </c>
      <c r="O560" s="356">
        <v>-4384084.66</v>
      </c>
      <c r="P560" s="356">
        <v>-3702829.14</v>
      </c>
      <c r="Q560" s="356">
        <v>-3258573.78</v>
      </c>
      <c r="R560" s="356">
        <v>-3097774.77</v>
      </c>
      <c r="S560" s="357">
        <f t="shared" si="100"/>
        <v>-3776942.7945833337</v>
      </c>
      <c r="U560" s="358"/>
      <c r="V560" s="359">
        <f>+S560</f>
        <v>-3776942.7945833337</v>
      </c>
      <c r="W560" s="359"/>
      <c r="X560" s="360"/>
      <c r="Y560" s="359"/>
      <c r="Z560" s="359"/>
      <c r="AA560" s="358"/>
      <c r="AB560" s="359">
        <f>+S560</f>
        <v>-3776942.7945833337</v>
      </c>
      <c r="AD560" s="271"/>
      <c r="AF560" s="289"/>
    </row>
    <row r="561" spans="1:32">
      <c r="A561" s="113">
        <v>546</v>
      </c>
      <c r="B561" s="119"/>
      <c r="C561" s="119" t="s">
        <v>2646</v>
      </c>
      <c r="D561" s="119" t="s">
        <v>2167</v>
      </c>
      <c r="E561" s="374" t="s">
        <v>2660</v>
      </c>
      <c r="F561" s="356">
        <v>-84195663.5</v>
      </c>
      <c r="G561" s="356">
        <v>-80755021.959999993</v>
      </c>
      <c r="H561" s="356">
        <v>-75481931.700000003</v>
      </c>
      <c r="I561" s="356">
        <v>-69431527.340000004</v>
      </c>
      <c r="J561" s="356">
        <v>-66617231.649999999</v>
      </c>
      <c r="K561" s="356">
        <v>-66019723.520000003</v>
      </c>
      <c r="L561" s="356">
        <v>-66360815.649999999</v>
      </c>
      <c r="M561" s="356">
        <v>-66949451.399999999</v>
      </c>
      <c r="N561" s="356">
        <v>-67762787.909999996</v>
      </c>
      <c r="O561" s="356">
        <v>-68520199.480000004</v>
      </c>
      <c r="P561" s="356">
        <v>-67006483.759999998</v>
      </c>
      <c r="Q561" s="356">
        <v>-64260906.960000001</v>
      </c>
      <c r="R561" s="356">
        <v>-60424159.259999998</v>
      </c>
      <c r="S561" s="357">
        <f t="shared" si="100"/>
        <v>-69289666.059166655</v>
      </c>
      <c r="U561" s="358"/>
      <c r="V561" s="359">
        <f>+S561</f>
        <v>-69289666.059166655</v>
      </c>
      <c r="W561" s="359"/>
      <c r="X561" s="360"/>
      <c r="Y561" s="359"/>
      <c r="Z561" s="359"/>
      <c r="AA561" s="358"/>
      <c r="AB561" s="359">
        <f>+S561</f>
        <v>-69289666.059166655</v>
      </c>
      <c r="AD561" s="271"/>
      <c r="AF561" s="289"/>
    </row>
    <row r="562" spans="1:32">
      <c r="A562" s="113">
        <v>547</v>
      </c>
      <c r="B562" s="119" t="s">
        <v>1530</v>
      </c>
      <c r="C562" s="119" t="s">
        <v>2630</v>
      </c>
      <c r="D562" s="119" t="s">
        <v>1526</v>
      </c>
      <c r="E562" s="374" t="s">
        <v>2631</v>
      </c>
      <c r="F562" s="356">
        <v>0</v>
      </c>
      <c r="G562" s="356">
        <v>0</v>
      </c>
      <c r="H562" s="356">
        <v>0</v>
      </c>
      <c r="I562" s="356">
        <v>0</v>
      </c>
      <c r="J562" s="356">
        <v>0</v>
      </c>
      <c r="K562" s="356">
        <v>0</v>
      </c>
      <c r="L562" s="356">
        <v>0</v>
      </c>
      <c r="M562" s="356">
        <v>0</v>
      </c>
      <c r="N562" s="356">
        <v>0</v>
      </c>
      <c r="O562" s="356">
        <v>0</v>
      </c>
      <c r="P562" s="356">
        <v>0</v>
      </c>
      <c r="Q562" s="356">
        <v>0</v>
      </c>
      <c r="R562" s="356">
        <v>0</v>
      </c>
      <c r="S562" s="357">
        <f t="shared" si="100"/>
        <v>0</v>
      </c>
      <c r="U562" s="358"/>
      <c r="V562" s="359">
        <f t="shared" si="103"/>
        <v>0</v>
      </c>
      <c r="W562" s="359"/>
      <c r="X562" s="360"/>
      <c r="Y562" s="359"/>
      <c r="Z562" s="359"/>
      <c r="AA562" s="358"/>
      <c r="AB562" s="359"/>
      <c r="AD562" s="271">
        <f t="shared" si="104"/>
        <v>0</v>
      </c>
      <c r="AF562" s="289">
        <f t="shared" si="105"/>
        <v>0</v>
      </c>
    </row>
    <row r="563" spans="1:32">
      <c r="A563" s="113">
        <v>548</v>
      </c>
      <c r="B563" s="119"/>
      <c r="C563" s="119" t="s">
        <v>2632</v>
      </c>
      <c r="D563" s="119" t="s">
        <v>2451</v>
      </c>
      <c r="E563" s="374" t="s">
        <v>2633</v>
      </c>
      <c r="F563" s="356">
        <v>-664878.92000000004</v>
      </c>
      <c r="G563" s="356">
        <v>-682951.03</v>
      </c>
      <c r="H563" s="356">
        <v>-703216.62</v>
      </c>
      <c r="I563" s="356">
        <v>-699762.28</v>
      </c>
      <c r="J563" s="356">
        <v>-689005.49</v>
      </c>
      <c r="K563" s="356">
        <v>-651975.97</v>
      </c>
      <c r="L563" s="356">
        <v>-607612.17000000004</v>
      </c>
      <c r="M563" s="356">
        <v>-570682.09</v>
      </c>
      <c r="N563" s="356">
        <v>-551256.01</v>
      </c>
      <c r="O563" s="356">
        <v>-507658.27</v>
      </c>
      <c r="P563" s="356">
        <v>-462819.57</v>
      </c>
      <c r="Q563" s="356">
        <v>-415481.42</v>
      </c>
      <c r="R563" s="356">
        <v>-372244.01</v>
      </c>
      <c r="S563" s="357">
        <f t="shared" si="100"/>
        <v>-588415.19874999998</v>
      </c>
      <c r="U563" s="358"/>
      <c r="V563" s="359"/>
      <c r="W563" s="359"/>
      <c r="X563" s="360">
        <f>+S563</f>
        <v>-588415.19874999998</v>
      </c>
      <c r="Y563" s="359"/>
      <c r="Z563" s="359"/>
      <c r="AA563" s="358"/>
      <c r="AB563" s="359">
        <f>+S563</f>
        <v>-588415.19874999998</v>
      </c>
      <c r="AD563" s="271"/>
      <c r="AF563" s="289"/>
    </row>
    <row r="564" spans="1:32">
      <c r="A564" s="113">
        <v>549</v>
      </c>
      <c r="B564" s="119"/>
      <c r="C564" s="119" t="s">
        <v>2577</v>
      </c>
      <c r="D564" s="119" t="s">
        <v>1503</v>
      </c>
      <c r="E564" s="374" t="s">
        <v>2579</v>
      </c>
      <c r="F564" s="356">
        <v>-13.91</v>
      </c>
      <c r="G564" s="356">
        <v>-5.12</v>
      </c>
      <c r="H564" s="356">
        <v>-31.24</v>
      </c>
      <c r="I564" s="356">
        <v>-44.55</v>
      </c>
      <c r="J564" s="356">
        <v>-0.320000000000007</v>
      </c>
      <c r="K564" s="356">
        <v>-68.67</v>
      </c>
      <c r="L564" s="356">
        <v>-65.430000000000007</v>
      </c>
      <c r="M564" s="356">
        <v>-90.93</v>
      </c>
      <c r="N564" s="356">
        <v>0</v>
      </c>
      <c r="O564" s="356">
        <v>-2.08</v>
      </c>
      <c r="P564" s="356">
        <v>-20.75</v>
      </c>
      <c r="Q564" s="356">
        <v>-175.72</v>
      </c>
      <c r="R564" s="356">
        <v>-119.75</v>
      </c>
      <c r="S564" s="357">
        <f t="shared" si="100"/>
        <v>-47.636666666666663</v>
      </c>
      <c r="U564" s="358"/>
      <c r="V564" s="359">
        <f>+S564</f>
        <v>-47.636666666666663</v>
      </c>
      <c r="W564" s="359"/>
      <c r="X564" s="360"/>
      <c r="Y564" s="359"/>
      <c r="Z564" s="359"/>
      <c r="AA564" s="358"/>
      <c r="AB564" s="359"/>
      <c r="AD564" s="271">
        <f>+V564</f>
        <v>-47.636666666666663</v>
      </c>
      <c r="AF564" s="289"/>
    </row>
    <row r="565" spans="1:32">
      <c r="A565" s="113">
        <v>550</v>
      </c>
      <c r="B565" s="119"/>
      <c r="C565" s="119" t="s">
        <v>2635</v>
      </c>
      <c r="D565" s="119" t="s">
        <v>385</v>
      </c>
      <c r="E565" s="374" t="s">
        <v>2636</v>
      </c>
      <c r="F565" s="356">
        <v>-2792986</v>
      </c>
      <c r="G565" s="356">
        <v>-3005161</v>
      </c>
      <c r="H565" s="356">
        <v>-3217336</v>
      </c>
      <c r="I565" s="356">
        <v>-3429511</v>
      </c>
      <c r="J565" s="356">
        <v>-2138671.4500000002</v>
      </c>
      <c r="K565" s="356">
        <v>-2414002.4500000002</v>
      </c>
      <c r="L565" s="356">
        <v>-2630174.9700000002</v>
      </c>
      <c r="M565" s="356">
        <v>-2854980.97</v>
      </c>
      <c r="N565" s="356">
        <v>-3233716.97</v>
      </c>
      <c r="O565" s="356">
        <v>-2196426</v>
      </c>
      <c r="P565" s="356">
        <v>-2440473</v>
      </c>
      <c r="Q565" s="356">
        <v>-2684520</v>
      </c>
      <c r="R565" s="356">
        <v>-2928567</v>
      </c>
      <c r="S565" s="357">
        <f t="shared" si="100"/>
        <v>-2758812.5258333329</v>
      </c>
      <c r="U565" s="358"/>
      <c r="V565" s="359">
        <f t="shared" ref="V565:V572" si="106">+S565</f>
        <v>-2758812.5258333329</v>
      </c>
      <c r="W565" s="359"/>
      <c r="X565" s="360"/>
      <c r="Y565" s="359"/>
      <c r="Z565" s="359"/>
      <c r="AA565" s="358"/>
      <c r="AB565" s="359"/>
      <c r="AD565" s="271">
        <f>+V565</f>
        <v>-2758812.5258333329</v>
      </c>
      <c r="AF565" s="289"/>
    </row>
    <row r="566" spans="1:32">
      <c r="A566" s="113">
        <v>551</v>
      </c>
      <c r="B566" s="119" t="s">
        <v>1543</v>
      </c>
      <c r="C566" s="119" t="s">
        <v>2635</v>
      </c>
      <c r="D566" s="119" t="s">
        <v>2001</v>
      </c>
      <c r="E566" s="374" t="s">
        <v>2637</v>
      </c>
      <c r="F566" s="356">
        <v>-27823.65</v>
      </c>
      <c r="G566" s="356">
        <v>-33999.17</v>
      </c>
      <c r="H566" s="356">
        <v>-32132.43</v>
      </c>
      <c r="I566" s="356">
        <v>-32854.370000000003</v>
      </c>
      <c r="J566" s="356">
        <v>-30669.759999999998</v>
      </c>
      <c r="K566" s="356">
        <v>-17812.259999999998</v>
      </c>
      <c r="L566" s="356">
        <v>-11778.9</v>
      </c>
      <c r="M566" s="356">
        <v>-10607.45</v>
      </c>
      <c r="N566" s="356">
        <v>-7679.8199999999897</v>
      </c>
      <c r="O566" s="356">
        <v>-8123.5599999999904</v>
      </c>
      <c r="P566" s="356">
        <v>-9089.78999999999</v>
      </c>
      <c r="Q566" s="356">
        <v>-17180.080000000002</v>
      </c>
      <c r="R566" s="356">
        <v>-33117.449999999997</v>
      </c>
      <c r="S566" s="357">
        <f t="shared" si="100"/>
        <v>-20199.844999999998</v>
      </c>
      <c r="U566" s="358"/>
      <c r="V566" s="359">
        <f t="shared" si="106"/>
        <v>-20199.844999999998</v>
      </c>
      <c r="W566" s="359"/>
      <c r="X566" s="360"/>
      <c r="Y566" s="359"/>
      <c r="Z566" s="359"/>
      <c r="AA566" s="358"/>
      <c r="AB566" s="359"/>
      <c r="AD566" s="271">
        <f>+V566</f>
        <v>-20199.844999999998</v>
      </c>
      <c r="AF566" s="289">
        <f t="shared" si="105"/>
        <v>0</v>
      </c>
    </row>
    <row r="567" spans="1:32">
      <c r="A567" s="113">
        <v>552</v>
      </c>
      <c r="B567" s="119" t="s">
        <v>1523</v>
      </c>
      <c r="C567" s="119" t="s">
        <v>2635</v>
      </c>
      <c r="D567" s="119" t="s">
        <v>2178</v>
      </c>
      <c r="E567" s="374" t="s">
        <v>2661</v>
      </c>
      <c r="F567" s="356">
        <v>-1879892.94</v>
      </c>
      <c r="G567" s="356">
        <v>-1926121.51</v>
      </c>
      <c r="H567" s="356">
        <v>-1869618.93</v>
      </c>
      <c r="I567" s="356">
        <v>-2078295.11</v>
      </c>
      <c r="J567" s="356">
        <v>-1306787.79</v>
      </c>
      <c r="K567" s="356">
        <v>-916912.73</v>
      </c>
      <c r="L567" s="356">
        <v>-879848.97</v>
      </c>
      <c r="M567" s="356">
        <v>-530383.46</v>
      </c>
      <c r="N567" s="356">
        <v>-526196.43000000005</v>
      </c>
      <c r="O567" s="356">
        <v>-611013.6</v>
      </c>
      <c r="P567" s="356">
        <v>-561363.71</v>
      </c>
      <c r="Q567" s="356">
        <v>-1061337.74</v>
      </c>
      <c r="R567" s="356">
        <v>-1888309.22</v>
      </c>
      <c r="S567" s="357">
        <f t="shared" si="100"/>
        <v>-1179331.7549999999</v>
      </c>
      <c r="U567" s="358"/>
      <c r="V567" s="359">
        <f t="shared" si="106"/>
        <v>-1179331.7549999999</v>
      </c>
      <c r="W567" s="359"/>
      <c r="X567" s="360"/>
      <c r="Y567" s="359"/>
      <c r="Z567" s="359"/>
      <c r="AA567" s="358"/>
      <c r="AB567" s="359"/>
      <c r="AD567" s="271">
        <f>+V567</f>
        <v>-1179331.7549999999</v>
      </c>
      <c r="AF567" s="289">
        <f t="shared" si="105"/>
        <v>0</v>
      </c>
    </row>
    <row r="568" spans="1:32">
      <c r="A568" s="113">
        <v>553</v>
      </c>
      <c r="B568" s="119" t="s">
        <v>1543</v>
      </c>
      <c r="C568" s="119" t="s">
        <v>2635</v>
      </c>
      <c r="D568" s="113" t="s">
        <v>2114</v>
      </c>
      <c r="E568" s="374" t="s">
        <v>2662</v>
      </c>
      <c r="F568" s="356">
        <v>-11504.29</v>
      </c>
      <c r="G568" s="356">
        <v>-13469.18</v>
      </c>
      <c r="H568" s="356">
        <v>-10093.68</v>
      </c>
      <c r="I568" s="356">
        <v>-9737.43</v>
      </c>
      <c r="J568" s="356">
        <v>-6321.61</v>
      </c>
      <c r="K568" s="356">
        <v>-3214.83</v>
      </c>
      <c r="L568" s="356">
        <v>-2879.93</v>
      </c>
      <c r="M568" s="356">
        <v>-2636.74</v>
      </c>
      <c r="N568" s="356">
        <v>-3082.53</v>
      </c>
      <c r="O568" s="356">
        <v>-3315.32</v>
      </c>
      <c r="P568" s="356">
        <v>-4223.1899999999996</v>
      </c>
      <c r="Q568" s="356">
        <v>-7969.76</v>
      </c>
      <c r="R568" s="356">
        <v>-13181.04</v>
      </c>
      <c r="S568" s="357">
        <f t="shared" si="100"/>
        <v>-6607.2387499999995</v>
      </c>
      <c r="U568" s="358"/>
      <c r="V568" s="359">
        <f t="shared" si="106"/>
        <v>-6607.2387499999995</v>
      </c>
      <c r="W568" s="359"/>
      <c r="X568" s="359"/>
      <c r="Y568" s="359"/>
      <c r="Z568" s="359"/>
      <c r="AA568" s="358"/>
      <c r="AB568" s="271">
        <f t="shared" ref="AB568:AB573" si="107">+X568</f>
        <v>0</v>
      </c>
      <c r="AD568" s="271">
        <f>+V568</f>
        <v>-6607.2387499999995</v>
      </c>
      <c r="AF568" s="289">
        <f t="shared" si="105"/>
        <v>0</v>
      </c>
    </row>
    <row r="569" spans="1:32">
      <c r="A569" s="113">
        <v>554</v>
      </c>
      <c r="B569" s="119" t="s">
        <v>1543</v>
      </c>
      <c r="C569" s="119" t="s">
        <v>2635</v>
      </c>
      <c r="D569" s="119" t="s">
        <v>2116</v>
      </c>
      <c r="E569" s="374" t="s">
        <v>2663</v>
      </c>
      <c r="F569" s="356">
        <v>-1630.39</v>
      </c>
      <c r="G569" s="356">
        <v>-935.7</v>
      </c>
      <c r="H569" s="356">
        <v>-1650.4</v>
      </c>
      <c r="I569" s="356">
        <v>-2433.13</v>
      </c>
      <c r="J569" s="356">
        <v>-304.75</v>
      </c>
      <c r="K569" s="356">
        <v>-400.93</v>
      </c>
      <c r="L569" s="356">
        <v>-548.91</v>
      </c>
      <c r="M569" s="356">
        <v>-210.09</v>
      </c>
      <c r="N569" s="356">
        <v>-378.94</v>
      </c>
      <c r="O569" s="356">
        <v>-613.16999999999996</v>
      </c>
      <c r="P569" s="356">
        <v>-221.27</v>
      </c>
      <c r="Q569" s="356">
        <v>-621.78</v>
      </c>
      <c r="R569" s="356">
        <v>-1285.3599999999999</v>
      </c>
      <c r="S569" s="357">
        <f t="shared" si="100"/>
        <v>-814.74541666666676</v>
      </c>
      <c r="U569" s="358"/>
      <c r="V569" s="359">
        <f t="shared" si="106"/>
        <v>-814.74541666666676</v>
      </c>
      <c r="W569" s="359"/>
      <c r="X569" s="360"/>
      <c r="Y569" s="359"/>
      <c r="Z569" s="359"/>
      <c r="AA569" s="358"/>
      <c r="AB569" s="359">
        <f t="shared" si="107"/>
        <v>0</v>
      </c>
      <c r="AD569" s="271">
        <f t="shared" si="104"/>
        <v>-814.74541666666676</v>
      </c>
      <c r="AF569" s="289">
        <f t="shared" si="105"/>
        <v>0</v>
      </c>
    </row>
    <row r="570" spans="1:32">
      <c r="A570" s="113">
        <v>555</v>
      </c>
      <c r="B570" s="119" t="s">
        <v>1543</v>
      </c>
      <c r="C570" s="119" t="s">
        <v>2635</v>
      </c>
      <c r="D570" s="119" t="s">
        <v>2194</v>
      </c>
      <c r="E570" s="374" t="s">
        <v>2638</v>
      </c>
      <c r="F570" s="356">
        <v>-479297.52</v>
      </c>
      <c r="G570" s="356">
        <v>-560160.5</v>
      </c>
      <c r="H570" s="356">
        <v>-628407.74</v>
      </c>
      <c r="I570" s="356">
        <v>-202131.92</v>
      </c>
      <c r="J570" s="356">
        <v>-258559.12</v>
      </c>
      <c r="K570" s="356">
        <v>-290511.96000000002</v>
      </c>
      <c r="L570" s="356">
        <v>-316229.11</v>
      </c>
      <c r="M570" s="356">
        <v>-338919.2</v>
      </c>
      <c r="N570" s="356">
        <v>-357685.6</v>
      </c>
      <c r="O570" s="356">
        <v>-377933.34</v>
      </c>
      <c r="P570" s="356">
        <v>-402956.87</v>
      </c>
      <c r="Q570" s="356">
        <v>-445488.84</v>
      </c>
      <c r="R570" s="356">
        <v>-514851.97</v>
      </c>
      <c r="S570" s="357">
        <f t="shared" si="100"/>
        <v>-389671.57874999993</v>
      </c>
      <c r="U570" s="358"/>
      <c r="V570" s="359">
        <f t="shared" si="106"/>
        <v>-389671.57874999993</v>
      </c>
      <c r="W570" s="359"/>
      <c r="X570" s="360"/>
      <c r="Y570" s="359"/>
      <c r="Z570" s="359"/>
      <c r="AA570" s="358"/>
      <c r="AB570" s="359">
        <f t="shared" si="107"/>
        <v>0</v>
      </c>
      <c r="AD570" s="271">
        <f t="shared" si="104"/>
        <v>-389671.57874999993</v>
      </c>
      <c r="AF570" s="289">
        <f t="shared" si="105"/>
        <v>0</v>
      </c>
    </row>
    <row r="571" spans="1:32">
      <c r="A571" s="113">
        <v>556</v>
      </c>
      <c r="B571" s="119" t="s">
        <v>1543</v>
      </c>
      <c r="C571" s="119" t="s">
        <v>2635</v>
      </c>
      <c r="D571" s="119" t="s">
        <v>2196</v>
      </c>
      <c r="E571" s="374" t="s">
        <v>2664</v>
      </c>
      <c r="F571" s="356">
        <v>-2281478.2999999998</v>
      </c>
      <c r="G571" s="356">
        <v>-2383357.11</v>
      </c>
      <c r="H571" s="356">
        <v>-2103826.4900000002</v>
      </c>
      <c r="I571" s="356">
        <v>-1998812.5</v>
      </c>
      <c r="J571" s="356">
        <v>-1427503.77</v>
      </c>
      <c r="K571" s="356">
        <v>-854682.38</v>
      </c>
      <c r="L571" s="356">
        <v>-659019.15</v>
      </c>
      <c r="M571" s="356">
        <v>-581448.22</v>
      </c>
      <c r="N571" s="356">
        <v>-553310.62</v>
      </c>
      <c r="O571" s="356">
        <v>-627724.98</v>
      </c>
      <c r="P571" s="356">
        <v>-968999.26</v>
      </c>
      <c r="Q571" s="356">
        <v>-1617356.62</v>
      </c>
      <c r="R571" s="356">
        <v>-2202829.41</v>
      </c>
      <c r="S571" s="357">
        <f t="shared" si="100"/>
        <v>-1334849.5795833336</v>
      </c>
      <c r="U571" s="358"/>
      <c r="V571" s="359">
        <f t="shared" si="106"/>
        <v>-1334849.5795833336</v>
      </c>
      <c r="W571" s="359"/>
      <c r="X571" s="360"/>
      <c r="Y571" s="359"/>
      <c r="Z571" s="359"/>
      <c r="AA571" s="358"/>
      <c r="AB571" s="359">
        <f t="shared" si="107"/>
        <v>0</v>
      </c>
      <c r="AD571" s="271">
        <f t="shared" si="104"/>
        <v>-1334849.5795833336</v>
      </c>
      <c r="AF571" s="289">
        <f t="shared" si="105"/>
        <v>0</v>
      </c>
    </row>
    <row r="572" spans="1:32">
      <c r="A572" s="113">
        <v>557</v>
      </c>
      <c r="B572" s="119" t="s">
        <v>1543</v>
      </c>
      <c r="C572" s="119" t="s">
        <v>2618</v>
      </c>
      <c r="D572" s="119" t="s">
        <v>377</v>
      </c>
      <c r="E572" s="374" t="s">
        <v>2644</v>
      </c>
      <c r="F572" s="356">
        <v>-617037.13</v>
      </c>
      <c r="G572" s="356">
        <v>-626293.75</v>
      </c>
      <c r="H572" s="356">
        <v>-613065.80000000005</v>
      </c>
      <c r="I572" s="356">
        <v>-611766.71</v>
      </c>
      <c r="J572" s="356">
        <v>-588188.86</v>
      </c>
      <c r="K572" s="356">
        <v>-543747.21</v>
      </c>
      <c r="L572" s="356">
        <v>-483497.95</v>
      </c>
      <c r="M572" s="356">
        <v>-441589.84</v>
      </c>
      <c r="N572" s="356">
        <v>-422693.61</v>
      </c>
      <c r="O572" s="356">
        <v>-428906.39</v>
      </c>
      <c r="P572" s="356">
        <v>-402042.56</v>
      </c>
      <c r="Q572" s="356">
        <v>-427737.19</v>
      </c>
      <c r="R572" s="356">
        <v>-431477.83</v>
      </c>
      <c r="S572" s="357">
        <f t="shared" si="100"/>
        <v>-509482.27916666662</v>
      </c>
      <c r="U572" s="358"/>
      <c r="V572" s="359">
        <f t="shared" si="106"/>
        <v>-509482.27916666662</v>
      </c>
      <c r="W572" s="359"/>
      <c r="X572" s="360"/>
      <c r="Y572" s="359"/>
      <c r="Z572" s="359"/>
      <c r="AA572" s="358"/>
      <c r="AB572" s="359">
        <f t="shared" si="107"/>
        <v>0</v>
      </c>
      <c r="AD572" s="271">
        <f t="shared" si="104"/>
        <v>-509482.27916666662</v>
      </c>
      <c r="AF572" s="289">
        <f t="shared" si="105"/>
        <v>0</v>
      </c>
    </row>
    <row r="573" spans="1:32">
      <c r="A573" s="113">
        <v>558</v>
      </c>
      <c r="B573" s="119" t="s">
        <v>1523</v>
      </c>
      <c r="C573" s="119" t="s">
        <v>2646</v>
      </c>
      <c r="D573" s="119" t="s">
        <v>376</v>
      </c>
      <c r="E573" s="374" t="s">
        <v>2647</v>
      </c>
      <c r="F573" s="356">
        <v>0</v>
      </c>
      <c r="G573" s="356">
        <v>0</v>
      </c>
      <c r="H573" s="356">
        <v>0</v>
      </c>
      <c r="I573" s="356">
        <v>0</v>
      </c>
      <c r="J573" s="356">
        <v>0</v>
      </c>
      <c r="K573" s="356">
        <v>0</v>
      </c>
      <c r="L573" s="356">
        <v>0</v>
      </c>
      <c r="M573" s="356">
        <v>0</v>
      </c>
      <c r="N573" s="356">
        <v>0</v>
      </c>
      <c r="O573" s="356">
        <v>0</v>
      </c>
      <c r="P573" s="356">
        <v>0</v>
      </c>
      <c r="Q573" s="356">
        <v>0</v>
      </c>
      <c r="R573" s="356">
        <v>0</v>
      </c>
      <c r="S573" s="357">
        <f t="shared" si="100"/>
        <v>0</v>
      </c>
      <c r="U573" s="358"/>
      <c r="V573" s="359"/>
      <c r="W573" s="359"/>
      <c r="X573" s="360">
        <f t="shared" ref="X573:X579" si="108">+S573</f>
        <v>0</v>
      </c>
      <c r="Y573" s="359"/>
      <c r="Z573" s="359"/>
      <c r="AA573" s="358"/>
      <c r="AB573" s="359">
        <f t="shared" si="107"/>
        <v>0</v>
      </c>
      <c r="AD573" s="271">
        <f t="shared" si="104"/>
        <v>0</v>
      </c>
      <c r="AF573" s="289">
        <f t="shared" si="105"/>
        <v>0</v>
      </c>
    </row>
    <row r="574" spans="1:32">
      <c r="A574" s="113">
        <v>559</v>
      </c>
      <c r="B574" s="119" t="s">
        <v>1523</v>
      </c>
      <c r="C574" s="119" t="s">
        <v>2646</v>
      </c>
      <c r="D574" s="119" t="s">
        <v>2665</v>
      </c>
      <c r="E574" s="374" t="s">
        <v>2649</v>
      </c>
      <c r="F574" s="356">
        <v>11456753.52</v>
      </c>
      <c r="G574" s="356">
        <v>15210768.42</v>
      </c>
      <c r="H574" s="356">
        <v>16225265.52</v>
      </c>
      <c r="I574" s="356">
        <v>15326428.869999999</v>
      </c>
      <c r="J574" s="356">
        <v>14138854.220000001</v>
      </c>
      <c r="K574" s="356">
        <v>13307238.08</v>
      </c>
      <c r="L574" s="356">
        <v>12680854.24</v>
      </c>
      <c r="M574" s="356">
        <v>12051645.93</v>
      </c>
      <c r="N574" s="356">
        <v>11673435.32</v>
      </c>
      <c r="O574" s="356">
        <v>11491323.93</v>
      </c>
      <c r="P574" s="356">
        <v>11603146.210000001</v>
      </c>
      <c r="Q574" s="356">
        <v>1308584.45</v>
      </c>
      <c r="R574" s="356">
        <v>4399649.2699999996</v>
      </c>
      <c r="S574" s="357">
        <f t="shared" si="100"/>
        <v>11912145.54875</v>
      </c>
      <c r="U574" s="358"/>
      <c r="V574" s="359"/>
      <c r="W574" s="359"/>
      <c r="X574" s="360">
        <f t="shared" si="108"/>
        <v>11912145.54875</v>
      </c>
      <c r="Y574" s="359"/>
      <c r="Z574" s="359"/>
      <c r="AA574" s="358"/>
      <c r="AB574" s="359">
        <f t="shared" ref="AB574:AB580" si="109">+X574</f>
        <v>11912145.54875</v>
      </c>
      <c r="AD574" s="271">
        <f t="shared" si="104"/>
        <v>0</v>
      </c>
      <c r="AF574" s="289">
        <f t="shared" si="105"/>
        <v>0</v>
      </c>
    </row>
    <row r="575" spans="1:32">
      <c r="A575" s="113">
        <v>560</v>
      </c>
      <c r="B575" s="119" t="s">
        <v>1523</v>
      </c>
      <c r="C575" s="119" t="s">
        <v>2646</v>
      </c>
      <c r="D575" s="119" t="s">
        <v>2666</v>
      </c>
      <c r="E575" s="374" t="s">
        <v>2651</v>
      </c>
      <c r="F575" s="356">
        <v>-1901460.25</v>
      </c>
      <c r="G575" s="356">
        <v>-4612855.7300000004</v>
      </c>
      <c r="H575" s="356">
        <v>-6856725.1900000004</v>
      </c>
      <c r="I575" s="356">
        <v>-8376771.9400000004</v>
      </c>
      <c r="J575" s="356">
        <v>-8030374.3600000003</v>
      </c>
      <c r="K575" s="356">
        <v>-6599464.5800000001</v>
      </c>
      <c r="L575" s="356">
        <v>-4746224.32</v>
      </c>
      <c r="M575" s="356">
        <v>-2616110.3199999998</v>
      </c>
      <c r="N575" s="356">
        <v>-562956.15</v>
      </c>
      <c r="O575" s="356">
        <v>1327147.51</v>
      </c>
      <c r="P575" s="356">
        <v>1789528.02</v>
      </c>
      <c r="Q575" s="356">
        <v>3420360.2</v>
      </c>
      <c r="R575" s="356">
        <v>1440517.74</v>
      </c>
      <c r="S575" s="357">
        <f t="shared" si="100"/>
        <v>-3007909.842916667</v>
      </c>
      <c r="U575" s="358"/>
      <c r="V575" s="359"/>
      <c r="W575" s="359"/>
      <c r="X575" s="360">
        <f t="shared" si="108"/>
        <v>-3007909.842916667</v>
      </c>
      <c r="Y575" s="359"/>
      <c r="Z575" s="359"/>
      <c r="AA575" s="358"/>
      <c r="AB575" s="359">
        <f t="shared" si="109"/>
        <v>-3007909.842916667</v>
      </c>
      <c r="AD575" s="271">
        <f t="shared" si="104"/>
        <v>0</v>
      </c>
      <c r="AF575" s="289">
        <f t="shared" si="105"/>
        <v>0</v>
      </c>
    </row>
    <row r="576" spans="1:32">
      <c r="A576" s="113">
        <v>561</v>
      </c>
      <c r="B576" s="119" t="s">
        <v>1523</v>
      </c>
      <c r="C576" s="119" t="s">
        <v>2646</v>
      </c>
      <c r="D576" s="119" t="s">
        <v>2667</v>
      </c>
      <c r="E576" s="374" t="s">
        <v>2653</v>
      </c>
      <c r="F576" s="356">
        <v>-8.7311491370201098E-11</v>
      </c>
      <c r="G576" s="356">
        <v>0</v>
      </c>
      <c r="H576" s="356">
        <v>0</v>
      </c>
      <c r="I576" s="356">
        <v>0</v>
      </c>
      <c r="J576" s="356">
        <v>0</v>
      </c>
      <c r="K576" s="356">
        <v>0</v>
      </c>
      <c r="L576" s="356">
        <v>0</v>
      </c>
      <c r="M576" s="356">
        <v>0</v>
      </c>
      <c r="N576" s="356">
        <v>0</v>
      </c>
      <c r="O576" s="356">
        <v>0</v>
      </c>
      <c r="P576" s="356">
        <v>0</v>
      </c>
      <c r="Q576" s="356">
        <v>0</v>
      </c>
      <c r="R576" s="356">
        <v>0</v>
      </c>
      <c r="S576" s="357">
        <f t="shared" si="100"/>
        <v>-3.6379788070917125E-12</v>
      </c>
      <c r="U576" s="358"/>
      <c r="V576" s="359"/>
      <c r="W576" s="359"/>
      <c r="X576" s="360">
        <f t="shared" si="108"/>
        <v>-3.6379788070917125E-12</v>
      </c>
      <c r="Y576" s="359"/>
      <c r="Z576" s="359"/>
      <c r="AA576" s="358"/>
      <c r="AB576" s="359">
        <f t="shared" si="109"/>
        <v>-3.6379788070917125E-12</v>
      </c>
      <c r="AD576" s="271">
        <f t="shared" si="104"/>
        <v>0</v>
      </c>
      <c r="AF576" s="289">
        <f t="shared" si="105"/>
        <v>0</v>
      </c>
    </row>
    <row r="577" spans="1:32">
      <c r="A577" s="113">
        <v>562</v>
      </c>
      <c r="B577" s="119" t="s">
        <v>1523</v>
      </c>
      <c r="C577" s="119" t="s">
        <v>2646</v>
      </c>
      <c r="D577" s="119" t="s">
        <v>2668</v>
      </c>
      <c r="E577" s="374" t="s">
        <v>2669</v>
      </c>
      <c r="F577" s="356">
        <v>41366186.759999998</v>
      </c>
      <c r="G577" s="356">
        <v>38524761.549999997</v>
      </c>
      <c r="H577" s="356">
        <v>36179675.979999997</v>
      </c>
      <c r="I577" s="356">
        <v>33831277</v>
      </c>
      <c r="J577" s="356">
        <v>32019020.109999999</v>
      </c>
      <c r="K577" s="356">
        <v>31165572.640000001</v>
      </c>
      <c r="L577" s="356">
        <v>30518683.100000001</v>
      </c>
      <c r="M577" s="356">
        <v>29946650.75</v>
      </c>
      <c r="N577" s="356">
        <v>29542578.41</v>
      </c>
      <c r="O577" s="356">
        <v>29088153.84</v>
      </c>
      <c r="P577" s="356">
        <v>28478724.620000001</v>
      </c>
      <c r="Q577" s="356">
        <v>27151920.300000001</v>
      </c>
      <c r="R577" s="356">
        <v>24748844.07</v>
      </c>
      <c r="S577" s="357">
        <f t="shared" si="100"/>
        <v>31625377.809583332</v>
      </c>
      <c r="U577" s="358"/>
      <c r="V577" s="359"/>
      <c r="W577" s="359"/>
      <c r="X577" s="360">
        <f>+S577</f>
        <v>31625377.809583332</v>
      </c>
      <c r="Y577" s="359"/>
      <c r="Z577" s="359"/>
      <c r="AA577" s="358"/>
      <c r="AB577" s="359">
        <f t="shared" si="109"/>
        <v>31625377.809583332</v>
      </c>
      <c r="AD577" s="271"/>
      <c r="AF577" s="289"/>
    </row>
    <row r="578" spans="1:32">
      <c r="A578" s="113">
        <v>563</v>
      </c>
      <c r="B578" s="119" t="s">
        <v>1523</v>
      </c>
      <c r="C578" s="119" t="s">
        <v>2646</v>
      </c>
      <c r="D578" s="119" t="s">
        <v>2670</v>
      </c>
      <c r="E578" s="374" t="s">
        <v>2669</v>
      </c>
      <c r="F578" s="356">
        <v>36554943.310000002</v>
      </c>
      <c r="G578" s="356">
        <v>34358474.770000003</v>
      </c>
      <c r="H578" s="356">
        <v>32547758.440000001</v>
      </c>
      <c r="I578" s="356">
        <v>30735708.800000001</v>
      </c>
      <c r="J578" s="356">
        <v>29340264.530000001</v>
      </c>
      <c r="K578" s="356">
        <v>28692764.73</v>
      </c>
      <c r="L578" s="356">
        <v>28205757.100000001</v>
      </c>
      <c r="M578" s="356">
        <v>27772781.960000001</v>
      </c>
      <c r="N578" s="356">
        <v>27470754.309999999</v>
      </c>
      <c r="O578" s="356">
        <v>27129101.469999999</v>
      </c>
      <c r="P578" s="356">
        <v>26666408.949999999</v>
      </c>
      <c r="Q578" s="356">
        <v>35375499.119999997</v>
      </c>
      <c r="R578" s="356">
        <v>33087820.699999999</v>
      </c>
      <c r="S578" s="357">
        <f t="shared" si="100"/>
        <v>30259721.348749999</v>
      </c>
      <c r="U578" s="358"/>
      <c r="V578" s="359"/>
      <c r="W578" s="359"/>
      <c r="X578" s="360">
        <f>+S578</f>
        <v>30259721.348749999</v>
      </c>
      <c r="Y578" s="359"/>
      <c r="Z578" s="359"/>
      <c r="AA578" s="358"/>
      <c r="AB578" s="359">
        <f t="shared" si="109"/>
        <v>30259721.348749999</v>
      </c>
      <c r="AD578" s="271"/>
      <c r="AF578" s="289"/>
    </row>
    <row r="579" spans="1:32">
      <c r="A579" s="113">
        <v>564</v>
      </c>
      <c r="B579" s="119" t="s">
        <v>1523</v>
      </c>
      <c r="C579" s="119" t="s">
        <v>2646</v>
      </c>
      <c r="D579" s="119" t="s">
        <v>2671</v>
      </c>
      <c r="E579" s="374" t="s">
        <v>2672</v>
      </c>
      <c r="F579" s="356">
        <v>0</v>
      </c>
      <c r="G579" s="356">
        <v>0</v>
      </c>
      <c r="H579" s="356">
        <v>0</v>
      </c>
      <c r="I579" s="356">
        <v>0</v>
      </c>
      <c r="J579" s="356">
        <v>0</v>
      </c>
      <c r="K579" s="356">
        <v>0</v>
      </c>
      <c r="L579" s="356">
        <v>0</v>
      </c>
      <c r="M579" s="356">
        <v>0</v>
      </c>
      <c r="N579" s="356">
        <v>0</v>
      </c>
      <c r="O579" s="356">
        <v>0</v>
      </c>
      <c r="P579" s="356">
        <v>0</v>
      </c>
      <c r="Q579" s="356">
        <v>0</v>
      </c>
      <c r="R579" s="356">
        <v>-618733.23</v>
      </c>
      <c r="S579" s="357">
        <f t="shared" si="100"/>
        <v>-25780.55125</v>
      </c>
      <c r="U579" s="358"/>
      <c r="V579" s="359"/>
      <c r="W579" s="359"/>
      <c r="X579" s="360">
        <f t="shared" si="108"/>
        <v>-25780.55125</v>
      </c>
      <c r="Y579" s="359"/>
      <c r="Z579" s="359"/>
      <c r="AA579" s="358"/>
      <c r="AB579" s="359">
        <f t="shared" si="109"/>
        <v>-25780.55125</v>
      </c>
      <c r="AD579" s="271">
        <f t="shared" si="104"/>
        <v>0</v>
      </c>
      <c r="AE579" s="289"/>
      <c r="AF579" s="289">
        <f t="shared" si="105"/>
        <v>0</v>
      </c>
    </row>
    <row r="580" spans="1:32">
      <c r="A580" s="113">
        <v>565</v>
      </c>
      <c r="B580" s="119" t="s">
        <v>1543</v>
      </c>
      <c r="C580" s="119" t="s">
        <v>2646</v>
      </c>
      <c r="D580" s="119" t="s">
        <v>2656</v>
      </c>
      <c r="E580" s="374" t="s">
        <v>2657</v>
      </c>
      <c r="F580" s="356">
        <v>-3280759.84</v>
      </c>
      <c r="G580" s="356">
        <v>-2726127.05</v>
      </c>
      <c r="H580" s="356">
        <v>-2614043.0499999998</v>
      </c>
      <c r="I580" s="356">
        <v>-2085115.39</v>
      </c>
      <c r="J580" s="356">
        <v>-850532.85</v>
      </c>
      <c r="K580" s="356">
        <v>-546387.35</v>
      </c>
      <c r="L580" s="356">
        <v>-298254.46999999997</v>
      </c>
      <c r="M580" s="356">
        <v>-205516.92</v>
      </c>
      <c r="N580" s="356">
        <v>-361023.98</v>
      </c>
      <c r="O580" s="356">
        <v>-515527.27</v>
      </c>
      <c r="P580" s="356">
        <v>-1531324.04</v>
      </c>
      <c r="Q580" s="356">
        <v>-2995457.11</v>
      </c>
      <c r="R580" s="356">
        <v>-3252672.52</v>
      </c>
      <c r="S580" s="357">
        <f t="shared" si="100"/>
        <v>-1499668.8049999999</v>
      </c>
      <c r="U580" s="358"/>
      <c r="V580" s="359"/>
      <c r="W580" s="359"/>
      <c r="X580" s="360">
        <f>+S580</f>
        <v>-1499668.8049999999</v>
      </c>
      <c r="Y580" s="359"/>
      <c r="Z580" s="359"/>
      <c r="AA580" s="358"/>
      <c r="AB580" s="359">
        <f t="shared" si="109"/>
        <v>-1499668.8049999999</v>
      </c>
      <c r="AD580" s="271">
        <f t="shared" si="104"/>
        <v>0</v>
      </c>
      <c r="AE580" s="427"/>
      <c r="AF580" s="289">
        <f t="shared" si="105"/>
        <v>0</v>
      </c>
    </row>
    <row r="581" spans="1:32">
      <c r="A581" s="113">
        <v>566</v>
      </c>
      <c r="B581" s="119" t="s">
        <v>1523</v>
      </c>
      <c r="C581" s="119" t="s">
        <v>2646</v>
      </c>
      <c r="D581" s="119" t="s">
        <v>2673</v>
      </c>
      <c r="E581" s="374" t="s">
        <v>2659</v>
      </c>
      <c r="F581" s="356">
        <v>-108189.15</v>
      </c>
      <c r="G581" s="356">
        <v>0</v>
      </c>
      <c r="H581" s="356">
        <v>0</v>
      </c>
      <c r="I581" s="356">
        <v>0</v>
      </c>
      <c r="J581" s="356">
        <v>-121920.53</v>
      </c>
      <c r="K581" s="356">
        <v>-49371.53</v>
      </c>
      <c r="L581" s="356">
        <v>0</v>
      </c>
      <c r="M581" s="356">
        <v>-13391.9</v>
      </c>
      <c r="N581" s="356">
        <v>-98800.98</v>
      </c>
      <c r="O581" s="356">
        <v>-192987.7</v>
      </c>
      <c r="P581" s="356">
        <v>-466236.26</v>
      </c>
      <c r="Q581" s="356">
        <v>0</v>
      </c>
      <c r="R581" s="356">
        <v>0</v>
      </c>
      <c r="S581" s="357">
        <f t="shared" si="100"/>
        <v>-83066.956250000003</v>
      </c>
      <c r="U581" s="358"/>
      <c r="V581" s="359">
        <f>+S581</f>
        <v>-83066.956250000003</v>
      </c>
      <c r="W581" s="359"/>
      <c r="X581" s="360"/>
      <c r="Y581" s="359"/>
      <c r="Z581" s="359"/>
      <c r="AA581" s="358"/>
      <c r="AB581" s="359"/>
      <c r="AD581" s="271">
        <f t="shared" si="104"/>
        <v>-83066.956250000003</v>
      </c>
      <c r="AE581" s="271"/>
      <c r="AF581" s="289">
        <f t="shared" si="105"/>
        <v>0</v>
      </c>
    </row>
    <row r="582" spans="1:32">
      <c r="A582" s="113">
        <v>567</v>
      </c>
      <c r="E582" s="374" t="s">
        <v>2674</v>
      </c>
      <c r="F582" s="696">
        <f>SUM(F524:F581)</f>
        <v>-36132429.45000001</v>
      </c>
      <c r="G582" s="696">
        <f t="shared" ref="G582:S582" si="110">SUM(G524:G581)</f>
        <v>-30575842.71000002</v>
      </c>
      <c r="H582" s="696">
        <f t="shared" si="110"/>
        <v>-30440080.730000012</v>
      </c>
      <c r="I582" s="696">
        <f t="shared" si="110"/>
        <v>-30382811.100000005</v>
      </c>
      <c r="J582" s="696">
        <f t="shared" si="110"/>
        <v>-22805858.190000005</v>
      </c>
      <c r="K582" s="696">
        <f t="shared" si="110"/>
        <v>-25016605.809999999</v>
      </c>
      <c r="L582" s="696">
        <f t="shared" si="110"/>
        <v>-26123162.13000001</v>
      </c>
      <c r="M582" s="696">
        <f t="shared" si="110"/>
        <v>-23228569.079999998</v>
      </c>
      <c r="N582" s="696">
        <f t="shared" si="110"/>
        <v>-28261610.689999994</v>
      </c>
      <c r="O582" s="696">
        <f t="shared" si="110"/>
        <v>-29276185.37999998</v>
      </c>
      <c r="P582" s="696">
        <f t="shared" si="110"/>
        <v>-28456605.839999996</v>
      </c>
      <c r="Q582" s="696">
        <f t="shared" si="110"/>
        <v>-31784648.710000016</v>
      </c>
      <c r="R582" s="696">
        <f t="shared" si="110"/>
        <v>-31864287.559999999</v>
      </c>
      <c r="S582" s="696">
        <f t="shared" si="110"/>
        <v>-28362528.239583325</v>
      </c>
      <c r="U582" s="358"/>
      <c r="V582" s="359"/>
      <c r="W582" s="359"/>
      <c r="X582" s="360"/>
      <c r="Y582" s="359"/>
      <c r="Z582" s="359"/>
      <c r="AA582" s="358"/>
      <c r="AB582" s="359"/>
      <c r="AF582" s="289">
        <f t="shared" si="105"/>
        <v>0</v>
      </c>
    </row>
    <row r="583" spans="1:32">
      <c r="A583" s="113">
        <v>568</v>
      </c>
      <c r="E583" s="374"/>
      <c r="F583" s="356"/>
      <c r="G583" s="399"/>
      <c r="H583" s="387"/>
      <c r="I583" s="387"/>
      <c r="J583" s="388"/>
      <c r="K583" s="389"/>
      <c r="L583" s="390"/>
      <c r="M583" s="391"/>
      <c r="N583" s="392"/>
      <c r="O583" s="373"/>
      <c r="P583" s="393"/>
      <c r="Q583" s="400"/>
      <c r="R583" s="356"/>
      <c r="S583" s="96"/>
      <c r="U583" s="358"/>
      <c r="V583" s="359"/>
      <c r="W583" s="359"/>
      <c r="X583" s="360"/>
      <c r="Y583" s="359"/>
      <c r="Z583" s="359"/>
      <c r="AA583" s="358"/>
      <c r="AB583" s="359"/>
      <c r="AF583" s="289">
        <f t="shared" si="105"/>
        <v>0</v>
      </c>
    </row>
    <row r="584" spans="1:32">
      <c r="A584" s="113">
        <v>569</v>
      </c>
      <c r="B584" s="119" t="s">
        <v>1523</v>
      </c>
      <c r="C584" s="119" t="s">
        <v>2550</v>
      </c>
      <c r="D584" s="119" t="s">
        <v>377</v>
      </c>
      <c r="E584" s="374" t="s">
        <v>2675</v>
      </c>
      <c r="F584" s="356">
        <v>-320100</v>
      </c>
      <c r="G584" s="356">
        <v>-320100</v>
      </c>
      <c r="H584" s="356">
        <v>-320100</v>
      </c>
      <c r="I584" s="356">
        <v>-320100</v>
      </c>
      <c r="J584" s="356">
        <v>-320100</v>
      </c>
      <c r="K584" s="356">
        <v>-319900</v>
      </c>
      <c r="L584" s="356">
        <v>0</v>
      </c>
      <c r="M584" s="356">
        <v>0</v>
      </c>
      <c r="N584" s="356">
        <v>0</v>
      </c>
      <c r="O584" s="356">
        <v>0</v>
      </c>
      <c r="P584" s="356">
        <v>0</v>
      </c>
      <c r="Q584" s="356">
        <v>0</v>
      </c>
      <c r="R584" s="356">
        <v>0</v>
      </c>
      <c r="S584" s="357">
        <f t="shared" si="100"/>
        <v>-146695.83333333334</v>
      </c>
      <c r="U584" s="358"/>
      <c r="V584" s="359">
        <f>+S584</f>
        <v>-146695.83333333334</v>
      </c>
      <c r="W584" s="359"/>
      <c r="X584" s="360"/>
      <c r="Y584" s="359"/>
      <c r="Z584" s="359"/>
      <c r="AA584" s="358"/>
      <c r="AB584" s="359"/>
      <c r="AD584" s="271">
        <f>+V584</f>
        <v>-146695.83333333334</v>
      </c>
      <c r="AF584" s="289">
        <f t="shared" si="105"/>
        <v>0</v>
      </c>
    </row>
    <row r="585" spans="1:32">
      <c r="A585" s="113">
        <v>570</v>
      </c>
      <c r="B585" s="119" t="s">
        <v>1523</v>
      </c>
      <c r="C585" s="119" t="s">
        <v>2676</v>
      </c>
      <c r="D585" s="119" t="s">
        <v>377</v>
      </c>
      <c r="E585" s="374" t="s">
        <v>2677</v>
      </c>
      <c r="F585" s="356">
        <v>-5552400.04</v>
      </c>
      <c r="G585" s="356">
        <v>-5555219.9500000002</v>
      </c>
      <c r="H585" s="356">
        <v>-5558039.8600000003</v>
      </c>
      <c r="I585" s="356">
        <v>-5560859.7699999996</v>
      </c>
      <c r="J585" s="356">
        <v>-5563679.6799999997</v>
      </c>
      <c r="K585" s="356">
        <v>-5566499.5899999999</v>
      </c>
      <c r="L585" s="356">
        <v>-5577166</v>
      </c>
      <c r="M585" s="356">
        <v>-5581293.6600000001</v>
      </c>
      <c r="N585" s="356">
        <v>-5585421.3200000003</v>
      </c>
      <c r="O585" s="356">
        <v>-5589548.9800000004</v>
      </c>
      <c r="P585" s="356">
        <v>-5593676.6399999997</v>
      </c>
      <c r="Q585" s="356">
        <v>-5597804.2999999998</v>
      </c>
      <c r="R585" s="356">
        <v>-5595028.96</v>
      </c>
      <c r="S585" s="357">
        <f t="shared" si="100"/>
        <v>-5575243.6875</v>
      </c>
      <c r="U585" s="358"/>
      <c r="V585" s="359"/>
      <c r="W585" s="359"/>
      <c r="X585" s="360">
        <f>+S585</f>
        <v>-5575243.6875</v>
      </c>
      <c r="Y585" s="359"/>
      <c r="Z585" s="359"/>
      <c r="AA585" s="358"/>
      <c r="AB585" s="359">
        <f>+X585</f>
        <v>-5575243.6875</v>
      </c>
      <c r="AD585" s="271">
        <f>+V585</f>
        <v>0</v>
      </c>
      <c r="AF585" s="289">
        <f t="shared" si="105"/>
        <v>0</v>
      </c>
    </row>
    <row r="586" spans="1:32">
      <c r="A586" s="113">
        <v>571</v>
      </c>
      <c r="B586" s="119" t="s">
        <v>1543</v>
      </c>
      <c r="C586" s="119" t="s">
        <v>2676</v>
      </c>
      <c r="D586" s="119" t="s">
        <v>380</v>
      </c>
      <c r="E586" s="374" t="s">
        <v>2678</v>
      </c>
      <c r="F586" s="356">
        <v>0</v>
      </c>
      <c r="G586" s="356">
        <v>0</v>
      </c>
      <c r="H586" s="356">
        <v>0</v>
      </c>
      <c r="I586" s="356">
        <v>0</v>
      </c>
      <c r="J586" s="356">
        <v>0</v>
      </c>
      <c r="K586" s="356">
        <v>0</v>
      </c>
      <c r="L586" s="356">
        <v>0</v>
      </c>
      <c r="M586" s="356">
        <v>0</v>
      </c>
      <c r="N586" s="356">
        <v>0</v>
      </c>
      <c r="O586" s="356">
        <v>0</v>
      </c>
      <c r="P586" s="356">
        <v>0</v>
      </c>
      <c r="Q586" s="356">
        <v>0</v>
      </c>
      <c r="R586" s="356">
        <v>0</v>
      </c>
      <c r="S586" s="357">
        <f t="shared" si="100"/>
        <v>0</v>
      </c>
      <c r="U586" s="358"/>
      <c r="V586" s="359">
        <f>+S586</f>
        <v>0</v>
      </c>
      <c r="W586" s="359"/>
      <c r="X586" s="360"/>
      <c r="Y586" s="359"/>
      <c r="Z586" s="359"/>
      <c r="AA586" s="358"/>
      <c r="AB586" s="359"/>
      <c r="AD586" s="271">
        <f>+V586</f>
        <v>0</v>
      </c>
      <c r="AF586" s="289">
        <f t="shared" si="105"/>
        <v>0</v>
      </c>
    </row>
    <row r="587" spans="1:32">
      <c r="A587" s="113">
        <v>572</v>
      </c>
      <c r="B587" s="119" t="s">
        <v>1530</v>
      </c>
      <c r="C587" s="119" t="s">
        <v>2676</v>
      </c>
      <c r="D587" s="119" t="s">
        <v>381</v>
      </c>
      <c r="E587" s="374" t="s">
        <v>2679</v>
      </c>
      <c r="F587" s="356">
        <v>0</v>
      </c>
      <c r="G587" s="356">
        <v>0</v>
      </c>
      <c r="H587" s="356">
        <v>0</v>
      </c>
      <c r="I587" s="356">
        <v>0</v>
      </c>
      <c r="J587" s="356">
        <v>0</v>
      </c>
      <c r="K587" s="356">
        <v>0</v>
      </c>
      <c r="L587" s="356">
        <v>0</v>
      </c>
      <c r="M587" s="356">
        <v>0</v>
      </c>
      <c r="N587" s="356">
        <v>0</v>
      </c>
      <c r="O587" s="356">
        <v>0</v>
      </c>
      <c r="P587" s="356">
        <v>0</v>
      </c>
      <c r="Q587" s="356">
        <v>0</v>
      </c>
      <c r="R587" s="356">
        <v>0</v>
      </c>
      <c r="S587" s="357">
        <f t="shared" si="100"/>
        <v>0</v>
      </c>
      <c r="U587" s="358"/>
      <c r="W587" s="359"/>
      <c r="X587" s="359">
        <f t="shared" ref="X587:X595" si="111">+S587</f>
        <v>0</v>
      </c>
      <c r="Y587" s="359"/>
      <c r="Z587" s="359"/>
      <c r="AA587" s="358"/>
      <c r="AB587" s="271">
        <f>+X587</f>
        <v>0</v>
      </c>
      <c r="AF587" s="289">
        <f>+U587+X587-AB587</f>
        <v>0</v>
      </c>
    </row>
    <row r="588" spans="1:32">
      <c r="A588" s="113">
        <v>573</v>
      </c>
      <c r="B588" s="119" t="s">
        <v>1530</v>
      </c>
      <c r="C588" s="119" t="s">
        <v>2676</v>
      </c>
      <c r="D588" s="119" t="s">
        <v>382</v>
      </c>
      <c r="E588" s="374" t="s">
        <v>2680</v>
      </c>
      <c r="F588" s="356">
        <v>-555072</v>
      </c>
      <c r="G588" s="356">
        <v>-555072</v>
      </c>
      <c r="H588" s="356">
        <v>-555072</v>
      </c>
      <c r="I588" s="356">
        <v>-555072</v>
      </c>
      <c r="J588" s="356">
        <v>-555072</v>
      </c>
      <c r="K588" s="356">
        <v>-555072</v>
      </c>
      <c r="L588" s="356">
        <v>-555072</v>
      </c>
      <c r="M588" s="356">
        <v>-555072</v>
      </c>
      <c r="N588" s="356">
        <v>-555072</v>
      </c>
      <c r="O588" s="356">
        <v>-555072</v>
      </c>
      <c r="P588" s="356">
        <v>-555072</v>
      </c>
      <c r="Q588" s="356">
        <v>-555072</v>
      </c>
      <c r="R588" s="356">
        <v>-812911</v>
      </c>
      <c r="S588" s="357">
        <f t="shared" si="100"/>
        <v>-565815.29166666663</v>
      </c>
      <c r="U588" s="358"/>
      <c r="W588" s="359"/>
      <c r="X588" s="359">
        <f t="shared" si="111"/>
        <v>-565815.29166666663</v>
      </c>
      <c r="Y588" s="359"/>
      <c r="Z588" s="359"/>
      <c r="AA588" s="358"/>
      <c r="AB588" s="271">
        <f>+X588</f>
        <v>-565815.29166666663</v>
      </c>
      <c r="AF588" s="289">
        <f>+U588+X588-AB588</f>
        <v>0</v>
      </c>
    </row>
    <row r="589" spans="1:32">
      <c r="A589" s="113">
        <v>574</v>
      </c>
      <c r="B589" s="119" t="s">
        <v>1530</v>
      </c>
      <c r="C589" s="119" t="s">
        <v>2055</v>
      </c>
      <c r="D589" s="119" t="s">
        <v>2681</v>
      </c>
      <c r="E589" s="374" t="s">
        <v>2682</v>
      </c>
      <c r="F589" s="356">
        <v>-74293816.879999995</v>
      </c>
      <c r="G589" s="356">
        <v>-74626969.489999995</v>
      </c>
      <c r="H589" s="356">
        <v>-74961630.569999993</v>
      </c>
      <c r="I589" s="356">
        <v>-75297807.120000005</v>
      </c>
      <c r="J589" s="356">
        <v>-75635505.840000004</v>
      </c>
      <c r="K589" s="356">
        <v>-75974733.890000001</v>
      </c>
      <c r="L589" s="356">
        <v>-76315498.109999999</v>
      </c>
      <c r="M589" s="356">
        <v>-76657805.549999997</v>
      </c>
      <c r="N589" s="356">
        <v>-77001663.189999998</v>
      </c>
      <c r="O589" s="356">
        <v>-77347078.230000004</v>
      </c>
      <c r="P589" s="356">
        <v>-77694057.75</v>
      </c>
      <c r="Q589" s="356">
        <v>-78042608.739999995</v>
      </c>
      <c r="R589" s="356">
        <v>-106759832.26000001</v>
      </c>
      <c r="S589" s="357">
        <f t="shared" si="100"/>
        <v>-77506848.587499991</v>
      </c>
      <c r="U589" s="358"/>
      <c r="W589" s="359"/>
      <c r="X589" s="359">
        <f t="shared" si="111"/>
        <v>-77506848.587499991</v>
      </c>
      <c r="Y589" s="359">
        <f>+X589*Z8</f>
        <v>-58168889.864918739</v>
      </c>
      <c r="Z589" s="359">
        <f>+X589*Z9</f>
        <v>-19337958.722581249</v>
      </c>
      <c r="AA589" s="358"/>
      <c r="AF589" s="289">
        <f>+U589+X589-AB589</f>
        <v>-77506848.587499991</v>
      </c>
    </row>
    <row r="590" spans="1:32">
      <c r="A590" s="113">
        <v>575</v>
      </c>
      <c r="B590" s="119" t="s">
        <v>1530</v>
      </c>
      <c r="C590" s="119" t="s">
        <v>2629</v>
      </c>
      <c r="D590" s="119" t="s">
        <v>1504</v>
      </c>
      <c r="E590" s="374" t="s">
        <v>2206</v>
      </c>
      <c r="F590" s="356">
        <v>0</v>
      </c>
      <c r="G590" s="356">
        <v>0</v>
      </c>
      <c r="H590" s="356">
        <v>0</v>
      </c>
      <c r="I590" s="356">
        <v>0</v>
      </c>
      <c r="J590" s="356">
        <v>0</v>
      </c>
      <c r="K590" s="356">
        <v>0</v>
      </c>
      <c r="L590" s="356">
        <v>0</v>
      </c>
      <c r="M590" s="356">
        <v>0</v>
      </c>
      <c r="N590" s="356">
        <v>0</v>
      </c>
      <c r="O590" s="356">
        <v>0</v>
      </c>
      <c r="P590" s="356">
        <v>0</v>
      </c>
      <c r="Q590" s="356">
        <v>0</v>
      </c>
      <c r="R590" s="356">
        <v>0</v>
      </c>
      <c r="S590" s="357">
        <f t="shared" si="100"/>
        <v>0</v>
      </c>
      <c r="U590" s="358"/>
      <c r="V590" s="359"/>
      <c r="W590" s="359"/>
      <c r="X590" s="359">
        <f t="shared" si="111"/>
        <v>0</v>
      </c>
      <c r="Y590" s="359">
        <f>+X590*Z8</f>
        <v>0</v>
      </c>
      <c r="Z590" s="359">
        <f>+X590*Z9</f>
        <v>0</v>
      </c>
      <c r="AA590" s="358"/>
      <c r="AB590" s="359"/>
      <c r="AD590" s="271"/>
      <c r="AF590" s="289">
        <f t="shared" si="105"/>
        <v>0</v>
      </c>
    </row>
    <row r="591" spans="1:32">
      <c r="A591" s="113">
        <v>576</v>
      </c>
      <c r="B591" s="119" t="s">
        <v>1530</v>
      </c>
      <c r="C591" s="119" t="s">
        <v>1524</v>
      </c>
      <c r="D591" s="119" t="s">
        <v>2014</v>
      </c>
      <c r="E591" s="374" t="s">
        <v>2683</v>
      </c>
      <c r="F591" s="356">
        <v>-3301647.39</v>
      </c>
      <c r="G591" s="356">
        <v>-3207151.42</v>
      </c>
      <c r="H591" s="356">
        <v>-3207151.42</v>
      </c>
      <c r="I591" s="356">
        <v>-3072402.95</v>
      </c>
      <c r="J591" s="356">
        <v>-3072402.95</v>
      </c>
      <c r="K591" s="356">
        <v>-3072402.95</v>
      </c>
      <c r="L591" s="356">
        <v>-3076262.1</v>
      </c>
      <c r="M591" s="356">
        <v>-3076262.1</v>
      </c>
      <c r="N591" s="356">
        <v>-3076466.15</v>
      </c>
      <c r="O591" s="356">
        <v>-3061470.62</v>
      </c>
      <c r="P591" s="356">
        <v>-3061470.62</v>
      </c>
      <c r="Q591" s="356">
        <v>-3061141.64</v>
      </c>
      <c r="R591" s="356">
        <v>-3061141.65</v>
      </c>
      <c r="S591" s="357">
        <f t="shared" si="100"/>
        <v>-3102164.9533333336</v>
      </c>
      <c r="U591" s="358"/>
      <c r="V591" s="359"/>
      <c r="W591" s="359"/>
      <c r="X591" s="359">
        <f t="shared" si="111"/>
        <v>-3102164.9533333336</v>
      </c>
      <c r="Y591" s="359">
        <f>+X591*Z8</f>
        <v>-2328174.7974766665</v>
      </c>
      <c r="Z591" s="359">
        <f>+X591*Z9</f>
        <v>-773990.15585666674</v>
      </c>
      <c r="AA591" s="358"/>
      <c r="AB591" s="359"/>
      <c r="AD591" s="271"/>
      <c r="AF591" s="289"/>
    </row>
    <row r="592" spans="1:32">
      <c r="A592" s="113">
        <v>577</v>
      </c>
      <c r="B592" s="119" t="s">
        <v>1530</v>
      </c>
      <c r="C592" s="119" t="s">
        <v>1524</v>
      </c>
      <c r="D592" s="119" t="s">
        <v>2004</v>
      </c>
      <c r="E592" s="374" t="s">
        <v>2684</v>
      </c>
      <c r="F592" s="356">
        <v>-55161.33</v>
      </c>
      <c r="G592" s="356">
        <v>0</v>
      </c>
      <c r="H592" s="356">
        <v>0</v>
      </c>
      <c r="I592" s="356">
        <v>0</v>
      </c>
      <c r="J592" s="356">
        <v>0</v>
      </c>
      <c r="K592" s="356">
        <v>0</v>
      </c>
      <c r="L592" s="356">
        <v>0</v>
      </c>
      <c r="M592" s="356">
        <v>0</v>
      </c>
      <c r="N592" s="356">
        <v>0</v>
      </c>
      <c r="O592" s="356">
        <v>0</v>
      </c>
      <c r="P592" s="356">
        <v>0</v>
      </c>
      <c r="Q592" s="356">
        <v>0</v>
      </c>
      <c r="R592" s="356">
        <v>0</v>
      </c>
      <c r="S592" s="357">
        <f t="shared" si="100"/>
        <v>-2298.3887500000001</v>
      </c>
      <c r="U592" s="358"/>
      <c r="V592" s="359"/>
      <c r="W592" s="359"/>
      <c r="X592" s="359">
        <f t="shared" si="111"/>
        <v>-2298.3887500000001</v>
      </c>
      <c r="Y592" s="359">
        <f>+X592*Z8</f>
        <v>-1724.940756875</v>
      </c>
      <c r="Z592" s="359">
        <f>+X592*Z9</f>
        <v>-573.44799312500004</v>
      </c>
      <c r="AA592" s="358"/>
      <c r="AB592" s="359"/>
      <c r="AD592" s="271"/>
      <c r="AF592" s="289">
        <f t="shared" si="105"/>
        <v>0</v>
      </c>
    </row>
    <row r="593" spans="1:32">
      <c r="A593" s="113">
        <v>578</v>
      </c>
      <c r="B593" s="119" t="s">
        <v>1530</v>
      </c>
      <c r="C593" s="119" t="s">
        <v>1524</v>
      </c>
      <c r="D593" s="119" t="s">
        <v>2685</v>
      </c>
      <c r="E593" s="374" t="s">
        <v>2686</v>
      </c>
      <c r="F593" s="356">
        <v>6854.11</v>
      </c>
      <c r="G593" s="356">
        <v>0</v>
      </c>
      <c r="H593" s="356">
        <v>0</v>
      </c>
      <c r="I593" s="356">
        <v>0</v>
      </c>
      <c r="J593" s="356">
        <v>0</v>
      </c>
      <c r="K593" s="356">
        <v>0</v>
      </c>
      <c r="L593" s="356">
        <v>0</v>
      </c>
      <c r="M593" s="356">
        <v>0</v>
      </c>
      <c r="N593" s="356">
        <v>0</v>
      </c>
      <c r="O593" s="356">
        <v>0</v>
      </c>
      <c r="P593" s="356">
        <v>0</v>
      </c>
      <c r="Q593" s="356">
        <v>0</v>
      </c>
      <c r="R593" s="356">
        <v>0</v>
      </c>
      <c r="S593" s="357">
        <f t="shared" si="100"/>
        <v>285.58791666666667</v>
      </c>
      <c r="U593" s="358"/>
      <c r="V593" s="359"/>
      <c r="W593" s="359"/>
      <c r="X593" s="360">
        <f t="shared" si="111"/>
        <v>285.58791666666667</v>
      </c>
      <c r="Y593" s="359">
        <f>+X593*Z8</f>
        <v>214.33373145833332</v>
      </c>
      <c r="Z593" s="359">
        <f>+X593*Z9</f>
        <v>71.25418520833334</v>
      </c>
      <c r="AA593" s="358"/>
      <c r="AB593" s="359"/>
      <c r="AD593" s="271"/>
      <c r="AE593" s="113" t="s">
        <v>2687</v>
      </c>
      <c r="AF593" s="289">
        <f t="shared" si="105"/>
        <v>0</v>
      </c>
    </row>
    <row r="594" spans="1:32">
      <c r="A594" s="113">
        <v>579</v>
      </c>
      <c r="B594" s="119" t="s">
        <v>1530</v>
      </c>
      <c r="C594" s="119" t="s">
        <v>1524</v>
      </c>
      <c r="D594" s="119" t="s">
        <v>1535</v>
      </c>
      <c r="E594" s="374" t="s">
        <v>2688</v>
      </c>
      <c r="F594" s="356">
        <v>-985998.22</v>
      </c>
      <c r="G594" s="356">
        <v>-982856.14</v>
      </c>
      <c r="H594" s="356">
        <v>-976254.63</v>
      </c>
      <c r="I594" s="356">
        <v>-954995.57</v>
      </c>
      <c r="J594" s="356">
        <v>-936504.82</v>
      </c>
      <c r="K594" s="356">
        <v>-934089.88</v>
      </c>
      <c r="L594" s="356">
        <v>-278967.98</v>
      </c>
      <c r="M594" s="356">
        <v>-278967.98</v>
      </c>
      <c r="N594" s="356">
        <v>-278967.98</v>
      </c>
      <c r="O594" s="356">
        <v>-271009.40999999997</v>
      </c>
      <c r="P594" s="356">
        <v>-269648.52</v>
      </c>
      <c r="Q594" s="356">
        <v>-267224.96999999997</v>
      </c>
      <c r="R594" s="356">
        <v>-267224.96999999997</v>
      </c>
      <c r="S594" s="357">
        <f t="shared" si="100"/>
        <v>-588008.2895833333</v>
      </c>
      <c r="U594" s="358"/>
      <c r="V594" s="359"/>
      <c r="W594" s="359"/>
      <c r="X594" s="360">
        <f t="shared" si="111"/>
        <v>-588008.2895833333</v>
      </c>
      <c r="Y594" s="359">
        <f>+X594*Z8</f>
        <v>-441300.22133229161</v>
      </c>
      <c r="Z594" s="359">
        <f>+X594*Z9</f>
        <v>-146708.06825104167</v>
      </c>
      <c r="AA594" s="358"/>
      <c r="AB594" s="359"/>
      <c r="AD594" s="271"/>
      <c r="AF594" s="289">
        <f t="shared" si="105"/>
        <v>0</v>
      </c>
    </row>
    <row r="595" spans="1:32">
      <c r="A595" s="113">
        <v>580</v>
      </c>
      <c r="B595" s="119" t="s">
        <v>1530</v>
      </c>
      <c r="C595" s="119" t="s">
        <v>1524</v>
      </c>
      <c r="D595" s="119" t="s">
        <v>1531</v>
      </c>
      <c r="E595" s="374" t="s">
        <v>2689</v>
      </c>
      <c r="F595" s="356">
        <v>140365.51999999999</v>
      </c>
      <c r="G595" s="356">
        <v>0</v>
      </c>
      <c r="H595" s="356">
        <v>0</v>
      </c>
      <c r="I595" s="356">
        <v>0</v>
      </c>
      <c r="J595" s="356">
        <v>0</v>
      </c>
      <c r="K595" s="356">
        <v>0</v>
      </c>
      <c r="L595" s="356">
        <v>0</v>
      </c>
      <c r="M595" s="356">
        <v>0</v>
      </c>
      <c r="N595" s="356">
        <v>0</v>
      </c>
      <c r="O595" s="356">
        <v>0</v>
      </c>
      <c r="P595" s="356">
        <v>0</v>
      </c>
      <c r="Q595" s="356">
        <v>0</v>
      </c>
      <c r="R595" s="356">
        <v>0</v>
      </c>
      <c r="S595" s="357">
        <f t="shared" si="100"/>
        <v>5848.5633333333326</v>
      </c>
      <c r="U595" s="358"/>
      <c r="V595" s="359"/>
      <c r="W595" s="359"/>
      <c r="X595" s="360">
        <f t="shared" si="111"/>
        <v>5848.5633333333326</v>
      </c>
      <c r="Y595" s="359">
        <f>+X595*Z8</f>
        <v>4389.3467816666662</v>
      </c>
      <c r="Z595" s="359">
        <f>+X595*Z9</f>
        <v>1459.2165516666664</v>
      </c>
      <c r="AA595" s="358"/>
      <c r="AB595" s="359"/>
      <c r="AD595" s="271"/>
      <c r="AF595" s="289">
        <f t="shared" si="105"/>
        <v>0</v>
      </c>
    </row>
    <row r="596" spans="1:32">
      <c r="A596" s="113">
        <v>581</v>
      </c>
      <c r="B596" s="119" t="s">
        <v>1530</v>
      </c>
      <c r="C596" s="119" t="s">
        <v>2690</v>
      </c>
      <c r="D596" s="119" t="s">
        <v>2691</v>
      </c>
      <c r="E596" s="374" t="s">
        <v>2692</v>
      </c>
      <c r="F596" s="356">
        <v>100684.96</v>
      </c>
      <c r="G596" s="356">
        <v>100679.13</v>
      </c>
      <c r="H596" s="356">
        <v>-250.70999999999199</v>
      </c>
      <c r="I596" s="356">
        <v>-282.77999999999201</v>
      </c>
      <c r="J596" s="356">
        <v>-320.32999999999203</v>
      </c>
      <c r="K596" s="356">
        <v>-154.199999999992</v>
      </c>
      <c r="L596" s="356">
        <v>-219.699999999992</v>
      </c>
      <c r="M596" s="356">
        <v>318.31000000000802</v>
      </c>
      <c r="N596" s="356">
        <v>311.11000000000797</v>
      </c>
      <c r="O596" s="356">
        <v>304.18000000000802</v>
      </c>
      <c r="P596" s="356">
        <v>70254.399999999994</v>
      </c>
      <c r="Q596" s="356">
        <v>459.58000000000197</v>
      </c>
      <c r="R596" s="356">
        <v>455.180000000002</v>
      </c>
      <c r="S596" s="357">
        <f t="shared" si="100"/>
        <v>18472.421666666673</v>
      </c>
      <c r="U596" s="358"/>
      <c r="V596" s="359">
        <f>+S596</f>
        <v>18472.421666666673</v>
      </c>
      <c r="W596" s="359"/>
      <c r="X596" s="360"/>
      <c r="Y596" s="359">
        <f>+X596*Z8</f>
        <v>0</v>
      </c>
      <c r="Z596" s="359">
        <f>+X596*Z9</f>
        <v>0</v>
      </c>
      <c r="AA596" s="358"/>
      <c r="AB596" s="359"/>
      <c r="AD596" s="271">
        <f>+S596</f>
        <v>18472.421666666673</v>
      </c>
      <c r="AE596" s="113" t="s">
        <v>2693</v>
      </c>
      <c r="AF596" s="289">
        <f t="shared" si="105"/>
        <v>0</v>
      </c>
    </row>
    <row r="597" spans="1:32">
      <c r="A597" s="113">
        <v>582</v>
      </c>
      <c r="B597" s="119" t="s">
        <v>1530</v>
      </c>
      <c r="C597" s="119" t="s">
        <v>2690</v>
      </c>
      <c r="D597" s="119" t="s">
        <v>2694</v>
      </c>
      <c r="E597" s="374" t="s">
        <v>2695</v>
      </c>
      <c r="F597" s="356">
        <v>-6699766.6900000004</v>
      </c>
      <c r="G597" s="356">
        <v>-6683226.1100000003</v>
      </c>
      <c r="H597" s="356">
        <v>-6666685.5300000003</v>
      </c>
      <c r="I597" s="356">
        <v>-6650144.9500000002</v>
      </c>
      <c r="J597" s="356">
        <v>-6633604.3700000001</v>
      </c>
      <c r="K597" s="356">
        <v>-6617063.79</v>
      </c>
      <c r="L597" s="356">
        <v>-6468086.1900000004</v>
      </c>
      <c r="M597" s="356">
        <v>-6429472.7699999996</v>
      </c>
      <c r="N597" s="356">
        <v>-6390859.3499999996</v>
      </c>
      <c r="O597" s="356">
        <v>-6352245.9299999997</v>
      </c>
      <c r="P597" s="356">
        <v>-6313632.5099999998</v>
      </c>
      <c r="Q597" s="356">
        <v>-6275019.0899999999</v>
      </c>
      <c r="R597" s="356">
        <v>-6481555.6900000004</v>
      </c>
      <c r="S597" s="357">
        <f t="shared" si="100"/>
        <v>-6505891.8149999985</v>
      </c>
      <c r="U597" s="358"/>
      <c r="V597" s="359">
        <f>+S597</f>
        <v>-6505891.8149999985</v>
      </c>
      <c r="W597" s="359"/>
      <c r="X597" s="360"/>
      <c r="Y597" s="359">
        <f>+X597*Z8</f>
        <v>0</v>
      </c>
      <c r="Z597" s="359">
        <f>+X597*Z9</f>
        <v>0</v>
      </c>
      <c r="AA597" s="358"/>
      <c r="AB597" s="359"/>
      <c r="AD597" s="271">
        <f>+S597</f>
        <v>-6505891.8149999985</v>
      </c>
      <c r="AE597" s="113" t="s">
        <v>2696</v>
      </c>
      <c r="AF597" s="289">
        <f t="shared" si="105"/>
        <v>0</v>
      </c>
    </row>
    <row r="598" spans="1:32">
      <c r="A598" s="113">
        <v>583</v>
      </c>
      <c r="B598" s="119" t="s">
        <v>1530</v>
      </c>
      <c r="C598" s="119" t="s">
        <v>2690</v>
      </c>
      <c r="D598" s="119" t="s">
        <v>2697</v>
      </c>
      <c r="E598" s="374" t="s">
        <v>2698</v>
      </c>
      <c r="F598" s="356">
        <v>-24135</v>
      </c>
      <c r="G598" s="356">
        <v>-24135</v>
      </c>
      <c r="H598" s="356">
        <v>-24135</v>
      </c>
      <c r="I598" s="356">
        <v>-24135</v>
      </c>
      <c r="J598" s="356">
        <v>-24135</v>
      </c>
      <c r="K598" s="356">
        <v>-24135</v>
      </c>
      <c r="L598" s="356">
        <v>-24135</v>
      </c>
      <c r="M598" s="356">
        <v>-24135</v>
      </c>
      <c r="N598" s="356">
        <v>-24135</v>
      </c>
      <c r="O598" s="356">
        <v>-24135</v>
      </c>
      <c r="P598" s="356">
        <v>0</v>
      </c>
      <c r="Q598" s="356">
        <v>0</v>
      </c>
      <c r="R598" s="356">
        <v>0</v>
      </c>
      <c r="S598" s="357">
        <f t="shared" si="100"/>
        <v>-19106.875</v>
      </c>
      <c r="U598" s="358"/>
      <c r="V598" s="359">
        <f>+S598</f>
        <v>-19106.875</v>
      </c>
      <c r="W598" s="359"/>
      <c r="X598" s="360"/>
      <c r="Y598" s="359"/>
      <c r="Z598" s="359"/>
      <c r="AA598" s="358"/>
      <c r="AB598" s="359"/>
      <c r="AD598" s="271">
        <f>+V598</f>
        <v>-19106.875</v>
      </c>
      <c r="AF598" s="289">
        <f t="shared" si="105"/>
        <v>0</v>
      </c>
    </row>
    <row r="599" spans="1:32">
      <c r="A599" s="113">
        <v>584</v>
      </c>
      <c r="B599" s="119" t="s">
        <v>1530</v>
      </c>
      <c r="C599" s="119" t="s">
        <v>2690</v>
      </c>
      <c r="D599" s="119" t="s">
        <v>2699</v>
      </c>
      <c r="E599" s="374" t="s">
        <v>2700</v>
      </c>
      <c r="F599" s="356">
        <v>-1045610</v>
      </c>
      <c r="G599" s="356">
        <v>-1045610</v>
      </c>
      <c r="H599" s="356">
        <v>-1045610</v>
      </c>
      <c r="I599" s="356">
        <v>-1045610</v>
      </c>
      <c r="J599" s="356">
        <v>-1045610</v>
      </c>
      <c r="K599" s="356">
        <v>-1045610</v>
      </c>
      <c r="L599" s="356">
        <v>-1045610</v>
      </c>
      <c r="M599" s="356">
        <v>-1045610</v>
      </c>
      <c r="N599" s="356">
        <v>-1045610</v>
      </c>
      <c r="O599" s="356">
        <v>-1045610</v>
      </c>
      <c r="P599" s="356">
        <v>-1045610</v>
      </c>
      <c r="Q599" s="356">
        <v>-1045610</v>
      </c>
      <c r="R599" s="356">
        <v>-1044516</v>
      </c>
      <c r="S599" s="357">
        <f t="shared" si="100"/>
        <v>-1045564.4166666666</v>
      </c>
      <c r="U599" s="358"/>
      <c r="V599" s="359">
        <f>+S599</f>
        <v>-1045564.4166666666</v>
      </c>
      <c r="W599" s="359"/>
      <c r="X599" s="360"/>
      <c r="Y599" s="359"/>
      <c r="Z599" s="359"/>
      <c r="AA599" s="358"/>
      <c r="AB599" s="359"/>
      <c r="AD599" s="271">
        <f>+V599</f>
        <v>-1045564.4166666666</v>
      </c>
      <c r="AF599" s="289">
        <f t="shared" si="105"/>
        <v>0</v>
      </c>
    </row>
    <row r="600" spans="1:32">
      <c r="A600" s="113">
        <v>585</v>
      </c>
      <c r="B600" s="119" t="s">
        <v>1530</v>
      </c>
      <c r="C600" s="119" t="s">
        <v>2690</v>
      </c>
      <c r="D600" s="119" t="s">
        <v>2701</v>
      </c>
      <c r="E600" s="374" t="s">
        <v>2702</v>
      </c>
      <c r="F600" s="356">
        <v>197919</v>
      </c>
      <c r="G600" s="356">
        <v>197919</v>
      </c>
      <c r="H600" s="356">
        <v>197919</v>
      </c>
      <c r="I600" s="356">
        <v>197919</v>
      </c>
      <c r="J600" s="356">
        <v>197919</v>
      </c>
      <c r="K600" s="356">
        <v>197919</v>
      </c>
      <c r="L600" s="356">
        <v>197919</v>
      </c>
      <c r="M600" s="356">
        <v>197919</v>
      </c>
      <c r="N600" s="356">
        <v>197919</v>
      </c>
      <c r="O600" s="356">
        <v>197919</v>
      </c>
      <c r="P600" s="356">
        <v>197919</v>
      </c>
      <c r="Q600" s="356">
        <v>197919</v>
      </c>
      <c r="R600" s="356">
        <v>253608</v>
      </c>
      <c r="S600" s="357">
        <f t="shared" si="100"/>
        <v>200239.375</v>
      </c>
      <c r="U600" s="358"/>
      <c r="V600" s="359">
        <f>+S600</f>
        <v>200239.375</v>
      </c>
      <c r="W600" s="359"/>
      <c r="X600" s="360"/>
      <c r="Y600" s="359"/>
      <c r="Z600" s="359"/>
      <c r="AA600" s="358"/>
      <c r="AB600" s="359"/>
      <c r="AD600" s="271">
        <f>+V600</f>
        <v>200239.375</v>
      </c>
      <c r="AF600" s="289">
        <f t="shared" si="105"/>
        <v>0</v>
      </c>
    </row>
    <row r="601" spans="1:32">
      <c r="A601" s="113">
        <v>586</v>
      </c>
      <c r="B601" s="119" t="s">
        <v>1530</v>
      </c>
      <c r="C601" s="119" t="s">
        <v>2703</v>
      </c>
      <c r="D601" s="119" t="s">
        <v>2704</v>
      </c>
      <c r="E601" s="374" t="s">
        <v>2705</v>
      </c>
      <c r="F601" s="356">
        <v>-7963385.4400000004</v>
      </c>
      <c r="G601" s="356">
        <v>-7866620.9500000002</v>
      </c>
      <c r="H601" s="356">
        <v>-7769856.4800000004</v>
      </c>
      <c r="I601" s="356">
        <v>-7673092.1100000003</v>
      </c>
      <c r="J601" s="356">
        <v>-7576327.8399999999</v>
      </c>
      <c r="K601" s="356">
        <v>-7479563.2999999998</v>
      </c>
      <c r="L601" s="356">
        <v>-7382798.9000000004</v>
      </c>
      <c r="M601" s="356">
        <v>-7286034.5800000001</v>
      </c>
      <c r="N601" s="356">
        <v>-7189270.1799999997</v>
      </c>
      <c r="O601" s="356">
        <v>-7092505.75</v>
      </c>
      <c r="P601" s="356">
        <v>-6995741.3200000003</v>
      </c>
      <c r="Q601" s="356">
        <v>-6898976.8600000003</v>
      </c>
      <c r="R601" s="356">
        <v>-6802212.4699999997</v>
      </c>
      <c r="S601" s="357">
        <f t="shared" si="100"/>
        <v>-7382798.9354166659</v>
      </c>
      <c r="U601" s="358"/>
      <c r="V601" s="359"/>
      <c r="W601" s="359"/>
      <c r="X601" s="360">
        <f>+S601</f>
        <v>-7382798.9354166659</v>
      </c>
      <c r="Y601" s="359"/>
      <c r="Z601" s="359"/>
      <c r="AA601" s="358"/>
      <c r="AB601" s="359">
        <f>+S601</f>
        <v>-7382798.9354166659</v>
      </c>
      <c r="AD601" s="271">
        <f t="shared" ref="AD601:AD606" si="112">+V601</f>
        <v>0</v>
      </c>
      <c r="AF601" s="289">
        <f t="shared" si="105"/>
        <v>0</v>
      </c>
    </row>
    <row r="602" spans="1:32">
      <c r="A602" s="113">
        <v>587</v>
      </c>
      <c r="B602" s="119" t="s">
        <v>1530</v>
      </c>
      <c r="C602" s="119" t="s">
        <v>2703</v>
      </c>
      <c r="D602" s="119" t="s">
        <v>2706</v>
      </c>
      <c r="E602" s="374" t="s">
        <v>2707</v>
      </c>
      <c r="F602" s="356">
        <v>0</v>
      </c>
      <c r="G602" s="356">
        <v>0</v>
      </c>
      <c r="H602" s="356">
        <v>0</v>
      </c>
      <c r="I602" s="356">
        <v>0</v>
      </c>
      <c r="J602" s="356">
        <v>0</v>
      </c>
      <c r="K602" s="356">
        <v>0</v>
      </c>
      <c r="L602" s="356">
        <v>0</v>
      </c>
      <c r="M602" s="356">
        <v>0</v>
      </c>
      <c r="N602" s="356">
        <v>0</v>
      </c>
      <c r="O602" s="356">
        <v>0</v>
      </c>
      <c r="P602" s="356">
        <v>0</v>
      </c>
      <c r="Q602" s="356">
        <v>0</v>
      </c>
      <c r="R602" s="356">
        <v>0</v>
      </c>
      <c r="S602" s="357">
        <f t="shared" si="100"/>
        <v>0</v>
      </c>
      <c r="U602" s="358"/>
      <c r="V602" s="359">
        <f>+S602</f>
        <v>0</v>
      </c>
      <c r="W602" s="359"/>
      <c r="X602" s="360"/>
      <c r="Y602" s="359"/>
      <c r="Z602" s="359"/>
      <c r="AA602" s="358"/>
      <c r="AB602" s="359"/>
      <c r="AD602" s="271">
        <f t="shared" si="112"/>
        <v>0</v>
      </c>
      <c r="AF602" s="289">
        <f t="shared" si="105"/>
        <v>0</v>
      </c>
    </row>
    <row r="603" spans="1:32">
      <c r="A603" s="113">
        <v>588</v>
      </c>
      <c r="B603" s="119" t="s">
        <v>1523</v>
      </c>
      <c r="C603" s="119" t="s">
        <v>2550</v>
      </c>
      <c r="D603" s="119" t="s">
        <v>378</v>
      </c>
      <c r="E603" s="374" t="s">
        <v>2708</v>
      </c>
      <c r="F603" s="356">
        <v>-46000.000000000102</v>
      </c>
      <c r="G603" s="356">
        <v>-76000</v>
      </c>
      <c r="H603" s="356">
        <v>-76000</v>
      </c>
      <c r="I603" s="356">
        <v>-76000</v>
      </c>
      <c r="J603" s="356">
        <v>-114088.42</v>
      </c>
      <c r="K603" s="356">
        <v>-114441.45</v>
      </c>
      <c r="L603" s="356">
        <v>-114441.45</v>
      </c>
      <c r="M603" s="356">
        <v>-33750</v>
      </c>
      <c r="N603" s="356">
        <v>-33750</v>
      </c>
      <c r="O603" s="356">
        <v>-33750</v>
      </c>
      <c r="P603" s="356">
        <v>-33750</v>
      </c>
      <c r="Q603" s="356">
        <v>-33750</v>
      </c>
      <c r="R603" s="356">
        <v>0</v>
      </c>
      <c r="S603" s="357">
        <f t="shared" si="100"/>
        <v>-63560.109999999993</v>
      </c>
      <c r="U603" s="358"/>
      <c r="V603" s="359">
        <f>+S603</f>
        <v>-63560.109999999993</v>
      </c>
      <c r="W603" s="359"/>
      <c r="X603" s="360"/>
      <c r="Y603" s="359"/>
      <c r="Z603" s="359"/>
      <c r="AA603" s="358"/>
      <c r="AB603" s="359"/>
      <c r="AD603" s="271">
        <f t="shared" si="112"/>
        <v>-63560.109999999993</v>
      </c>
      <c r="AF603" s="289">
        <f t="shared" si="105"/>
        <v>0</v>
      </c>
    </row>
    <row r="604" spans="1:32">
      <c r="A604" s="113">
        <v>589</v>
      </c>
      <c r="B604" s="119" t="s">
        <v>1530</v>
      </c>
      <c r="C604" s="119" t="s">
        <v>2646</v>
      </c>
      <c r="D604" s="119" t="s">
        <v>2709</v>
      </c>
      <c r="E604" s="374" t="s">
        <v>2710</v>
      </c>
      <c r="F604" s="356">
        <v>0</v>
      </c>
      <c r="G604" s="356">
        <v>0</v>
      </c>
      <c r="H604" s="356">
        <v>0</v>
      </c>
      <c r="I604" s="356">
        <v>0</v>
      </c>
      <c r="J604" s="356">
        <v>0</v>
      </c>
      <c r="K604" s="356">
        <v>0</v>
      </c>
      <c r="L604" s="356">
        <v>0</v>
      </c>
      <c r="M604" s="356">
        <v>0</v>
      </c>
      <c r="N604" s="356">
        <v>0</v>
      </c>
      <c r="O604" s="356">
        <v>-6800.27</v>
      </c>
      <c r="P604" s="356">
        <v>0</v>
      </c>
      <c r="Q604" s="356">
        <v>0</v>
      </c>
      <c r="R604" s="356">
        <v>0</v>
      </c>
      <c r="S604" s="357">
        <f t="shared" si="100"/>
        <v>-566.68916666666667</v>
      </c>
      <c r="U604" s="358"/>
      <c r="V604" s="359">
        <f>+S604</f>
        <v>-566.68916666666667</v>
      </c>
      <c r="W604" s="359"/>
      <c r="X604" s="360"/>
      <c r="Y604" s="359"/>
      <c r="Z604" s="359"/>
      <c r="AA604" s="358"/>
      <c r="AB604" s="359"/>
      <c r="AD604" s="271">
        <f t="shared" si="112"/>
        <v>-566.68916666666667</v>
      </c>
      <c r="AF604" s="289">
        <f t="shared" si="105"/>
        <v>0</v>
      </c>
    </row>
    <row r="605" spans="1:32">
      <c r="A605" s="113">
        <v>590</v>
      </c>
      <c r="B605" s="119" t="s">
        <v>2003</v>
      </c>
      <c r="C605" s="119" t="s">
        <v>2703</v>
      </c>
      <c r="D605" s="119" t="s">
        <v>2656</v>
      </c>
      <c r="E605" s="374" t="s">
        <v>2711</v>
      </c>
      <c r="F605" s="356">
        <v>179237.64</v>
      </c>
      <c r="G605" s="356">
        <v>151953.54999999999</v>
      </c>
      <c r="H605" s="356">
        <v>136575.35</v>
      </c>
      <c r="I605" s="356">
        <v>107048.28</v>
      </c>
      <c r="J605" s="356">
        <v>45341.29</v>
      </c>
      <c r="K605" s="356">
        <v>29062.1</v>
      </c>
      <c r="L605" s="356">
        <v>16585.490000000002</v>
      </c>
      <c r="M605" s="356">
        <v>9743.81</v>
      </c>
      <c r="N605" s="356">
        <v>16865.82</v>
      </c>
      <c r="O605" s="356">
        <v>24937.03</v>
      </c>
      <c r="P605" s="356">
        <v>77544.39</v>
      </c>
      <c r="Q605" s="356">
        <v>44383.8</v>
      </c>
      <c r="R605" s="356">
        <v>50222.239999999998</v>
      </c>
      <c r="S605" s="357">
        <f t="shared" si="100"/>
        <v>64564.23750000001</v>
      </c>
      <c r="U605" s="358"/>
      <c r="V605" s="359">
        <f>+S605</f>
        <v>64564.23750000001</v>
      </c>
      <c r="W605" s="359"/>
      <c r="X605" s="360"/>
      <c r="Y605" s="359"/>
      <c r="Z605" s="359"/>
      <c r="AA605" s="358"/>
      <c r="AB605" s="359"/>
      <c r="AD605" s="271">
        <f t="shared" si="112"/>
        <v>64564.23750000001</v>
      </c>
      <c r="AF605" s="289">
        <f t="shared" si="105"/>
        <v>0</v>
      </c>
    </row>
    <row r="606" spans="1:32">
      <c r="A606" s="113">
        <v>591</v>
      </c>
      <c r="B606" s="119" t="s">
        <v>2003</v>
      </c>
      <c r="C606" s="119" t="s">
        <v>2703</v>
      </c>
      <c r="D606" s="119" t="s">
        <v>2323</v>
      </c>
      <c r="E606" s="374" t="s">
        <v>2712</v>
      </c>
      <c r="F606" s="356">
        <v>0</v>
      </c>
      <c r="G606" s="356">
        <v>0</v>
      </c>
      <c r="H606" s="356">
        <v>0</v>
      </c>
      <c r="I606" s="356">
        <v>0</v>
      </c>
      <c r="J606" s="356">
        <v>0</v>
      </c>
      <c r="K606" s="356">
        <v>0</v>
      </c>
      <c r="L606" s="356">
        <v>0</v>
      </c>
      <c r="M606" s="356">
        <v>0</v>
      </c>
      <c r="N606" s="356">
        <v>0</v>
      </c>
      <c r="O606" s="356">
        <v>0</v>
      </c>
      <c r="P606" s="356">
        <v>0</v>
      </c>
      <c r="Q606" s="356">
        <v>0</v>
      </c>
      <c r="R606" s="356">
        <v>0</v>
      </c>
      <c r="S606" s="357">
        <f t="shared" si="100"/>
        <v>0</v>
      </c>
      <c r="U606" s="358"/>
      <c r="V606" s="359">
        <f>+S606</f>
        <v>0</v>
      </c>
      <c r="W606" s="359"/>
      <c r="X606" s="360"/>
      <c r="Y606" s="359"/>
      <c r="Z606" s="359"/>
      <c r="AA606" s="358"/>
      <c r="AB606" s="359"/>
      <c r="AD606" s="271">
        <f t="shared" si="112"/>
        <v>0</v>
      </c>
      <c r="AF606" s="289">
        <f t="shared" si="105"/>
        <v>0</v>
      </c>
    </row>
    <row r="607" spans="1:32">
      <c r="A607" s="113">
        <v>592</v>
      </c>
      <c r="B607" s="119" t="s">
        <v>1523</v>
      </c>
      <c r="C607" s="119" t="s">
        <v>2703</v>
      </c>
      <c r="D607" s="119" t="s">
        <v>2713</v>
      </c>
      <c r="E607" s="355" t="s">
        <v>2714</v>
      </c>
      <c r="F607" s="356">
        <v>-842630.59</v>
      </c>
      <c r="G607" s="356">
        <v>-796870.08</v>
      </c>
      <c r="H607" s="356">
        <v>-769356.84</v>
      </c>
      <c r="I607" s="356">
        <v>-743397.41</v>
      </c>
      <c r="J607" s="356">
        <v>-731200.06</v>
      </c>
      <c r="K607" s="356">
        <v>-743682.7</v>
      </c>
      <c r="L607" s="356">
        <v>-761850.62</v>
      </c>
      <c r="M607" s="356">
        <v>-785308.3</v>
      </c>
      <c r="N607" s="356">
        <v>-812601.99</v>
      </c>
      <c r="O607" s="356">
        <v>-838357.86</v>
      </c>
      <c r="P607" s="356">
        <v>-858467.52</v>
      </c>
      <c r="Q607" s="356">
        <v>-856415.31</v>
      </c>
      <c r="R607" s="356">
        <v>-819703.76</v>
      </c>
      <c r="S607" s="357">
        <f t="shared" si="100"/>
        <v>-794056.32208333351</v>
      </c>
      <c r="U607" s="358"/>
      <c r="V607" s="359"/>
      <c r="W607" s="359"/>
      <c r="X607" s="360">
        <f>+S607</f>
        <v>-794056.32208333351</v>
      </c>
      <c r="Y607" s="359"/>
      <c r="Z607" s="359"/>
      <c r="AA607" s="358"/>
      <c r="AB607" s="359">
        <f>+S607</f>
        <v>-794056.32208333351</v>
      </c>
      <c r="AD607" s="271"/>
      <c r="AF607" s="289">
        <f t="shared" si="105"/>
        <v>0</v>
      </c>
    </row>
    <row r="608" spans="1:32">
      <c r="A608" s="113">
        <v>593</v>
      </c>
      <c r="B608" s="119" t="s">
        <v>1523</v>
      </c>
      <c r="C608" s="119" t="s">
        <v>2703</v>
      </c>
      <c r="D608" s="119" t="s">
        <v>2715</v>
      </c>
      <c r="E608" s="374" t="s">
        <v>2716</v>
      </c>
      <c r="F608" s="356">
        <v>-1171372.06</v>
      </c>
      <c r="G608" s="356">
        <v>-951479</v>
      </c>
      <c r="H608" s="356">
        <v>-777374.35</v>
      </c>
      <c r="I608" s="356">
        <v>-606518.13</v>
      </c>
      <c r="J608" s="356">
        <v>-470378.9</v>
      </c>
      <c r="K608" s="356">
        <v>-396754.62</v>
      </c>
      <c r="L608" s="356">
        <v>-337398.1</v>
      </c>
      <c r="M608" s="356">
        <v>-291221.03999999998</v>
      </c>
      <c r="N608" s="356">
        <v>-254672.52</v>
      </c>
      <c r="O608" s="356">
        <v>-214039.25</v>
      </c>
      <c r="P608" s="356">
        <v>-158901.04999999999</v>
      </c>
      <c r="Q608" s="356">
        <v>0</v>
      </c>
      <c r="R608" s="356">
        <v>0</v>
      </c>
      <c r="S608" s="357">
        <f t="shared" si="100"/>
        <v>-420368.58250000002</v>
      </c>
      <c r="U608" s="358"/>
      <c r="V608" s="359"/>
      <c r="W608" s="359"/>
      <c r="X608" s="360">
        <f>+S608</f>
        <v>-420368.58250000002</v>
      </c>
      <c r="Y608" s="359"/>
      <c r="Z608" s="359"/>
      <c r="AA608" s="358"/>
      <c r="AB608" s="359">
        <f>+S608</f>
        <v>-420368.58250000002</v>
      </c>
      <c r="AD608" s="271"/>
      <c r="AF608" s="289">
        <f t="shared" si="105"/>
        <v>0</v>
      </c>
    </row>
    <row r="609" spans="1:32">
      <c r="A609" s="113">
        <v>594</v>
      </c>
      <c r="B609" s="119" t="s">
        <v>1523</v>
      </c>
      <c r="C609" s="119" t="s">
        <v>2703</v>
      </c>
      <c r="D609" s="119" t="s">
        <v>2165</v>
      </c>
      <c r="E609" s="374" t="s">
        <v>2660</v>
      </c>
      <c r="F609" s="356">
        <v>1834765.01</v>
      </c>
      <c r="G609" s="356">
        <v>1596395.53</v>
      </c>
      <c r="H609" s="356">
        <v>1410155.84</v>
      </c>
      <c r="I609" s="356">
        <v>1242867.26</v>
      </c>
      <c r="J609" s="356">
        <v>1156237.67</v>
      </c>
      <c r="K609" s="356">
        <v>1111375.22</v>
      </c>
      <c r="L609" s="356">
        <v>1082663.23</v>
      </c>
      <c r="M609" s="356">
        <v>1066785.53</v>
      </c>
      <c r="N609" s="356">
        <v>1050408.69</v>
      </c>
      <c r="O609" s="356">
        <v>1027460.08</v>
      </c>
      <c r="P609" s="356">
        <v>939824.18</v>
      </c>
      <c r="Q609" s="356">
        <v>812031.51</v>
      </c>
      <c r="R609" s="356">
        <v>769481.52</v>
      </c>
      <c r="S609" s="357">
        <f t="shared" si="100"/>
        <v>1149860.6670833332</v>
      </c>
      <c r="U609" s="358"/>
      <c r="V609" s="359">
        <f t="shared" ref="V609:V614" si="113">+S609</f>
        <v>1149860.6670833332</v>
      </c>
      <c r="W609" s="359"/>
      <c r="X609" s="360"/>
      <c r="Y609" s="359"/>
      <c r="Z609" s="359"/>
      <c r="AA609" s="358"/>
      <c r="AB609" s="359"/>
      <c r="AD609" s="271">
        <f t="shared" ref="AD609:AD614" si="114">+S609</f>
        <v>1149860.6670833332</v>
      </c>
      <c r="AF609" s="289">
        <f t="shared" si="105"/>
        <v>0</v>
      </c>
    </row>
    <row r="610" spans="1:32">
      <c r="A610" s="113">
        <v>595</v>
      </c>
      <c r="B610" s="119" t="s">
        <v>1523</v>
      </c>
      <c r="C610" s="119" t="s">
        <v>2703</v>
      </c>
      <c r="D610" s="119" t="s">
        <v>2167</v>
      </c>
      <c r="E610" s="374" t="s">
        <v>2660</v>
      </c>
      <c r="F610" s="356">
        <v>1603848.95</v>
      </c>
      <c r="G610" s="356">
        <v>1412156.89</v>
      </c>
      <c r="H610" s="356">
        <v>1267536.72</v>
      </c>
      <c r="I610" s="356">
        <v>1131301.33</v>
      </c>
      <c r="J610" s="356">
        <v>1117677.46</v>
      </c>
      <c r="K610" s="356">
        <v>1196592.28</v>
      </c>
      <c r="L610" s="356">
        <v>1300912.07</v>
      </c>
      <c r="M610" s="356">
        <v>1397859.57</v>
      </c>
      <c r="N610" s="356">
        <v>1488696.62</v>
      </c>
      <c r="O610" s="356">
        <v>1567904.28</v>
      </c>
      <c r="P610" s="356">
        <v>1586649.15</v>
      </c>
      <c r="Q610" s="356">
        <v>1504907.77</v>
      </c>
      <c r="R610" s="356">
        <v>1274525.3500000001</v>
      </c>
      <c r="S610" s="357">
        <f t="shared" si="100"/>
        <v>1367615.1075000002</v>
      </c>
      <c r="U610" s="358"/>
      <c r="V610" s="359">
        <f t="shared" si="113"/>
        <v>1367615.1075000002</v>
      </c>
      <c r="W610" s="359"/>
      <c r="X610" s="360"/>
      <c r="Y610" s="359"/>
      <c r="Z610" s="359"/>
      <c r="AA610" s="358"/>
      <c r="AB610" s="359"/>
      <c r="AD610" s="271">
        <f t="shared" si="114"/>
        <v>1367615.1075000002</v>
      </c>
      <c r="AF610" s="289">
        <f t="shared" si="105"/>
        <v>0</v>
      </c>
    </row>
    <row r="611" spans="1:32">
      <c r="A611" s="113">
        <v>596</v>
      </c>
      <c r="B611" s="119" t="s">
        <v>1523</v>
      </c>
      <c r="C611" s="119" t="s">
        <v>2550</v>
      </c>
      <c r="D611" s="119" t="s">
        <v>377</v>
      </c>
      <c r="E611" s="374" t="s">
        <v>2717</v>
      </c>
      <c r="F611" s="356">
        <v>-9591418.1799999997</v>
      </c>
      <c r="G611" s="356">
        <v>-9556547.0099999998</v>
      </c>
      <c r="H611" s="356">
        <v>-9507568.6699999999</v>
      </c>
      <c r="I611" s="356">
        <v>-9428524.5800000001</v>
      </c>
      <c r="J611" s="356">
        <v>-9320958.0800000001</v>
      </c>
      <c r="K611" s="356">
        <v>-9204719.1899999995</v>
      </c>
      <c r="L611" s="356">
        <v>-9016469.4000000004</v>
      </c>
      <c r="M611" s="356">
        <v>-8885523.0600000005</v>
      </c>
      <c r="N611" s="356">
        <v>-8623954.4399999995</v>
      </c>
      <c r="O611" s="356">
        <v>-19674363.690000001</v>
      </c>
      <c r="P611" s="356">
        <v>-19609399.280000001</v>
      </c>
      <c r="Q611" s="356">
        <v>-19629318.190000001</v>
      </c>
      <c r="R611" s="356">
        <v>-20108879.920000002</v>
      </c>
      <c r="S611" s="357">
        <f t="shared" si="100"/>
        <v>-12275624.553333333</v>
      </c>
      <c r="U611" s="358"/>
      <c r="V611" s="359">
        <f t="shared" si="113"/>
        <v>-12275624.553333333</v>
      </c>
      <c r="W611" s="359"/>
      <c r="X611" s="360"/>
      <c r="Y611" s="359"/>
      <c r="Z611" s="359"/>
      <c r="AA611" s="358"/>
      <c r="AB611" s="359"/>
      <c r="AD611" s="271">
        <f t="shared" si="114"/>
        <v>-12275624.553333333</v>
      </c>
      <c r="AF611" s="289">
        <f t="shared" si="105"/>
        <v>0</v>
      </c>
    </row>
    <row r="612" spans="1:32">
      <c r="A612" s="113">
        <v>597</v>
      </c>
      <c r="B612" s="119"/>
      <c r="C612" s="119" t="s">
        <v>2550</v>
      </c>
      <c r="D612" s="119" t="s">
        <v>378</v>
      </c>
      <c r="E612" s="374" t="s">
        <v>2718</v>
      </c>
      <c r="F612" s="356">
        <v>-466500</v>
      </c>
      <c r="G612" s="356">
        <v>-466500</v>
      </c>
      <c r="H612" s="356">
        <v>-466500</v>
      </c>
      <c r="I612" s="356">
        <v>-466500</v>
      </c>
      <c r="J612" s="356">
        <v>-466500</v>
      </c>
      <c r="K612" s="356">
        <v>-466500</v>
      </c>
      <c r="L612" s="356">
        <v>-466500</v>
      </c>
      <c r="M612" s="356">
        <v>-466500</v>
      </c>
      <c r="N612" s="356">
        <v>-466500</v>
      </c>
      <c r="O612" s="356">
        <v>-466500</v>
      </c>
      <c r="P612" s="356">
        <v>-466500</v>
      </c>
      <c r="Q612" s="356">
        <v>-466500</v>
      </c>
      <c r="R612" s="356">
        <v>-466500</v>
      </c>
      <c r="S612" s="357">
        <f t="shared" si="100"/>
        <v>-466500</v>
      </c>
      <c r="U612" s="358"/>
      <c r="V612" s="359">
        <f t="shared" si="113"/>
        <v>-466500</v>
      </c>
      <c r="W612" s="359"/>
      <c r="X612" s="360"/>
      <c r="Y612" s="359"/>
      <c r="Z612" s="359"/>
      <c r="AA612" s="358"/>
      <c r="AB612" s="359"/>
      <c r="AD612" s="271">
        <f t="shared" si="114"/>
        <v>-466500</v>
      </c>
      <c r="AF612" s="289"/>
    </row>
    <row r="613" spans="1:32">
      <c r="A613" s="113">
        <v>598</v>
      </c>
      <c r="B613" s="119" t="s">
        <v>1523</v>
      </c>
      <c r="C613" s="119" t="s">
        <v>2646</v>
      </c>
      <c r="D613" s="119" t="s">
        <v>2719</v>
      </c>
      <c r="E613" s="374" t="s">
        <v>2710</v>
      </c>
      <c r="F613" s="356">
        <v>0</v>
      </c>
      <c r="G613" s="356">
        <v>0</v>
      </c>
      <c r="H613" s="356">
        <v>0</v>
      </c>
      <c r="I613" s="356">
        <v>0</v>
      </c>
      <c r="J613" s="356">
        <v>0</v>
      </c>
      <c r="K613" s="356">
        <v>0</v>
      </c>
      <c r="L613" s="356">
        <v>0</v>
      </c>
      <c r="M613" s="356">
        <v>0</v>
      </c>
      <c r="N613" s="356">
        <v>0</v>
      </c>
      <c r="O613" s="356">
        <v>-24598.6</v>
      </c>
      <c r="P613" s="356">
        <v>0</v>
      </c>
      <c r="Q613" s="356">
        <v>0</v>
      </c>
      <c r="R613" s="356">
        <v>0</v>
      </c>
      <c r="S613" s="357">
        <f t="shared" si="100"/>
        <v>-2049.8833333333332</v>
      </c>
      <c r="U613" s="358"/>
      <c r="V613" s="359">
        <f t="shared" si="113"/>
        <v>-2049.8833333333332</v>
      </c>
      <c r="W613" s="359"/>
      <c r="X613" s="360"/>
      <c r="Y613" s="359"/>
      <c r="Z613" s="359"/>
      <c r="AA613" s="358"/>
      <c r="AB613" s="359"/>
      <c r="AD613" s="271">
        <f t="shared" si="114"/>
        <v>-2049.8833333333332</v>
      </c>
      <c r="AF613" s="289">
        <f t="shared" si="105"/>
        <v>0</v>
      </c>
    </row>
    <row r="614" spans="1:32">
      <c r="A614" s="113">
        <v>599</v>
      </c>
      <c r="B614" s="119" t="s">
        <v>1523</v>
      </c>
      <c r="C614" s="119" t="s">
        <v>2703</v>
      </c>
      <c r="D614" s="119" t="s">
        <v>2656</v>
      </c>
      <c r="E614" s="425" t="s">
        <v>2711</v>
      </c>
      <c r="F614" s="356">
        <v>189403.67</v>
      </c>
      <c r="G614" s="356">
        <v>157459.07</v>
      </c>
      <c r="H614" s="356">
        <v>150608.34</v>
      </c>
      <c r="I614" s="356">
        <v>120268.37</v>
      </c>
      <c r="J614" s="356">
        <v>49176.98</v>
      </c>
      <c r="K614" s="356">
        <v>31410.57</v>
      </c>
      <c r="L614" s="356">
        <v>17105.82</v>
      </c>
      <c r="M614" s="356">
        <v>11708.07</v>
      </c>
      <c r="N614" s="356">
        <v>20391.72</v>
      </c>
      <c r="O614" s="356">
        <v>29134.51</v>
      </c>
      <c r="P614" s="356">
        <v>87254.78</v>
      </c>
      <c r="Q614" s="356">
        <v>156700.14000000001</v>
      </c>
      <c r="R614" s="356">
        <v>169744.47</v>
      </c>
      <c r="S614" s="357">
        <f t="shared" si="100"/>
        <v>84232.703333333324</v>
      </c>
      <c r="U614" s="358"/>
      <c r="V614" s="359">
        <f t="shared" si="113"/>
        <v>84232.703333333324</v>
      </c>
      <c r="W614" s="359"/>
      <c r="X614" s="360"/>
      <c r="Y614" s="359"/>
      <c r="Z614" s="359"/>
      <c r="AA614" s="358"/>
      <c r="AB614" s="359"/>
      <c r="AD614" s="271">
        <f t="shared" si="114"/>
        <v>84232.703333333324</v>
      </c>
      <c r="AF614" s="289">
        <f t="shared" si="105"/>
        <v>0</v>
      </c>
    </row>
    <row r="615" spans="1:32">
      <c r="A615" s="113">
        <v>600</v>
      </c>
      <c r="B615" s="1380" t="s">
        <v>1543</v>
      </c>
      <c r="C615" s="1380" t="s">
        <v>2703</v>
      </c>
      <c r="D615" s="1380" t="s">
        <v>2720</v>
      </c>
      <c r="E615" s="1381" t="s">
        <v>2721</v>
      </c>
      <c r="F615" s="356">
        <v>-47103890.740000002</v>
      </c>
      <c r="G615" s="356">
        <v>-46880443.710000001</v>
      </c>
      <c r="H615" s="356">
        <v>-46657289.700000003</v>
      </c>
      <c r="I615" s="356">
        <v>-46434416.759999998</v>
      </c>
      <c r="J615" s="356">
        <v>-46214109.170000002</v>
      </c>
      <c r="K615" s="356">
        <v>-45993801.609999999</v>
      </c>
      <c r="L615" s="356">
        <v>-45773494.049999997</v>
      </c>
      <c r="M615" s="356">
        <v>-45553186.520000003</v>
      </c>
      <c r="N615" s="356">
        <v>-45332913.859999999</v>
      </c>
      <c r="O615" s="356">
        <v>-45112624.32</v>
      </c>
      <c r="P615" s="356">
        <v>-44892316.759999998</v>
      </c>
      <c r="Q615" s="356">
        <v>-44726136.530000001</v>
      </c>
      <c r="R615" s="1379">
        <v>-45047242.530000001</v>
      </c>
      <c r="S615" s="357">
        <f t="shared" si="100"/>
        <v>-45803858.302083336</v>
      </c>
      <c r="U615" s="358"/>
      <c r="V615" s="359"/>
      <c r="W615" s="359"/>
      <c r="X615" s="360">
        <f>+S615</f>
        <v>-45803858.302083336</v>
      </c>
      <c r="Y615" s="359"/>
      <c r="Z615" s="359"/>
      <c r="AA615" s="358"/>
      <c r="AB615" s="859">
        <f>+S615</f>
        <v>-45803858.302083336</v>
      </c>
      <c r="AC615" s="5"/>
      <c r="AD615" s="309">
        <f>+V615</f>
        <v>0</v>
      </c>
      <c r="AE615" s="113" t="s">
        <v>3260</v>
      </c>
      <c r="AF615" s="289">
        <f t="shared" si="105"/>
        <v>0</v>
      </c>
    </row>
    <row r="616" spans="1:32">
      <c r="A616" s="113">
        <v>601</v>
      </c>
      <c r="B616" s="119" t="s">
        <v>1523</v>
      </c>
      <c r="C616" s="119" t="s">
        <v>2703</v>
      </c>
      <c r="D616" s="119" t="s">
        <v>2298</v>
      </c>
      <c r="E616" s="425" t="s">
        <v>2712</v>
      </c>
      <c r="F616" s="356">
        <v>0</v>
      </c>
      <c r="G616" s="356">
        <v>0</v>
      </c>
      <c r="H616" s="356">
        <v>0</v>
      </c>
      <c r="I616" s="356">
        <v>0</v>
      </c>
      <c r="J616" s="356">
        <v>0</v>
      </c>
      <c r="K616" s="356">
        <v>0</v>
      </c>
      <c r="L616" s="356">
        <v>0</v>
      </c>
      <c r="M616" s="356">
        <v>0</v>
      </c>
      <c r="N616" s="356">
        <v>0</v>
      </c>
      <c r="O616" s="356">
        <v>0</v>
      </c>
      <c r="P616" s="356">
        <v>0</v>
      </c>
      <c r="Q616" s="356">
        <v>0</v>
      </c>
      <c r="R616" s="356">
        <v>0</v>
      </c>
      <c r="S616" s="357">
        <f t="shared" si="100"/>
        <v>0</v>
      </c>
      <c r="U616" s="358"/>
      <c r="V616" s="359">
        <f>+S616</f>
        <v>0</v>
      </c>
      <c r="W616" s="359"/>
      <c r="X616" s="360"/>
      <c r="Y616" s="359"/>
      <c r="Z616" s="359"/>
      <c r="AA616" s="358"/>
      <c r="AB616" s="359"/>
      <c r="AD616" s="271">
        <f>+V616</f>
        <v>0</v>
      </c>
      <c r="AE616" s="271"/>
      <c r="AF616" s="289">
        <f t="shared" si="105"/>
        <v>0</v>
      </c>
    </row>
    <row r="617" spans="1:32">
      <c r="A617" s="113">
        <v>602</v>
      </c>
      <c r="B617" s="119" t="s">
        <v>1530</v>
      </c>
      <c r="C617" s="119" t="s">
        <v>2703</v>
      </c>
      <c r="D617" s="119" t="s">
        <v>2296</v>
      </c>
      <c r="E617" s="355" t="s">
        <v>2722</v>
      </c>
      <c r="F617" s="356">
        <v>-1014491.1</v>
      </c>
      <c r="G617" s="356">
        <v>-884858.24</v>
      </c>
      <c r="H617" s="356">
        <v>-794954.66</v>
      </c>
      <c r="I617" s="356">
        <v>-696653.42</v>
      </c>
      <c r="J617" s="356">
        <v>-643447.85</v>
      </c>
      <c r="K617" s="356">
        <v>-670622.71</v>
      </c>
      <c r="L617" s="356">
        <v>-713680.41</v>
      </c>
      <c r="M617" s="356">
        <v>-757506.75</v>
      </c>
      <c r="N617" s="356">
        <v>-805636.92</v>
      </c>
      <c r="O617" s="356">
        <v>-847365.78</v>
      </c>
      <c r="P617" s="356">
        <v>-883050.67</v>
      </c>
      <c r="Q617" s="356">
        <v>-875351.97</v>
      </c>
      <c r="R617" s="356">
        <v>-756886.92</v>
      </c>
      <c r="S617" s="357">
        <f t="shared" si="100"/>
        <v>-788234.86583333334</v>
      </c>
      <c r="U617" s="358"/>
      <c r="W617" s="359"/>
      <c r="X617" s="359">
        <f t="shared" ref="X617:X622" si="115">+S617</f>
        <v>-788234.86583333334</v>
      </c>
      <c r="Y617" s="711"/>
      <c r="Z617" s="359"/>
      <c r="AA617" s="358"/>
      <c r="AB617" s="359">
        <f t="shared" ref="AB617:AB622" si="116">+S617</f>
        <v>-788234.86583333334</v>
      </c>
      <c r="AD617" s="271"/>
      <c r="AF617" s="289">
        <f t="shared" ref="AF617:AF693" si="117">+U617+V617-AD617</f>
        <v>0</v>
      </c>
    </row>
    <row r="618" spans="1:32">
      <c r="A618" s="113">
        <v>603</v>
      </c>
      <c r="B618" s="119" t="s">
        <v>1530</v>
      </c>
      <c r="C618" s="119" t="s">
        <v>2703</v>
      </c>
      <c r="D618" s="119" t="s">
        <v>2300</v>
      </c>
      <c r="E618" s="355" t="s">
        <v>2723</v>
      </c>
      <c r="F618" s="356">
        <v>-228610.16</v>
      </c>
      <c r="G618" s="356">
        <v>-182916.69</v>
      </c>
      <c r="H618" s="356">
        <v>-150082.01999999999</v>
      </c>
      <c r="I618" s="356">
        <v>-114602.38</v>
      </c>
      <c r="J618" s="356">
        <v>-93695.82</v>
      </c>
      <c r="K618" s="356">
        <v>-98736.53</v>
      </c>
      <c r="L618" s="356">
        <v>-108924.97</v>
      </c>
      <c r="M618" s="356">
        <v>-119428.13</v>
      </c>
      <c r="N618" s="356">
        <v>-131398.07</v>
      </c>
      <c r="O618" s="356">
        <v>-141323.21</v>
      </c>
      <c r="P618" s="356">
        <v>-149241.07</v>
      </c>
      <c r="Q618" s="356">
        <v>-143082.29</v>
      </c>
      <c r="R618" s="356">
        <v>-102562.31</v>
      </c>
      <c r="S618" s="357">
        <f t="shared" si="100"/>
        <v>-133251.45125000001</v>
      </c>
      <c r="U618" s="358"/>
      <c r="W618" s="359"/>
      <c r="X618" s="359">
        <f t="shared" si="115"/>
        <v>-133251.45125000001</v>
      </c>
      <c r="Y618" s="359"/>
      <c r="Z618" s="359"/>
      <c r="AA618" s="358"/>
      <c r="AB618" s="359">
        <f t="shared" si="116"/>
        <v>-133251.45125000001</v>
      </c>
      <c r="AD618" s="271"/>
      <c r="AF618" s="289"/>
    </row>
    <row r="619" spans="1:32">
      <c r="A619" s="113">
        <v>604</v>
      </c>
      <c r="B619" s="119" t="s">
        <v>1543</v>
      </c>
      <c r="C619" s="119" t="s">
        <v>2703</v>
      </c>
      <c r="D619" s="119" t="s">
        <v>2301</v>
      </c>
      <c r="E619" s="355" t="s">
        <v>2714</v>
      </c>
      <c r="F619" s="356">
        <v>-450758.74</v>
      </c>
      <c r="G619" s="356">
        <v>-415559</v>
      </c>
      <c r="H619" s="356">
        <v>-395159</v>
      </c>
      <c r="I619" s="356">
        <v>-371648.24</v>
      </c>
      <c r="J619" s="356">
        <v>-364929.15</v>
      </c>
      <c r="K619" s="356">
        <v>-388135.18</v>
      </c>
      <c r="L619" s="356">
        <v>-417260.29</v>
      </c>
      <c r="M619" s="356">
        <v>-446688.21</v>
      </c>
      <c r="N619" s="356">
        <v>-477737.09</v>
      </c>
      <c r="O619" s="356">
        <v>-506408.51</v>
      </c>
      <c r="P619" s="356">
        <v>-532815.56999999995</v>
      </c>
      <c r="Q619" s="356">
        <v>-535516.96</v>
      </c>
      <c r="R619" s="356">
        <v>-492970.32</v>
      </c>
      <c r="S619" s="357">
        <f t="shared" si="100"/>
        <v>-443643.47750000004</v>
      </c>
      <c r="U619" s="358"/>
      <c r="W619" s="359"/>
      <c r="X619" s="359">
        <f t="shared" si="115"/>
        <v>-443643.47750000004</v>
      </c>
      <c r="Y619" s="359"/>
      <c r="Z619" s="359"/>
      <c r="AA619" s="358"/>
      <c r="AB619" s="359">
        <f t="shared" si="116"/>
        <v>-443643.47750000004</v>
      </c>
      <c r="AD619" s="271"/>
      <c r="AF619" s="289"/>
    </row>
    <row r="620" spans="1:32">
      <c r="A620" s="113">
        <v>605</v>
      </c>
      <c r="B620" s="119" t="s">
        <v>1543</v>
      </c>
      <c r="C620" s="119" t="s">
        <v>2703</v>
      </c>
      <c r="D620" s="119" t="s">
        <v>2303</v>
      </c>
      <c r="E620" s="355" t="s">
        <v>2724</v>
      </c>
      <c r="F620" s="356">
        <v>-99392.62</v>
      </c>
      <c r="G620" s="356">
        <v>-86282.03</v>
      </c>
      <c r="H620" s="356">
        <v>-77949.38</v>
      </c>
      <c r="I620" s="356">
        <v>-68665.66</v>
      </c>
      <c r="J620" s="356">
        <v>-64781.62</v>
      </c>
      <c r="K620" s="356">
        <v>-70508.429999999993</v>
      </c>
      <c r="L620" s="356">
        <v>-78152.22</v>
      </c>
      <c r="M620" s="356">
        <v>-85944.55</v>
      </c>
      <c r="N620" s="356">
        <v>-94316.26</v>
      </c>
      <c r="O620" s="356">
        <v>-101941.29</v>
      </c>
      <c r="P620" s="356">
        <v>-108796.62</v>
      </c>
      <c r="Q620" s="356">
        <v>-107656.69</v>
      </c>
      <c r="R620" s="356">
        <v>-91850.27</v>
      </c>
      <c r="S620" s="357">
        <f t="shared" si="100"/>
        <v>-86718.016250000001</v>
      </c>
      <c r="U620" s="358"/>
      <c r="W620" s="359"/>
      <c r="X620" s="359">
        <f t="shared" si="115"/>
        <v>-86718.016250000001</v>
      </c>
      <c r="Y620" s="359"/>
      <c r="Z620" s="359"/>
      <c r="AA620" s="358"/>
      <c r="AB620" s="359">
        <f t="shared" si="116"/>
        <v>-86718.016250000001</v>
      </c>
      <c r="AD620" s="271"/>
      <c r="AF620" s="289"/>
    </row>
    <row r="621" spans="1:32">
      <c r="A621" s="113">
        <v>606</v>
      </c>
      <c r="B621" s="119" t="s">
        <v>1543</v>
      </c>
      <c r="C621" s="119" t="s">
        <v>2703</v>
      </c>
      <c r="D621" s="119" t="s">
        <v>2305</v>
      </c>
      <c r="E621" s="355" t="s">
        <v>2725</v>
      </c>
      <c r="F621" s="356">
        <v>8.7311491370201098E-11</v>
      </c>
      <c r="G621" s="356">
        <v>0</v>
      </c>
      <c r="H621" s="356">
        <v>0</v>
      </c>
      <c r="I621" s="356">
        <v>0</v>
      </c>
      <c r="J621" s="356">
        <v>0</v>
      </c>
      <c r="K621" s="356">
        <v>0</v>
      </c>
      <c r="L621" s="356">
        <v>0</v>
      </c>
      <c r="M621" s="356">
        <v>0</v>
      </c>
      <c r="N621" s="356">
        <v>0</v>
      </c>
      <c r="O621" s="356">
        <v>0</v>
      </c>
      <c r="P621" s="356">
        <v>0</v>
      </c>
      <c r="Q621" s="356">
        <v>0</v>
      </c>
      <c r="R621" s="356">
        <v>0</v>
      </c>
      <c r="S621" s="357">
        <f t="shared" si="100"/>
        <v>3.6379788070917125E-12</v>
      </c>
      <c r="U621" s="358"/>
      <c r="W621" s="359"/>
      <c r="X621" s="359">
        <f t="shared" si="115"/>
        <v>3.6379788070917125E-12</v>
      </c>
      <c r="Y621" s="359"/>
      <c r="Z621" s="359"/>
      <c r="AA621" s="358"/>
      <c r="AB621" s="359">
        <f t="shared" si="116"/>
        <v>3.6379788070917125E-12</v>
      </c>
      <c r="AD621" s="271"/>
      <c r="AF621" s="289"/>
    </row>
    <row r="622" spans="1:32">
      <c r="A622" s="113">
        <v>607</v>
      </c>
      <c r="B622" s="119" t="s">
        <v>1543</v>
      </c>
      <c r="C622" s="119" t="s">
        <v>2703</v>
      </c>
      <c r="D622" s="119" t="s">
        <v>2307</v>
      </c>
      <c r="E622" s="355" t="s">
        <v>2726</v>
      </c>
      <c r="F622" s="356">
        <v>0</v>
      </c>
      <c r="G622" s="356">
        <v>0</v>
      </c>
      <c r="H622" s="356">
        <v>0</v>
      </c>
      <c r="I622" s="356">
        <v>0</v>
      </c>
      <c r="J622" s="356">
        <v>0</v>
      </c>
      <c r="K622" s="356">
        <v>0</v>
      </c>
      <c r="L622" s="356">
        <v>0</v>
      </c>
      <c r="M622" s="356">
        <v>0</v>
      </c>
      <c r="N622" s="356">
        <v>0</v>
      </c>
      <c r="O622" s="356">
        <v>0</v>
      </c>
      <c r="P622" s="356">
        <v>0</v>
      </c>
      <c r="Q622" s="356">
        <v>0</v>
      </c>
      <c r="R622" s="356">
        <v>0</v>
      </c>
      <c r="S622" s="357">
        <f t="shared" si="100"/>
        <v>0</v>
      </c>
      <c r="U622" s="358"/>
      <c r="W622" s="359"/>
      <c r="X622" s="359">
        <f t="shared" si="115"/>
        <v>0</v>
      </c>
      <c r="Y622" s="359"/>
      <c r="Z622" s="359"/>
      <c r="AA622" s="358"/>
      <c r="AB622" s="359">
        <f t="shared" si="116"/>
        <v>0</v>
      </c>
      <c r="AD622" s="271"/>
      <c r="AF622" s="289"/>
    </row>
    <row r="623" spans="1:32">
      <c r="A623" s="113">
        <v>608</v>
      </c>
      <c r="B623" s="119" t="s">
        <v>1523</v>
      </c>
      <c r="C623" s="119" t="s">
        <v>2703</v>
      </c>
      <c r="D623" s="119" t="s">
        <v>2309</v>
      </c>
      <c r="E623" s="355" t="s">
        <v>2727</v>
      </c>
      <c r="F623" s="356">
        <v>0</v>
      </c>
      <c r="G623" s="356">
        <v>0</v>
      </c>
      <c r="H623" s="356">
        <v>0</v>
      </c>
      <c r="I623" s="356">
        <v>0</v>
      </c>
      <c r="J623" s="356">
        <v>0</v>
      </c>
      <c r="K623" s="356">
        <v>0</v>
      </c>
      <c r="L623" s="356">
        <v>0</v>
      </c>
      <c r="M623" s="356">
        <v>0</v>
      </c>
      <c r="N623" s="356">
        <v>0</v>
      </c>
      <c r="O623" s="356">
        <v>0</v>
      </c>
      <c r="P623" s="356">
        <v>0</v>
      </c>
      <c r="Q623" s="356">
        <v>0</v>
      </c>
      <c r="R623" s="356">
        <v>0</v>
      </c>
      <c r="S623" s="357">
        <f t="shared" si="100"/>
        <v>0</v>
      </c>
      <c r="U623" s="358"/>
      <c r="V623" s="271">
        <f>+S623</f>
        <v>0</v>
      </c>
      <c r="W623" s="359"/>
      <c r="X623" s="359"/>
      <c r="Y623" s="359"/>
      <c r="Z623" s="359"/>
      <c r="AA623" s="358"/>
      <c r="AB623" s="359"/>
      <c r="AD623" s="271">
        <f>+S623</f>
        <v>0</v>
      </c>
      <c r="AF623" s="289"/>
    </row>
    <row r="624" spans="1:32">
      <c r="A624" s="113">
        <v>609</v>
      </c>
      <c r="B624" s="119" t="s">
        <v>1523</v>
      </c>
      <c r="C624" s="119" t="s">
        <v>2126</v>
      </c>
      <c r="D624" s="119" t="s">
        <v>2728</v>
      </c>
      <c r="E624" s="355" t="s">
        <v>2729</v>
      </c>
      <c r="F624" s="356">
        <v>52645191.759999998</v>
      </c>
      <c r="G624" s="356">
        <v>53008723.770000003</v>
      </c>
      <c r="H624" s="356">
        <v>53373764.259999998</v>
      </c>
      <c r="I624" s="356">
        <v>53740320.200000003</v>
      </c>
      <c r="J624" s="356">
        <v>54108398.350000001</v>
      </c>
      <c r="K624" s="356">
        <v>54478005.829999998</v>
      </c>
      <c r="L624" s="356">
        <v>54849149.479999997</v>
      </c>
      <c r="M624" s="356">
        <v>55221836.280000001</v>
      </c>
      <c r="N624" s="356">
        <v>55596073.310000002</v>
      </c>
      <c r="O624" s="356">
        <v>55971867.759999998</v>
      </c>
      <c r="P624" s="356">
        <v>56349226.759999998</v>
      </c>
      <c r="Q624" s="356">
        <v>56728157.149999999</v>
      </c>
      <c r="R624" s="356">
        <v>73731189.780000001</v>
      </c>
      <c r="S624" s="357">
        <f t="shared" si="100"/>
        <v>55551142.826666676</v>
      </c>
      <c r="U624" s="358"/>
      <c r="W624" s="359"/>
      <c r="X624" s="359">
        <f>+S624</f>
        <v>55551142.826666676</v>
      </c>
      <c r="Y624" s="359">
        <f>+S624*Z8</f>
        <v>41691132.691413336</v>
      </c>
      <c r="Z624" s="359">
        <f>+S624*Z9</f>
        <v>13860010.135253336</v>
      </c>
      <c r="AA624" s="358"/>
      <c r="AB624" s="359"/>
      <c r="AD624" s="271"/>
      <c r="AF624" s="289"/>
    </row>
    <row r="625" spans="1:32">
      <c r="A625" s="113">
        <v>610</v>
      </c>
      <c r="E625" s="364" t="s">
        <v>2730</v>
      </c>
      <c r="F625" s="696">
        <f>SUM(F584:F624)</f>
        <v>-104913886.56</v>
      </c>
      <c r="G625" s="696">
        <f t="shared" ref="G625:R625" si="118">SUM(G584:G624)</f>
        <v>-104539129.88000003</v>
      </c>
      <c r="H625" s="696">
        <f t="shared" si="118"/>
        <v>-104220461.31</v>
      </c>
      <c r="I625" s="696">
        <f t="shared" si="118"/>
        <v>-103621704.38999997</v>
      </c>
      <c r="J625" s="696">
        <f t="shared" si="118"/>
        <v>-103172601.15000001</v>
      </c>
      <c r="K625" s="696">
        <f t="shared" si="118"/>
        <v>-102692762.02000006</v>
      </c>
      <c r="L625" s="696">
        <f t="shared" si="118"/>
        <v>-101047652.40000001</v>
      </c>
      <c r="M625" s="696">
        <f t="shared" si="118"/>
        <v>-100453539.63000003</v>
      </c>
      <c r="N625" s="696">
        <f t="shared" si="118"/>
        <v>-99810280.049999952</v>
      </c>
      <c r="O625" s="696">
        <f t="shared" si="118"/>
        <v>-110487221.85999998</v>
      </c>
      <c r="P625" s="696">
        <f t="shared" si="118"/>
        <v>-109913475.23999998</v>
      </c>
      <c r="Q625" s="696">
        <f t="shared" si="118"/>
        <v>-109672626.58999997</v>
      </c>
      <c r="R625" s="696">
        <f t="shared" si="118"/>
        <v>-122461792.49000001</v>
      </c>
      <c r="S625" s="696">
        <f>SUM(S584:S624)</f>
        <v>-105276607.83708331</v>
      </c>
      <c r="U625" s="358"/>
      <c r="V625" s="359"/>
      <c r="W625" s="359"/>
      <c r="X625" s="360"/>
      <c r="Y625" s="359"/>
      <c r="Z625" s="359"/>
      <c r="AA625" s="358"/>
      <c r="AB625" s="359"/>
      <c r="AF625" s="289">
        <f t="shared" si="117"/>
        <v>0</v>
      </c>
    </row>
    <row r="626" spans="1:32">
      <c r="A626" s="113">
        <v>611</v>
      </c>
      <c r="E626" s="374"/>
      <c r="F626" s="356"/>
      <c r="G626" s="399"/>
      <c r="H626" s="387"/>
      <c r="I626" s="387"/>
      <c r="J626" s="388"/>
      <c r="K626" s="389"/>
      <c r="L626" s="390"/>
      <c r="M626" s="391"/>
      <c r="N626" s="392"/>
      <c r="O626" s="373"/>
      <c r="P626" s="393"/>
      <c r="Q626" s="400"/>
      <c r="R626" s="356"/>
      <c r="S626" s="96"/>
      <c r="U626" s="358"/>
      <c r="V626" s="359"/>
      <c r="W626" s="359"/>
      <c r="X626" s="360"/>
      <c r="Y626" s="359"/>
      <c r="Z626" s="359"/>
      <c r="AA626" s="358"/>
      <c r="AB626" s="359"/>
      <c r="AF626" s="289">
        <f t="shared" si="117"/>
        <v>0</v>
      </c>
    </row>
    <row r="627" spans="1:32">
      <c r="A627" s="113">
        <v>612</v>
      </c>
      <c r="B627" s="119" t="s">
        <v>1530</v>
      </c>
      <c r="C627" s="119" t="s">
        <v>2731</v>
      </c>
      <c r="D627" s="119" t="s">
        <v>1503</v>
      </c>
      <c r="E627" s="374" t="s">
        <v>2732</v>
      </c>
      <c r="F627" s="356">
        <v>-201910.04</v>
      </c>
      <c r="G627" s="356">
        <v>-198408.46</v>
      </c>
      <c r="H627" s="356">
        <v>-194906.88</v>
      </c>
      <c r="I627" s="356">
        <v>-191405.3</v>
      </c>
      <c r="J627" s="356">
        <v>-187903.72</v>
      </c>
      <c r="K627" s="356">
        <v>-184402.14</v>
      </c>
      <c r="L627" s="356">
        <v>-180900.56</v>
      </c>
      <c r="M627" s="356">
        <v>-177398.98</v>
      </c>
      <c r="N627" s="356">
        <v>-173897.4</v>
      </c>
      <c r="O627" s="356">
        <v>-170395.82</v>
      </c>
      <c r="P627" s="356">
        <v>-166894.24</v>
      </c>
      <c r="Q627" s="356">
        <v>-163392.66</v>
      </c>
      <c r="R627" s="356">
        <v>-159891.07999999999</v>
      </c>
      <c r="S627" s="357">
        <f t="shared" si="100"/>
        <v>-180900.55999999997</v>
      </c>
      <c r="U627" s="358"/>
      <c r="V627" s="359"/>
      <c r="W627" s="359"/>
      <c r="X627" s="360">
        <f>+S627</f>
        <v>-180900.55999999997</v>
      </c>
      <c r="Y627" s="359"/>
      <c r="Z627" s="359"/>
      <c r="AA627" s="358"/>
      <c r="AB627" s="359">
        <f>+X627</f>
        <v>-180900.55999999997</v>
      </c>
      <c r="AF627" s="289">
        <f t="shared" si="117"/>
        <v>0</v>
      </c>
    </row>
    <row r="628" spans="1:32">
      <c r="A628" s="113">
        <v>613</v>
      </c>
      <c r="B628" s="1380" t="s">
        <v>1530</v>
      </c>
      <c r="C628" s="119" t="s">
        <v>1541</v>
      </c>
      <c r="D628" s="119" t="s">
        <v>1576</v>
      </c>
      <c r="E628" s="374" t="s">
        <v>2733</v>
      </c>
      <c r="F628" s="356">
        <v>9711531.8900000006</v>
      </c>
      <c r="G628" s="356">
        <v>9665491.2200000007</v>
      </c>
      <c r="H628" s="356">
        <v>9619510.9900000002</v>
      </c>
      <c r="I628" s="356">
        <v>9573588.7300000004</v>
      </c>
      <c r="J628" s="356">
        <v>9528195.4900000002</v>
      </c>
      <c r="K628" s="356">
        <v>9482802.2100000009</v>
      </c>
      <c r="L628" s="356">
        <v>9437408.9700000007</v>
      </c>
      <c r="M628" s="356">
        <v>9392015.7200000007</v>
      </c>
      <c r="N628" s="356">
        <v>9346629.6400000006</v>
      </c>
      <c r="O628" s="356">
        <v>9301240.0999999996</v>
      </c>
      <c r="P628" s="356">
        <v>9255846.8499999996</v>
      </c>
      <c r="Q628" s="356">
        <v>9221845.7100000009</v>
      </c>
      <c r="R628" s="356">
        <v>9288097.2300000004</v>
      </c>
      <c r="S628" s="357">
        <f t="shared" si="100"/>
        <v>9443699.1824999992</v>
      </c>
      <c r="U628" s="358"/>
      <c r="V628" s="359"/>
      <c r="W628" s="359"/>
      <c r="X628" s="360">
        <f t="shared" ref="X628:X637" si="119">+S628</f>
        <v>9443699.1824999992</v>
      </c>
      <c r="Y628" s="359"/>
      <c r="Z628" s="359"/>
      <c r="AA628" s="358"/>
      <c r="AB628" s="359">
        <f>+S628</f>
        <v>9443699.1824999992</v>
      </c>
      <c r="AF628" s="289">
        <f t="shared" si="117"/>
        <v>0</v>
      </c>
    </row>
    <row r="629" spans="1:32">
      <c r="A629" s="113">
        <v>614</v>
      </c>
      <c r="B629" s="1380" t="s">
        <v>1530</v>
      </c>
      <c r="C629" s="119" t="s">
        <v>1541</v>
      </c>
      <c r="D629" s="119" t="s">
        <v>1578</v>
      </c>
      <c r="E629" s="374" t="s">
        <v>2734</v>
      </c>
      <c r="F629" s="356">
        <v>37290719.920000002</v>
      </c>
      <c r="G629" s="356">
        <v>37112246.850000001</v>
      </c>
      <c r="H629" s="356">
        <v>36933982.770000003</v>
      </c>
      <c r="I629" s="356">
        <v>36755919.159999996</v>
      </c>
      <c r="J629" s="356">
        <v>36579685.450000003</v>
      </c>
      <c r="K629" s="356">
        <v>36403451.799999997</v>
      </c>
      <c r="L629" s="356">
        <v>36227218.079999998</v>
      </c>
      <c r="M629" s="356">
        <v>36050984.409999996</v>
      </c>
      <c r="N629" s="356">
        <v>35874775.659999996</v>
      </c>
      <c r="O629" s="356">
        <v>35698554.799999997</v>
      </c>
      <c r="P629" s="356">
        <v>35522321.119999997</v>
      </c>
      <c r="Q629" s="356">
        <v>35390977.25</v>
      </c>
      <c r="R629" s="356">
        <v>35636756.560000002</v>
      </c>
      <c r="S629" s="357">
        <f t="shared" si="100"/>
        <v>36251154.6325</v>
      </c>
      <c r="U629" s="358"/>
      <c r="V629" s="359"/>
      <c r="W629" s="359"/>
      <c r="X629" s="360">
        <f t="shared" si="119"/>
        <v>36251154.6325</v>
      </c>
      <c r="Y629" s="359"/>
      <c r="Z629" s="359"/>
      <c r="AA629" s="358"/>
      <c r="AB629" s="359">
        <f>+S629</f>
        <v>36251154.6325</v>
      </c>
      <c r="AF629" s="289">
        <f t="shared" si="117"/>
        <v>0</v>
      </c>
    </row>
    <row r="630" spans="1:32">
      <c r="A630" s="113">
        <v>615</v>
      </c>
      <c r="B630" s="119" t="s">
        <v>1530</v>
      </c>
      <c r="C630" s="119" t="s">
        <v>1541</v>
      </c>
      <c r="D630" s="119" t="s">
        <v>1542</v>
      </c>
      <c r="E630" s="374" t="s">
        <v>2735</v>
      </c>
      <c r="F630" s="356">
        <v>-1.4901161193847699E-8</v>
      </c>
      <c r="G630" s="356">
        <v>0</v>
      </c>
      <c r="H630" s="356">
        <v>0</v>
      </c>
      <c r="I630" s="356">
        <v>0</v>
      </c>
      <c r="J630" s="356">
        <v>0</v>
      </c>
      <c r="K630" s="356">
        <v>0</v>
      </c>
      <c r="L630" s="356">
        <v>0</v>
      </c>
      <c r="M630" s="356">
        <v>0</v>
      </c>
      <c r="N630" s="356">
        <v>0</v>
      </c>
      <c r="O630" s="356">
        <v>0</v>
      </c>
      <c r="P630" s="356">
        <v>0</v>
      </c>
      <c r="Q630" s="356">
        <v>0</v>
      </c>
      <c r="R630" s="356">
        <v>0</v>
      </c>
      <c r="S630" s="357">
        <f t="shared" si="100"/>
        <v>-6.2088171641032084E-10</v>
      </c>
      <c r="U630" s="358"/>
      <c r="V630" s="359"/>
      <c r="W630" s="359"/>
      <c r="X630" s="360">
        <f t="shared" si="119"/>
        <v>-6.2088171641032084E-10</v>
      </c>
      <c r="Y630" s="359"/>
      <c r="Z630" s="359"/>
      <c r="AA630" s="358"/>
      <c r="AB630" s="359"/>
      <c r="AE630" s="113" t="s">
        <v>2736</v>
      </c>
      <c r="AF630" s="289">
        <f t="shared" si="117"/>
        <v>0</v>
      </c>
    </row>
    <row r="631" spans="1:32">
      <c r="A631" s="113">
        <v>616</v>
      </c>
      <c r="B631" s="119" t="s">
        <v>1530</v>
      </c>
      <c r="C631" s="119" t="s">
        <v>1541</v>
      </c>
      <c r="D631" s="119" t="s">
        <v>1581</v>
      </c>
      <c r="E631" s="374" t="s">
        <v>2737</v>
      </c>
      <c r="F631" s="356">
        <v>496455.14</v>
      </c>
      <c r="G631" s="356">
        <v>552476.07999999996</v>
      </c>
      <c r="H631" s="356">
        <v>454123.14</v>
      </c>
      <c r="I631" s="356">
        <v>389023.08</v>
      </c>
      <c r="J631" s="356">
        <v>356019.25</v>
      </c>
      <c r="K631" s="356">
        <v>328315.86</v>
      </c>
      <c r="L631" s="356">
        <v>409314.9</v>
      </c>
      <c r="M631" s="356">
        <v>-659729.17000000004</v>
      </c>
      <c r="N631" s="356">
        <v>-699982.77</v>
      </c>
      <c r="O631" s="356">
        <v>-489972.92</v>
      </c>
      <c r="P631" s="356">
        <v>-511830.54</v>
      </c>
      <c r="Q631" s="356">
        <v>-425615.17</v>
      </c>
      <c r="R631" s="356">
        <v>-71904.14</v>
      </c>
      <c r="S631" s="357">
        <f t="shared" si="100"/>
        <v>-7131.8966666666483</v>
      </c>
      <c r="U631" s="358"/>
      <c r="V631" s="359"/>
      <c r="W631" s="359"/>
      <c r="X631" s="360">
        <f t="shared" si="119"/>
        <v>-7131.8966666666483</v>
      </c>
      <c r="Y631" s="359"/>
      <c r="Z631" s="359"/>
      <c r="AA631" s="358"/>
      <c r="AB631" s="359">
        <f>+S631</f>
        <v>-7131.8966666666483</v>
      </c>
      <c r="AF631" s="289">
        <f t="shared" si="117"/>
        <v>0</v>
      </c>
    </row>
    <row r="632" spans="1:32">
      <c r="A632" s="113">
        <v>617</v>
      </c>
      <c r="B632" s="119" t="s">
        <v>1530</v>
      </c>
      <c r="C632" s="119" t="s">
        <v>1545</v>
      </c>
      <c r="D632" s="119" t="s">
        <v>1576</v>
      </c>
      <c r="E632" s="374" t="s">
        <v>2733</v>
      </c>
      <c r="F632" s="356">
        <v>1662982.3</v>
      </c>
      <c r="G632" s="356">
        <v>1642066.59</v>
      </c>
      <c r="H632" s="356">
        <v>1621150.94</v>
      </c>
      <c r="I632" s="356">
        <v>1600235.27</v>
      </c>
      <c r="J632" s="356">
        <v>1579319.63</v>
      </c>
      <c r="K632" s="356">
        <v>1558403.95</v>
      </c>
      <c r="L632" s="356">
        <v>1537488.28</v>
      </c>
      <c r="M632" s="356">
        <v>1516572.62</v>
      </c>
      <c r="N632" s="356">
        <v>1495656.96</v>
      </c>
      <c r="O632" s="356">
        <v>1474741.27</v>
      </c>
      <c r="P632" s="356">
        <v>1453825.62</v>
      </c>
      <c r="Q632" s="356">
        <v>1432909.92</v>
      </c>
      <c r="R632" s="356">
        <v>1411994.28</v>
      </c>
      <c r="S632" s="357">
        <f t="shared" si="100"/>
        <v>1537488.2783333336</v>
      </c>
      <c r="U632" s="358"/>
      <c r="V632" s="359"/>
      <c r="W632" s="359"/>
      <c r="X632" s="360">
        <f t="shared" si="119"/>
        <v>1537488.2783333336</v>
      </c>
      <c r="Y632" s="359"/>
      <c r="Z632" s="359"/>
      <c r="AA632" s="358"/>
      <c r="AB632" s="359">
        <f t="shared" ref="AB632:AB638" si="120">+S632</f>
        <v>1537488.2783333336</v>
      </c>
      <c r="AE632" s="113" t="s">
        <v>2738</v>
      </c>
      <c r="AF632" s="289">
        <f t="shared" si="117"/>
        <v>0</v>
      </c>
    </row>
    <row r="633" spans="1:32">
      <c r="A633" s="113">
        <v>618</v>
      </c>
      <c r="B633" s="119" t="s">
        <v>1530</v>
      </c>
      <c r="C633" s="119" t="s">
        <v>1545</v>
      </c>
      <c r="D633" s="119" t="s">
        <v>1578</v>
      </c>
      <c r="E633" s="374" t="s">
        <v>2734</v>
      </c>
      <c r="F633" s="356">
        <v>6326861.0300000003</v>
      </c>
      <c r="G633" s="356">
        <v>6246209.3399999999</v>
      </c>
      <c r="H633" s="356">
        <v>6165557.71</v>
      </c>
      <c r="I633" s="356">
        <v>6084906.0599999996</v>
      </c>
      <c r="J633" s="356">
        <v>6004254.4800000004</v>
      </c>
      <c r="K633" s="356">
        <v>5923602.7800000003</v>
      </c>
      <c r="L633" s="356">
        <v>5842951.1799999997</v>
      </c>
      <c r="M633" s="356">
        <v>5762299.5499999998</v>
      </c>
      <c r="N633" s="356">
        <v>5681647.8799999999</v>
      </c>
      <c r="O633" s="356">
        <v>5600996.29</v>
      </c>
      <c r="P633" s="356">
        <v>5520344.6100000003</v>
      </c>
      <c r="Q633" s="356">
        <v>5439692.9400000004</v>
      </c>
      <c r="R633" s="356">
        <v>5359041.3499999996</v>
      </c>
      <c r="S633" s="357">
        <f t="shared" si="100"/>
        <v>5842951.1674999995</v>
      </c>
      <c r="U633" s="358"/>
      <c r="V633" s="359"/>
      <c r="W633" s="359"/>
      <c r="X633" s="360">
        <f t="shared" si="119"/>
        <v>5842951.1674999995</v>
      </c>
      <c r="Y633" s="359"/>
      <c r="Z633" s="359"/>
      <c r="AA633" s="358"/>
      <c r="AB633" s="359">
        <f t="shared" si="120"/>
        <v>5842951.1674999995</v>
      </c>
      <c r="AF633" s="289">
        <f t="shared" si="117"/>
        <v>0</v>
      </c>
    </row>
    <row r="634" spans="1:32">
      <c r="A634" s="113">
        <v>619</v>
      </c>
      <c r="B634" s="119" t="s">
        <v>1530</v>
      </c>
      <c r="C634" s="119" t="s">
        <v>1545</v>
      </c>
      <c r="D634" s="119" t="s">
        <v>1546</v>
      </c>
      <c r="E634" s="374" t="s">
        <v>2739</v>
      </c>
      <c r="F634" s="356">
        <v>0</v>
      </c>
      <c r="G634" s="356">
        <v>0</v>
      </c>
      <c r="H634" s="356">
        <v>0</v>
      </c>
      <c r="I634" s="356">
        <v>0</v>
      </c>
      <c r="J634" s="356">
        <v>0</v>
      </c>
      <c r="K634" s="356">
        <v>0</v>
      </c>
      <c r="L634" s="356">
        <v>0</v>
      </c>
      <c r="M634" s="356">
        <v>0</v>
      </c>
      <c r="N634" s="356">
        <v>0</v>
      </c>
      <c r="O634" s="356">
        <v>0</v>
      </c>
      <c r="P634" s="356">
        <v>0</v>
      </c>
      <c r="Q634" s="356">
        <v>0</v>
      </c>
      <c r="R634" s="356">
        <v>0</v>
      </c>
      <c r="S634" s="357">
        <f t="shared" si="100"/>
        <v>0</v>
      </c>
      <c r="U634" s="358"/>
      <c r="V634" s="359"/>
      <c r="W634" s="359"/>
      <c r="X634" s="360">
        <f t="shared" si="119"/>
        <v>0</v>
      </c>
      <c r="Y634" s="359"/>
      <c r="Z634" s="359"/>
      <c r="AA634" s="358"/>
      <c r="AB634" s="359">
        <f t="shared" si="120"/>
        <v>0</v>
      </c>
      <c r="AF634" s="289">
        <f t="shared" si="117"/>
        <v>0</v>
      </c>
    </row>
    <row r="635" spans="1:32">
      <c r="A635" s="113">
        <v>620</v>
      </c>
      <c r="B635" s="119" t="s">
        <v>1530</v>
      </c>
      <c r="C635" s="119" t="s">
        <v>1545</v>
      </c>
      <c r="D635" s="119" t="s">
        <v>2147</v>
      </c>
      <c r="E635" s="374" t="s">
        <v>2740</v>
      </c>
      <c r="F635" s="356">
        <v>-666160.88</v>
      </c>
      <c r="G635" s="356">
        <v>-666160.87</v>
      </c>
      <c r="H635" s="356">
        <v>-666160.87</v>
      </c>
      <c r="I635" s="356">
        <v>-666160.87</v>
      </c>
      <c r="J635" s="356">
        <v>-666160.87</v>
      </c>
      <c r="K635" s="356">
        <v>-666160.87</v>
      </c>
      <c r="L635" s="356">
        <v>-666160.87</v>
      </c>
      <c r="M635" s="356">
        <v>-666160.87</v>
      </c>
      <c r="N635" s="356">
        <v>-666160.87</v>
      </c>
      <c r="O635" s="356">
        <v>-666160.87</v>
      </c>
      <c r="P635" s="356">
        <v>-666160.87</v>
      </c>
      <c r="Q635" s="356">
        <v>-666160.87</v>
      </c>
      <c r="R635" s="356">
        <v>485768.55</v>
      </c>
      <c r="S635" s="357">
        <f t="shared" si="100"/>
        <v>-618163.81125000003</v>
      </c>
      <c r="U635" s="358"/>
      <c r="V635" s="359"/>
      <c r="W635" s="359"/>
      <c r="X635" s="360">
        <f t="shared" si="119"/>
        <v>-618163.81125000003</v>
      </c>
      <c r="Y635" s="359"/>
      <c r="Z635" s="359"/>
      <c r="AA635" s="358"/>
      <c r="AB635" s="359">
        <f t="shared" si="120"/>
        <v>-618163.81125000003</v>
      </c>
      <c r="AE635" s="113" t="s">
        <v>2741</v>
      </c>
      <c r="AF635" s="289">
        <f t="shared" si="117"/>
        <v>0</v>
      </c>
    </row>
    <row r="636" spans="1:32">
      <c r="A636" s="113">
        <v>621</v>
      </c>
      <c r="B636" s="119" t="s">
        <v>1530</v>
      </c>
      <c r="C636" s="119" t="s">
        <v>1545</v>
      </c>
      <c r="D636" s="119" t="s">
        <v>1581</v>
      </c>
      <c r="E636" s="374" t="s">
        <v>2742</v>
      </c>
      <c r="F636" s="356">
        <v>-41379613.530000001</v>
      </c>
      <c r="G636" s="356">
        <v>-40385860.899999999</v>
      </c>
      <c r="H636" s="356">
        <v>-39030996.990000002</v>
      </c>
      <c r="I636" s="356">
        <v>-37555823.57</v>
      </c>
      <c r="J636" s="356">
        <v>-36937164.840000004</v>
      </c>
      <c r="K636" s="356">
        <v>-36756805.100000001</v>
      </c>
      <c r="L636" s="356">
        <v>-36970044.259999998</v>
      </c>
      <c r="M636" s="356">
        <v>-37158262.82</v>
      </c>
      <c r="N636" s="356">
        <v>-37482682.030000001</v>
      </c>
      <c r="O636" s="356">
        <v>-40111234.210000001</v>
      </c>
      <c r="P636" s="356">
        <v>-39843133.689999998</v>
      </c>
      <c r="Q636" s="356">
        <v>-39005828.25</v>
      </c>
      <c r="R636" s="1379">
        <v>-38467571.439999998</v>
      </c>
      <c r="S636" s="357">
        <f t="shared" si="100"/>
        <v>-38430119.095416665</v>
      </c>
      <c r="U636" s="358"/>
      <c r="V636" s="359">
        <f>+S636</f>
        <v>-38430119.095416665</v>
      </c>
      <c r="W636" s="359"/>
      <c r="X636" s="360"/>
      <c r="Y636" s="359"/>
      <c r="Z636" s="359"/>
      <c r="AA636" s="358"/>
      <c r="AB636" s="359"/>
      <c r="AD636" s="309">
        <f>+S636</f>
        <v>-38430119.095416665</v>
      </c>
      <c r="AE636" s="113" t="s">
        <v>3259</v>
      </c>
      <c r="AF636" s="289">
        <f t="shared" si="117"/>
        <v>0</v>
      </c>
    </row>
    <row r="637" spans="1:32">
      <c r="A637" s="113">
        <v>622</v>
      </c>
      <c r="B637" s="1380" t="s">
        <v>1543</v>
      </c>
      <c r="C637" s="119" t="s">
        <v>1541</v>
      </c>
      <c r="D637" s="119" t="s">
        <v>2151</v>
      </c>
      <c r="E637" s="374" t="s">
        <v>2743</v>
      </c>
      <c r="F637" s="356">
        <v>850011.25</v>
      </c>
      <c r="G637" s="356">
        <v>845981.5</v>
      </c>
      <c r="H637" s="356">
        <v>841957.03</v>
      </c>
      <c r="I637" s="356">
        <v>837937.64</v>
      </c>
      <c r="J637" s="356">
        <v>833964.55</v>
      </c>
      <c r="K637" s="356">
        <v>829991.45</v>
      </c>
      <c r="L637" s="356">
        <v>826018.38</v>
      </c>
      <c r="M637" s="356">
        <v>822045.29</v>
      </c>
      <c r="N637" s="356">
        <v>818072.83</v>
      </c>
      <c r="O637" s="356">
        <v>814100.07</v>
      </c>
      <c r="P637" s="356">
        <v>810126.97</v>
      </c>
      <c r="Q637" s="356">
        <v>807150.99</v>
      </c>
      <c r="R637" s="356">
        <v>812949.72</v>
      </c>
      <c r="S637" s="357">
        <f t="shared" si="100"/>
        <v>826568.93208333326</v>
      </c>
      <c r="U637" s="358"/>
      <c r="V637" s="359"/>
      <c r="W637" s="359"/>
      <c r="X637" s="360">
        <f t="shared" si="119"/>
        <v>826568.93208333326</v>
      </c>
      <c r="Y637" s="359"/>
      <c r="Z637" s="359"/>
      <c r="AA637" s="358"/>
      <c r="AB637" s="359">
        <f t="shared" si="120"/>
        <v>826568.93208333326</v>
      </c>
      <c r="AE637" s="113" t="s">
        <v>2744</v>
      </c>
      <c r="AF637" s="289">
        <f t="shared" si="117"/>
        <v>0</v>
      </c>
    </row>
    <row r="638" spans="1:32">
      <c r="A638" s="113">
        <v>623</v>
      </c>
      <c r="B638" s="119" t="s">
        <v>1543</v>
      </c>
      <c r="C638" s="119" t="s">
        <v>1541</v>
      </c>
      <c r="D638" s="119" t="s">
        <v>2153</v>
      </c>
      <c r="E638" s="374" t="s">
        <v>2745</v>
      </c>
      <c r="F638" s="356">
        <v>-748372.32</v>
      </c>
      <c r="G638" s="356">
        <v>-743275.86</v>
      </c>
      <c r="H638" s="356">
        <v>-738161.09</v>
      </c>
      <c r="I638" s="356">
        <v>-733028.77</v>
      </c>
      <c r="J638" s="356">
        <v>-727736.31999999995</v>
      </c>
      <c r="K638" s="356">
        <v>-722443.85</v>
      </c>
      <c r="L638" s="356">
        <v>-717151.38</v>
      </c>
      <c r="M638" s="356">
        <v>-711858.9</v>
      </c>
      <c r="N638" s="356">
        <v>-706564.27</v>
      </c>
      <c r="O638" s="356">
        <v>-701270.65</v>
      </c>
      <c r="P638" s="356">
        <v>-695978.18</v>
      </c>
      <c r="Q638" s="356">
        <v>-693837.42</v>
      </c>
      <c r="R638" s="356">
        <v>-690560.98</v>
      </c>
      <c r="S638" s="357">
        <f t="shared" si="100"/>
        <v>-717564.44499999995</v>
      </c>
      <c r="U638" s="358"/>
      <c r="V638" s="359"/>
      <c r="W638" s="359"/>
      <c r="X638" s="360">
        <f>+S638</f>
        <v>-717564.44499999995</v>
      </c>
      <c r="Y638" s="359"/>
      <c r="Z638" s="359"/>
      <c r="AA638" s="358"/>
      <c r="AB638" s="359">
        <f t="shared" si="120"/>
        <v>-717564.44499999995</v>
      </c>
      <c r="AD638" s="271"/>
      <c r="AF638" s="289">
        <f t="shared" si="117"/>
        <v>0</v>
      </c>
    </row>
    <row r="639" spans="1:32">
      <c r="A639" s="113">
        <v>624</v>
      </c>
      <c r="B639" s="1380" t="s">
        <v>1543</v>
      </c>
      <c r="C639" s="119" t="s">
        <v>1541</v>
      </c>
      <c r="D639" s="119" t="s">
        <v>1555</v>
      </c>
      <c r="E639" s="374" t="s">
        <v>2746</v>
      </c>
      <c r="F639" s="356">
        <v>-4791249.5199999996</v>
      </c>
      <c r="G639" s="356">
        <v>-4806591.7</v>
      </c>
      <c r="H639" s="356">
        <v>-4821933.88</v>
      </c>
      <c r="I639" s="356">
        <v>-4837276.07</v>
      </c>
      <c r="J639" s="356">
        <v>-4852618.25</v>
      </c>
      <c r="K639" s="356">
        <v>-4867960.43</v>
      </c>
      <c r="L639" s="356">
        <v>-4883302.6100000003</v>
      </c>
      <c r="M639" s="356">
        <v>-4898644.79</v>
      </c>
      <c r="N639" s="356">
        <v>-4913986.97</v>
      </c>
      <c r="O639" s="356">
        <v>-4929329.16</v>
      </c>
      <c r="P639" s="356">
        <v>-4944671.34</v>
      </c>
      <c r="Q639" s="356">
        <v>-4939699.74</v>
      </c>
      <c r="R639" s="356">
        <v>-4979230.4000000004</v>
      </c>
      <c r="S639" s="357">
        <f t="shared" si="100"/>
        <v>-4881771.2416666672</v>
      </c>
      <c r="U639" s="358"/>
      <c r="V639" s="359"/>
      <c r="W639" s="359"/>
      <c r="X639" s="360">
        <f>+S639</f>
        <v>-4881771.2416666672</v>
      </c>
      <c r="Y639" s="359"/>
      <c r="Z639" s="359">
        <f>+S639</f>
        <v>-4881771.2416666672</v>
      </c>
      <c r="AA639" s="358"/>
      <c r="AB639" s="359"/>
      <c r="AD639" s="271"/>
      <c r="AF639" s="289">
        <f t="shared" si="117"/>
        <v>0</v>
      </c>
    </row>
    <row r="640" spans="1:32">
      <c r="A640" s="113">
        <v>625</v>
      </c>
      <c r="B640" s="119" t="s">
        <v>1543</v>
      </c>
      <c r="C640" s="119" t="s">
        <v>1541</v>
      </c>
      <c r="D640" s="119" t="s">
        <v>2159</v>
      </c>
      <c r="E640" s="374" t="s">
        <v>2747</v>
      </c>
      <c r="F640" s="356">
        <v>505732.86</v>
      </c>
      <c r="G640" s="356">
        <v>510636.15</v>
      </c>
      <c r="H640" s="356">
        <v>502027.71</v>
      </c>
      <c r="I640" s="356">
        <v>496329.77</v>
      </c>
      <c r="J640" s="356">
        <v>493441.07</v>
      </c>
      <c r="K640" s="356">
        <v>491016.32</v>
      </c>
      <c r="L640" s="356">
        <v>498105.81</v>
      </c>
      <c r="M640" s="356">
        <v>404536.7</v>
      </c>
      <c r="N640" s="356">
        <v>401013.46</v>
      </c>
      <c r="O640" s="356">
        <v>419394.8</v>
      </c>
      <c r="P640" s="356">
        <v>417481.68</v>
      </c>
      <c r="Q640" s="356">
        <v>425027.74</v>
      </c>
      <c r="R640" s="356">
        <v>455986.67</v>
      </c>
      <c r="S640" s="357">
        <f t="shared" si="100"/>
        <v>461655.9145833333</v>
      </c>
      <c r="U640" s="358"/>
      <c r="W640" s="359"/>
      <c r="X640" s="359">
        <f>+S640</f>
        <v>461655.9145833333</v>
      </c>
      <c r="Y640" s="359"/>
      <c r="Z640" s="359"/>
      <c r="AA640" s="358"/>
      <c r="AB640" s="359">
        <f>+S640</f>
        <v>461655.9145833333</v>
      </c>
      <c r="AE640" s="113" t="s">
        <v>2748</v>
      </c>
      <c r="AF640" s="289">
        <f t="shared" si="117"/>
        <v>0</v>
      </c>
    </row>
    <row r="641" spans="1:32">
      <c r="A641" s="113">
        <v>626</v>
      </c>
      <c r="B641" s="119" t="s">
        <v>1543</v>
      </c>
      <c r="C641" s="119" t="s">
        <v>1541</v>
      </c>
      <c r="D641" s="119" t="s">
        <v>1542</v>
      </c>
      <c r="E641" s="374" t="s">
        <v>2735</v>
      </c>
      <c r="F641" s="356">
        <v>-22776131.02</v>
      </c>
      <c r="G641" s="356">
        <v>-23003248.73</v>
      </c>
      <c r="H641" s="356">
        <v>-22987528.960000001</v>
      </c>
      <c r="I641" s="356">
        <v>-22971809.190000001</v>
      </c>
      <c r="J641" s="356">
        <v>-22956089.43</v>
      </c>
      <c r="K641" s="356">
        <v>-22940369.670000002</v>
      </c>
      <c r="L641" s="356">
        <v>-22924649.899999999</v>
      </c>
      <c r="M641" s="356">
        <v>-22908930.140000001</v>
      </c>
      <c r="N641" s="356">
        <v>-22893210.379999999</v>
      </c>
      <c r="O641" s="356">
        <v>-22877490.609999999</v>
      </c>
      <c r="P641" s="356">
        <v>-22861770.850000001</v>
      </c>
      <c r="Q641" s="356">
        <v>-22809144.170000002</v>
      </c>
      <c r="R641" s="1379">
        <v>-22996896.690000001</v>
      </c>
      <c r="S641" s="357">
        <f t="shared" si="100"/>
        <v>-22918396.32375</v>
      </c>
      <c r="U641" s="358"/>
      <c r="W641" s="359"/>
      <c r="X641" s="359">
        <f>+S641</f>
        <v>-22918396.32375</v>
      </c>
      <c r="Y641" s="359"/>
      <c r="Z641" s="859">
        <f>+S641</f>
        <v>-22918396.32375</v>
      </c>
      <c r="AA641" s="358"/>
      <c r="AB641" s="359"/>
      <c r="AD641" s="271"/>
      <c r="AE641" s="113" t="s">
        <v>3258</v>
      </c>
      <c r="AF641" s="289">
        <f>+U641+X641-AD641</f>
        <v>-22918396.32375</v>
      </c>
    </row>
    <row r="642" spans="1:32">
      <c r="A642" s="113">
        <v>627</v>
      </c>
      <c r="B642" s="119" t="s">
        <v>1543</v>
      </c>
      <c r="C642" s="119" t="s">
        <v>1541</v>
      </c>
      <c r="D642" s="119" t="s">
        <v>1551</v>
      </c>
      <c r="E642" s="374" t="s">
        <v>2749</v>
      </c>
      <c r="F642" s="356">
        <v>0</v>
      </c>
      <c r="G642" s="356">
        <v>0</v>
      </c>
      <c r="H642" s="356">
        <v>0</v>
      </c>
      <c r="I642" s="356">
        <v>0</v>
      </c>
      <c r="J642" s="356">
        <v>0</v>
      </c>
      <c r="K642" s="356">
        <v>0</v>
      </c>
      <c r="L642" s="356">
        <v>0</v>
      </c>
      <c r="M642" s="356">
        <v>0</v>
      </c>
      <c r="N642" s="356">
        <v>0</v>
      </c>
      <c r="O642" s="356">
        <v>0</v>
      </c>
      <c r="P642" s="356">
        <v>0</v>
      </c>
      <c r="Q642" s="356">
        <v>0</v>
      </c>
      <c r="R642" s="356">
        <v>0</v>
      </c>
      <c r="S642" s="357">
        <f t="shared" si="100"/>
        <v>0</v>
      </c>
      <c r="U642" s="358"/>
      <c r="V642" s="359">
        <f>+S642</f>
        <v>0</v>
      </c>
      <c r="W642" s="359"/>
      <c r="X642" s="360"/>
      <c r="Y642" s="359"/>
      <c r="Z642" s="359"/>
      <c r="AA642" s="358"/>
      <c r="AB642" s="359"/>
      <c r="AD642" s="271">
        <f>+V642</f>
        <v>0</v>
      </c>
      <c r="AF642" s="289">
        <f t="shared" si="117"/>
        <v>0</v>
      </c>
    </row>
    <row r="643" spans="1:32">
      <c r="A643" s="113">
        <v>628</v>
      </c>
      <c r="B643" s="119" t="s">
        <v>1543</v>
      </c>
      <c r="C643" s="119" t="s">
        <v>1545</v>
      </c>
      <c r="D643" s="395" t="s">
        <v>2151</v>
      </c>
      <c r="E643" s="374" t="s">
        <v>2743</v>
      </c>
      <c r="F643" s="356">
        <v>145554.14000000001</v>
      </c>
      <c r="G643" s="356">
        <v>143723.47</v>
      </c>
      <c r="H643" s="356">
        <v>141892.79999999999</v>
      </c>
      <c r="I643" s="356">
        <v>140062.14000000001</v>
      </c>
      <c r="J643" s="356">
        <v>138231.47</v>
      </c>
      <c r="K643" s="356">
        <v>136400.81</v>
      </c>
      <c r="L643" s="356">
        <v>134570.15</v>
      </c>
      <c r="M643" s="356">
        <v>132739.48000000001</v>
      </c>
      <c r="N643" s="356">
        <v>130908.82</v>
      </c>
      <c r="O643" s="356">
        <v>129078.15</v>
      </c>
      <c r="P643" s="356">
        <v>127247.49</v>
      </c>
      <c r="Q643" s="356">
        <v>125416.84</v>
      </c>
      <c r="R643" s="356">
        <v>123586.16</v>
      </c>
      <c r="S643" s="357">
        <f t="shared" si="100"/>
        <v>134570.14749999999</v>
      </c>
      <c r="U643" s="358"/>
      <c r="W643" s="359"/>
      <c r="X643" s="359">
        <f>+S643</f>
        <v>134570.14749999999</v>
      </c>
      <c r="Y643" s="359"/>
      <c r="Z643" s="359"/>
      <c r="AA643" s="358"/>
      <c r="AB643" s="359">
        <f>+S643</f>
        <v>134570.14749999999</v>
      </c>
      <c r="AD643" s="271"/>
      <c r="AF643" s="289">
        <f>+U643+X643-AD643</f>
        <v>134570.14749999999</v>
      </c>
    </row>
    <row r="644" spans="1:32">
      <c r="A644" s="113">
        <v>629</v>
      </c>
      <c r="B644" s="119" t="s">
        <v>1543</v>
      </c>
      <c r="C644" s="119" t="s">
        <v>1545</v>
      </c>
      <c r="D644" s="119" t="s">
        <v>2153</v>
      </c>
      <c r="E644" s="374" t="s">
        <v>2745</v>
      </c>
      <c r="F644" s="356">
        <v>-70879.97</v>
      </c>
      <c r="G644" s="356">
        <v>-68911.08</v>
      </c>
      <c r="H644" s="356">
        <v>-66942.23</v>
      </c>
      <c r="I644" s="356">
        <v>-64973.35</v>
      </c>
      <c r="J644" s="356">
        <v>-63004.38</v>
      </c>
      <c r="K644" s="356">
        <v>-61035.54</v>
      </c>
      <c r="L644" s="356">
        <v>-59066.7</v>
      </c>
      <c r="M644" s="356">
        <v>-57097.77</v>
      </c>
      <c r="N644" s="356">
        <v>-55128.89</v>
      </c>
      <c r="O644" s="356">
        <v>-53159.98</v>
      </c>
      <c r="P644" s="356">
        <v>-51191.09</v>
      </c>
      <c r="Q644" s="356">
        <v>-49222.2</v>
      </c>
      <c r="R644" s="356">
        <v>-47253.36</v>
      </c>
      <c r="S644" s="357">
        <f t="shared" si="100"/>
        <v>-59066.65625</v>
      </c>
      <c r="U644" s="358"/>
      <c r="W644" s="359"/>
      <c r="X644" s="359">
        <f>+S644</f>
        <v>-59066.65625</v>
      </c>
      <c r="Y644" s="359"/>
      <c r="Z644" s="359"/>
      <c r="AA644" s="358"/>
      <c r="AB644" s="359">
        <f>+S644</f>
        <v>-59066.65625</v>
      </c>
      <c r="AD644" s="271"/>
      <c r="AF644" s="289">
        <f>+U644+X644-AD644</f>
        <v>-59066.65625</v>
      </c>
    </row>
    <row r="645" spans="1:32">
      <c r="A645" s="113">
        <v>630</v>
      </c>
      <c r="B645" s="119" t="s">
        <v>1543</v>
      </c>
      <c r="C645" s="119" t="s">
        <v>1545</v>
      </c>
      <c r="D645" s="119" t="s">
        <v>1557</v>
      </c>
      <c r="E645" s="374" t="s">
        <v>2750</v>
      </c>
      <c r="F645" s="356">
        <v>-12694.23</v>
      </c>
      <c r="G645" s="356">
        <v>-12632.6</v>
      </c>
      <c r="H645" s="356">
        <v>-12570.98</v>
      </c>
      <c r="I645" s="356">
        <v>-12509.36</v>
      </c>
      <c r="J645" s="356">
        <v>-12447.74</v>
      </c>
      <c r="K645" s="356">
        <v>-12386.12</v>
      </c>
      <c r="L645" s="356">
        <v>-12324.5</v>
      </c>
      <c r="M645" s="356">
        <v>-12262.88</v>
      </c>
      <c r="N645" s="356">
        <v>-12201.26</v>
      </c>
      <c r="O645" s="356">
        <v>-12139.64</v>
      </c>
      <c r="P645" s="356">
        <v>-12078.02</v>
      </c>
      <c r="Q645" s="356">
        <v>-25578.94</v>
      </c>
      <c r="R645" s="356">
        <v>-25534.6</v>
      </c>
      <c r="S645" s="357">
        <f t="shared" si="100"/>
        <v>-14020.537916666668</v>
      </c>
      <c r="U645" s="358"/>
      <c r="W645" s="359"/>
      <c r="X645" s="359">
        <f>+S645</f>
        <v>-14020.537916666668</v>
      </c>
      <c r="Y645" s="359"/>
      <c r="Z645" s="359">
        <f>+X645</f>
        <v>-14020.537916666668</v>
      </c>
      <c r="AA645" s="358"/>
      <c r="AB645" s="359"/>
      <c r="AD645" s="271"/>
      <c r="AF645" s="289">
        <f>+U645+X645-AD645</f>
        <v>-14020.537916666668</v>
      </c>
    </row>
    <row r="646" spans="1:32">
      <c r="A646" s="113">
        <v>631</v>
      </c>
      <c r="B646" s="119" t="s">
        <v>1543</v>
      </c>
      <c r="C646" s="119" t="s">
        <v>1545</v>
      </c>
      <c r="D646" s="119" t="s">
        <v>2157</v>
      </c>
      <c r="E646" s="374" t="s">
        <v>2751</v>
      </c>
      <c r="F646" s="356">
        <v>-58306.37</v>
      </c>
      <c r="G646" s="356">
        <v>-58306.38</v>
      </c>
      <c r="H646" s="356">
        <v>-58306.38</v>
      </c>
      <c r="I646" s="356">
        <v>-58306.38</v>
      </c>
      <c r="J646" s="356">
        <v>-58306.38</v>
      </c>
      <c r="K646" s="356">
        <v>-58306.38</v>
      </c>
      <c r="L646" s="356">
        <v>-58306.38</v>
      </c>
      <c r="M646" s="356">
        <v>-58306.38</v>
      </c>
      <c r="N646" s="356">
        <v>-58306.38</v>
      </c>
      <c r="O646" s="356">
        <v>-58306.38</v>
      </c>
      <c r="P646" s="356">
        <v>-58306.38</v>
      </c>
      <c r="Q646" s="356">
        <v>-58306.38</v>
      </c>
      <c r="R646" s="356">
        <v>42517.36</v>
      </c>
      <c r="S646" s="357">
        <f t="shared" si="100"/>
        <v>-54105.390416666662</v>
      </c>
      <c r="U646" s="358"/>
      <c r="W646" s="359"/>
      <c r="X646" s="359">
        <f>+S646</f>
        <v>-54105.390416666662</v>
      </c>
      <c r="Y646" s="359"/>
      <c r="Z646" s="359"/>
      <c r="AA646" s="358"/>
      <c r="AB646" s="359">
        <f>+S646</f>
        <v>-54105.390416666662</v>
      </c>
      <c r="AD646" s="271"/>
      <c r="AF646" s="289">
        <f>+U646+X646-AD646</f>
        <v>-54105.390416666662</v>
      </c>
    </row>
    <row r="647" spans="1:32">
      <c r="A647" s="113">
        <v>632</v>
      </c>
      <c r="B647" s="119" t="s">
        <v>1543</v>
      </c>
      <c r="C647" s="119" t="s">
        <v>1545</v>
      </c>
      <c r="D647" s="119" t="s">
        <v>2159</v>
      </c>
      <c r="E647" s="374" t="s">
        <v>2752</v>
      </c>
      <c r="F647" s="356">
        <v>-3272468.91</v>
      </c>
      <c r="G647" s="356">
        <v>-3194517.75</v>
      </c>
      <c r="H647" s="356">
        <v>-3084959.95</v>
      </c>
      <c r="I647" s="356">
        <v>-2964871.96</v>
      </c>
      <c r="J647" s="356">
        <v>-2919751.35</v>
      </c>
      <c r="K647" s="356">
        <v>-2912993.15</v>
      </c>
      <c r="L647" s="356">
        <v>-2940685.09</v>
      </c>
      <c r="M647" s="356">
        <v>-2966187.13</v>
      </c>
      <c r="N647" s="356">
        <v>-3003610.23</v>
      </c>
      <c r="O647" s="356">
        <v>-3242704.81</v>
      </c>
      <c r="P647" s="356">
        <v>-3228267.05</v>
      </c>
      <c r="Q647" s="356">
        <v>-3164009.1</v>
      </c>
      <c r="R647" s="356">
        <v>-3125925.62</v>
      </c>
      <c r="S647" s="357">
        <f t="shared" si="100"/>
        <v>-3068479.5695833336</v>
      </c>
      <c r="U647" s="358"/>
      <c r="V647" s="359">
        <f>+S647</f>
        <v>-3068479.5695833336</v>
      </c>
      <c r="W647" s="359"/>
      <c r="X647" s="360"/>
      <c r="Y647" s="359"/>
      <c r="Z647" s="359"/>
      <c r="AA647" s="358"/>
      <c r="AB647" s="359"/>
      <c r="AD647" s="271">
        <f>+S647</f>
        <v>-3068479.5695833336</v>
      </c>
      <c r="AF647" s="289">
        <f t="shared" si="117"/>
        <v>0</v>
      </c>
    </row>
    <row r="648" spans="1:32">
      <c r="A648" s="113">
        <v>633</v>
      </c>
      <c r="B648" s="119" t="s">
        <v>1543</v>
      </c>
      <c r="C648" s="119" t="s">
        <v>1545</v>
      </c>
      <c r="D648" s="119" t="s">
        <v>1546</v>
      </c>
      <c r="E648" s="374" t="s">
        <v>2739</v>
      </c>
      <c r="F648" s="356">
        <v>-35475.199999999997</v>
      </c>
      <c r="G648" s="356">
        <v>-33426.71</v>
      </c>
      <c r="H648" s="356">
        <v>-33263.65</v>
      </c>
      <c r="I648" s="356">
        <v>-33100.6</v>
      </c>
      <c r="J648" s="356">
        <v>-32937.550000000003</v>
      </c>
      <c r="K648" s="356">
        <v>-32774.49</v>
      </c>
      <c r="L648" s="356">
        <v>-32611.439999999999</v>
      </c>
      <c r="M648" s="356">
        <v>-32448.39</v>
      </c>
      <c r="N648" s="356">
        <v>-32285.33</v>
      </c>
      <c r="O648" s="356">
        <v>-32122.28</v>
      </c>
      <c r="P648" s="356">
        <v>-31959.23</v>
      </c>
      <c r="Q648" s="356">
        <v>-67683.64</v>
      </c>
      <c r="R648" s="356">
        <v>-67566.31</v>
      </c>
      <c r="S648" s="357">
        <f t="shared" si="100"/>
        <v>-37177.838750000003</v>
      </c>
      <c r="U648" s="358"/>
      <c r="V648" s="359"/>
      <c r="W648" s="359"/>
      <c r="X648" s="360">
        <f>+S648</f>
        <v>-37177.838750000003</v>
      </c>
      <c r="Y648" s="359"/>
      <c r="Z648" s="359">
        <f>+X648</f>
        <v>-37177.838750000003</v>
      </c>
      <c r="AA648" s="358"/>
      <c r="AB648" s="359"/>
      <c r="AD648" s="271"/>
      <c r="AF648" s="289"/>
    </row>
    <row r="649" spans="1:32">
      <c r="A649" s="113">
        <v>634</v>
      </c>
      <c r="B649" s="119" t="s">
        <v>1523</v>
      </c>
      <c r="C649" s="119" t="s">
        <v>1541</v>
      </c>
      <c r="D649" s="119" t="s">
        <v>1542</v>
      </c>
      <c r="E649" s="374" t="s">
        <v>2735</v>
      </c>
      <c r="F649" s="356">
        <v>-78406148.049999997</v>
      </c>
      <c r="G649" s="356">
        <v>-78109932.480000004</v>
      </c>
      <c r="H649" s="356">
        <v>-78056554.379999995</v>
      </c>
      <c r="I649" s="356">
        <v>-78003176.269999996</v>
      </c>
      <c r="J649" s="356">
        <v>-77949798.170000002</v>
      </c>
      <c r="K649" s="356">
        <v>-77896420.069999993</v>
      </c>
      <c r="L649" s="356">
        <v>-77843041.969999999</v>
      </c>
      <c r="M649" s="356">
        <v>-77789663.870000005</v>
      </c>
      <c r="N649" s="356">
        <v>-77736285.769999996</v>
      </c>
      <c r="O649" s="356">
        <v>-77682907.659999996</v>
      </c>
      <c r="P649" s="356">
        <v>-77629529.560000002</v>
      </c>
      <c r="Q649" s="356">
        <v>-77449100.540000096</v>
      </c>
      <c r="R649" s="1379">
        <v>-78086633.830000103</v>
      </c>
      <c r="S649" s="357">
        <f>((F649+R649)+((G649+H649+I649+J649+K649+L649+M649+N649+O649+P649+Q649)*2))/24</f>
        <v>-77866066.806666687</v>
      </c>
      <c r="U649" s="358"/>
      <c r="V649" s="359"/>
      <c r="W649" s="359"/>
      <c r="X649" s="360">
        <f>+S649</f>
        <v>-77866066.806666687</v>
      </c>
      <c r="Y649" s="859">
        <f>+S649</f>
        <v>-77866066.806666687</v>
      </c>
      <c r="Z649" s="359"/>
      <c r="AA649" s="358"/>
      <c r="AB649" s="359"/>
      <c r="AD649" s="271"/>
      <c r="AF649" s="289"/>
    </row>
    <row r="650" spans="1:32">
      <c r="A650" s="113">
        <v>635</v>
      </c>
      <c r="B650" s="119" t="s">
        <v>1523</v>
      </c>
      <c r="C650" s="119" t="s">
        <v>1541</v>
      </c>
      <c r="D650" s="119" t="s">
        <v>1551</v>
      </c>
      <c r="E650" s="374" t="s">
        <v>2749</v>
      </c>
      <c r="F650" s="356">
        <v>0</v>
      </c>
      <c r="G650" s="356">
        <v>0</v>
      </c>
      <c r="H650" s="356">
        <v>0</v>
      </c>
      <c r="I650" s="356">
        <v>0</v>
      </c>
      <c r="J650" s="356">
        <v>0</v>
      </c>
      <c r="K650" s="356">
        <v>0</v>
      </c>
      <c r="L650" s="356">
        <v>0</v>
      </c>
      <c r="M650" s="356">
        <v>0</v>
      </c>
      <c r="N650" s="356">
        <v>0</v>
      </c>
      <c r="O650" s="356">
        <v>0</v>
      </c>
      <c r="P650" s="356">
        <v>0</v>
      </c>
      <c r="Q650" s="356">
        <v>0</v>
      </c>
      <c r="R650" s="356">
        <v>0</v>
      </c>
      <c r="S650" s="357">
        <f t="shared" si="100"/>
        <v>0</v>
      </c>
      <c r="U650" s="358"/>
      <c r="V650" s="359"/>
      <c r="W650" s="359"/>
      <c r="X650" s="360">
        <f>+S650</f>
        <v>0</v>
      </c>
      <c r="Y650" s="359">
        <f>+X650</f>
        <v>0</v>
      </c>
      <c r="Z650" s="359"/>
      <c r="AA650" s="358"/>
      <c r="AB650" s="359"/>
      <c r="AD650" s="271"/>
      <c r="AF650" s="289"/>
    </row>
    <row r="651" spans="1:32">
      <c r="A651" s="113">
        <v>636</v>
      </c>
      <c r="B651" s="119" t="s">
        <v>1523</v>
      </c>
      <c r="C651" s="119" t="s">
        <v>1545</v>
      </c>
      <c r="D651" s="119" t="s">
        <v>1546</v>
      </c>
      <c r="E651" s="374" t="s">
        <v>2739</v>
      </c>
      <c r="F651" s="356">
        <v>-109558.36</v>
      </c>
      <c r="G651" s="356">
        <v>-110902.8</v>
      </c>
      <c r="H651" s="356">
        <v>-110361.81</v>
      </c>
      <c r="I651" s="356">
        <v>-109820.82</v>
      </c>
      <c r="J651" s="356">
        <v>-109279.83</v>
      </c>
      <c r="K651" s="356">
        <v>-108738.84</v>
      </c>
      <c r="L651" s="356">
        <v>-108197.85</v>
      </c>
      <c r="M651" s="356">
        <v>-107656.86</v>
      </c>
      <c r="N651" s="356">
        <v>-107115.87</v>
      </c>
      <c r="O651" s="356">
        <v>-106574.88</v>
      </c>
      <c r="P651" s="356">
        <v>-106033.89</v>
      </c>
      <c r="Q651" s="356">
        <v>-224559.96</v>
      </c>
      <c r="R651" s="356">
        <v>-224170.69</v>
      </c>
      <c r="S651" s="357">
        <f t="shared" si="100"/>
        <v>-123008.99458333332</v>
      </c>
      <c r="U651" s="358"/>
      <c r="V651" s="359"/>
      <c r="W651" s="359"/>
      <c r="X651" s="360">
        <f>+S651</f>
        <v>-123008.99458333332</v>
      </c>
      <c r="Y651" s="359">
        <f>+X651</f>
        <v>-123008.99458333332</v>
      </c>
      <c r="Z651" s="359"/>
      <c r="AA651" s="358"/>
      <c r="AB651" s="359"/>
      <c r="AD651" s="271"/>
      <c r="AF651" s="289"/>
    </row>
    <row r="652" spans="1:32">
      <c r="A652" s="113">
        <v>637</v>
      </c>
      <c r="E652" s="374" t="s">
        <v>2753</v>
      </c>
      <c r="F652" s="696">
        <f>SUM(F627:F651)</f>
        <v>-95539119.87000002</v>
      </c>
      <c r="G652" s="696">
        <f t="shared" ref="G652:P652" si="121">SUM(G627:G651)</f>
        <v>-94673345.11999999</v>
      </c>
      <c r="H652" s="696">
        <f t="shared" si="121"/>
        <v>-93582444.959999993</v>
      </c>
      <c r="I652" s="696">
        <f t="shared" si="121"/>
        <v>-92324260.659999982</v>
      </c>
      <c r="J652" s="696">
        <f t="shared" si="121"/>
        <v>-91960087.439999998</v>
      </c>
      <c r="K652" s="696">
        <f t="shared" si="121"/>
        <v>-92066811.469999999</v>
      </c>
      <c r="L652" s="696">
        <f t="shared" si="121"/>
        <v>-92483367.75999999</v>
      </c>
      <c r="M652" s="696">
        <f t="shared" si="121"/>
        <v>-94123415.180000022</v>
      </c>
      <c r="N652" s="696">
        <f t="shared" si="121"/>
        <v>-94792713.170000002</v>
      </c>
      <c r="O652" s="696">
        <f t="shared" si="121"/>
        <v>-97695664.389999986</v>
      </c>
      <c r="P652" s="696">
        <f t="shared" si="121"/>
        <v>-97700610.590000004</v>
      </c>
      <c r="Q652" s="696">
        <f>SUM(Q627:Q651)</f>
        <v>-96899117.650000095</v>
      </c>
      <c r="R652" s="696">
        <f>SUM(R627:R651)</f>
        <v>-95326441.260000095</v>
      </c>
      <c r="S652" s="697">
        <f>SUM(S627:S651)</f>
        <v>-94477884.912916705</v>
      </c>
      <c r="U652" s="358"/>
      <c r="V652" s="359"/>
      <c r="W652" s="359"/>
      <c r="X652" s="360"/>
      <c r="Y652" s="359"/>
      <c r="Z652" s="359"/>
      <c r="AA652" s="358"/>
      <c r="AB652" s="359"/>
      <c r="AF652" s="289">
        <f t="shared" si="117"/>
        <v>0</v>
      </c>
    </row>
    <row r="653" spans="1:32">
      <c r="A653" s="113">
        <v>638</v>
      </c>
      <c r="E653" s="374"/>
      <c r="F653" s="356"/>
      <c r="G653" s="399"/>
      <c r="H653" s="387"/>
      <c r="I653" s="387"/>
      <c r="J653" s="388"/>
      <c r="K653" s="389"/>
      <c r="L653" s="390"/>
      <c r="M653" s="391"/>
      <c r="N653" s="392"/>
      <c r="O653" s="373"/>
      <c r="P653" s="393"/>
      <c r="Q653" s="400"/>
      <c r="R653" s="356"/>
      <c r="S653" s="96"/>
      <c r="U653" s="358"/>
      <c r="V653" s="359"/>
      <c r="W653" s="359"/>
      <c r="X653" s="360"/>
      <c r="Y653" s="359"/>
      <c r="Z653" s="359"/>
      <c r="AA653" s="358"/>
      <c r="AB653" s="359"/>
      <c r="AF653" s="289">
        <f t="shared" si="117"/>
        <v>0</v>
      </c>
    </row>
    <row r="654" spans="1:32">
      <c r="A654" s="113">
        <v>639</v>
      </c>
      <c r="B654" s="119" t="s">
        <v>1543</v>
      </c>
      <c r="C654" s="119" t="s">
        <v>567</v>
      </c>
      <c r="D654" s="119"/>
      <c r="E654" s="374" t="s">
        <v>250</v>
      </c>
      <c r="F654" s="396">
        <v>0</v>
      </c>
      <c r="G654" s="396">
        <v>0</v>
      </c>
      <c r="H654" s="396">
        <v>0</v>
      </c>
      <c r="I654" s="396">
        <v>0</v>
      </c>
      <c r="J654" s="396">
        <v>0</v>
      </c>
      <c r="K654" s="396">
        <v>0</v>
      </c>
      <c r="L654" s="396">
        <v>0</v>
      </c>
      <c r="M654" s="396">
        <v>0</v>
      </c>
      <c r="N654" s="396">
        <v>0</v>
      </c>
      <c r="O654" s="396">
        <v>0</v>
      </c>
      <c r="P654" s="396">
        <v>0</v>
      </c>
      <c r="Q654" s="396">
        <v>0</v>
      </c>
      <c r="R654" s="396">
        <v>0</v>
      </c>
      <c r="S654" s="357">
        <f t="shared" si="100"/>
        <v>0</v>
      </c>
      <c r="U654" s="358"/>
      <c r="V654" s="359"/>
      <c r="W654" s="359">
        <f t="shared" ref="W654:W721" si="122">+S654</f>
        <v>0</v>
      </c>
      <c r="X654" s="360"/>
      <c r="Y654" s="359"/>
      <c r="Z654" s="359"/>
      <c r="AA654" s="358"/>
      <c r="AB654" s="359"/>
      <c r="AC654" s="271">
        <f>+S654</f>
        <v>0</v>
      </c>
      <c r="AF654" s="289">
        <f t="shared" si="117"/>
        <v>0</v>
      </c>
    </row>
    <row r="655" spans="1:32">
      <c r="A655" s="113">
        <v>640</v>
      </c>
      <c r="B655" s="119" t="s">
        <v>1543</v>
      </c>
      <c r="C655" s="119" t="s">
        <v>567</v>
      </c>
      <c r="D655" s="119" t="s">
        <v>2754</v>
      </c>
      <c r="E655" s="374" t="s">
        <v>2755</v>
      </c>
      <c r="F655" s="396">
        <v>-82020</v>
      </c>
      <c r="G655" s="396">
        <v>0</v>
      </c>
      <c r="H655" s="396">
        <v>-3400</v>
      </c>
      <c r="I655" s="396">
        <v>-5100</v>
      </c>
      <c r="J655" s="396">
        <v>-6800</v>
      </c>
      <c r="K655" s="396">
        <v>-8500</v>
      </c>
      <c r="L655" s="396">
        <v>-10200</v>
      </c>
      <c r="M655" s="396">
        <v>-11900</v>
      </c>
      <c r="N655" s="396">
        <v>-13600</v>
      </c>
      <c r="O655" s="396">
        <v>-15300</v>
      </c>
      <c r="P655" s="396">
        <v>-17000</v>
      </c>
      <c r="Q655" s="396">
        <v>-18700</v>
      </c>
      <c r="R655" s="396">
        <v>-20400</v>
      </c>
      <c r="S655" s="357">
        <f t="shared" si="100"/>
        <v>-13475.833333333334</v>
      </c>
      <c r="U655" s="358"/>
      <c r="V655" s="359"/>
      <c r="W655" s="359">
        <f t="shared" si="122"/>
        <v>-13475.833333333334</v>
      </c>
      <c r="X655" s="360"/>
      <c r="Y655" s="359"/>
      <c r="Z655" s="359"/>
      <c r="AA655" s="358"/>
      <c r="AB655" s="359"/>
      <c r="AC655" s="271">
        <f t="shared" ref="AC655:AC720" si="123">+S655</f>
        <v>-13475.833333333334</v>
      </c>
      <c r="AF655" s="289">
        <f t="shared" si="117"/>
        <v>0</v>
      </c>
    </row>
    <row r="656" spans="1:32">
      <c r="A656" s="113">
        <v>641</v>
      </c>
      <c r="B656" s="119" t="s">
        <v>1543</v>
      </c>
      <c r="C656" s="119" t="s">
        <v>567</v>
      </c>
      <c r="D656" s="119" t="s">
        <v>2756</v>
      </c>
      <c r="E656" s="374" t="s">
        <v>2757</v>
      </c>
      <c r="F656" s="396">
        <v>0</v>
      </c>
      <c r="G656" s="396">
        <v>0</v>
      </c>
      <c r="H656" s="396">
        <v>-13116</v>
      </c>
      <c r="I656" s="396">
        <v>-19674</v>
      </c>
      <c r="J656" s="396">
        <v>-26232</v>
      </c>
      <c r="K656" s="396">
        <v>-32790</v>
      </c>
      <c r="L656" s="396">
        <v>-39348</v>
      </c>
      <c r="M656" s="396">
        <v>-45906</v>
      </c>
      <c r="N656" s="396">
        <v>-52464</v>
      </c>
      <c r="O656" s="396">
        <v>-59022</v>
      </c>
      <c r="P656" s="396">
        <v>-65580</v>
      </c>
      <c r="Q656" s="396">
        <v>-72138</v>
      </c>
      <c r="R656" s="396">
        <v>-78696</v>
      </c>
      <c r="S656" s="357">
        <f t="shared" si="100"/>
        <v>-38801.5</v>
      </c>
      <c r="U656" s="358"/>
      <c r="V656" s="359"/>
      <c r="W656" s="359">
        <f t="shared" si="122"/>
        <v>-38801.5</v>
      </c>
      <c r="X656" s="360"/>
      <c r="Y656" s="359"/>
      <c r="Z656" s="359"/>
      <c r="AA656" s="358"/>
      <c r="AB656" s="359"/>
      <c r="AC656" s="271">
        <f t="shared" si="123"/>
        <v>-38801.5</v>
      </c>
      <c r="AF656" s="289">
        <f t="shared" si="117"/>
        <v>0</v>
      </c>
    </row>
    <row r="657" spans="1:35">
      <c r="A657" s="113">
        <v>642</v>
      </c>
      <c r="B657" s="119" t="s">
        <v>1543</v>
      </c>
      <c r="C657" s="119" t="s">
        <v>567</v>
      </c>
      <c r="D657" s="119" t="s">
        <v>2758</v>
      </c>
      <c r="E657" s="374" t="s">
        <v>2759</v>
      </c>
      <c r="F657" s="396">
        <v>-88188</v>
      </c>
      <c r="G657" s="396">
        <v>0</v>
      </c>
      <c r="H657" s="396">
        <v>-3478</v>
      </c>
      <c r="I657" s="396">
        <v>-5217</v>
      </c>
      <c r="J657" s="396">
        <v>-6956</v>
      </c>
      <c r="K657" s="396">
        <v>-8695</v>
      </c>
      <c r="L657" s="396">
        <v>-10434</v>
      </c>
      <c r="M657" s="396">
        <v>-12173</v>
      </c>
      <c r="N657" s="396">
        <v>-13912</v>
      </c>
      <c r="O657" s="396">
        <v>-15651</v>
      </c>
      <c r="P657" s="396">
        <v>-17390</v>
      </c>
      <c r="Q657" s="396">
        <v>-19129</v>
      </c>
      <c r="R657" s="396">
        <v>-20868</v>
      </c>
      <c r="S657" s="357">
        <f t="shared" si="100"/>
        <v>-13963.583333333334</v>
      </c>
      <c r="U657" s="358"/>
      <c r="V657" s="359"/>
      <c r="W657" s="359">
        <f t="shared" si="122"/>
        <v>-13963.583333333334</v>
      </c>
      <c r="X657" s="360"/>
      <c r="Y657" s="359"/>
      <c r="Z657" s="359"/>
      <c r="AA657" s="358"/>
      <c r="AB657" s="359"/>
      <c r="AC657" s="271">
        <f t="shared" si="123"/>
        <v>-13963.583333333334</v>
      </c>
      <c r="AF657" s="289">
        <f t="shared" si="117"/>
        <v>0</v>
      </c>
    </row>
    <row r="658" spans="1:35">
      <c r="A658" s="113">
        <v>643</v>
      </c>
      <c r="B658" s="119" t="s">
        <v>1543</v>
      </c>
      <c r="C658" s="119" t="s">
        <v>568</v>
      </c>
      <c r="D658" s="119" t="s">
        <v>2760</v>
      </c>
      <c r="E658" s="374" t="s">
        <v>2761</v>
      </c>
      <c r="F658" s="396">
        <v>-224.3</v>
      </c>
      <c r="G658" s="396">
        <v>0</v>
      </c>
      <c r="H658" s="396">
        <v>0</v>
      </c>
      <c r="I658" s="396">
        <v>0</v>
      </c>
      <c r="J658" s="396">
        <v>0</v>
      </c>
      <c r="K658" s="396">
        <v>0</v>
      </c>
      <c r="L658" s="396">
        <v>-3949.29</v>
      </c>
      <c r="M658" s="396">
        <v>-3949.29</v>
      </c>
      <c r="N658" s="396">
        <v>-3949.29</v>
      </c>
      <c r="O658" s="396">
        <v>-3949.29</v>
      </c>
      <c r="P658" s="396">
        <v>-3949.29</v>
      </c>
      <c r="Q658" s="396">
        <v>-3949.29</v>
      </c>
      <c r="R658" s="396">
        <v>-3957.97</v>
      </c>
      <c r="S658" s="357">
        <f t="shared" si="100"/>
        <v>-2148.90625</v>
      </c>
      <c r="U658" s="358"/>
      <c r="V658" s="359"/>
      <c r="W658" s="359">
        <f t="shared" si="122"/>
        <v>-2148.90625</v>
      </c>
      <c r="X658" s="360"/>
      <c r="Y658" s="359"/>
      <c r="Z658" s="359"/>
      <c r="AA658" s="358"/>
      <c r="AB658" s="359"/>
      <c r="AC658" s="271">
        <f t="shared" si="123"/>
        <v>-2148.90625</v>
      </c>
      <c r="AF658" s="289">
        <f t="shared" si="117"/>
        <v>0</v>
      </c>
    </row>
    <row r="659" spans="1:35">
      <c r="A659" s="113">
        <v>644</v>
      </c>
      <c r="B659" s="119" t="s">
        <v>1543</v>
      </c>
      <c r="C659" s="119" t="s">
        <v>2762</v>
      </c>
      <c r="D659" s="119" t="s">
        <v>2763</v>
      </c>
      <c r="E659" s="374" t="s">
        <v>2764</v>
      </c>
      <c r="F659" s="396">
        <v>-39768724.710000001</v>
      </c>
      <c r="G659" s="396">
        <v>-6742610.9100000001</v>
      </c>
      <c r="H659" s="396">
        <v>-12064565.75</v>
      </c>
      <c r="I659" s="396">
        <v>-17278910.129999999</v>
      </c>
      <c r="J659" s="396">
        <v>-21617979.190000001</v>
      </c>
      <c r="K659" s="396">
        <v>-24042806.23</v>
      </c>
      <c r="L659" s="396">
        <v>-26006287.75</v>
      </c>
      <c r="M659" s="396">
        <v>-27458454.390000001</v>
      </c>
      <c r="N659" s="396">
        <v>-28584869.469999999</v>
      </c>
      <c r="O659" s="396">
        <v>-29803038.059999999</v>
      </c>
      <c r="P659" s="396">
        <v>-31408757.690000001</v>
      </c>
      <c r="Q659" s="396">
        <v>-34848667.909999996</v>
      </c>
      <c r="R659" s="396">
        <v>-40896819.469999999</v>
      </c>
      <c r="S659" s="357">
        <f t="shared" si="100"/>
        <v>-25015809.964166671</v>
      </c>
      <c r="U659" s="358"/>
      <c r="V659" s="359"/>
      <c r="W659" s="359">
        <f t="shared" si="122"/>
        <v>-25015809.964166671</v>
      </c>
      <c r="X659" s="360"/>
      <c r="Y659" s="359"/>
      <c r="Z659" s="359"/>
      <c r="AA659" s="358"/>
      <c r="AB659" s="359"/>
      <c r="AC659" s="271">
        <f t="shared" si="123"/>
        <v>-25015809.964166671</v>
      </c>
      <c r="AF659" s="289">
        <f t="shared" si="117"/>
        <v>0</v>
      </c>
    </row>
    <row r="660" spans="1:35">
      <c r="A660" s="113">
        <v>645</v>
      </c>
      <c r="B660" s="119" t="s">
        <v>1543</v>
      </c>
      <c r="C660" s="119" t="s">
        <v>2762</v>
      </c>
      <c r="D660" s="119" t="s">
        <v>2765</v>
      </c>
      <c r="E660" s="374" t="s">
        <v>2766</v>
      </c>
      <c r="F660" s="396">
        <v>2056561.28</v>
      </c>
      <c r="G660" s="396">
        <v>27792.43</v>
      </c>
      <c r="H660" s="396">
        <v>12798.02</v>
      </c>
      <c r="I660" s="396">
        <v>129446.35</v>
      </c>
      <c r="J660" s="396">
        <v>93800.14</v>
      </c>
      <c r="K660" s="396">
        <v>65165.61</v>
      </c>
      <c r="L660" s="396">
        <v>176801.26</v>
      </c>
      <c r="M660" s="396">
        <v>231908.99</v>
      </c>
      <c r="N660" s="396">
        <v>272000.75</v>
      </c>
      <c r="O660" s="396">
        <v>226741.07</v>
      </c>
      <c r="P660" s="396">
        <v>179857.35</v>
      </c>
      <c r="Q660" s="396">
        <v>434098.24</v>
      </c>
      <c r="R660" s="396">
        <v>423195.53</v>
      </c>
      <c r="S660" s="357">
        <f t="shared" si="100"/>
        <v>257524.05125000002</v>
      </c>
      <c r="U660" s="358"/>
      <c r="V660" s="359"/>
      <c r="W660" s="359">
        <f t="shared" si="122"/>
        <v>257524.05125000002</v>
      </c>
      <c r="X660" s="360"/>
      <c r="Y660" s="359"/>
      <c r="Z660" s="359"/>
      <c r="AA660" s="358"/>
      <c r="AB660" s="359"/>
      <c r="AC660" s="271">
        <f t="shared" si="123"/>
        <v>257524.05125000002</v>
      </c>
      <c r="AF660" s="289">
        <f t="shared" si="117"/>
        <v>0</v>
      </c>
    </row>
    <row r="661" spans="1:35">
      <c r="A661" s="113">
        <v>646</v>
      </c>
      <c r="B661" s="119" t="s">
        <v>1543</v>
      </c>
      <c r="C661" s="119" t="s">
        <v>2762</v>
      </c>
      <c r="D661" s="119" t="s">
        <v>2767</v>
      </c>
      <c r="E661" s="374" t="s">
        <v>2768</v>
      </c>
      <c r="F661" s="396">
        <v>-2759274.39</v>
      </c>
      <c r="G661" s="396">
        <v>-383704.98</v>
      </c>
      <c r="H661" s="396">
        <v>-702896.76</v>
      </c>
      <c r="I661" s="396">
        <v>-1017858.01</v>
      </c>
      <c r="J661" s="396">
        <v>-1292412.92</v>
      </c>
      <c r="K661" s="396">
        <v>-1455756.07</v>
      </c>
      <c r="L661" s="396">
        <v>-1599737.6</v>
      </c>
      <c r="M661" s="396">
        <v>-1733741.39</v>
      </c>
      <c r="N661" s="396">
        <v>-1846991.22</v>
      </c>
      <c r="O661" s="396">
        <v>-1984608.09</v>
      </c>
      <c r="P661" s="396">
        <v>-2150037.58</v>
      </c>
      <c r="Q661" s="396">
        <v>-2436294.4700000002</v>
      </c>
      <c r="R661" s="396">
        <v>-2817978.92</v>
      </c>
      <c r="S661" s="357">
        <f t="shared" si="100"/>
        <v>-1616055.47875</v>
      </c>
      <c r="U661" s="358"/>
      <c r="V661" s="359"/>
      <c r="W661" s="359">
        <f t="shared" si="122"/>
        <v>-1616055.47875</v>
      </c>
      <c r="X661" s="360"/>
      <c r="Y661" s="359"/>
      <c r="Z661" s="359"/>
      <c r="AA661" s="358"/>
      <c r="AB661" s="359"/>
      <c r="AC661" s="271">
        <f t="shared" si="123"/>
        <v>-1616055.47875</v>
      </c>
      <c r="AF661" s="289">
        <f t="shared" si="117"/>
        <v>0</v>
      </c>
    </row>
    <row r="662" spans="1:35">
      <c r="A662" s="113">
        <v>647</v>
      </c>
      <c r="B662" s="119" t="s">
        <v>1523</v>
      </c>
      <c r="C662" s="119" t="s">
        <v>2762</v>
      </c>
      <c r="D662" s="119" t="s">
        <v>2769</v>
      </c>
      <c r="E662" s="374" t="s">
        <v>2770</v>
      </c>
      <c r="F662" s="396">
        <v>0</v>
      </c>
      <c r="G662" s="396">
        <v>0</v>
      </c>
      <c r="H662" s="396">
        <v>0</v>
      </c>
      <c r="I662" s="396">
        <v>0</v>
      </c>
      <c r="J662" s="396">
        <v>0</v>
      </c>
      <c r="K662" s="396">
        <v>0</v>
      </c>
      <c r="L662" s="396">
        <v>0</v>
      </c>
      <c r="M662" s="396">
        <v>0</v>
      </c>
      <c r="N662" s="396">
        <v>0</v>
      </c>
      <c r="O662" s="396">
        <v>0</v>
      </c>
      <c r="P662" s="396">
        <v>0</v>
      </c>
      <c r="Q662" s="396">
        <v>0</v>
      </c>
      <c r="R662" s="396">
        <v>0</v>
      </c>
      <c r="S662" s="357">
        <f t="shared" si="100"/>
        <v>0</v>
      </c>
      <c r="U662" s="358"/>
      <c r="V662" s="359"/>
      <c r="W662" s="359">
        <f t="shared" si="122"/>
        <v>0</v>
      </c>
      <c r="X662" s="360"/>
      <c r="Y662" s="359"/>
      <c r="Z662" s="359"/>
      <c r="AA662" s="358"/>
      <c r="AB662" s="359"/>
      <c r="AC662" s="271">
        <f t="shared" si="123"/>
        <v>0</v>
      </c>
      <c r="AF662" s="289">
        <f t="shared" si="117"/>
        <v>0</v>
      </c>
    </row>
    <row r="663" spans="1:35">
      <c r="A663" s="113">
        <v>648</v>
      </c>
      <c r="B663" s="119" t="s">
        <v>1523</v>
      </c>
      <c r="C663" s="119" t="s">
        <v>2762</v>
      </c>
      <c r="D663" s="119" t="s">
        <v>2771</v>
      </c>
      <c r="E663" s="374" t="s">
        <v>2772</v>
      </c>
      <c r="F663" s="396">
        <v>-21730220.710000001</v>
      </c>
      <c r="G663" s="396">
        <v>-3636278.63</v>
      </c>
      <c r="H663" s="396">
        <v>-6526578.0899999999</v>
      </c>
      <c r="I663" s="396">
        <v>-9343553.1500000004</v>
      </c>
      <c r="J663" s="396">
        <v>-11530045.630000001</v>
      </c>
      <c r="K663" s="396">
        <v>-12641884.49</v>
      </c>
      <c r="L663" s="396">
        <v>-13572962.460000001</v>
      </c>
      <c r="M663" s="396">
        <v>-14365700.9</v>
      </c>
      <c r="N663" s="396">
        <v>-14988932.369999999</v>
      </c>
      <c r="O663" s="396">
        <v>-15686268.060000001</v>
      </c>
      <c r="P663" s="396">
        <v>-16546766.84</v>
      </c>
      <c r="Q663" s="396">
        <v>-18320428.91</v>
      </c>
      <c r="R663" s="396">
        <v>-21537722.329999998</v>
      </c>
      <c r="S663" s="357">
        <f t="shared" si="100"/>
        <v>-13232780.920833336</v>
      </c>
      <c r="U663" s="358"/>
      <c r="V663" s="359"/>
      <c r="W663" s="359">
        <f t="shared" si="122"/>
        <v>-13232780.920833336</v>
      </c>
      <c r="X663" s="360"/>
      <c r="Y663" s="359"/>
      <c r="Z663" s="359"/>
      <c r="AA663" s="358"/>
      <c r="AB663" s="359"/>
      <c r="AC663" s="271">
        <f t="shared" si="123"/>
        <v>-13232780.920833336</v>
      </c>
      <c r="AF663" s="289">
        <f t="shared" si="117"/>
        <v>0</v>
      </c>
    </row>
    <row r="664" spans="1:35">
      <c r="A664" s="113">
        <v>649</v>
      </c>
      <c r="B664" s="119" t="s">
        <v>1523</v>
      </c>
      <c r="C664" s="119" t="s">
        <v>2762</v>
      </c>
      <c r="D664" s="119" t="s">
        <v>2773</v>
      </c>
      <c r="E664" s="374" t="s">
        <v>2774</v>
      </c>
      <c r="F664" s="396">
        <v>870919.73</v>
      </c>
      <c r="G664" s="396">
        <v>3716.11</v>
      </c>
      <c r="H664" s="396">
        <v>-1790.15</v>
      </c>
      <c r="I664" s="396">
        <v>67444.320000000007</v>
      </c>
      <c r="J664" s="396">
        <v>-14953.03</v>
      </c>
      <c r="K664" s="396">
        <v>-136712.57999999999</v>
      </c>
      <c r="L664" s="396">
        <v>-182943.69</v>
      </c>
      <c r="M664" s="396">
        <v>-208057.26</v>
      </c>
      <c r="N664" s="396">
        <v>-242564.79</v>
      </c>
      <c r="O664" s="396">
        <v>-299287.98</v>
      </c>
      <c r="P664" s="396">
        <v>-340951.79</v>
      </c>
      <c r="Q664" s="396">
        <v>-393733.56</v>
      </c>
      <c r="R664" s="396">
        <v>-394986.07</v>
      </c>
      <c r="S664" s="357">
        <f t="shared" si="100"/>
        <v>-125988.96416666666</v>
      </c>
      <c r="U664" s="358"/>
      <c r="V664" s="359"/>
      <c r="W664" s="359">
        <f t="shared" si="122"/>
        <v>-125988.96416666666</v>
      </c>
      <c r="X664" s="360"/>
      <c r="Y664" s="359"/>
      <c r="Z664" s="359"/>
      <c r="AA664" s="358"/>
      <c r="AB664" s="359"/>
      <c r="AC664" s="271">
        <f t="shared" si="123"/>
        <v>-125988.96416666666</v>
      </c>
      <c r="AF664" s="289">
        <f t="shared" si="117"/>
        <v>0</v>
      </c>
    </row>
    <row r="665" spans="1:35">
      <c r="A665" s="113">
        <v>650</v>
      </c>
      <c r="B665" s="119" t="s">
        <v>1523</v>
      </c>
      <c r="C665" s="119" t="s">
        <v>2762</v>
      </c>
      <c r="D665" s="119" t="s">
        <v>2775</v>
      </c>
      <c r="E665" s="374" t="s">
        <v>2776</v>
      </c>
      <c r="F665" s="396">
        <v>-36017.35</v>
      </c>
      <c r="G665" s="396">
        <v>0</v>
      </c>
      <c r="H665" s="396">
        <v>-3907.32</v>
      </c>
      <c r="I665" s="396">
        <v>-3907.32</v>
      </c>
      <c r="J665" s="396">
        <v>-3907.32</v>
      </c>
      <c r="K665" s="396">
        <v>-3907.32</v>
      </c>
      <c r="L665" s="396">
        <v>-3907.32</v>
      </c>
      <c r="M665" s="396">
        <v>-3907.32</v>
      </c>
      <c r="N665" s="396">
        <v>-3907.32</v>
      </c>
      <c r="O665" s="396">
        <v>-3907.32</v>
      </c>
      <c r="P665" s="396">
        <v>-4067.31</v>
      </c>
      <c r="Q665" s="396">
        <v>-4067.31</v>
      </c>
      <c r="R665" s="396">
        <v>-4067.31</v>
      </c>
      <c r="S665" s="357">
        <f t="shared" si="100"/>
        <v>-4952.9591666666665</v>
      </c>
      <c r="U665" s="358"/>
      <c r="V665" s="359"/>
      <c r="W665" s="359">
        <f t="shared" si="122"/>
        <v>-4952.9591666666665</v>
      </c>
      <c r="X665" s="360"/>
      <c r="Y665" s="359"/>
      <c r="Z665" s="359"/>
      <c r="AA665" s="358"/>
      <c r="AB665" s="359"/>
      <c r="AC665" s="271">
        <f t="shared" si="123"/>
        <v>-4952.9591666666665</v>
      </c>
      <c r="AF665" s="289">
        <f t="shared" si="117"/>
        <v>0</v>
      </c>
    </row>
    <row r="666" spans="1:35">
      <c r="A666" s="113">
        <v>651</v>
      </c>
      <c r="B666" s="119" t="s">
        <v>1523</v>
      </c>
      <c r="C666" s="119" t="s">
        <v>2762</v>
      </c>
      <c r="D666" s="119" t="s">
        <v>2777</v>
      </c>
      <c r="E666" s="374" t="s">
        <v>2778</v>
      </c>
      <c r="F666" s="396">
        <v>-1216974.53</v>
      </c>
      <c r="G666" s="396">
        <v>-185352.82</v>
      </c>
      <c r="H666" s="396">
        <v>-359679.71</v>
      </c>
      <c r="I666" s="396">
        <v>-520884.11</v>
      </c>
      <c r="J666" s="396">
        <v>-668500.92000000004</v>
      </c>
      <c r="K666" s="396">
        <v>-769381.44</v>
      </c>
      <c r="L666" s="396">
        <v>-844690.74</v>
      </c>
      <c r="M666" s="396">
        <v>-907613.98</v>
      </c>
      <c r="N666" s="396">
        <v>-963952.25</v>
      </c>
      <c r="O666" s="396">
        <v>-1020674.34</v>
      </c>
      <c r="P666" s="396">
        <v>-1081922.2</v>
      </c>
      <c r="Q666" s="396">
        <v>-1179819.83</v>
      </c>
      <c r="R666" s="396">
        <v>-1326947.18</v>
      </c>
      <c r="S666" s="357">
        <f t="shared" si="100"/>
        <v>-814536.09958333336</v>
      </c>
      <c r="U666" s="358"/>
      <c r="V666" s="359"/>
      <c r="W666" s="359">
        <f t="shared" si="122"/>
        <v>-814536.09958333336</v>
      </c>
      <c r="X666" s="360"/>
      <c r="Y666" s="359"/>
      <c r="Z666" s="359"/>
      <c r="AA666" s="358"/>
      <c r="AB666" s="359"/>
      <c r="AC666" s="271">
        <f t="shared" si="123"/>
        <v>-814536.09958333336</v>
      </c>
      <c r="AF666" s="289">
        <f t="shared" si="117"/>
        <v>0</v>
      </c>
    </row>
    <row r="667" spans="1:35">
      <c r="A667" s="113">
        <v>652</v>
      </c>
      <c r="B667" s="119" t="s">
        <v>1523</v>
      </c>
      <c r="C667" s="119" t="s">
        <v>2779</v>
      </c>
      <c r="D667" s="119" t="s">
        <v>2763</v>
      </c>
      <c r="E667" s="1381" t="s">
        <v>2780</v>
      </c>
      <c r="F667" s="396">
        <v>64063.2600000003</v>
      </c>
      <c r="G667" s="396">
        <v>532019.43000000005</v>
      </c>
      <c r="H667" s="396">
        <v>868221.43999999994</v>
      </c>
      <c r="I667" s="396">
        <v>1487614.72</v>
      </c>
      <c r="J667" s="396">
        <v>2765220.02</v>
      </c>
      <c r="K667" s="396">
        <v>3103525.31</v>
      </c>
      <c r="L667" s="396">
        <v>3382203.95</v>
      </c>
      <c r="M667" s="396">
        <v>3541584.97</v>
      </c>
      <c r="N667" s="396">
        <v>3405159.44</v>
      </c>
      <c r="O667" s="396">
        <v>3249120.14</v>
      </c>
      <c r="P667" s="396">
        <v>2164588.38</v>
      </c>
      <c r="Q667" s="396">
        <v>434682.22000000102</v>
      </c>
      <c r="R667" s="396">
        <v>-3089.6899999990701</v>
      </c>
      <c r="S667" s="357">
        <f t="shared" si="100"/>
        <v>2080368.9004166669</v>
      </c>
      <c r="U667" s="358"/>
      <c r="V667" s="359"/>
      <c r="W667" s="359">
        <f t="shared" si="122"/>
        <v>2080368.9004166669</v>
      </c>
      <c r="X667" s="360"/>
      <c r="Y667" s="359"/>
      <c r="Z667" s="359"/>
      <c r="AA667" s="358"/>
      <c r="AB667" s="359"/>
      <c r="AC667" s="309">
        <f t="shared" si="123"/>
        <v>2080368.9004166669</v>
      </c>
      <c r="AF667" s="289">
        <f t="shared" si="117"/>
        <v>0</v>
      </c>
      <c r="AH667" s="271">
        <f>AC667+AC668+AC669+AC674+AC675</f>
        <v>3431737.135416667</v>
      </c>
    </row>
    <row r="668" spans="1:35">
      <c r="A668" s="113">
        <v>653</v>
      </c>
      <c r="B668" s="119" t="s">
        <v>1523</v>
      </c>
      <c r="C668" s="119" t="s">
        <v>2779</v>
      </c>
      <c r="D668" s="119" t="s">
        <v>2771</v>
      </c>
      <c r="E668" s="1381" t="s">
        <v>2781</v>
      </c>
      <c r="F668" s="396">
        <v>-116275.02</v>
      </c>
      <c r="G668" s="396">
        <v>392877.01</v>
      </c>
      <c r="H668" s="396">
        <v>566081.68999999994</v>
      </c>
      <c r="I668" s="396">
        <v>933334.11</v>
      </c>
      <c r="J668" s="396">
        <v>1723174.14</v>
      </c>
      <c r="K668" s="396">
        <v>1929879.68</v>
      </c>
      <c r="L668" s="396">
        <v>2062556.77</v>
      </c>
      <c r="M668" s="396">
        <v>2126597.9500000002</v>
      </c>
      <c r="N668" s="396">
        <v>2020795.47</v>
      </c>
      <c r="O668" s="396">
        <v>1902791.63</v>
      </c>
      <c r="P668" s="396">
        <v>1140194.02</v>
      </c>
      <c r="Q668" s="396">
        <v>277798.86</v>
      </c>
      <c r="R668" s="396">
        <v>69474.13</v>
      </c>
      <c r="S668" s="357">
        <f t="shared" si="100"/>
        <v>1254390.0737500002</v>
      </c>
      <c r="U668" s="358"/>
      <c r="V668" s="359"/>
      <c r="W668" s="359">
        <f t="shared" si="122"/>
        <v>1254390.0737500002</v>
      </c>
      <c r="X668" s="360"/>
      <c r="Y668" s="359"/>
      <c r="Z668" s="359"/>
      <c r="AA668" s="358"/>
      <c r="AB668" s="359"/>
      <c r="AC668" s="309">
        <f t="shared" si="123"/>
        <v>1254390.0737500002</v>
      </c>
      <c r="AF668" s="289">
        <f t="shared" si="117"/>
        <v>0</v>
      </c>
      <c r="AH668" s="271">
        <f>AH173-AH667</f>
        <v>9253923.5770833343</v>
      </c>
      <c r="AI668" s="113" t="s">
        <v>3264</v>
      </c>
    </row>
    <row r="669" spans="1:35">
      <c r="A669" s="113">
        <v>654</v>
      </c>
      <c r="B669" s="119" t="s">
        <v>1523</v>
      </c>
      <c r="C669" s="119" t="s">
        <v>2779</v>
      </c>
      <c r="D669" s="119" t="s">
        <v>2777</v>
      </c>
      <c r="E669" s="1381" t="s">
        <v>2782</v>
      </c>
      <c r="F669" s="396">
        <v>-32783.61</v>
      </c>
      <c r="G669" s="396">
        <v>11060.28</v>
      </c>
      <c r="H669" s="396">
        <v>24218.81</v>
      </c>
      <c r="I669" s="396">
        <v>37927.86</v>
      </c>
      <c r="J669" s="396">
        <v>84730.23</v>
      </c>
      <c r="K669" s="396">
        <v>110333.61</v>
      </c>
      <c r="L669" s="396">
        <v>122736.91</v>
      </c>
      <c r="M669" s="396">
        <v>129320.82</v>
      </c>
      <c r="N669" s="396">
        <v>128924.94</v>
      </c>
      <c r="O669" s="396">
        <v>124304.17</v>
      </c>
      <c r="P669" s="396">
        <v>87626.94</v>
      </c>
      <c r="Q669" s="396">
        <v>38331.339999999997</v>
      </c>
      <c r="R669" s="396">
        <v>3842.81</v>
      </c>
      <c r="S669" s="357">
        <f t="shared" si="100"/>
        <v>73753.792499999996</v>
      </c>
      <c r="U669" s="358"/>
      <c r="V669" s="359"/>
      <c r="W669" s="359">
        <f t="shared" si="122"/>
        <v>73753.792499999996</v>
      </c>
      <c r="X669" s="360"/>
      <c r="Y669" s="359"/>
      <c r="Z669" s="359"/>
      <c r="AA669" s="358"/>
      <c r="AB669" s="359"/>
      <c r="AC669" s="309">
        <f t="shared" si="123"/>
        <v>73753.792499999996</v>
      </c>
      <c r="AF669" s="289">
        <f t="shared" si="117"/>
        <v>0</v>
      </c>
    </row>
    <row r="670" spans="1:35">
      <c r="A670" s="113">
        <v>655</v>
      </c>
      <c r="B670" s="119" t="s">
        <v>1523</v>
      </c>
      <c r="C670" s="119" t="s">
        <v>2783</v>
      </c>
      <c r="D670" s="119" t="s">
        <v>2784</v>
      </c>
      <c r="E670" s="374" t="s">
        <v>2785</v>
      </c>
      <c r="F670" s="396">
        <v>-159699.38</v>
      </c>
      <c r="G670" s="396">
        <v>-17463.939999999999</v>
      </c>
      <c r="H670" s="396">
        <v>-42557.21</v>
      </c>
      <c r="I670" s="396">
        <v>-50978.58</v>
      </c>
      <c r="J670" s="396">
        <v>-53179.44</v>
      </c>
      <c r="K670" s="396">
        <v>-55573.52</v>
      </c>
      <c r="L670" s="396">
        <v>-57290.42</v>
      </c>
      <c r="M670" s="396">
        <v>-59740.42</v>
      </c>
      <c r="N670" s="396">
        <v>-61715.42</v>
      </c>
      <c r="O670" s="396">
        <v>-64347.74</v>
      </c>
      <c r="P670" s="396">
        <v>-66647.740000000005</v>
      </c>
      <c r="Q670" s="396">
        <v>-69072.740000000005</v>
      </c>
      <c r="R670" s="396">
        <v>-71847.740000000005</v>
      </c>
      <c r="S670" s="357">
        <f t="shared" si="100"/>
        <v>-59528.394166666665</v>
      </c>
      <c r="U670" s="358"/>
      <c r="V670" s="359"/>
      <c r="W670" s="359">
        <f t="shared" si="122"/>
        <v>-59528.394166666665</v>
      </c>
      <c r="X670" s="360"/>
      <c r="Y670" s="359"/>
      <c r="Z670" s="359"/>
      <c r="AA670" s="358"/>
      <c r="AB670" s="359"/>
      <c r="AC670" s="271">
        <f t="shared" si="123"/>
        <v>-59528.394166666665</v>
      </c>
      <c r="AF670" s="289">
        <f t="shared" si="117"/>
        <v>0</v>
      </c>
    </row>
    <row r="671" spans="1:35">
      <c r="A671" s="113">
        <v>656</v>
      </c>
      <c r="B671" s="119" t="s">
        <v>1523</v>
      </c>
      <c r="C671" s="119" t="s">
        <v>2783</v>
      </c>
      <c r="D671" s="119" t="s">
        <v>2786</v>
      </c>
      <c r="E671" s="374" t="s">
        <v>2787</v>
      </c>
      <c r="F671" s="396">
        <v>-10284.31</v>
      </c>
      <c r="G671" s="396">
        <v>0</v>
      </c>
      <c r="H671" s="396">
        <v>-4050.65</v>
      </c>
      <c r="I671" s="396">
        <v>-4050.65</v>
      </c>
      <c r="J671" s="396">
        <v>-8620.81</v>
      </c>
      <c r="K671" s="396">
        <v>-9664.25</v>
      </c>
      <c r="L671" s="396">
        <v>-70985.960000000006</v>
      </c>
      <c r="M671" s="396">
        <v>-73179.61</v>
      </c>
      <c r="N671" s="396">
        <v>-75728.98</v>
      </c>
      <c r="O671" s="396">
        <v>-77604.2</v>
      </c>
      <c r="P671" s="396">
        <v>-78318.880000000005</v>
      </c>
      <c r="Q671" s="396">
        <v>-18395.939999999999</v>
      </c>
      <c r="R671" s="396">
        <v>-17627.400000000001</v>
      </c>
      <c r="S671" s="357">
        <f t="shared" si="100"/>
        <v>-36212.982083333329</v>
      </c>
      <c r="U671" s="358"/>
      <c r="V671" s="359"/>
      <c r="W671" s="359">
        <f t="shared" si="122"/>
        <v>-36212.982083333329</v>
      </c>
      <c r="X671" s="360"/>
      <c r="Y671" s="359"/>
      <c r="Z671" s="359"/>
      <c r="AA671" s="358"/>
      <c r="AB671" s="359"/>
      <c r="AC671" s="271">
        <f t="shared" si="123"/>
        <v>-36212.982083333329</v>
      </c>
      <c r="AF671" s="289">
        <f t="shared" si="117"/>
        <v>0</v>
      </c>
    </row>
    <row r="672" spans="1:35">
      <c r="A672" s="113">
        <v>657</v>
      </c>
      <c r="B672" s="119" t="s">
        <v>1523</v>
      </c>
      <c r="C672" s="119" t="s">
        <v>564</v>
      </c>
      <c r="D672" s="119" t="s">
        <v>2788</v>
      </c>
      <c r="E672" s="374" t="s">
        <v>2789</v>
      </c>
      <c r="F672" s="396">
        <v>-2947273.72</v>
      </c>
      <c r="G672" s="396">
        <v>-244454.24</v>
      </c>
      <c r="H672" s="396">
        <v>-485472.07</v>
      </c>
      <c r="I672" s="396">
        <v>-725365.28</v>
      </c>
      <c r="J672" s="396">
        <v>-971257.9</v>
      </c>
      <c r="K672" s="396">
        <v>-1175210.28</v>
      </c>
      <c r="L672" s="396">
        <v>-1397171.6</v>
      </c>
      <c r="M672" s="396">
        <v>-1618435.49</v>
      </c>
      <c r="N672" s="396">
        <v>-1846476.89</v>
      </c>
      <c r="O672" s="396">
        <v>-2080514.76</v>
      </c>
      <c r="P672" s="396">
        <v>-2317067.89</v>
      </c>
      <c r="Q672" s="396">
        <v>-2572878.27</v>
      </c>
      <c r="R672" s="396">
        <v>-2807769.13</v>
      </c>
      <c r="S672" s="357">
        <f t="shared" si="100"/>
        <v>-1525985.5079166668</v>
      </c>
      <c r="U672" s="358"/>
      <c r="V672" s="359"/>
      <c r="W672" s="359">
        <f t="shared" si="122"/>
        <v>-1525985.5079166668</v>
      </c>
      <c r="X672" s="360"/>
      <c r="Y672" s="359"/>
      <c r="Z672" s="359"/>
      <c r="AA672" s="358"/>
      <c r="AB672" s="359"/>
      <c r="AC672" s="271">
        <f t="shared" si="123"/>
        <v>-1525985.5079166668</v>
      </c>
      <c r="AF672" s="289">
        <f t="shared" si="117"/>
        <v>0</v>
      </c>
    </row>
    <row r="673" spans="1:32">
      <c r="A673" s="113">
        <v>658</v>
      </c>
      <c r="B673" s="119" t="s">
        <v>1523</v>
      </c>
      <c r="C673" s="119" t="s">
        <v>564</v>
      </c>
      <c r="D673" s="119" t="s">
        <v>2790</v>
      </c>
      <c r="E673" s="374" t="s">
        <v>2791</v>
      </c>
      <c r="F673" s="396">
        <v>-1453712.59</v>
      </c>
      <c r="G673" s="396">
        <v>-131522.85999999999</v>
      </c>
      <c r="H673" s="396">
        <v>-261943.67999999999</v>
      </c>
      <c r="I673" s="396">
        <v>-376934.33</v>
      </c>
      <c r="J673" s="396">
        <v>-506511.11</v>
      </c>
      <c r="K673" s="396">
        <v>-619526.55000000005</v>
      </c>
      <c r="L673" s="396">
        <v>-712149.07</v>
      </c>
      <c r="M673" s="396">
        <v>-820366.78</v>
      </c>
      <c r="N673" s="396">
        <v>-928963.11</v>
      </c>
      <c r="O673" s="396">
        <v>-1052932.1499999999</v>
      </c>
      <c r="P673" s="396">
        <v>-1180478.55</v>
      </c>
      <c r="Q673" s="396">
        <v>-1303576.45</v>
      </c>
      <c r="R673" s="396">
        <v>-1413471.32</v>
      </c>
      <c r="S673" s="357">
        <f t="shared" si="100"/>
        <v>-777374.71625000006</v>
      </c>
      <c r="U673" s="358"/>
      <c r="V673" s="359"/>
      <c r="W673" s="359">
        <f t="shared" si="122"/>
        <v>-777374.71625000006</v>
      </c>
      <c r="X673" s="360"/>
      <c r="Y673" s="359"/>
      <c r="Z673" s="359"/>
      <c r="AA673" s="358"/>
      <c r="AB673" s="359"/>
      <c r="AC673" s="271">
        <f t="shared" si="123"/>
        <v>-777374.71625000006</v>
      </c>
      <c r="AF673" s="289">
        <f t="shared" si="117"/>
        <v>0</v>
      </c>
    </row>
    <row r="674" spans="1:32">
      <c r="A674" s="113">
        <v>659</v>
      </c>
      <c r="B674" s="119" t="s">
        <v>1523</v>
      </c>
      <c r="C674" s="119" t="s">
        <v>2792</v>
      </c>
      <c r="D674" s="119" t="s">
        <v>2788</v>
      </c>
      <c r="E674" s="1381" t="s">
        <v>2793</v>
      </c>
      <c r="F674" s="396">
        <v>-31143.1</v>
      </c>
      <c r="G674" s="396">
        <v>3367.84</v>
      </c>
      <c r="H674" s="396">
        <v>4439.42</v>
      </c>
      <c r="I674" s="396">
        <v>-106.05999999999899</v>
      </c>
      <c r="J674" s="396">
        <v>41021.129999999997</v>
      </c>
      <c r="K674" s="396">
        <v>23197.47</v>
      </c>
      <c r="L674" s="396">
        <v>23503.03</v>
      </c>
      <c r="M674" s="396">
        <v>16311.97</v>
      </c>
      <c r="N674" s="396">
        <v>10180.44</v>
      </c>
      <c r="O674" s="396">
        <v>7220.5100000000102</v>
      </c>
      <c r="P674" s="396">
        <v>-10018.99</v>
      </c>
      <c r="Q674" s="396">
        <v>10383.41</v>
      </c>
      <c r="R674" s="396">
        <v>-10450.790000000001</v>
      </c>
      <c r="S674" s="357">
        <f t="shared" si="100"/>
        <v>9058.6020833333332</v>
      </c>
      <c r="U674" s="358"/>
      <c r="V674" s="359"/>
      <c r="W674" s="359">
        <f t="shared" si="122"/>
        <v>9058.6020833333332</v>
      </c>
      <c r="X674" s="360"/>
      <c r="Y674" s="359"/>
      <c r="Z674" s="359"/>
      <c r="AA674" s="358"/>
      <c r="AB674" s="359"/>
      <c r="AC674" s="309">
        <f t="shared" si="123"/>
        <v>9058.6020833333332</v>
      </c>
      <c r="AF674" s="289">
        <f t="shared" si="117"/>
        <v>0</v>
      </c>
    </row>
    <row r="675" spans="1:32">
      <c r="A675" s="113">
        <v>660</v>
      </c>
      <c r="B675" s="113" t="s">
        <v>1523</v>
      </c>
      <c r="C675" s="119" t="s">
        <v>2792</v>
      </c>
      <c r="D675" s="119" t="s">
        <v>2790</v>
      </c>
      <c r="E675" s="1381" t="s">
        <v>2794</v>
      </c>
      <c r="F675" s="396">
        <v>-146.91999999999999</v>
      </c>
      <c r="G675" s="396">
        <v>1102.04</v>
      </c>
      <c r="H675" s="396">
        <v>16532.21</v>
      </c>
      <c r="I675" s="396">
        <v>1946.08</v>
      </c>
      <c r="J675" s="396">
        <v>16494.939999999999</v>
      </c>
      <c r="K675" s="396">
        <v>36887.86</v>
      </c>
      <c r="L675" s="396">
        <v>23305.15</v>
      </c>
      <c r="M675" s="396">
        <v>22926.53</v>
      </c>
      <c r="N675" s="396">
        <v>7553.82</v>
      </c>
      <c r="O675" s="396">
        <v>3976.46</v>
      </c>
      <c r="P675" s="396">
        <v>8424.9599999999991</v>
      </c>
      <c r="Q675" s="396">
        <v>21627.99</v>
      </c>
      <c r="R675" s="396">
        <v>18569.240000000002</v>
      </c>
      <c r="S675" s="357">
        <f t="shared" si="100"/>
        <v>14165.766666666668</v>
      </c>
      <c r="U675" s="358"/>
      <c r="V675" s="359"/>
      <c r="W675" s="359">
        <f t="shared" si="122"/>
        <v>14165.766666666668</v>
      </c>
      <c r="X675" s="360"/>
      <c r="Y675" s="359"/>
      <c r="Z675" s="359"/>
      <c r="AA675" s="358"/>
      <c r="AB675" s="359"/>
      <c r="AC675" s="309">
        <f t="shared" si="123"/>
        <v>14165.766666666668</v>
      </c>
      <c r="AF675" s="289">
        <f t="shared" si="117"/>
        <v>0</v>
      </c>
    </row>
    <row r="676" spans="1:32">
      <c r="A676" s="113">
        <v>661</v>
      </c>
      <c r="B676" s="113" t="s">
        <v>1523</v>
      </c>
      <c r="C676" s="119" t="s">
        <v>566</v>
      </c>
      <c r="D676" s="119"/>
      <c r="E676" s="374" t="s">
        <v>2795</v>
      </c>
      <c r="F676" s="396">
        <v>-12000</v>
      </c>
      <c r="G676" s="396">
        <v>-1000</v>
      </c>
      <c r="H676" s="396">
        <v>-3000</v>
      </c>
      <c r="I676" s="396">
        <v>-3000</v>
      </c>
      <c r="J676" s="396">
        <v>-5000</v>
      </c>
      <c r="K676" s="396">
        <v>-6000</v>
      </c>
      <c r="L676" s="396">
        <v>-6000</v>
      </c>
      <c r="M676" s="396">
        <v>-8000</v>
      </c>
      <c r="N676" s="396">
        <v>-9000</v>
      </c>
      <c r="O676" s="396">
        <v>-10000</v>
      </c>
      <c r="P676" s="396">
        <v>-11000</v>
      </c>
      <c r="Q676" s="396">
        <v>-12000</v>
      </c>
      <c r="R676" s="396">
        <v>-13000</v>
      </c>
      <c r="S676" s="357">
        <f t="shared" si="100"/>
        <v>-7208.333333333333</v>
      </c>
      <c r="U676" s="358"/>
      <c r="V676" s="359"/>
      <c r="W676" s="359">
        <f t="shared" si="122"/>
        <v>-7208.333333333333</v>
      </c>
      <c r="X676" s="360"/>
      <c r="Y676" s="359"/>
      <c r="Z676" s="359"/>
      <c r="AA676" s="358"/>
      <c r="AB676" s="359"/>
      <c r="AC676" s="271">
        <f t="shared" si="123"/>
        <v>-7208.333333333333</v>
      </c>
      <c r="AF676" s="289">
        <f t="shared" si="117"/>
        <v>0</v>
      </c>
    </row>
    <row r="677" spans="1:32">
      <c r="A677" s="113">
        <v>662</v>
      </c>
      <c r="B677" s="113" t="s">
        <v>1523</v>
      </c>
      <c r="C677" s="119" t="s">
        <v>568</v>
      </c>
      <c r="D677" s="119" t="s">
        <v>2796</v>
      </c>
      <c r="E677" s="374" t="s">
        <v>2797</v>
      </c>
      <c r="F677" s="396">
        <v>0</v>
      </c>
      <c r="G677" s="396">
        <v>0</v>
      </c>
      <c r="H677" s="396">
        <v>0</v>
      </c>
      <c r="I677" s="396">
        <v>0</v>
      </c>
      <c r="J677" s="396">
        <v>0</v>
      </c>
      <c r="K677" s="396">
        <v>0</v>
      </c>
      <c r="L677" s="396">
        <v>0</v>
      </c>
      <c r="M677" s="396">
        <v>0</v>
      </c>
      <c r="N677" s="396">
        <v>0</v>
      </c>
      <c r="O677" s="396">
        <v>0</v>
      </c>
      <c r="P677" s="396">
        <v>0</v>
      </c>
      <c r="Q677" s="396">
        <v>0</v>
      </c>
      <c r="R677" s="396">
        <v>0</v>
      </c>
      <c r="S677" s="357">
        <f t="shared" si="100"/>
        <v>0</v>
      </c>
      <c r="U677" s="358"/>
      <c r="V677" s="359"/>
      <c r="W677" s="359">
        <f t="shared" si="122"/>
        <v>0</v>
      </c>
      <c r="X677" s="360"/>
      <c r="Y677" s="359"/>
      <c r="Z677" s="359"/>
      <c r="AA677" s="358"/>
      <c r="AB677" s="359"/>
      <c r="AC677" s="271">
        <f t="shared" si="123"/>
        <v>0</v>
      </c>
      <c r="AF677" s="289">
        <f t="shared" si="117"/>
        <v>0</v>
      </c>
    </row>
    <row r="678" spans="1:32">
      <c r="A678" s="113">
        <v>663</v>
      </c>
      <c r="B678" s="119" t="s">
        <v>1523</v>
      </c>
      <c r="C678" s="119" t="s">
        <v>568</v>
      </c>
      <c r="D678" s="119" t="s">
        <v>2760</v>
      </c>
      <c r="E678" s="374" t="s">
        <v>2761</v>
      </c>
      <c r="F678" s="396">
        <v>-615</v>
      </c>
      <c r="G678" s="396">
        <v>0</v>
      </c>
      <c r="H678" s="396">
        <v>-425</v>
      </c>
      <c r="I678" s="396">
        <v>-425</v>
      </c>
      <c r="J678" s="396">
        <v>-425</v>
      </c>
      <c r="K678" s="396">
        <v>-425</v>
      </c>
      <c r="L678" s="396">
        <v>-735.22</v>
      </c>
      <c r="M678" s="396">
        <v>-735.22</v>
      </c>
      <c r="N678" s="396">
        <v>-735.22</v>
      </c>
      <c r="O678" s="396">
        <v>-735.22</v>
      </c>
      <c r="P678" s="396">
        <v>-735.22</v>
      </c>
      <c r="Q678" s="396">
        <v>-735.22</v>
      </c>
      <c r="R678" s="396">
        <v>-735.22</v>
      </c>
      <c r="S678" s="357">
        <f t="shared" si="100"/>
        <v>-565.53583333333347</v>
      </c>
      <c r="U678" s="358"/>
      <c r="V678" s="359"/>
      <c r="W678" s="359">
        <f t="shared" si="122"/>
        <v>-565.53583333333347</v>
      </c>
      <c r="X678" s="360"/>
      <c r="Y678" s="359"/>
      <c r="Z678" s="359"/>
      <c r="AA678" s="358"/>
      <c r="AB678" s="359"/>
      <c r="AC678" s="271">
        <f t="shared" si="123"/>
        <v>-565.53583333333347</v>
      </c>
      <c r="AF678" s="289">
        <f t="shared" si="117"/>
        <v>0</v>
      </c>
    </row>
    <row r="679" spans="1:32">
      <c r="A679" s="113">
        <v>664</v>
      </c>
      <c r="B679" s="119" t="s">
        <v>1523</v>
      </c>
      <c r="C679" s="119" t="s">
        <v>568</v>
      </c>
      <c r="D679" s="119" t="s">
        <v>2798</v>
      </c>
      <c r="E679" s="374" t="s">
        <v>2799</v>
      </c>
      <c r="F679" s="396">
        <v>-459.07</v>
      </c>
      <c r="G679" s="396">
        <v>0</v>
      </c>
      <c r="H679" s="396">
        <v>0</v>
      </c>
      <c r="I679" s="396">
        <v>-156.1</v>
      </c>
      <c r="J679" s="396">
        <v>-156.1</v>
      </c>
      <c r="K679" s="396">
        <v>-329.7</v>
      </c>
      <c r="L679" s="396">
        <v>-329.7</v>
      </c>
      <c r="M679" s="396">
        <v>-329.7</v>
      </c>
      <c r="N679" s="396">
        <v>-329.7</v>
      </c>
      <c r="O679" s="396">
        <v>-369.7</v>
      </c>
      <c r="P679" s="396">
        <v>-369.7</v>
      </c>
      <c r="Q679" s="396">
        <v>-369.7</v>
      </c>
      <c r="R679" s="396">
        <v>-504.85</v>
      </c>
      <c r="S679" s="357">
        <f t="shared" si="100"/>
        <v>-268.505</v>
      </c>
      <c r="U679" s="358"/>
      <c r="V679" s="359"/>
      <c r="W679" s="359">
        <f t="shared" si="122"/>
        <v>-268.505</v>
      </c>
      <c r="X679" s="360"/>
      <c r="Y679" s="359"/>
      <c r="Z679" s="359"/>
      <c r="AA679" s="358"/>
      <c r="AB679" s="359"/>
      <c r="AC679" s="271">
        <f t="shared" si="123"/>
        <v>-268.505</v>
      </c>
      <c r="AF679" s="289">
        <f t="shared" si="117"/>
        <v>0</v>
      </c>
    </row>
    <row r="680" spans="1:32">
      <c r="A680" s="113">
        <v>665</v>
      </c>
      <c r="B680" s="119" t="s">
        <v>1543</v>
      </c>
      <c r="C680" s="119" t="s">
        <v>568</v>
      </c>
      <c r="D680" s="119" t="s">
        <v>2786</v>
      </c>
      <c r="E680" s="374" t="s">
        <v>2800</v>
      </c>
      <c r="F680" s="396">
        <v>-12362.01</v>
      </c>
      <c r="G680" s="396">
        <v>0</v>
      </c>
      <c r="H680" s="396">
        <v>0</v>
      </c>
      <c r="I680" s="396">
        <v>0</v>
      </c>
      <c r="J680" s="396">
        <v>-2332.33</v>
      </c>
      <c r="K680" s="396">
        <v>-2332.33</v>
      </c>
      <c r="L680" s="396">
        <v>-60496.39</v>
      </c>
      <c r="M680" s="396">
        <v>-60496.39</v>
      </c>
      <c r="N680" s="396">
        <v>-60496.39</v>
      </c>
      <c r="O680" s="396">
        <v>-60496.39</v>
      </c>
      <c r="P680" s="396">
        <v>-2332.33</v>
      </c>
      <c r="Q680" s="396">
        <v>-2332.33</v>
      </c>
      <c r="R680" s="396">
        <v>-2332.33</v>
      </c>
      <c r="S680" s="357">
        <f t="shared" si="100"/>
        <v>-21555.170833333334</v>
      </c>
      <c r="U680" s="358"/>
      <c r="V680" s="359"/>
      <c r="W680" s="359">
        <f t="shared" si="122"/>
        <v>-21555.170833333334</v>
      </c>
      <c r="X680" s="360"/>
      <c r="Y680" s="359"/>
      <c r="Z680" s="359"/>
      <c r="AA680" s="358"/>
      <c r="AB680" s="359"/>
      <c r="AC680" s="271">
        <f t="shared" si="123"/>
        <v>-21555.170833333334</v>
      </c>
      <c r="AF680" s="289">
        <f t="shared" si="117"/>
        <v>0</v>
      </c>
    </row>
    <row r="681" spans="1:32">
      <c r="A681" s="113">
        <v>666</v>
      </c>
      <c r="B681" s="119" t="s">
        <v>1543</v>
      </c>
      <c r="C681" s="119" t="s">
        <v>2801</v>
      </c>
      <c r="D681" s="119"/>
      <c r="E681" s="374" t="s">
        <v>2802</v>
      </c>
      <c r="F681" s="396">
        <v>299675.57</v>
      </c>
      <c r="G681" s="396">
        <v>-230134.13</v>
      </c>
      <c r="H681" s="396">
        <v>-407238.13</v>
      </c>
      <c r="I681" s="396">
        <v>-564522.54</v>
      </c>
      <c r="J681" s="396">
        <v>-644946.07999999996</v>
      </c>
      <c r="K681" s="396">
        <v>-680875.16</v>
      </c>
      <c r="L681" s="396">
        <v>-700965.33</v>
      </c>
      <c r="M681" s="396">
        <v>-706838.32</v>
      </c>
      <c r="N681" s="396">
        <v>-711887.13</v>
      </c>
      <c r="O681" s="396">
        <v>-722967.93</v>
      </c>
      <c r="P681" s="396">
        <v>-797324.02</v>
      </c>
      <c r="Q681" s="396">
        <v>-824945.43</v>
      </c>
      <c r="R681" s="396">
        <v>-863840.52</v>
      </c>
      <c r="S681" s="357">
        <f t="shared" si="100"/>
        <v>-606227.22291666653</v>
      </c>
      <c r="U681" s="358"/>
      <c r="V681" s="359"/>
      <c r="W681" s="359">
        <f t="shared" si="122"/>
        <v>-606227.22291666653</v>
      </c>
      <c r="X681" s="360"/>
      <c r="Y681" s="359"/>
      <c r="Z681" s="359"/>
      <c r="AA681" s="358"/>
      <c r="AB681" s="359"/>
      <c r="AC681" s="271">
        <f t="shared" si="123"/>
        <v>-606227.22291666653</v>
      </c>
      <c r="AF681" s="289">
        <f t="shared" si="117"/>
        <v>0</v>
      </c>
    </row>
    <row r="682" spans="1:32">
      <c r="A682" s="113">
        <v>667</v>
      </c>
      <c r="B682" s="113" t="s">
        <v>1543</v>
      </c>
      <c r="C682" s="119" t="s">
        <v>2801</v>
      </c>
      <c r="D682" s="119" t="s">
        <v>1503</v>
      </c>
      <c r="E682" s="374" t="s">
        <v>2803</v>
      </c>
      <c r="F682" s="396">
        <v>-31522.11</v>
      </c>
      <c r="G682" s="396">
        <v>-11956.14</v>
      </c>
      <c r="H682" s="396">
        <v>-24114.14</v>
      </c>
      <c r="I682" s="396">
        <v>-36428.28</v>
      </c>
      <c r="J682" s="396">
        <v>-44462.35</v>
      </c>
      <c r="K682" s="396">
        <v>-54889.85</v>
      </c>
      <c r="L682" s="396">
        <v>-64771.94</v>
      </c>
      <c r="M682" s="396">
        <v>-75807.59</v>
      </c>
      <c r="N682" s="396">
        <v>-88060.67</v>
      </c>
      <c r="O682" s="396">
        <v>-100711.34</v>
      </c>
      <c r="P682" s="396">
        <v>-114671.03</v>
      </c>
      <c r="Q682" s="396">
        <v>-117742.83</v>
      </c>
      <c r="R682" s="396">
        <v>-121397.73</v>
      </c>
      <c r="S682" s="357">
        <f t="shared" si="100"/>
        <v>-67506.340000000011</v>
      </c>
      <c r="U682" s="358"/>
      <c r="V682" s="359"/>
      <c r="W682" s="359">
        <f t="shared" si="122"/>
        <v>-67506.340000000011</v>
      </c>
      <c r="X682" s="360"/>
      <c r="Y682" s="359"/>
      <c r="Z682" s="359"/>
      <c r="AA682" s="358"/>
      <c r="AB682" s="359"/>
      <c r="AC682" s="271">
        <f t="shared" si="123"/>
        <v>-67506.340000000011</v>
      </c>
      <c r="AF682" s="289">
        <f t="shared" si="117"/>
        <v>0</v>
      </c>
    </row>
    <row r="683" spans="1:32">
      <c r="A683" s="113">
        <v>668</v>
      </c>
      <c r="B683" s="113" t="s">
        <v>1523</v>
      </c>
      <c r="C683" s="119" t="s">
        <v>2762</v>
      </c>
      <c r="D683" s="119" t="s">
        <v>2763</v>
      </c>
      <c r="E683" s="374" t="s">
        <v>2764</v>
      </c>
      <c r="F683" s="396">
        <v>-116095325.08</v>
      </c>
      <c r="G683" s="396">
        <v>-20228740.379999999</v>
      </c>
      <c r="H683" s="396">
        <v>-36926658.740000002</v>
      </c>
      <c r="I683" s="396">
        <v>-53892030.479999997</v>
      </c>
      <c r="J683" s="396">
        <v>-67753808.420000002</v>
      </c>
      <c r="K683" s="396">
        <v>-75055302.180000007</v>
      </c>
      <c r="L683" s="396">
        <v>-80696121.379999995</v>
      </c>
      <c r="M683" s="396">
        <v>-85437087.810000002</v>
      </c>
      <c r="N683" s="396">
        <v>-88990041</v>
      </c>
      <c r="O683" s="396">
        <v>-92741378.829999998</v>
      </c>
      <c r="P683" s="396">
        <v>-97675258.519999996</v>
      </c>
      <c r="Q683" s="396">
        <v>-108395481.86</v>
      </c>
      <c r="R683" s="396">
        <v>-126773676.98</v>
      </c>
      <c r="S683" s="357">
        <f t="shared" si="100"/>
        <v>-77435534.219166666</v>
      </c>
      <c r="U683" s="358"/>
      <c r="V683" s="359"/>
      <c r="W683" s="359">
        <f t="shared" si="122"/>
        <v>-77435534.219166666</v>
      </c>
      <c r="X683" s="360"/>
      <c r="Y683" s="359"/>
      <c r="Z683" s="359"/>
      <c r="AA683" s="358"/>
      <c r="AB683" s="359"/>
      <c r="AC683" s="271">
        <f t="shared" si="123"/>
        <v>-77435534.219166666</v>
      </c>
      <c r="AF683" s="289">
        <f t="shared" si="117"/>
        <v>0</v>
      </c>
    </row>
    <row r="684" spans="1:32">
      <c r="A684" s="113">
        <v>669</v>
      </c>
      <c r="B684" s="119" t="s">
        <v>1523</v>
      </c>
      <c r="C684" s="119" t="s">
        <v>2762</v>
      </c>
      <c r="D684" s="119" t="s">
        <v>2765</v>
      </c>
      <c r="E684" s="374" t="s">
        <v>2804</v>
      </c>
      <c r="F684" s="396">
        <v>1197917.97</v>
      </c>
      <c r="G684" s="396">
        <v>-104974.89</v>
      </c>
      <c r="H684" s="396">
        <v>138449.13</v>
      </c>
      <c r="I684" s="396">
        <v>385717.14</v>
      </c>
      <c r="J684" s="396">
        <v>2893.4700000000298</v>
      </c>
      <c r="K684" s="396">
        <v>-179639.14</v>
      </c>
      <c r="L684" s="396">
        <v>-136917.29999999999</v>
      </c>
      <c r="M684" s="396">
        <v>68008.11</v>
      </c>
      <c r="N684" s="396">
        <v>623718.57999999996</v>
      </c>
      <c r="O684" s="396">
        <v>415301.76</v>
      </c>
      <c r="P684" s="396">
        <v>179463.29</v>
      </c>
      <c r="Q684" s="396">
        <v>-162965.16</v>
      </c>
      <c r="R684" s="396">
        <v>-1348414.41</v>
      </c>
      <c r="S684" s="357">
        <f t="shared" si="100"/>
        <v>96150.564166666663</v>
      </c>
      <c r="U684" s="358"/>
      <c r="V684" s="359"/>
      <c r="W684" s="359">
        <f t="shared" si="122"/>
        <v>96150.564166666663</v>
      </c>
      <c r="X684" s="360"/>
      <c r="Y684" s="359"/>
      <c r="Z684" s="359"/>
      <c r="AA684" s="358"/>
      <c r="AB684" s="359"/>
      <c r="AC684" s="271">
        <f t="shared" si="123"/>
        <v>96150.564166666663</v>
      </c>
      <c r="AF684" s="289">
        <f t="shared" si="117"/>
        <v>0</v>
      </c>
    </row>
    <row r="685" spans="1:32">
      <c r="A685" s="113">
        <v>670</v>
      </c>
      <c r="B685" s="119" t="s">
        <v>1523</v>
      </c>
      <c r="C685" s="119" t="s">
        <v>2762</v>
      </c>
      <c r="D685" s="119" t="s">
        <v>2805</v>
      </c>
      <c r="E685" s="374" t="s">
        <v>2806</v>
      </c>
      <c r="F685" s="396">
        <v>-3574036.83</v>
      </c>
      <c r="G685" s="396">
        <v>-563972.34</v>
      </c>
      <c r="H685" s="396">
        <v>-1024450.05</v>
      </c>
      <c r="I685" s="396">
        <v>-1488296.75</v>
      </c>
      <c r="J685" s="396">
        <v>-1854691.98</v>
      </c>
      <c r="K685" s="396">
        <v>-2033791.18</v>
      </c>
      <c r="L685" s="396">
        <v>-2165453.2400000002</v>
      </c>
      <c r="M685" s="396">
        <v>-2271322.9900000002</v>
      </c>
      <c r="N685" s="396">
        <v>-2343194.94</v>
      </c>
      <c r="O685" s="396">
        <v>-2420750.34</v>
      </c>
      <c r="P685" s="396">
        <v>-2532085.23</v>
      </c>
      <c r="Q685" s="396">
        <v>-2806933.19</v>
      </c>
      <c r="R685" s="396">
        <v>-3292483.2</v>
      </c>
      <c r="S685" s="357">
        <f t="shared" si="100"/>
        <v>-2078183.5204166668</v>
      </c>
      <c r="U685" s="358"/>
      <c r="V685" s="359"/>
      <c r="W685" s="359">
        <f t="shared" si="122"/>
        <v>-2078183.5204166668</v>
      </c>
      <c r="X685" s="360"/>
      <c r="Y685" s="359"/>
      <c r="Z685" s="359"/>
      <c r="AA685" s="358"/>
      <c r="AB685" s="359"/>
      <c r="AC685" s="271">
        <f t="shared" si="123"/>
        <v>-2078183.5204166668</v>
      </c>
      <c r="AF685" s="289">
        <f t="shared" si="117"/>
        <v>0</v>
      </c>
    </row>
    <row r="686" spans="1:32">
      <c r="A686" s="113">
        <v>671</v>
      </c>
      <c r="B686" s="119" t="s">
        <v>1523</v>
      </c>
      <c r="C686" s="119" t="s">
        <v>2762</v>
      </c>
      <c r="D686" s="119" t="s">
        <v>2767</v>
      </c>
      <c r="E686" s="374" t="s">
        <v>2768</v>
      </c>
      <c r="F686" s="396">
        <v>-11495619.82</v>
      </c>
      <c r="G686" s="396">
        <v>-1462618.88</v>
      </c>
      <c r="H686" s="396">
        <v>-2751149.17</v>
      </c>
      <c r="I686" s="396">
        <v>-4003119.78</v>
      </c>
      <c r="J686" s="396">
        <v>-5262593.6500000004</v>
      </c>
      <c r="K686" s="396">
        <v>-5991319.5499999998</v>
      </c>
      <c r="L686" s="396">
        <v>-6806197.96</v>
      </c>
      <c r="M686" s="396">
        <v>-7500981.6299999999</v>
      </c>
      <c r="N686" s="396">
        <v>-8119686.1799999997</v>
      </c>
      <c r="O686" s="396">
        <v>-8856803.5899999999</v>
      </c>
      <c r="P686" s="396">
        <v>-9882150.6899999995</v>
      </c>
      <c r="Q686" s="396">
        <v>-10816254.710000001</v>
      </c>
      <c r="R686" s="396">
        <v>-12197089.220000001</v>
      </c>
      <c r="S686" s="357">
        <f t="shared" si="100"/>
        <v>-6941602.525833332</v>
      </c>
      <c r="U686" s="358"/>
      <c r="V686" s="359"/>
      <c r="W686" s="359">
        <f t="shared" si="122"/>
        <v>-6941602.525833332</v>
      </c>
      <c r="X686" s="360"/>
      <c r="Y686" s="359"/>
      <c r="Z686" s="359"/>
      <c r="AA686" s="358"/>
      <c r="AB686" s="359"/>
      <c r="AC686" s="271">
        <f t="shared" si="123"/>
        <v>-6941602.525833332</v>
      </c>
      <c r="AF686" s="289">
        <f t="shared" si="117"/>
        <v>0</v>
      </c>
    </row>
    <row r="687" spans="1:32">
      <c r="A687" s="113">
        <v>672</v>
      </c>
      <c r="B687" s="119" t="s">
        <v>1523</v>
      </c>
      <c r="C687" s="119" t="s">
        <v>2762</v>
      </c>
      <c r="D687" s="119" t="s">
        <v>2807</v>
      </c>
      <c r="E687" s="374" t="s">
        <v>2808</v>
      </c>
      <c r="F687" s="396">
        <v>489197.46</v>
      </c>
      <c r="G687" s="396">
        <v>3438.12</v>
      </c>
      <c r="H687" s="396">
        <v>15909.85</v>
      </c>
      <c r="I687" s="396">
        <v>-18157.05</v>
      </c>
      <c r="J687" s="396">
        <v>9508.7099999999991</v>
      </c>
      <c r="K687" s="396">
        <v>-2673.84</v>
      </c>
      <c r="L687" s="396">
        <v>38410.239999999998</v>
      </c>
      <c r="M687" s="396">
        <v>72460.600000000006</v>
      </c>
      <c r="N687" s="396">
        <v>87226.89</v>
      </c>
      <c r="O687" s="396">
        <v>109637.73</v>
      </c>
      <c r="P687" s="396">
        <v>118821.14</v>
      </c>
      <c r="Q687" s="396">
        <v>114553.99</v>
      </c>
      <c r="R687" s="396">
        <v>116266.14</v>
      </c>
      <c r="S687" s="357">
        <f t="shared" si="100"/>
        <v>70989.014999999999</v>
      </c>
      <c r="U687" s="358"/>
      <c r="V687" s="359"/>
      <c r="W687" s="359">
        <f t="shared" si="122"/>
        <v>70989.014999999999</v>
      </c>
      <c r="X687" s="360"/>
      <c r="Y687" s="359"/>
      <c r="Z687" s="359"/>
      <c r="AA687" s="358"/>
      <c r="AB687" s="359"/>
      <c r="AC687" s="271">
        <f t="shared" si="123"/>
        <v>70989.014999999999</v>
      </c>
      <c r="AF687" s="289"/>
    </row>
    <row r="688" spans="1:32">
      <c r="A688" s="113">
        <v>673</v>
      </c>
      <c r="B688" s="119" t="s">
        <v>1523</v>
      </c>
      <c r="C688" s="119" t="s">
        <v>2762</v>
      </c>
      <c r="D688" s="119" t="s">
        <v>2809</v>
      </c>
      <c r="E688" s="374" t="s">
        <v>2810</v>
      </c>
      <c r="F688" s="396">
        <v>-473018.25</v>
      </c>
      <c r="G688" s="396">
        <v>-51390.43</v>
      </c>
      <c r="H688" s="396">
        <v>-96517.74</v>
      </c>
      <c r="I688" s="396">
        <v>-140013.82</v>
      </c>
      <c r="J688" s="396">
        <v>-183834.47</v>
      </c>
      <c r="K688" s="396">
        <v>-208455.53</v>
      </c>
      <c r="L688" s="396">
        <v>-236617.19</v>
      </c>
      <c r="M688" s="396">
        <v>-260227.98</v>
      </c>
      <c r="N688" s="396">
        <v>-281164.99</v>
      </c>
      <c r="O688" s="396">
        <v>-306480.55</v>
      </c>
      <c r="P688" s="396">
        <v>-342205.19</v>
      </c>
      <c r="Q688" s="396">
        <v>-373830.9</v>
      </c>
      <c r="R688" s="396">
        <v>-420513.53</v>
      </c>
      <c r="S688" s="357">
        <f t="shared" si="100"/>
        <v>-243958.72333333336</v>
      </c>
      <c r="U688" s="358"/>
      <c r="V688" s="359"/>
      <c r="W688" s="359">
        <f t="shared" si="122"/>
        <v>-243958.72333333336</v>
      </c>
      <c r="X688" s="360"/>
      <c r="Y688" s="359"/>
      <c r="Z688" s="359"/>
      <c r="AA688" s="358"/>
      <c r="AB688" s="359"/>
      <c r="AC688" s="271">
        <f t="shared" si="123"/>
        <v>-243958.72333333336</v>
      </c>
      <c r="AF688" s="289"/>
    </row>
    <row r="689" spans="1:32">
      <c r="A689" s="113">
        <v>674</v>
      </c>
      <c r="B689" s="119" t="s">
        <v>1543</v>
      </c>
      <c r="C689" s="119" t="s">
        <v>2762</v>
      </c>
      <c r="D689" s="119" t="s">
        <v>2769</v>
      </c>
      <c r="E689" s="374" t="s">
        <v>2770</v>
      </c>
      <c r="F689" s="396">
        <v>0</v>
      </c>
      <c r="G689" s="396">
        <v>0</v>
      </c>
      <c r="H689" s="396">
        <v>0</v>
      </c>
      <c r="I689" s="396">
        <v>0</v>
      </c>
      <c r="J689" s="396">
        <v>0</v>
      </c>
      <c r="K689" s="396">
        <v>0</v>
      </c>
      <c r="L689" s="396">
        <v>0</v>
      </c>
      <c r="M689" s="396">
        <v>0</v>
      </c>
      <c r="N689" s="396">
        <v>0</v>
      </c>
      <c r="O689" s="396">
        <v>0</v>
      </c>
      <c r="P689" s="396">
        <v>0</v>
      </c>
      <c r="Q689" s="396">
        <v>0</v>
      </c>
      <c r="R689" s="396">
        <v>0</v>
      </c>
      <c r="S689" s="357">
        <f t="shared" si="100"/>
        <v>0</v>
      </c>
      <c r="U689" s="358"/>
      <c r="V689" s="359"/>
      <c r="W689" s="359">
        <f t="shared" si="122"/>
        <v>0</v>
      </c>
      <c r="X689" s="360"/>
      <c r="Y689" s="359"/>
      <c r="Z689" s="359"/>
      <c r="AA689" s="358"/>
      <c r="AB689" s="359"/>
      <c r="AC689" s="271">
        <f t="shared" si="123"/>
        <v>0</v>
      </c>
      <c r="AF689" s="289">
        <f t="shared" si="117"/>
        <v>0</v>
      </c>
    </row>
    <row r="690" spans="1:32">
      <c r="A690" s="113">
        <v>675</v>
      </c>
      <c r="B690" s="113" t="s">
        <v>1543</v>
      </c>
      <c r="C690" s="119" t="s">
        <v>2762</v>
      </c>
      <c r="D690" s="119" t="s">
        <v>2771</v>
      </c>
      <c r="E690" s="374" t="s">
        <v>2772</v>
      </c>
      <c r="F690" s="396">
        <v>-84231132.900000006</v>
      </c>
      <c r="G690" s="396">
        <v>-14888070.109999999</v>
      </c>
      <c r="H690" s="396">
        <v>-27484377.559999999</v>
      </c>
      <c r="I690" s="396">
        <v>-40033716.609999999</v>
      </c>
      <c r="J690" s="396">
        <v>-49721361.119999997</v>
      </c>
      <c r="K690" s="396">
        <v>-54984453.719999999</v>
      </c>
      <c r="L690" s="396">
        <v>-59116957.229999997</v>
      </c>
      <c r="M690" s="396">
        <v>-62841871.899999999</v>
      </c>
      <c r="N690" s="396">
        <v>-65797967.420000002</v>
      </c>
      <c r="O690" s="396">
        <v>-68971745.409999996</v>
      </c>
      <c r="P690" s="396">
        <v>-72872341.769999996</v>
      </c>
      <c r="Q690" s="396">
        <v>-79599471.959999993</v>
      </c>
      <c r="R690" s="396">
        <v>-91749073.480000004</v>
      </c>
      <c r="S690" s="357">
        <f t="shared" si="100"/>
        <v>-57025203.166666664</v>
      </c>
      <c r="U690" s="358"/>
      <c r="V690" s="359"/>
      <c r="W690" s="359">
        <f t="shared" si="122"/>
        <v>-57025203.166666664</v>
      </c>
      <c r="X690" s="360"/>
      <c r="Y690" s="359"/>
      <c r="Z690" s="359"/>
      <c r="AA690" s="358"/>
      <c r="AB690" s="359"/>
      <c r="AC690" s="271">
        <f t="shared" si="123"/>
        <v>-57025203.166666664</v>
      </c>
      <c r="AF690" s="289">
        <f t="shared" si="117"/>
        <v>0</v>
      </c>
    </row>
    <row r="691" spans="1:32">
      <c r="A691" s="113">
        <v>676</v>
      </c>
      <c r="B691" s="113" t="s">
        <v>1523</v>
      </c>
      <c r="C691" s="119" t="s">
        <v>2762</v>
      </c>
      <c r="D691" s="119" t="s">
        <v>2773</v>
      </c>
      <c r="E691" s="374" t="s">
        <v>2811</v>
      </c>
      <c r="F691" s="396">
        <v>2558275.73</v>
      </c>
      <c r="G691" s="396">
        <v>-391893.76000000001</v>
      </c>
      <c r="H691" s="396">
        <v>-69918.490000000005</v>
      </c>
      <c r="I691" s="396">
        <v>200187.26</v>
      </c>
      <c r="J691" s="396">
        <v>-423735.82</v>
      </c>
      <c r="K691" s="396">
        <v>-601957.09</v>
      </c>
      <c r="L691" s="396">
        <v>-868350.38</v>
      </c>
      <c r="M691" s="396">
        <v>-903610.98</v>
      </c>
      <c r="N691" s="396">
        <v>-568906.81000000006</v>
      </c>
      <c r="O691" s="396">
        <v>-777456.86</v>
      </c>
      <c r="P691" s="396">
        <v>-884913.46</v>
      </c>
      <c r="Q691" s="396">
        <v>-1490470.59</v>
      </c>
      <c r="R691" s="396">
        <v>-1988745.98</v>
      </c>
      <c r="S691" s="357">
        <f t="shared" si="100"/>
        <v>-541355.17541666667</v>
      </c>
      <c r="U691" s="358"/>
      <c r="V691" s="359"/>
      <c r="W691" s="359">
        <f t="shared" si="122"/>
        <v>-541355.17541666667</v>
      </c>
      <c r="X691" s="360"/>
      <c r="Y691" s="359"/>
      <c r="Z691" s="359"/>
      <c r="AA691" s="358"/>
      <c r="AB691" s="359"/>
      <c r="AC691" s="271">
        <f t="shared" si="123"/>
        <v>-541355.17541666667</v>
      </c>
      <c r="AF691" s="289">
        <f t="shared" si="117"/>
        <v>0</v>
      </c>
    </row>
    <row r="692" spans="1:32">
      <c r="A692" s="113">
        <v>677</v>
      </c>
      <c r="B692" s="119" t="s">
        <v>1523</v>
      </c>
      <c r="C692" s="119" t="s">
        <v>2762</v>
      </c>
      <c r="D692" s="119" t="s">
        <v>2812</v>
      </c>
      <c r="E692" s="374" t="s">
        <v>2813</v>
      </c>
      <c r="F692" s="396">
        <v>-2955922.48</v>
      </c>
      <c r="G692" s="396">
        <v>-465479.03</v>
      </c>
      <c r="H692" s="396">
        <v>-859629.02</v>
      </c>
      <c r="I692" s="396">
        <v>-1249219.8500000001</v>
      </c>
      <c r="J692" s="396">
        <v>-1545699.37</v>
      </c>
      <c r="K692" s="396">
        <v>-1704453.67</v>
      </c>
      <c r="L692" s="396">
        <v>-1825848.33</v>
      </c>
      <c r="M692" s="396">
        <v>-1933603.71</v>
      </c>
      <c r="N692" s="396">
        <v>-2016818.01</v>
      </c>
      <c r="O692" s="396">
        <v>-2106251.15</v>
      </c>
      <c r="P692" s="396">
        <v>-2218564.89</v>
      </c>
      <c r="Q692" s="396">
        <v>-2412210.71</v>
      </c>
      <c r="R692" s="396">
        <v>-2766470.46</v>
      </c>
      <c r="S692" s="357">
        <f t="shared" si="100"/>
        <v>-1766581.1841666668</v>
      </c>
      <c r="U692" s="358"/>
      <c r="V692" s="359"/>
      <c r="W692" s="359">
        <f t="shared" si="122"/>
        <v>-1766581.1841666668</v>
      </c>
      <c r="X692" s="360"/>
      <c r="Y692" s="359"/>
      <c r="Z692" s="359"/>
      <c r="AA692" s="358"/>
      <c r="AB692" s="359"/>
      <c r="AC692" s="271">
        <f t="shared" si="123"/>
        <v>-1766581.1841666668</v>
      </c>
      <c r="AF692" s="289">
        <f t="shared" si="117"/>
        <v>0</v>
      </c>
    </row>
    <row r="693" spans="1:32">
      <c r="A693" s="113">
        <v>678</v>
      </c>
      <c r="B693" s="119" t="s">
        <v>1523</v>
      </c>
      <c r="C693" s="119" t="s">
        <v>2762</v>
      </c>
      <c r="D693" s="119" t="s">
        <v>2775</v>
      </c>
      <c r="E693" s="374" t="s">
        <v>2776</v>
      </c>
      <c r="F693" s="396">
        <v>-51429.03</v>
      </c>
      <c r="G693" s="396">
        <v>0</v>
      </c>
      <c r="H693" s="396">
        <v>-5344.32</v>
      </c>
      <c r="I693" s="396">
        <v>-6328.74</v>
      </c>
      <c r="J693" s="396">
        <v>-20308.54</v>
      </c>
      <c r="K693" s="396">
        <v>-20308.54</v>
      </c>
      <c r="L693" s="396">
        <v>-28720.99</v>
      </c>
      <c r="M693" s="396">
        <v>-28720.69</v>
      </c>
      <c r="N693" s="396">
        <v>-32843.03</v>
      </c>
      <c r="O693" s="396">
        <v>-32843.03</v>
      </c>
      <c r="P693" s="396">
        <v>-35511.550000000003</v>
      </c>
      <c r="Q693" s="396">
        <v>-24219.53</v>
      </c>
      <c r="R693" s="396">
        <v>-39244.629999999997</v>
      </c>
      <c r="S693" s="357">
        <f t="shared" si="100"/>
        <v>-23373.81583333333</v>
      </c>
      <c r="U693" s="358"/>
      <c r="V693" s="359"/>
      <c r="W693" s="359">
        <f t="shared" si="122"/>
        <v>-23373.81583333333</v>
      </c>
      <c r="X693" s="360"/>
      <c r="Y693" s="359"/>
      <c r="Z693" s="359"/>
      <c r="AA693" s="358"/>
      <c r="AB693" s="359"/>
      <c r="AC693" s="271">
        <f t="shared" si="123"/>
        <v>-23373.81583333333</v>
      </c>
      <c r="AF693" s="289">
        <f t="shared" si="117"/>
        <v>0</v>
      </c>
    </row>
    <row r="694" spans="1:32">
      <c r="A694" s="113">
        <v>679</v>
      </c>
      <c r="B694" s="119" t="s">
        <v>1523</v>
      </c>
      <c r="C694" s="119" t="s">
        <v>2762</v>
      </c>
      <c r="D694" s="119" t="s">
        <v>2814</v>
      </c>
      <c r="E694" s="374" t="s">
        <v>2815</v>
      </c>
      <c r="F694" s="396">
        <v>-1933.11</v>
      </c>
      <c r="G694" s="396">
        <v>-251.85</v>
      </c>
      <c r="H694" s="396">
        <v>-376.16</v>
      </c>
      <c r="I694" s="396">
        <v>-687.22</v>
      </c>
      <c r="J694" s="396">
        <v>-884.81</v>
      </c>
      <c r="K694" s="396">
        <v>-1089.51</v>
      </c>
      <c r="L694" s="396">
        <v>-1149.51</v>
      </c>
      <c r="M694" s="396">
        <v>-1209.51</v>
      </c>
      <c r="N694" s="396">
        <v>-1269.51</v>
      </c>
      <c r="O694" s="396">
        <v>-1329.51</v>
      </c>
      <c r="P694" s="396">
        <v>-1389.51</v>
      </c>
      <c r="Q694" s="396">
        <v>-1449.51</v>
      </c>
      <c r="R694" s="396">
        <v>-1509.51</v>
      </c>
      <c r="S694" s="357">
        <f t="shared" si="100"/>
        <v>-1067.3266666666666</v>
      </c>
      <c r="U694" s="358"/>
      <c r="V694" s="359"/>
      <c r="W694" s="359">
        <f t="shared" si="122"/>
        <v>-1067.3266666666666</v>
      </c>
      <c r="X694" s="360"/>
      <c r="Y694" s="359"/>
      <c r="Z694" s="359"/>
      <c r="AA694" s="358"/>
      <c r="AB694" s="359"/>
      <c r="AC694" s="271">
        <f t="shared" si="123"/>
        <v>-1067.3266666666666</v>
      </c>
      <c r="AF694" s="289">
        <f t="shared" ref="AF694:AF734" si="124">+U694+V694-AD694</f>
        <v>0</v>
      </c>
    </row>
    <row r="695" spans="1:32">
      <c r="A695" s="113">
        <v>680</v>
      </c>
      <c r="B695" s="113" t="s">
        <v>1543</v>
      </c>
      <c r="C695" s="119" t="s">
        <v>2762</v>
      </c>
      <c r="D695" s="119" t="s">
        <v>2816</v>
      </c>
      <c r="E695" s="374" t="s">
        <v>2817</v>
      </c>
      <c r="F695" s="396">
        <v>-3356.48</v>
      </c>
      <c r="G695" s="396">
        <v>-483.06</v>
      </c>
      <c r="H695" s="396">
        <v>-845.31</v>
      </c>
      <c r="I695" s="396">
        <v>-1308.8699999999999</v>
      </c>
      <c r="J695" s="396">
        <v>-1662.78</v>
      </c>
      <c r="K695" s="396">
        <v>-1947.89</v>
      </c>
      <c r="L695" s="396">
        <v>-2159.6799999999998</v>
      </c>
      <c r="M695" s="396">
        <v>-2347.0700000000002</v>
      </c>
      <c r="N695" s="396">
        <v>-2545.85</v>
      </c>
      <c r="O695" s="396">
        <v>-2773.6</v>
      </c>
      <c r="P695" s="396">
        <v>-3138.28</v>
      </c>
      <c r="Q695" s="396">
        <v>-3485.78</v>
      </c>
      <c r="R695" s="396">
        <v>-4001.81</v>
      </c>
      <c r="S695" s="357">
        <f t="shared" si="100"/>
        <v>-2198.1095833333334</v>
      </c>
      <c r="U695" s="358"/>
      <c r="V695" s="359"/>
      <c r="W695" s="359">
        <f t="shared" si="122"/>
        <v>-2198.1095833333334</v>
      </c>
      <c r="X695" s="360"/>
      <c r="Y695" s="359"/>
      <c r="Z695" s="359"/>
      <c r="AA695" s="358"/>
      <c r="AB695" s="359"/>
      <c r="AC695" s="271">
        <f t="shared" si="123"/>
        <v>-2198.1095833333334</v>
      </c>
      <c r="AF695" s="289">
        <f t="shared" si="124"/>
        <v>0</v>
      </c>
    </row>
    <row r="696" spans="1:32">
      <c r="A696" s="113">
        <v>681</v>
      </c>
      <c r="B696" s="119" t="s">
        <v>1543</v>
      </c>
      <c r="C696" s="119" t="s">
        <v>2762</v>
      </c>
      <c r="D696" s="119" t="s">
        <v>2818</v>
      </c>
      <c r="E696" s="374" t="s">
        <v>2819</v>
      </c>
      <c r="F696" s="396">
        <v>-47.51</v>
      </c>
      <c r="G696" s="396">
        <v>-6.86</v>
      </c>
      <c r="H696" s="396">
        <v>-9.1</v>
      </c>
      <c r="I696" s="396">
        <v>-18.07</v>
      </c>
      <c r="J696" s="396">
        <v>-22.86</v>
      </c>
      <c r="K696" s="396">
        <v>-27.94</v>
      </c>
      <c r="L696" s="396">
        <v>-27.94</v>
      </c>
      <c r="M696" s="396">
        <v>-27.94</v>
      </c>
      <c r="N696" s="396">
        <v>-27.94</v>
      </c>
      <c r="O696" s="396">
        <v>-27.94</v>
      </c>
      <c r="P696" s="396">
        <v>-27.94</v>
      </c>
      <c r="Q696" s="396">
        <v>-27.94</v>
      </c>
      <c r="R696" s="396">
        <v>-27.94</v>
      </c>
      <c r="S696" s="357">
        <f t="shared" si="100"/>
        <v>-24.182916666666667</v>
      </c>
      <c r="U696" s="358"/>
      <c r="V696" s="359"/>
      <c r="W696" s="359">
        <f t="shared" si="122"/>
        <v>-24.182916666666667</v>
      </c>
      <c r="X696" s="360"/>
      <c r="Y696" s="359"/>
      <c r="Z696" s="359"/>
      <c r="AA696" s="358"/>
      <c r="AB696" s="359"/>
      <c r="AC696" s="271">
        <f t="shared" si="123"/>
        <v>-24.182916666666667</v>
      </c>
      <c r="AF696" s="289">
        <f t="shared" si="124"/>
        <v>0</v>
      </c>
    </row>
    <row r="697" spans="1:32">
      <c r="A697" s="113">
        <v>682</v>
      </c>
      <c r="B697" s="119" t="s">
        <v>1523</v>
      </c>
      <c r="C697" s="119" t="s">
        <v>2762</v>
      </c>
      <c r="D697" s="119" t="s">
        <v>2820</v>
      </c>
      <c r="E697" s="374" t="s">
        <v>2821</v>
      </c>
      <c r="F697" s="396">
        <v>0</v>
      </c>
      <c r="G697" s="396">
        <v>0</v>
      </c>
      <c r="H697" s="396">
        <v>0</v>
      </c>
      <c r="I697" s="396">
        <v>0</v>
      </c>
      <c r="J697" s="396">
        <v>0</v>
      </c>
      <c r="K697" s="396">
        <v>0</v>
      </c>
      <c r="L697" s="396">
        <v>0</v>
      </c>
      <c r="M697" s="396">
        <v>0</v>
      </c>
      <c r="N697" s="396">
        <v>0</v>
      </c>
      <c r="O697" s="396">
        <v>0</v>
      </c>
      <c r="P697" s="396">
        <v>0</v>
      </c>
      <c r="Q697" s="396">
        <v>0</v>
      </c>
      <c r="R697" s="396">
        <v>0</v>
      </c>
      <c r="S697" s="357">
        <f t="shared" si="100"/>
        <v>0</v>
      </c>
      <c r="U697" s="358"/>
      <c r="V697" s="359"/>
      <c r="W697" s="359">
        <f t="shared" si="122"/>
        <v>0</v>
      </c>
      <c r="X697" s="360"/>
      <c r="Y697" s="359"/>
      <c r="Z697" s="359"/>
      <c r="AA697" s="358"/>
      <c r="AB697" s="359"/>
      <c r="AC697" s="271">
        <f t="shared" si="123"/>
        <v>0</v>
      </c>
      <c r="AF697" s="289">
        <f t="shared" si="124"/>
        <v>0</v>
      </c>
    </row>
    <row r="698" spans="1:32">
      <c r="A698" s="113">
        <v>683</v>
      </c>
      <c r="B698" s="113" t="s">
        <v>1523</v>
      </c>
      <c r="C698" s="119" t="s">
        <v>2762</v>
      </c>
      <c r="D698" s="119" t="s">
        <v>2777</v>
      </c>
      <c r="E698" s="374" t="s">
        <v>2778</v>
      </c>
      <c r="F698" s="396">
        <v>-1202440.45</v>
      </c>
      <c r="G698" s="396">
        <v>-155436.32</v>
      </c>
      <c r="H698" s="396">
        <v>-312105.58</v>
      </c>
      <c r="I698" s="396">
        <v>-451804.37</v>
      </c>
      <c r="J698" s="396">
        <v>-593362.4</v>
      </c>
      <c r="K698" s="396">
        <v>-711292.41</v>
      </c>
      <c r="L698" s="396">
        <v>-799175.87</v>
      </c>
      <c r="M698" s="396">
        <v>-868381.35</v>
      </c>
      <c r="N698" s="396">
        <v>-936398.18</v>
      </c>
      <c r="O698" s="396">
        <v>-1000949.57</v>
      </c>
      <c r="P698" s="396">
        <v>-1059841.26</v>
      </c>
      <c r="Q698" s="396">
        <v>-1172661.2</v>
      </c>
      <c r="R698" s="396">
        <v>-1310258.01</v>
      </c>
      <c r="S698" s="357">
        <f t="shared" si="100"/>
        <v>-776479.81166666665</v>
      </c>
      <c r="U698" s="358"/>
      <c r="V698" s="359"/>
      <c r="W698" s="359">
        <f t="shared" si="122"/>
        <v>-776479.81166666665</v>
      </c>
      <c r="X698" s="360"/>
      <c r="Y698" s="359"/>
      <c r="Z698" s="359"/>
      <c r="AA698" s="358"/>
      <c r="AB698" s="359"/>
      <c r="AC698" s="271">
        <f t="shared" si="123"/>
        <v>-776479.81166666665</v>
      </c>
      <c r="AF698" s="289">
        <f t="shared" si="124"/>
        <v>0</v>
      </c>
    </row>
    <row r="699" spans="1:32">
      <c r="A699" s="113">
        <v>684</v>
      </c>
      <c r="B699" s="113" t="s">
        <v>1523</v>
      </c>
      <c r="C699" s="119" t="s">
        <v>2762</v>
      </c>
      <c r="D699" s="119" t="s">
        <v>2822</v>
      </c>
      <c r="E699" s="374" t="s">
        <v>2823</v>
      </c>
      <c r="F699" s="396">
        <v>-20059.57</v>
      </c>
      <c r="G699" s="396">
        <v>-6519.79</v>
      </c>
      <c r="H699" s="396">
        <v>-14288.33</v>
      </c>
      <c r="I699" s="396">
        <v>-14894.99</v>
      </c>
      <c r="J699" s="396">
        <v>-17140.07</v>
      </c>
      <c r="K699" s="396">
        <v>-19181.810000000001</v>
      </c>
      <c r="L699" s="396">
        <v>-18477.78</v>
      </c>
      <c r="M699" s="396">
        <v>-16084.85</v>
      </c>
      <c r="N699" s="396">
        <v>-14348.77</v>
      </c>
      <c r="O699" s="396">
        <v>-12326.07</v>
      </c>
      <c r="P699" s="396">
        <v>-6912.21</v>
      </c>
      <c r="Q699" s="396">
        <v>-5432.63</v>
      </c>
      <c r="R699" s="396">
        <v>-4097.88</v>
      </c>
      <c r="S699" s="357">
        <f t="shared" si="100"/>
        <v>-13140.502083333335</v>
      </c>
      <c r="U699" s="358"/>
      <c r="V699" s="359"/>
      <c r="W699" s="359">
        <f t="shared" si="122"/>
        <v>-13140.502083333335</v>
      </c>
      <c r="X699" s="360"/>
      <c r="Y699" s="359"/>
      <c r="Z699" s="359"/>
      <c r="AA699" s="358"/>
      <c r="AB699" s="359"/>
      <c r="AC699" s="271">
        <f t="shared" si="123"/>
        <v>-13140.502083333335</v>
      </c>
      <c r="AF699" s="289"/>
    </row>
    <row r="700" spans="1:32">
      <c r="A700" s="113">
        <v>685</v>
      </c>
      <c r="B700" s="113" t="s">
        <v>1523</v>
      </c>
      <c r="C700" s="119" t="s">
        <v>2762</v>
      </c>
      <c r="D700" s="119" t="s">
        <v>2824</v>
      </c>
      <c r="E700" s="374" t="s">
        <v>2825</v>
      </c>
      <c r="F700" s="396">
        <v>-62243.55</v>
      </c>
      <c r="G700" s="396">
        <v>-6680.6</v>
      </c>
      <c r="H700" s="396">
        <v>-13418.74</v>
      </c>
      <c r="I700" s="396">
        <v>-19441.189999999999</v>
      </c>
      <c r="J700" s="396">
        <v>-25470.86</v>
      </c>
      <c r="K700" s="396">
        <v>-30455.27</v>
      </c>
      <c r="L700" s="396">
        <v>-34126.449999999997</v>
      </c>
      <c r="M700" s="396">
        <v>-37003.4</v>
      </c>
      <c r="N700" s="396">
        <v>-39801.269999999997</v>
      </c>
      <c r="O700" s="396">
        <v>-42444.41</v>
      </c>
      <c r="P700" s="396">
        <v>-44931.31</v>
      </c>
      <c r="Q700" s="396">
        <v>-49634.79</v>
      </c>
      <c r="R700" s="396">
        <v>-55424.76</v>
      </c>
      <c r="S700" s="357">
        <f t="shared" si="100"/>
        <v>-33520.203749999993</v>
      </c>
      <c r="U700" s="358"/>
      <c r="V700" s="359"/>
      <c r="W700" s="359">
        <f t="shared" si="122"/>
        <v>-33520.203749999993</v>
      </c>
      <c r="X700" s="360"/>
      <c r="Y700" s="359"/>
      <c r="Z700" s="359"/>
      <c r="AA700" s="358"/>
      <c r="AB700" s="359"/>
      <c r="AC700" s="271">
        <f t="shared" si="123"/>
        <v>-33520.203749999993</v>
      </c>
      <c r="AF700" s="289"/>
    </row>
    <row r="701" spans="1:32">
      <c r="A701" s="113">
        <v>686</v>
      </c>
      <c r="B701" s="119" t="s">
        <v>1543</v>
      </c>
      <c r="C701" s="119" t="s">
        <v>2779</v>
      </c>
      <c r="D701" s="113" t="s">
        <v>2763</v>
      </c>
      <c r="E701" s="374" t="s">
        <v>2780</v>
      </c>
      <c r="F701" s="396">
        <v>-2017201.21</v>
      </c>
      <c r="G701" s="396">
        <v>1958457.24</v>
      </c>
      <c r="H701" s="396">
        <v>2526784.88</v>
      </c>
      <c r="I701" s="396">
        <v>4108327.29</v>
      </c>
      <c r="J701" s="396">
        <v>8596666.0999999996</v>
      </c>
      <c r="K701" s="396">
        <v>9816178.2599999998</v>
      </c>
      <c r="L701" s="396">
        <v>10725668.5</v>
      </c>
      <c r="M701" s="396">
        <v>11088755.67</v>
      </c>
      <c r="N701" s="396">
        <v>10645417.789999999</v>
      </c>
      <c r="O701" s="396">
        <v>10153079.18</v>
      </c>
      <c r="P701" s="396">
        <v>6627960.5499999998</v>
      </c>
      <c r="Q701" s="396">
        <v>745661.68</v>
      </c>
      <c r="R701" s="396">
        <v>-10509.540000000299</v>
      </c>
      <c r="S701" s="357">
        <f t="shared" si="100"/>
        <v>6331591.8137499997</v>
      </c>
      <c r="U701" s="358"/>
      <c r="V701" s="359"/>
      <c r="W701" s="359">
        <f t="shared" si="122"/>
        <v>6331591.8137499997</v>
      </c>
      <c r="X701" s="360"/>
      <c r="Y701" s="359"/>
      <c r="Z701" s="359"/>
      <c r="AA701" s="358"/>
      <c r="AB701" s="359"/>
      <c r="AC701" s="271">
        <f t="shared" si="123"/>
        <v>6331591.8137499997</v>
      </c>
      <c r="AF701" s="289">
        <f t="shared" si="124"/>
        <v>0</v>
      </c>
    </row>
    <row r="702" spans="1:32">
      <c r="A702" s="113">
        <v>687</v>
      </c>
      <c r="B702" s="395" t="s">
        <v>1543</v>
      </c>
      <c r="C702" s="119" t="s">
        <v>2779</v>
      </c>
      <c r="D702" s="113" t="s">
        <v>2805</v>
      </c>
      <c r="E702" s="425" t="s">
        <v>2826</v>
      </c>
      <c r="F702" s="396">
        <v>12218.77</v>
      </c>
      <c r="G702" s="396">
        <v>57867.87</v>
      </c>
      <c r="H702" s="396">
        <v>74660.639999999999</v>
      </c>
      <c r="I702" s="396">
        <v>128244.89</v>
      </c>
      <c r="J702" s="396">
        <v>256854.84</v>
      </c>
      <c r="K702" s="396">
        <v>291799.03000000003</v>
      </c>
      <c r="L702" s="396">
        <v>317859.78999999998</v>
      </c>
      <c r="M702" s="396">
        <v>328263.77</v>
      </c>
      <c r="N702" s="396">
        <v>315560.26</v>
      </c>
      <c r="O702" s="396">
        <v>301452.67</v>
      </c>
      <c r="P702" s="396">
        <v>200443.07</v>
      </c>
      <c r="Q702" s="396">
        <v>37242.22</v>
      </c>
      <c r="R702" s="396">
        <v>15941.51</v>
      </c>
      <c r="S702" s="357">
        <f t="shared" si="100"/>
        <v>193694.09916666671</v>
      </c>
      <c r="U702" s="358"/>
      <c r="V702" s="359"/>
      <c r="W702" s="359">
        <f t="shared" si="122"/>
        <v>193694.09916666671</v>
      </c>
      <c r="X702" s="360"/>
      <c r="Y702" s="359"/>
      <c r="Z702" s="359"/>
      <c r="AA702" s="358"/>
      <c r="AB702" s="359"/>
      <c r="AC702" s="271">
        <f t="shared" si="123"/>
        <v>193694.09916666671</v>
      </c>
      <c r="AF702" s="289">
        <f t="shared" si="124"/>
        <v>0</v>
      </c>
    </row>
    <row r="703" spans="1:32">
      <c r="A703" s="113">
        <v>688</v>
      </c>
      <c r="B703" s="395" t="s">
        <v>1543</v>
      </c>
      <c r="C703" s="119" t="s">
        <v>2779</v>
      </c>
      <c r="D703" s="113" t="s">
        <v>2771</v>
      </c>
      <c r="E703" s="425" t="s">
        <v>2781</v>
      </c>
      <c r="F703" s="396">
        <v>-3501522.79</v>
      </c>
      <c r="G703" s="396">
        <v>1509392.54</v>
      </c>
      <c r="H703" s="396">
        <v>1739329.43</v>
      </c>
      <c r="I703" s="396">
        <v>3105269.46</v>
      </c>
      <c r="J703" s="396">
        <v>6908954.25</v>
      </c>
      <c r="K703" s="396">
        <v>7953043.0199999996</v>
      </c>
      <c r="L703" s="396">
        <v>8823827.8900000006</v>
      </c>
      <c r="M703" s="396">
        <v>9097746.1199999992</v>
      </c>
      <c r="N703" s="396">
        <v>8558643.0299999993</v>
      </c>
      <c r="O703" s="396">
        <v>8053567.9699999997</v>
      </c>
      <c r="P703" s="396">
        <v>5353643.04</v>
      </c>
      <c r="Q703" s="396">
        <v>3022066.45</v>
      </c>
      <c r="R703" s="396">
        <v>2154945.9300000002</v>
      </c>
      <c r="S703" s="357">
        <f t="shared" si="100"/>
        <v>5287682.8975</v>
      </c>
      <c r="U703" s="358"/>
      <c r="V703" s="359"/>
      <c r="W703" s="359">
        <f t="shared" si="122"/>
        <v>5287682.8975</v>
      </c>
      <c r="X703" s="360"/>
      <c r="Y703" s="359"/>
      <c r="Z703" s="359"/>
      <c r="AA703" s="358"/>
      <c r="AB703" s="359"/>
      <c r="AC703" s="271">
        <f t="shared" si="123"/>
        <v>5287682.8975</v>
      </c>
      <c r="AF703" s="289">
        <f t="shared" si="124"/>
        <v>0</v>
      </c>
    </row>
    <row r="704" spans="1:32">
      <c r="A704" s="113">
        <v>689</v>
      </c>
      <c r="B704" s="395" t="s">
        <v>1523</v>
      </c>
      <c r="C704" s="119" t="s">
        <v>2779</v>
      </c>
      <c r="D704" s="113" t="s">
        <v>2812</v>
      </c>
      <c r="E704" s="1423" t="s">
        <v>2827</v>
      </c>
      <c r="F704" s="396">
        <v>-20097.54</v>
      </c>
      <c r="G704" s="396">
        <v>49914.32</v>
      </c>
      <c r="H704" s="396">
        <v>54902.92</v>
      </c>
      <c r="I704" s="396">
        <v>104105.57</v>
      </c>
      <c r="J704" s="396">
        <v>215412.95</v>
      </c>
      <c r="K704" s="396">
        <v>239573.57</v>
      </c>
      <c r="L704" s="396">
        <v>261732.66</v>
      </c>
      <c r="M704" s="396">
        <v>269350.43</v>
      </c>
      <c r="N704" s="396">
        <v>251834.14</v>
      </c>
      <c r="O704" s="396">
        <v>235916.99</v>
      </c>
      <c r="P704" s="396">
        <v>139526.06</v>
      </c>
      <c r="Q704" s="396">
        <v>72822.86</v>
      </c>
      <c r="R704" s="396">
        <v>48829.03</v>
      </c>
      <c r="S704" s="357">
        <f t="shared" si="100"/>
        <v>159121.51791666669</v>
      </c>
      <c r="U704" s="358"/>
      <c r="V704" s="359"/>
      <c r="W704" s="359">
        <f t="shared" si="122"/>
        <v>159121.51791666669</v>
      </c>
      <c r="X704" s="360"/>
      <c r="Y704" s="359"/>
      <c r="Z704" s="359"/>
      <c r="AA704" s="358"/>
      <c r="AB704" s="359"/>
      <c r="AC704" s="309">
        <f t="shared" si="123"/>
        <v>159121.51791666669</v>
      </c>
      <c r="AF704" s="289">
        <f t="shared" si="124"/>
        <v>0</v>
      </c>
    </row>
    <row r="705" spans="1:32">
      <c r="A705" s="113">
        <v>690</v>
      </c>
      <c r="B705" s="395" t="s">
        <v>1530</v>
      </c>
      <c r="C705" s="119" t="s">
        <v>2779</v>
      </c>
      <c r="D705" s="113" t="s">
        <v>2814</v>
      </c>
      <c r="E705" s="425" t="s">
        <v>2828</v>
      </c>
      <c r="F705" s="396">
        <v>-148.01</v>
      </c>
      <c r="G705" s="396">
        <v>133.63</v>
      </c>
      <c r="H705" s="396">
        <v>-60.76</v>
      </c>
      <c r="I705" s="396">
        <v>56.95</v>
      </c>
      <c r="J705" s="396">
        <v>48.42</v>
      </c>
      <c r="K705" s="396">
        <v>198.19</v>
      </c>
      <c r="L705" s="396">
        <v>198.19</v>
      </c>
      <c r="M705" s="396">
        <v>198.19</v>
      </c>
      <c r="N705" s="396">
        <v>198.19</v>
      </c>
      <c r="O705" s="396">
        <v>198.19</v>
      </c>
      <c r="P705" s="396">
        <v>198.19</v>
      </c>
      <c r="Q705" s="396">
        <v>198.19</v>
      </c>
      <c r="R705" s="396">
        <v>198.19</v>
      </c>
      <c r="S705" s="357">
        <f t="shared" si="100"/>
        <v>132.55500000000001</v>
      </c>
      <c r="U705" s="358"/>
      <c r="V705" s="359"/>
      <c r="W705" s="359">
        <f t="shared" si="122"/>
        <v>132.55500000000001</v>
      </c>
      <c r="X705" s="360"/>
      <c r="Y705" s="359"/>
      <c r="Z705" s="359"/>
      <c r="AA705" s="358"/>
      <c r="AB705" s="359"/>
      <c r="AC705" s="271">
        <f t="shared" si="123"/>
        <v>132.55500000000001</v>
      </c>
      <c r="AF705" s="289">
        <f t="shared" si="124"/>
        <v>0</v>
      </c>
    </row>
    <row r="706" spans="1:32">
      <c r="A706" s="113">
        <v>691</v>
      </c>
      <c r="B706" s="395" t="s">
        <v>1530</v>
      </c>
      <c r="C706" s="119" t="s">
        <v>2779</v>
      </c>
      <c r="D706" s="113" t="s">
        <v>2777</v>
      </c>
      <c r="E706" s="425" t="s">
        <v>2782</v>
      </c>
      <c r="F706" s="396">
        <v>-33675.279999999999</v>
      </c>
      <c r="G706" s="396">
        <v>-771.77</v>
      </c>
      <c r="H706" s="396">
        <v>16908.62</v>
      </c>
      <c r="I706" s="396">
        <v>15799.67</v>
      </c>
      <c r="J706" s="396">
        <v>41426.080000000002</v>
      </c>
      <c r="K706" s="396">
        <v>73545.17</v>
      </c>
      <c r="L706" s="396">
        <v>92887.16</v>
      </c>
      <c r="M706" s="396">
        <v>94266.97</v>
      </c>
      <c r="N706" s="396">
        <v>98000.25</v>
      </c>
      <c r="O706" s="396">
        <v>102209.68</v>
      </c>
      <c r="P706" s="396">
        <v>46833.61</v>
      </c>
      <c r="Q706" s="396">
        <v>20681.52</v>
      </c>
      <c r="R706" s="396">
        <v>5119.1699999999901</v>
      </c>
      <c r="S706" s="357">
        <f t="shared" si="100"/>
        <v>48959.075416666667</v>
      </c>
      <c r="U706" s="358"/>
      <c r="V706" s="359"/>
      <c r="W706" s="359">
        <f t="shared" si="122"/>
        <v>48959.075416666667</v>
      </c>
      <c r="X706" s="360"/>
      <c r="Y706" s="359"/>
      <c r="Z706" s="359"/>
      <c r="AA706" s="358"/>
      <c r="AB706" s="359"/>
      <c r="AC706" s="271">
        <f t="shared" si="123"/>
        <v>48959.075416666667</v>
      </c>
      <c r="AF706" s="289"/>
    </row>
    <row r="707" spans="1:32">
      <c r="A707" s="113">
        <v>692</v>
      </c>
      <c r="B707" s="395" t="s">
        <v>1530</v>
      </c>
      <c r="C707" s="119" t="s">
        <v>2783</v>
      </c>
      <c r="D707" s="113" t="s">
        <v>2796</v>
      </c>
      <c r="E707" s="425" t="s">
        <v>2829</v>
      </c>
      <c r="F707" s="396">
        <v>-6738.68</v>
      </c>
      <c r="G707" s="396">
        <v>-4820</v>
      </c>
      <c r="H707" s="396">
        <v>-4820</v>
      </c>
      <c r="I707" s="396">
        <v>-4820</v>
      </c>
      <c r="J707" s="396">
        <v>-4820</v>
      </c>
      <c r="K707" s="396">
        <v>-4820</v>
      </c>
      <c r="L707" s="396">
        <v>-4820</v>
      </c>
      <c r="M707" s="396">
        <v>-4820</v>
      </c>
      <c r="N707" s="396">
        <v>-4820</v>
      </c>
      <c r="O707" s="396">
        <v>-4820</v>
      </c>
      <c r="P707" s="396">
        <v>-4820</v>
      </c>
      <c r="Q707" s="396">
        <v>-2080</v>
      </c>
      <c r="R707" s="396">
        <v>-2795.78</v>
      </c>
      <c r="S707" s="357">
        <f t="shared" si="100"/>
        <v>-4587.2691666666669</v>
      </c>
      <c r="U707" s="358"/>
      <c r="V707" s="359"/>
      <c r="W707" s="359">
        <f t="shared" si="122"/>
        <v>-4587.2691666666669</v>
      </c>
      <c r="X707" s="360"/>
      <c r="Y707" s="359"/>
      <c r="Z707" s="359"/>
      <c r="AA707" s="358"/>
      <c r="AB707" s="359"/>
      <c r="AC707" s="271">
        <f t="shared" si="123"/>
        <v>-4587.2691666666669</v>
      </c>
      <c r="AF707" s="289"/>
    </row>
    <row r="708" spans="1:32">
      <c r="A708" s="113">
        <v>693</v>
      </c>
      <c r="B708" s="119" t="s">
        <v>1530</v>
      </c>
      <c r="C708" s="119" t="s">
        <v>2783</v>
      </c>
      <c r="D708" s="119" t="s">
        <v>2798</v>
      </c>
      <c r="E708" s="374" t="s">
        <v>2830</v>
      </c>
      <c r="F708" s="396">
        <v>0</v>
      </c>
      <c r="G708" s="396">
        <v>0</v>
      </c>
      <c r="H708" s="396">
        <v>0</v>
      </c>
      <c r="I708" s="396">
        <v>0</v>
      </c>
      <c r="J708" s="396">
        <v>0</v>
      </c>
      <c r="K708" s="396">
        <v>0</v>
      </c>
      <c r="L708" s="396">
        <v>0</v>
      </c>
      <c r="M708" s="396">
        <v>0</v>
      </c>
      <c r="N708" s="396">
        <v>0</v>
      </c>
      <c r="O708" s="396">
        <v>0</v>
      </c>
      <c r="P708" s="396">
        <v>0</v>
      </c>
      <c r="Q708" s="396">
        <v>0</v>
      </c>
      <c r="R708" s="396">
        <v>0</v>
      </c>
      <c r="S708" s="357">
        <f t="shared" si="100"/>
        <v>0</v>
      </c>
      <c r="U708" s="358"/>
      <c r="V708" s="359"/>
      <c r="W708" s="359">
        <f t="shared" si="122"/>
        <v>0</v>
      </c>
      <c r="X708" s="360"/>
      <c r="Y708" s="359"/>
      <c r="Z708" s="359"/>
      <c r="AA708" s="358"/>
      <c r="AB708" s="359"/>
      <c r="AC708" s="271">
        <f t="shared" si="123"/>
        <v>0</v>
      </c>
      <c r="AF708" s="289">
        <f t="shared" si="124"/>
        <v>0</v>
      </c>
    </row>
    <row r="709" spans="1:32">
      <c r="A709" s="113">
        <v>694</v>
      </c>
      <c r="B709" s="113" t="s">
        <v>1543</v>
      </c>
      <c r="C709" s="119" t="s">
        <v>2783</v>
      </c>
      <c r="D709" s="119" t="s">
        <v>2784</v>
      </c>
      <c r="E709" s="374" t="s">
        <v>2785</v>
      </c>
      <c r="F709" s="396">
        <v>-521426.68</v>
      </c>
      <c r="G709" s="396">
        <v>-51690.95</v>
      </c>
      <c r="H709" s="396">
        <v>-115117.69</v>
      </c>
      <c r="I709" s="396">
        <v>-163682.93</v>
      </c>
      <c r="J709" s="396">
        <v>-169442.46</v>
      </c>
      <c r="K709" s="396">
        <v>-173820.16</v>
      </c>
      <c r="L709" s="396">
        <v>-178359.83</v>
      </c>
      <c r="M709" s="396">
        <v>-183844.67</v>
      </c>
      <c r="N709" s="396">
        <v>-189410.67</v>
      </c>
      <c r="O709" s="396">
        <v>-195234.5</v>
      </c>
      <c r="P709" s="396">
        <v>-201456.02</v>
      </c>
      <c r="Q709" s="396">
        <v>-207534.02</v>
      </c>
      <c r="R709" s="396">
        <v>-215718.02</v>
      </c>
      <c r="S709" s="357">
        <f t="shared" si="100"/>
        <v>-183180.52083333334</v>
      </c>
      <c r="U709" s="358"/>
      <c r="V709" s="359"/>
      <c r="W709" s="359">
        <f t="shared" si="122"/>
        <v>-183180.52083333334</v>
      </c>
      <c r="X709" s="360"/>
      <c r="Y709" s="359"/>
      <c r="Z709" s="359"/>
      <c r="AA709" s="358"/>
      <c r="AB709" s="359"/>
      <c r="AC709" s="271">
        <f t="shared" si="123"/>
        <v>-183180.52083333334</v>
      </c>
      <c r="AF709" s="289">
        <f t="shared" si="124"/>
        <v>0</v>
      </c>
    </row>
    <row r="710" spans="1:32">
      <c r="A710" s="113">
        <v>695</v>
      </c>
      <c r="B710" s="113" t="s">
        <v>1543</v>
      </c>
      <c r="C710" s="119" t="s">
        <v>2783</v>
      </c>
      <c r="D710" s="119" t="s">
        <v>2786</v>
      </c>
      <c r="E710" s="374" t="s">
        <v>2831</v>
      </c>
      <c r="F710" s="396">
        <v>495.599999999999</v>
      </c>
      <c r="G710" s="396">
        <v>-1162.56</v>
      </c>
      <c r="H710" s="396">
        <v>-1162.56</v>
      </c>
      <c r="I710" s="396">
        <v>-11788.42</v>
      </c>
      <c r="J710" s="396">
        <v>-22056.97</v>
      </c>
      <c r="K710" s="396">
        <v>-39475.07</v>
      </c>
      <c r="L710" s="396">
        <v>-47772.34</v>
      </c>
      <c r="M710" s="396">
        <v>-59960.86</v>
      </c>
      <c r="N710" s="396">
        <v>-67266.73</v>
      </c>
      <c r="O710" s="396">
        <v>-66295.91</v>
      </c>
      <c r="P710" s="396">
        <v>-71490.929999999993</v>
      </c>
      <c r="Q710" s="396">
        <v>-75021.320000000007</v>
      </c>
      <c r="R710" s="396">
        <v>-80121.63</v>
      </c>
      <c r="S710" s="357">
        <f t="shared" si="100"/>
        <v>-41938.890416666669</v>
      </c>
      <c r="U710" s="358"/>
      <c r="V710" s="359"/>
      <c r="W710" s="359">
        <f t="shared" si="122"/>
        <v>-41938.890416666669</v>
      </c>
      <c r="X710" s="360"/>
      <c r="Y710" s="359"/>
      <c r="Z710" s="359"/>
      <c r="AA710" s="358"/>
      <c r="AB710" s="359"/>
      <c r="AC710" s="271">
        <f t="shared" si="123"/>
        <v>-41938.890416666669</v>
      </c>
      <c r="AF710" s="289">
        <f t="shared" si="124"/>
        <v>0</v>
      </c>
    </row>
    <row r="711" spans="1:32">
      <c r="A711" s="113">
        <v>696</v>
      </c>
      <c r="B711" s="113" t="s">
        <v>1543</v>
      </c>
      <c r="C711" s="119" t="s">
        <v>564</v>
      </c>
      <c r="D711" s="119" t="s">
        <v>2788</v>
      </c>
      <c r="E711" s="374" t="s">
        <v>2789</v>
      </c>
      <c r="F711" s="396">
        <v>-15481019.82</v>
      </c>
      <c r="G711" s="396">
        <v>-1342586.92</v>
      </c>
      <c r="H711" s="396">
        <v>-2700364.61</v>
      </c>
      <c r="I711" s="396">
        <v>-4022755.7</v>
      </c>
      <c r="J711" s="396">
        <v>-5442064.3600000003</v>
      </c>
      <c r="K711" s="396">
        <v>-6711568.9900000002</v>
      </c>
      <c r="L711" s="396">
        <v>-7949351.5199999996</v>
      </c>
      <c r="M711" s="396">
        <v>-9201844.1799999997</v>
      </c>
      <c r="N711" s="396">
        <v>-10471980.189999999</v>
      </c>
      <c r="O711" s="396">
        <v>-11779657.24</v>
      </c>
      <c r="P711" s="396">
        <v>-13164647.119999999</v>
      </c>
      <c r="Q711" s="396">
        <v>-14658962.880000001</v>
      </c>
      <c r="R711" s="396">
        <v>-16167612.210000001</v>
      </c>
      <c r="S711" s="357">
        <f t="shared" si="100"/>
        <v>-8605841.6437499989</v>
      </c>
      <c r="U711" s="358"/>
      <c r="V711" s="359"/>
      <c r="W711" s="359">
        <f t="shared" si="122"/>
        <v>-8605841.6437499989</v>
      </c>
      <c r="X711" s="360"/>
      <c r="Y711" s="359"/>
      <c r="Z711" s="359"/>
      <c r="AA711" s="358"/>
      <c r="AB711" s="359"/>
      <c r="AC711" s="271">
        <f t="shared" si="123"/>
        <v>-8605841.6437499989</v>
      </c>
      <c r="AF711" s="289">
        <f t="shared" si="124"/>
        <v>0</v>
      </c>
    </row>
    <row r="712" spans="1:32">
      <c r="A712" s="113">
        <v>697</v>
      </c>
      <c r="B712" s="113" t="s">
        <v>1543</v>
      </c>
      <c r="C712" s="119" t="s">
        <v>564</v>
      </c>
      <c r="D712" s="119" t="s">
        <v>2790</v>
      </c>
      <c r="E712" s="374" t="s">
        <v>2791</v>
      </c>
      <c r="F712" s="396">
        <v>-8374092.2400000002</v>
      </c>
      <c r="G712" s="396">
        <v>-851315.47</v>
      </c>
      <c r="H712" s="396">
        <v>-1613004.39</v>
      </c>
      <c r="I712" s="396">
        <v>-2300609.4500000002</v>
      </c>
      <c r="J712" s="396">
        <v>-3193556.47</v>
      </c>
      <c r="K712" s="396">
        <v>-4001792.12</v>
      </c>
      <c r="L712" s="396">
        <v>-4581601.79</v>
      </c>
      <c r="M712" s="396">
        <v>-5139733.6900000004</v>
      </c>
      <c r="N712" s="396">
        <v>-5827943.5599999996</v>
      </c>
      <c r="O712" s="396">
        <v>-6664400</v>
      </c>
      <c r="P712" s="396">
        <v>-7518060.1699999999</v>
      </c>
      <c r="Q712" s="396">
        <v>-8226859.6500000004</v>
      </c>
      <c r="R712" s="396">
        <v>-8856524.3300000001</v>
      </c>
      <c r="S712" s="357">
        <f t="shared" si="100"/>
        <v>-4877848.7537500001</v>
      </c>
      <c r="U712" s="358"/>
      <c r="V712" s="359"/>
      <c r="W712" s="359">
        <f t="shared" si="122"/>
        <v>-4877848.7537500001</v>
      </c>
      <c r="X712" s="360"/>
      <c r="Y712" s="359"/>
      <c r="Z712" s="359"/>
      <c r="AA712" s="358"/>
      <c r="AB712" s="359"/>
      <c r="AC712" s="271">
        <f t="shared" si="123"/>
        <v>-4877848.7537500001</v>
      </c>
      <c r="AF712" s="289">
        <f t="shared" si="124"/>
        <v>0</v>
      </c>
    </row>
    <row r="713" spans="1:32">
      <c r="A713" s="113">
        <v>698</v>
      </c>
      <c r="B713" s="113" t="s">
        <v>1523</v>
      </c>
      <c r="C713" s="119" t="s">
        <v>2792</v>
      </c>
      <c r="D713" s="119" t="s">
        <v>2788</v>
      </c>
      <c r="E713" s="1381" t="s">
        <v>2793</v>
      </c>
      <c r="F713" s="396">
        <v>-61336.62</v>
      </c>
      <c r="G713" s="396">
        <v>-17583.07</v>
      </c>
      <c r="H713" s="396">
        <v>17782.55</v>
      </c>
      <c r="I713" s="396">
        <v>-79112.53</v>
      </c>
      <c r="J713" s="396">
        <v>70652.58</v>
      </c>
      <c r="K713" s="396">
        <v>102379.83</v>
      </c>
      <c r="L713" s="396">
        <v>76539.320000000007</v>
      </c>
      <c r="M713" s="396">
        <v>72667.759999999995</v>
      </c>
      <c r="N713" s="396">
        <v>31570.76</v>
      </c>
      <c r="O713" s="396">
        <v>-40752.839999999997</v>
      </c>
      <c r="P713" s="396">
        <v>-156932.54999999999</v>
      </c>
      <c r="Q713" s="396">
        <v>-173994.56</v>
      </c>
      <c r="R713" s="396">
        <v>-166615.41</v>
      </c>
      <c r="S713" s="357">
        <f t="shared" si="100"/>
        <v>-17563.230416666662</v>
      </c>
      <c r="U713" s="358"/>
      <c r="V713" s="359"/>
      <c r="W713" s="359">
        <f t="shared" si="122"/>
        <v>-17563.230416666662</v>
      </c>
      <c r="X713" s="360"/>
      <c r="Y713" s="359"/>
      <c r="Z713" s="359"/>
      <c r="AA713" s="358"/>
      <c r="AB713" s="359"/>
      <c r="AC713" s="309">
        <f t="shared" si="123"/>
        <v>-17563.230416666662</v>
      </c>
      <c r="AF713" s="289">
        <f t="shared" si="124"/>
        <v>0</v>
      </c>
    </row>
    <row r="714" spans="1:32">
      <c r="A714" s="113">
        <v>699</v>
      </c>
      <c r="B714" s="113" t="s">
        <v>1523</v>
      </c>
      <c r="C714" s="119" t="s">
        <v>2792</v>
      </c>
      <c r="D714" s="119" t="s">
        <v>2790</v>
      </c>
      <c r="E714" s="1381" t="s">
        <v>2794</v>
      </c>
      <c r="F714" s="396">
        <v>-178179.26</v>
      </c>
      <c r="G714" s="396">
        <v>89555.72</v>
      </c>
      <c r="H714" s="396">
        <v>163617.79</v>
      </c>
      <c r="I714" s="396">
        <v>-41596.089999999997</v>
      </c>
      <c r="J714" s="396">
        <v>43066.26</v>
      </c>
      <c r="K714" s="396">
        <v>271246.61</v>
      </c>
      <c r="L714" s="396">
        <v>292940.57</v>
      </c>
      <c r="M714" s="396">
        <v>160353.29999999999</v>
      </c>
      <c r="N714" s="396">
        <v>17472.23</v>
      </c>
      <c r="O714" s="396">
        <v>-30841.51</v>
      </c>
      <c r="P714" s="396">
        <v>142415.57999999999</v>
      </c>
      <c r="Q714" s="396">
        <v>221465.71</v>
      </c>
      <c r="R714" s="396">
        <v>82089.179999999993</v>
      </c>
      <c r="S714" s="357">
        <f t="shared" si="100"/>
        <v>106804.26083333335</v>
      </c>
      <c r="U714" s="358"/>
      <c r="V714" s="359"/>
      <c r="W714" s="359">
        <f t="shared" si="122"/>
        <v>106804.26083333335</v>
      </c>
      <c r="X714" s="360"/>
      <c r="Y714" s="359"/>
      <c r="Z714" s="359"/>
      <c r="AA714" s="358"/>
      <c r="AB714" s="359"/>
      <c r="AC714" s="309">
        <f t="shared" si="123"/>
        <v>106804.26083333335</v>
      </c>
      <c r="AF714" s="289">
        <f t="shared" si="124"/>
        <v>0</v>
      </c>
    </row>
    <row r="715" spans="1:32">
      <c r="A715" s="113">
        <v>700</v>
      </c>
      <c r="B715" s="113" t="s">
        <v>1523</v>
      </c>
      <c r="C715" s="119" t="s">
        <v>566</v>
      </c>
      <c r="D715" s="119" t="s">
        <v>1526</v>
      </c>
      <c r="E715" s="374" t="s">
        <v>2795</v>
      </c>
      <c r="F715" s="396">
        <v>0</v>
      </c>
      <c r="G715" s="396">
        <v>0</v>
      </c>
      <c r="H715" s="396">
        <v>0</v>
      </c>
      <c r="I715" s="396">
        <v>0</v>
      </c>
      <c r="J715" s="396">
        <v>0</v>
      </c>
      <c r="K715" s="396">
        <v>0</v>
      </c>
      <c r="L715" s="396">
        <v>0</v>
      </c>
      <c r="M715" s="396">
        <v>0</v>
      </c>
      <c r="N715" s="396">
        <v>0</v>
      </c>
      <c r="O715" s="396">
        <v>0</v>
      </c>
      <c r="P715" s="396">
        <v>0</v>
      </c>
      <c r="Q715" s="396">
        <v>0</v>
      </c>
      <c r="R715" s="396">
        <v>0</v>
      </c>
      <c r="S715" s="357">
        <f t="shared" si="100"/>
        <v>0</v>
      </c>
      <c r="U715" s="358"/>
      <c r="V715" s="359"/>
      <c r="W715" s="359">
        <f t="shared" si="122"/>
        <v>0</v>
      </c>
      <c r="X715" s="360"/>
      <c r="Y715" s="359"/>
      <c r="Z715" s="359"/>
      <c r="AA715" s="358"/>
      <c r="AB715" s="359"/>
      <c r="AC715" s="271">
        <f t="shared" si="123"/>
        <v>0</v>
      </c>
      <c r="AF715" s="289">
        <f t="shared" si="124"/>
        <v>0</v>
      </c>
    </row>
    <row r="716" spans="1:32">
      <c r="A716" s="113">
        <v>701</v>
      </c>
      <c r="B716" s="113" t="s">
        <v>1523</v>
      </c>
      <c r="C716" s="119" t="s">
        <v>568</v>
      </c>
      <c r="D716" s="119" t="s">
        <v>2796</v>
      </c>
      <c r="E716" s="374" t="s">
        <v>2797</v>
      </c>
      <c r="F716" s="396">
        <v>-44223.51</v>
      </c>
      <c r="G716" s="396">
        <v>0</v>
      </c>
      <c r="H716" s="396">
        <v>-4044.02</v>
      </c>
      <c r="I716" s="396">
        <v>-4044.02</v>
      </c>
      <c r="J716" s="396">
        <v>-4044.02</v>
      </c>
      <c r="K716" s="396">
        <v>-4044.02</v>
      </c>
      <c r="L716" s="396">
        <v>-4044.02</v>
      </c>
      <c r="M716" s="396">
        <v>-4044.02</v>
      </c>
      <c r="N716" s="396">
        <v>-4044.02</v>
      </c>
      <c r="O716" s="396">
        <v>-4044.02</v>
      </c>
      <c r="P716" s="396">
        <v>-4044.02</v>
      </c>
      <c r="Q716" s="396">
        <v>-4044.02</v>
      </c>
      <c r="R716" s="396">
        <v>-5076.74</v>
      </c>
      <c r="S716" s="357">
        <f t="shared" si="100"/>
        <v>-5424.1937499999995</v>
      </c>
      <c r="U716" s="358"/>
      <c r="V716" s="359"/>
      <c r="W716" s="359">
        <f t="shared" si="122"/>
        <v>-5424.1937499999995</v>
      </c>
      <c r="X716" s="360"/>
      <c r="Y716" s="359"/>
      <c r="Z716" s="359"/>
      <c r="AA716" s="358"/>
      <c r="AB716" s="359"/>
      <c r="AC716" s="271">
        <f t="shared" si="123"/>
        <v>-5424.1937499999995</v>
      </c>
      <c r="AF716" s="289">
        <f t="shared" si="124"/>
        <v>0</v>
      </c>
    </row>
    <row r="717" spans="1:32">
      <c r="A717" s="113">
        <v>702</v>
      </c>
      <c r="B717" s="113" t="s">
        <v>1523</v>
      </c>
      <c r="C717" s="119" t="s">
        <v>568</v>
      </c>
      <c r="D717" s="119" t="s">
        <v>2760</v>
      </c>
      <c r="E717" s="374" t="s">
        <v>2761</v>
      </c>
      <c r="F717" s="396">
        <v>-15446.62</v>
      </c>
      <c r="G717" s="396">
        <v>-50</v>
      </c>
      <c r="H717" s="396">
        <v>-451</v>
      </c>
      <c r="I717" s="396">
        <v>-501</v>
      </c>
      <c r="J717" s="396">
        <v>-651</v>
      </c>
      <c r="K717" s="396">
        <v>-1704.04</v>
      </c>
      <c r="L717" s="396">
        <v>-1848.88</v>
      </c>
      <c r="M717" s="396">
        <v>-2725.42</v>
      </c>
      <c r="N717" s="396">
        <v>-29218.42</v>
      </c>
      <c r="O717" s="396">
        <v>-122375.17</v>
      </c>
      <c r="P717" s="396">
        <v>-176442.42</v>
      </c>
      <c r="Q717" s="396">
        <v>-174326.42</v>
      </c>
      <c r="R717" s="396">
        <v>-41015.42</v>
      </c>
      <c r="S717" s="357">
        <f t="shared" si="100"/>
        <v>-44877.065833333334</v>
      </c>
      <c r="U717" s="358"/>
      <c r="V717" s="359"/>
      <c r="W717" s="359">
        <f t="shared" si="122"/>
        <v>-44877.065833333334</v>
      </c>
      <c r="X717" s="360"/>
      <c r="Y717" s="359"/>
      <c r="Z717" s="359"/>
      <c r="AA717" s="358"/>
      <c r="AB717" s="359"/>
      <c r="AC717" s="271">
        <f t="shared" si="123"/>
        <v>-44877.065833333334</v>
      </c>
      <c r="AF717" s="289">
        <f t="shared" si="124"/>
        <v>0</v>
      </c>
    </row>
    <row r="718" spans="1:32">
      <c r="A718" s="113">
        <v>703</v>
      </c>
      <c r="B718" s="113" t="s">
        <v>1523</v>
      </c>
      <c r="C718" s="119" t="s">
        <v>568</v>
      </c>
      <c r="D718" s="119" t="s">
        <v>2798</v>
      </c>
      <c r="E718" s="374" t="s">
        <v>2799</v>
      </c>
      <c r="F718" s="396">
        <v>-2784.79</v>
      </c>
      <c r="G718" s="396">
        <v>-57.38</v>
      </c>
      <c r="H718" s="396">
        <v>-57.38</v>
      </c>
      <c r="I718" s="396">
        <v>-611.63</v>
      </c>
      <c r="J718" s="396">
        <v>-615.24</v>
      </c>
      <c r="K718" s="396">
        <v>-1378.17</v>
      </c>
      <c r="L718" s="396">
        <v>-1378.17</v>
      </c>
      <c r="M718" s="396">
        <v>-1671.15</v>
      </c>
      <c r="N718" s="396">
        <v>-1671.15</v>
      </c>
      <c r="O718" s="396">
        <v>-1742.57</v>
      </c>
      <c r="P718" s="396">
        <v>-1742.57</v>
      </c>
      <c r="Q718" s="396">
        <v>-1742.57</v>
      </c>
      <c r="R718" s="396">
        <v>-2083.2199999999998</v>
      </c>
      <c r="S718" s="357">
        <f t="shared" si="100"/>
        <v>-1258.49875</v>
      </c>
      <c r="U718" s="358"/>
      <c r="V718" s="359"/>
      <c r="W718" s="359">
        <f t="shared" si="122"/>
        <v>-1258.49875</v>
      </c>
      <c r="X718" s="360"/>
      <c r="Y718" s="359"/>
      <c r="Z718" s="359"/>
      <c r="AA718" s="358"/>
      <c r="AB718" s="359"/>
      <c r="AC718" s="271">
        <f t="shared" si="123"/>
        <v>-1258.49875</v>
      </c>
      <c r="AF718" s="289">
        <f t="shared" si="124"/>
        <v>0</v>
      </c>
    </row>
    <row r="719" spans="1:32">
      <c r="A719" s="113">
        <v>704</v>
      </c>
      <c r="B719" s="113" t="s">
        <v>1543</v>
      </c>
      <c r="C719" s="119" t="s">
        <v>568</v>
      </c>
      <c r="D719" s="113" t="s">
        <v>2786</v>
      </c>
      <c r="E719" s="374" t="s">
        <v>2800</v>
      </c>
      <c r="F719" s="396">
        <v>-28833.91</v>
      </c>
      <c r="G719" s="396">
        <v>0</v>
      </c>
      <c r="H719" s="396">
        <v>-1115.76</v>
      </c>
      <c r="I719" s="396">
        <v>-2856.94</v>
      </c>
      <c r="J719" s="396">
        <v>-1852.04</v>
      </c>
      <c r="K719" s="396">
        <v>-6294.21</v>
      </c>
      <c r="L719" s="396">
        <v>-13135.39</v>
      </c>
      <c r="M719" s="396">
        <v>-13741.25</v>
      </c>
      <c r="N719" s="396">
        <v>-13741.25</v>
      </c>
      <c r="O719" s="396">
        <v>-13741.25</v>
      </c>
      <c r="P719" s="396">
        <v>-15628.66</v>
      </c>
      <c r="Q719" s="396">
        <v>-14211.57</v>
      </c>
      <c r="R719" s="396">
        <v>-14211.57</v>
      </c>
      <c r="S719" s="357">
        <f>((F719+R719)+((G719+H719+I719+J719+K719+L719+M719+N719+O719+P719+Q719)*2))/24</f>
        <v>-9820.0883333333331</v>
      </c>
      <c r="U719" s="358"/>
      <c r="V719" s="359"/>
      <c r="W719" s="359">
        <f t="shared" si="122"/>
        <v>-9820.0883333333331</v>
      </c>
      <c r="X719" s="360"/>
      <c r="Y719" s="359"/>
      <c r="Z719" s="359"/>
      <c r="AA719" s="358"/>
      <c r="AB719" s="359"/>
      <c r="AC719" s="271">
        <f t="shared" si="123"/>
        <v>-9820.0883333333331</v>
      </c>
      <c r="AF719" s="289">
        <f t="shared" si="124"/>
        <v>0</v>
      </c>
    </row>
    <row r="720" spans="1:32">
      <c r="A720" s="113">
        <v>705</v>
      </c>
      <c r="B720" s="113" t="s">
        <v>1543</v>
      </c>
      <c r="C720" s="119" t="s">
        <v>2801</v>
      </c>
      <c r="E720" s="374" t="s">
        <v>2802</v>
      </c>
      <c r="F720" s="396">
        <v>-171784.99</v>
      </c>
      <c r="G720" s="396">
        <v>-138535.85</v>
      </c>
      <c r="H720" s="396">
        <v>-234165.66</v>
      </c>
      <c r="I720" s="396">
        <v>-306789.43</v>
      </c>
      <c r="J720" s="396">
        <v>-266856.69</v>
      </c>
      <c r="K720" s="396">
        <v>-156229.85999999999</v>
      </c>
      <c r="L720" s="396">
        <v>-20137.759999999998</v>
      </c>
      <c r="M720" s="396">
        <v>121481.1</v>
      </c>
      <c r="N720" s="396">
        <v>270685.90000000002</v>
      </c>
      <c r="O720" s="396">
        <v>414283.83</v>
      </c>
      <c r="P720" s="396">
        <v>487606.76</v>
      </c>
      <c r="Q720" s="396">
        <v>452426.71</v>
      </c>
      <c r="R720" s="396">
        <v>279555.67</v>
      </c>
      <c r="S720" s="357">
        <f>((F720+R720)+((G720+H720+I720+J720+K720+L720+M720+N720+O720+P720+Q720)*2))/24</f>
        <v>56471.199166666687</v>
      </c>
      <c r="U720" s="358"/>
      <c r="V720" s="359"/>
      <c r="W720" s="359">
        <f t="shared" si="122"/>
        <v>56471.199166666687</v>
      </c>
      <c r="X720" s="360"/>
      <c r="Y720" s="359"/>
      <c r="Z720" s="359"/>
      <c r="AA720" s="358"/>
      <c r="AB720" s="359"/>
      <c r="AC720" s="271">
        <f t="shared" si="123"/>
        <v>56471.199166666687</v>
      </c>
      <c r="AF720" s="289"/>
    </row>
    <row r="721" spans="1:32">
      <c r="A721" s="113">
        <v>706</v>
      </c>
      <c r="B721" s="113" t="s">
        <v>1526</v>
      </c>
      <c r="C721" s="119" t="s">
        <v>2801</v>
      </c>
      <c r="D721" s="113" t="s">
        <v>1503</v>
      </c>
      <c r="E721" s="374" t="s">
        <v>2803</v>
      </c>
      <c r="F721" s="698">
        <v>-829904.01</v>
      </c>
      <c r="G721" s="698">
        <v>-53156.21</v>
      </c>
      <c r="H721" s="698">
        <v>-102146.57</v>
      </c>
      <c r="I721" s="698">
        <v>-165758.19</v>
      </c>
      <c r="J721" s="698">
        <v>-219314.8</v>
      </c>
      <c r="K721" s="698">
        <v>-251026.81</v>
      </c>
      <c r="L721" s="698">
        <v>-282799.12</v>
      </c>
      <c r="M721" s="698">
        <v>-327470.48</v>
      </c>
      <c r="N721" s="698">
        <v>-385838.23</v>
      </c>
      <c r="O721" s="698">
        <v>-450228.5</v>
      </c>
      <c r="P721" s="698">
        <v>-504806.56</v>
      </c>
      <c r="Q721" s="698">
        <v>-551367.89</v>
      </c>
      <c r="R721" s="698">
        <v>-608879.27</v>
      </c>
      <c r="S721" s="357">
        <f t="shared" si="100"/>
        <v>-334442.08333333337</v>
      </c>
      <c r="U721" s="358"/>
      <c r="V721" s="359"/>
      <c r="W721" s="359">
        <f t="shared" si="122"/>
        <v>-334442.08333333337</v>
      </c>
      <c r="X721" s="360"/>
      <c r="Y721" s="359"/>
      <c r="Z721" s="359"/>
      <c r="AA721" s="358"/>
      <c r="AB721" s="359"/>
      <c r="AC721" s="271">
        <f>+S721</f>
        <v>-334442.08333333337</v>
      </c>
      <c r="AF721" s="289">
        <f t="shared" si="124"/>
        <v>0</v>
      </c>
    </row>
    <row r="722" spans="1:32">
      <c r="A722" s="113">
        <v>707</v>
      </c>
      <c r="E722" s="374" t="s">
        <v>2832</v>
      </c>
      <c r="F722" s="696">
        <f>SUM(F654:F721)</f>
        <v>-314395576.48000002</v>
      </c>
      <c r="G722" s="696">
        <f t="shared" ref="G722:R722" si="125">SUM(G654:G721)</f>
        <v>-47732032.550000019</v>
      </c>
      <c r="H722" s="696">
        <f t="shared" si="125"/>
        <v>-89003173.969999939</v>
      </c>
      <c r="I722" s="696">
        <f t="shared" si="125"/>
        <v>-127675612.98999998</v>
      </c>
      <c r="J722" s="696">
        <f t="shared" si="125"/>
        <v>-153264605.07000008</v>
      </c>
      <c r="K722" s="696">
        <f t="shared" si="125"/>
        <v>-170586809.26999998</v>
      </c>
      <c r="L722" s="696">
        <f t="shared" si="125"/>
        <v>-184745735.13999999</v>
      </c>
      <c r="M722" s="696">
        <f t="shared" si="125"/>
        <v>-197775467.32999998</v>
      </c>
      <c r="N722" s="696">
        <f t="shared" si="125"/>
        <v>-209894541.4600001</v>
      </c>
      <c r="O722" s="696">
        <f t="shared" si="125"/>
        <v>-224410277.96000001</v>
      </c>
      <c r="P722" s="696">
        <f t="shared" si="125"/>
        <v>-248717126.94</v>
      </c>
      <c r="Q722" s="696">
        <f t="shared" si="125"/>
        <v>-287719611.15999997</v>
      </c>
      <c r="R722" s="696">
        <f t="shared" si="125"/>
        <v>-337332678.37999994</v>
      </c>
      <c r="S722" s="697">
        <f>SUM(S654:S721)</f>
        <v>-188949093.43916675</v>
      </c>
      <c r="U722" s="358"/>
      <c r="V722" s="359"/>
      <c r="W722" s="359"/>
      <c r="X722" s="360"/>
      <c r="Y722" s="359"/>
      <c r="Z722" s="359"/>
      <c r="AA722" s="358"/>
      <c r="AB722" s="359"/>
      <c r="AF722" s="289">
        <f t="shared" si="124"/>
        <v>0</v>
      </c>
    </row>
    <row r="723" spans="1:32">
      <c r="A723" s="113">
        <v>708</v>
      </c>
      <c r="E723" s="374"/>
      <c r="F723" s="356"/>
      <c r="G723" s="399"/>
      <c r="H723" s="387"/>
      <c r="I723" s="387"/>
      <c r="J723" s="388"/>
      <c r="K723" s="389"/>
      <c r="L723" s="390"/>
      <c r="M723" s="391"/>
      <c r="N723" s="392"/>
      <c r="O723" s="373"/>
      <c r="P723" s="393"/>
      <c r="Q723" s="400"/>
      <c r="R723" s="356"/>
      <c r="S723" s="96"/>
      <c r="U723" s="358"/>
      <c r="V723" s="359"/>
      <c r="W723" s="359"/>
      <c r="X723" s="360"/>
      <c r="Y723" s="359"/>
      <c r="Z723" s="359"/>
      <c r="AA723" s="358"/>
      <c r="AB723" s="359"/>
      <c r="AF723" s="289">
        <f t="shared" si="124"/>
        <v>0</v>
      </c>
    </row>
    <row r="724" spans="1:32">
      <c r="A724" s="113">
        <v>709</v>
      </c>
      <c r="B724" s="113" t="s">
        <v>1530</v>
      </c>
      <c r="C724" s="113" t="s">
        <v>2833</v>
      </c>
      <c r="E724" s="374" t="s">
        <v>2834</v>
      </c>
      <c r="F724" s="356">
        <v>-8173.8</v>
      </c>
      <c r="G724" s="399">
        <v>0</v>
      </c>
      <c r="H724" s="387">
        <v>-406.51</v>
      </c>
      <c r="I724" s="387">
        <v>-942.09</v>
      </c>
      <c r="J724" s="388">
        <v>-2508.06</v>
      </c>
      <c r="K724" s="389">
        <v>-2698.71</v>
      </c>
      <c r="L724" s="390">
        <v>-3699.7</v>
      </c>
      <c r="M724" s="391">
        <v>-4642.1899999999996</v>
      </c>
      <c r="N724" s="392">
        <v>-4864.66</v>
      </c>
      <c r="O724" s="373">
        <v>-4864.66</v>
      </c>
      <c r="P724" s="393">
        <v>-5125.6400000000003</v>
      </c>
      <c r="Q724" s="400">
        <v>-5432.72</v>
      </c>
      <c r="R724" s="356">
        <v>-5925.56</v>
      </c>
      <c r="S724" s="357">
        <f t="shared" ref="S724:S734" si="126">((F724+R724)+((G724+H724+I724+J724+K724+L724+M724+N724+O724+P724+Q724)*2))/24</f>
        <v>-3519.5516666666663</v>
      </c>
      <c r="U724" s="358"/>
      <c r="V724" s="359"/>
      <c r="W724" s="359">
        <f>+S724</f>
        <v>-3519.5516666666663</v>
      </c>
      <c r="X724" s="360"/>
      <c r="Y724" s="359"/>
      <c r="Z724" s="359"/>
      <c r="AA724" s="358"/>
      <c r="AB724" s="359"/>
      <c r="AC724" s="1409">
        <f>+S724</f>
        <v>-3519.5516666666663</v>
      </c>
      <c r="AF724" s="289"/>
    </row>
    <row r="725" spans="1:32">
      <c r="A725" s="113">
        <v>710</v>
      </c>
      <c r="B725" s="119" t="s">
        <v>1530</v>
      </c>
      <c r="C725" s="119" t="s">
        <v>2835</v>
      </c>
      <c r="D725" s="119" t="s">
        <v>2836</v>
      </c>
      <c r="E725" s="425" t="s">
        <v>1396</v>
      </c>
      <c r="F725" s="396">
        <v>-45.93</v>
      </c>
      <c r="G725" s="396">
        <v>-1.91</v>
      </c>
      <c r="H725" s="396">
        <v>-3.82</v>
      </c>
      <c r="I725" s="396">
        <v>-5.6</v>
      </c>
      <c r="J725" s="396">
        <v>-55.82</v>
      </c>
      <c r="K725" s="396">
        <v>-265.44</v>
      </c>
      <c r="L725" s="396">
        <v>-589.05999999999995</v>
      </c>
      <c r="M725" s="396">
        <v>-2989.04</v>
      </c>
      <c r="N725" s="396">
        <v>-3100.9</v>
      </c>
      <c r="O725" s="396">
        <v>-3229.19</v>
      </c>
      <c r="P725" s="396">
        <v>-3318.83</v>
      </c>
      <c r="Q725" s="396">
        <v>-3457.73</v>
      </c>
      <c r="R725" s="396">
        <v>-3607.63</v>
      </c>
      <c r="S725" s="357">
        <f t="shared" si="126"/>
        <v>-1570.3433333333332</v>
      </c>
      <c r="U725" s="358"/>
      <c r="V725" s="359"/>
      <c r="W725" s="359">
        <f>+S725</f>
        <v>-1570.3433333333332</v>
      </c>
      <c r="X725" s="360"/>
      <c r="Y725" s="359"/>
      <c r="Z725" s="359"/>
      <c r="AA725" s="358"/>
      <c r="AB725" s="359"/>
      <c r="AC725" s="1409">
        <f>+S725</f>
        <v>-1570.3433333333332</v>
      </c>
      <c r="AF725" s="289">
        <f t="shared" si="124"/>
        <v>0</v>
      </c>
    </row>
    <row r="726" spans="1:32">
      <c r="A726" s="113">
        <v>711</v>
      </c>
      <c r="B726" s="119" t="s">
        <v>1530</v>
      </c>
      <c r="C726" s="119" t="s">
        <v>2835</v>
      </c>
      <c r="D726" s="119" t="s">
        <v>1342</v>
      </c>
      <c r="E726" s="425" t="s">
        <v>2837</v>
      </c>
      <c r="F726" s="396">
        <v>-50576.59</v>
      </c>
      <c r="G726" s="396">
        <v>-1252.3900000000001</v>
      </c>
      <c r="H726" s="396">
        <v>-2592.67</v>
      </c>
      <c r="I726" s="396">
        <v>-5706.72</v>
      </c>
      <c r="J726" s="396">
        <v>-5706.72</v>
      </c>
      <c r="K726" s="396">
        <v>-5706.72</v>
      </c>
      <c r="L726" s="396">
        <v>-5706.72</v>
      </c>
      <c r="M726" s="396">
        <v>-5706.72</v>
      </c>
      <c r="N726" s="396">
        <v>-5706.72</v>
      </c>
      <c r="O726" s="396">
        <v>-5706.72</v>
      </c>
      <c r="P726" s="396">
        <v>-5706.72</v>
      </c>
      <c r="Q726" s="396">
        <v>-5706.72</v>
      </c>
      <c r="R726" s="396">
        <v>-5706.72</v>
      </c>
      <c r="S726" s="357">
        <f t="shared" si="126"/>
        <v>-6945.5995833333336</v>
      </c>
      <c r="U726" s="358"/>
      <c r="V726" s="359"/>
      <c r="W726" s="359">
        <f>+S726</f>
        <v>-6945.5995833333336</v>
      </c>
      <c r="X726" s="360"/>
      <c r="Y726" s="359"/>
      <c r="Z726" s="359"/>
      <c r="AA726" s="358"/>
      <c r="AB726" s="359"/>
      <c r="AC726" s="1409">
        <f t="shared" ref="AC726:AC734" si="127">+S726</f>
        <v>-6945.5995833333336</v>
      </c>
      <c r="AF726" s="289">
        <f t="shared" si="124"/>
        <v>0</v>
      </c>
    </row>
    <row r="727" spans="1:32">
      <c r="A727" s="113">
        <v>712</v>
      </c>
      <c r="B727" s="119" t="s">
        <v>1543</v>
      </c>
      <c r="C727" s="119" t="s">
        <v>2838</v>
      </c>
      <c r="D727" s="119"/>
      <c r="E727" s="425" t="s">
        <v>2839</v>
      </c>
      <c r="F727" s="396">
        <v>104.97</v>
      </c>
      <c r="G727" s="396">
        <v>-10859.78</v>
      </c>
      <c r="H727" s="396">
        <v>-20705.97</v>
      </c>
      <c r="I727" s="396">
        <v>-29580.07</v>
      </c>
      <c r="J727" s="396">
        <v>-29580.07</v>
      </c>
      <c r="K727" s="396">
        <v>-29580.07</v>
      </c>
      <c r="L727" s="396">
        <v>-29580.07</v>
      </c>
      <c r="M727" s="396">
        <v>-29580.07</v>
      </c>
      <c r="N727" s="396">
        <v>-29459.11</v>
      </c>
      <c r="O727" s="396">
        <v>-29396.77</v>
      </c>
      <c r="P727" s="396">
        <v>-29396.77</v>
      </c>
      <c r="Q727" s="396">
        <v>-29396.77</v>
      </c>
      <c r="R727" s="396">
        <v>-29359.65</v>
      </c>
      <c r="S727" s="357">
        <f t="shared" si="126"/>
        <v>-25978.57166666667</v>
      </c>
      <c r="U727" s="358"/>
      <c r="V727" s="359"/>
      <c r="W727" s="359">
        <f t="shared" ref="W727:W734" si="128">+S727</f>
        <v>-25978.57166666667</v>
      </c>
      <c r="X727" s="360"/>
      <c r="Y727" s="359"/>
      <c r="Z727" s="359"/>
      <c r="AA727" s="358"/>
      <c r="AB727" s="359"/>
      <c r="AC727" s="1409">
        <f t="shared" si="127"/>
        <v>-25978.57166666667</v>
      </c>
      <c r="AF727" s="289">
        <f t="shared" si="124"/>
        <v>0</v>
      </c>
    </row>
    <row r="728" spans="1:32">
      <c r="A728" s="113">
        <v>713</v>
      </c>
      <c r="B728" s="119" t="s">
        <v>1543</v>
      </c>
      <c r="C728" s="119" t="s">
        <v>2840</v>
      </c>
      <c r="D728" s="119"/>
      <c r="E728" s="425" t="s">
        <v>2841</v>
      </c>
      <c r="F728" s="396">
        <v>-1511.72</v>
      </c>
      <c r="G728" s="396">
        <v>-1043.5899999999999</v>
      </c>
      <c r="H728" s="396">
        <v>-1082.1400000000001</v>
      </c>
      <c r="I728" s="396">
        <v>-1082.1400000000001</v>
      </c>
      <c r="J728" s="396">
        <v>-1082.1400000000001</v>
      </c>
      <c r="K728" s="396">
        <v>-1082.1400000000001</v>
      </c>
      <c r="L728" s="396">
        <v>-1168.8399999999999</v>
      </c>
      <c r="M728" s="396">
        <v>-1517.99</v>
      </c>
      <c r="N728" s="396">
        <v>-1528.92</v>
      </c>
      <c r="O728" s="396">
        <v>-1529.05</v>
      </c>
      <c r="P728" s="396">
        <v>-1615.75</v>
      </c>
      <c r="Q728" s="396">
        <v>-1615.75</v>
      </c>
      <c r="R728" s="396">
        <v>-1633.15</v>
      </c>
      <c r="S728" s="357">
        <f t="shared" si="126"/>
        <v>-1326.7404166666668</v>
      </c>
      <c r="U728" s="358"/>
      <c r="V728" s="359"/>
      <c r="W728" s="359">
        <f t="shared" si="128"/>
        <v>-1326.7404166666668</v>
      </c>
      <c r="X728" s="360"/>
      <c r="Y728" s="359"/>
      <c r="Z728" s="359"/>
      <c r="AA728" s="358"/>
      <c r="AB728" s="359"/>
      <c r="AC728" s="1409">
        <f t="shared" si="127"/>
        <v>-1326.7404166666668</v>
      </c>
      <c r="AF728" s="289">
        <f t="shared" si="124"/>
        <v>0</v>
      </c>
    </row>
    <row r="729" spans="1:32">
      <c r="A729" s="113">
        <v>714</v>
      </c>
      <c r="B729" s="119" t="s">
        <v>1523</v>
      </c>
      <c r="C729" s="119" t="s">
        <v>2840</v>
      </c>
      <c r="D729" s="119" t="s">
        <v>2842</v>
      </c>
      <c r="E729" s="425" t="s">
        <v>2843</v>
      </c>
      <c r="F729" s="396">
        <v>-3222.37</v>
      </c>
      <c r="G729" s="396">
        <v>-1261.24</v>
      </c>
      <c r="H729" s="396">
        <v>-2259.88</v>
      </c>
      <c r="I729" s="396">
        <v>-2449.81</v>
      </c>
      <c r="J729" s="396">
        <v>-2459.62</v>
      </c>
      <c r="K729" s="396">
        <v>-2682.26</v>
      </c>
      <c r="L729" s="396">
        <v>-2745.46</v>
      </c>
      <c r="M729" s="396">
        <v>-2934.08</v>
      </c>
      <c r="N729" s="396">
        <v>-2980.07</v>
      </c>
      <c r="O729" s="396">
        <v>-3977.35</v>
      </c>
      <c r="P729" s="396">
        <v>-4468.75</v>
      </c>
      <c r="Q729" s="396">
        <v>-4747.8500000000004</v>
      </c>
      <c r="R729" s="396">
        <v>-4756.04</v>
      </c>
      <c r="S729" s="357">
        <f t="shared" si="126"/>
        <v>-3079.6312499999999</v>
      </c>
      <c r="U729" s="358"/>
      <c r="V729" s="359"/>
      <c r="W729" s="359">
        <f t="shared" si="128"/>
        <v>-3079.6312499999999</v>
      </c>
      <c r="X729" s="360"/>
      <c r="Y729" s="359"/>
      <c r="Z729" s="359"/>
      <c r="AA729" s="358"/>
      <c r="AB729" s="359"/>
      <c r="AC729" s="1409">
        <f t="shared" si="127"/>
        <v>-3079.6312499999999</v>
      </c>
      <c r="AF729" s="289">
        <f t="shared" si="124"/>
        <v>0</v>
      </c>
    </row>
    <row r="730" spans="1:32">
      <c r="A730" s="113">
        <v>715</v>
      </c>
      <c r="B730" s="119" t="s">
        <v>1523</v>
      </c>
      <c r="C730" s="119" t="s">
        <v>2844</v>
      </c>
      <c r="D730" s="119"/>
      <c r="E730" s="425" t="s">
        <v>2845</v>
      </c>
      <c r="F730" s="396">
        <v>-649294.52</v>
      </c>
      <c r="G730" s="396">
        <v>-79400.179999999993</v>
      </c>
      <c r="H730" s="396">
        <v>-151344.26</v>
      </c>
      <c r="I730" s="396">
        <v>-214351.55</v>
      </c>
      <c r="J730" s="396">
        <v>-279155.31</v>
      </c>
      <c r="K730" s="396">
        <v>-346866.28</v>
      </c>
      <c r="L730" s="396">
        <v>-421084.49</v>
      </c>
      <c r="M730" s="396">
        <v>-485853.34</v>
      </c>
      <c r="N730" s="396">
        <v>-551746.19999999995</v>
      </c>
      <c r="O730" s="396">
        <v>-604615.03</v>
      </c>
      <c r="P730" s="396">
        <v>-672846.26</v>
      </c>
      <c r="Q730" s="396">
        <v>-742192.3</v>
      </c>
      <c r="R730" s="396">
        <v>-775997.25</v>
      </c>
      <c r="S730" s="357">
        <f t="shared" si="126"/>
        <v>-438508.42375000002</v>
      </c>
      <c r="U730" s="358"/>
      <c r="V730" s="359"/>
      <c r="W730" s="359">
        <f t="shared" si="128"/>
        <v>-438508.42375000002</v>
      </c>
      <c r="X730" s="360"/>
      <c r="Y730" s="359"/>
      <c r="Z730" s="359"/>
      <c r="AA730" s="358"/>
      <c r="AB730" s="359"/>
      <c r="AC730" s="1409">
        <f t="shared" si="127"/>
        <v>-438508.42375000002</v>
      </c>
      <c r="AF730" s="289">
        <f t="shared" si="124"/>
        <v>0</v>
      </c>
    </row>
    <row r="731" spans="1:32">
      <c r="A731" s="113">
        <v>716</v>
      </c>
      <c r="B731" s="119" t="s">
        <v>1530</v>
      </c>
      <c r="C731" s="119" t="s">
        <v>2835</v>
      </c>
      <c r="D731" s="113" t="s">
        <v>2004</v>
      </c>
      <c r="E731" s="374" t="s">
        <v>2846</v>
      </c>
      <c r="F731" s="396">
        <v>-57922.16</v>
      </c>
      <c r="G731" s="396">
        <v>-1641.39</v>
      </c>
      <c r="H731" s="396">
        <v>-4813</v>
      </c>
      <c r="I731" s="396">
        <v>-8725.49</v>
      </c>
      <c r="J731" s="396">
        <v>-11634.14</v>
      </c>
      <c r="K731" s="396">
        <v>-22002.9</v>
      </c>
      <c r="L731" s="396">
        <v>-176340.97</v>
      </c>
      <c r="M731" s="396">
        <v>-179306.53</v>
      </c>
      <c r="N731" s="396">
        <v>-180636.38</v>
      </c>
      <c r="O731" s="396">
        <v>-190087.36</v>
      </c>
      <c r="P731" s="396">
        <v>-192665.21</v>
      </c>
      <c r="Q731" s="396">
        <v>-196032.55</v>
      </c>
      <c r="R731" s="396">
        <v>-198557.92</v>
      </c>
      <c r="S731" s="357">
        <f t="shared" si="126"/>
        <v>-107677.16333333333</v>
      </c>
      <c r="U731" s="358"/>
      <c r="V731" s="359"/>
      <c r="W731" s="359">
        <f t="shared" si="128"/>
        <v>-107677.16333333333</v>
      </c>
      <c r="X731" s="360"/>
      <c r="Y731" s="359"/>
      <c r="Z731" s="359"/>
      <c r="AA731" s="358"/>
      <c r="AB731" s="359"/>
      <c r="AC731" s="1410">
        <f t="shared" si="127"/>
        <v>-107677.16333333333</v>
      </c>
      <c r="AF731" s="289">
        <f t="shared" si="124"/>
        <v>0</v>
      </c>
    </row>
    <row r="732" spans="1:32">
      <c r="A732" s="113">
        <v>717</v>
      </c>
      <c r="B732" s="119" t="s">
        <v>1530</v>
      </c>
      <c r="C732" s="119" t="s">
        <v>2835</v>
      </c>
      <c r="D732" s="119" t="s">
        <v>2847</v>
      </c>
      <c r="E732" s="374" t="s">
        <v>2848</v>
      </c>
      <c r="F732" s="396">
        <v>-272944.33</v>
      </c>
      <c r="G732" s="396">
        <v>-20829.28</v>
      </c>
      <c r="H732" s="396">
        <v>-41209.5</v>
      </c>
      <c r="I732" s="396">
        <v>-60089.82</v>
      </c>
      <c r="J732" s="396">
        <v>-76000.759999999995</v>
      </c>
      <c r="K732" s="396">
        <v>-92789.43</v>
      </c>
      <c r="L732" s="396">
        <v>-110858.3</v>
      </c>
      <c r="M732" s="396">
        <v>-130666.34</v>
      </c>
      <c r="N732" s="396">
        <v>-153234.5</v>
      </c>
      <c r="O732" s="396">
        <v>-177619.34</v>
      </c>
      <c r="P732" s="396">
        <v>-232589.47</v>
      </c>
      <c r="Q732" s="396">
        <v>-251879.15</v>
      </c>
      <c r="R732" s="396">
        <v>-272801.17</v>
      </c>
      <c r="S732" s="357">
        <f t="shared" si="126"/>
        <v>-135053.22</v>
      </c>
      <c r="U732" s="358"/>
      <c r="V732" s="359"/>
      <c r="W732" s="359">
        <f t="shared" si="128"/>
        <v>-135053.22</v>
      </c>
      <c r="X732" s="360"/>
      <c r="Y732" s="359"/>
      <c r="Z732" s="359"/>
      <c r="AA732" s="358"/>
      <c r="AB732" s="359"/>
      <c r="AC732" s="1410">
        <f t="shared" si="127"/>
        <v>-135053.22</v>
      </c>
      <c r="AF732" s="289">
        <f t="shared" si="124"/>
        <v>0</v>
      </c>
    </row>
    <row r="733" spans="1:32">
      <c r="A733" s="113">
        <v>718</v>
      </c>
      <c r="B733" s="119" t="s">
        <v>1530</v>
      </c>
      <c r="C733" s="119" t="s">
        <v>2835</v>
      </c>
      <c r="D733" s="113" t="s">
        <v>2004</v>
      </c>
      <c r="E733" s="374" t="s">
        <v>2846</v>
      </c>
      <c r="F733" s="396">
        <v>-127456.02</v>
      </c>
      <c r="G733" s="396">
        <v>-50829.71</v>
      </c>
      <c r="H733" s="396">
        <v>-51307.81</v>
      </c>
      <c r="I733" s="396">
        <v>-60315.92</v>
      </c>
      <c r="J733" s="396">
        <v>-72542.36</v>
      </c>
      <c r="K733" s="396">
        <v>-73588.78</v>
      </c>
      <c r="L733" s="396">
        <v>-85097.09</v>
      </c>
      <c r="M733" s="396">
        <v>-111349.18</v>
      </c>
      <c r="N733" s="396">
        <v>-116886.18</v>
      </c>
      <c r="O733" s="396">
        <v>-248037.33</v>
      </c>
      <c r="P733" s="396">
        <v>-255424.8</v>
      </c>
      <c r="Q733" s="396">
        <v>-270646.39</v>
      </c>
      <c r="R733" s="396">
        <v>-283848.56</v>
      </c>
      <c r="S733" s="357">
        <f t="shared" si="126"/>
        <v>-133473.15333333332</v>
      </c>
      <c r="U733" s="358"/>
      <c r="V733" s="359"/>
      <c r="W733" s="359">
        <f t="shared" si="128"/>
        <v>-133473.15333333332</v>
      </c>
      <c r="X733" s="360"/>
      <c r="Y733" s="359"/>
      <c r="Z733" s="359"/>
      <c r="AA733" s="358"/>
      <c r="AB733" s="359"/>
      <c r="AC733" s="1410">
        <f t="shared" si="127"/>
        <v>-133473.15333333332</v>
      </c>
      <c r="AF733" s="289">
        <f t="shared" si="124"/>
        <v>0</v>
      </c>
    </row>
    <row r="734" spans="1:32">
      <c r="A734" s="113">
        <v>719</v>
      </c>
      <c r="B734" s="119" t="s">
        <v>1530</v>
      </c>
      <c r="C734" s="119" t="s">
        <v>2835</v>
      </c>
      <c r="D734" s="113" t="s">
        <v>2847</v>
      </c>
      <c r="E734" s="374" t="s">
        <v>2848</v>
      </c>
      <c r="F734" s="396">
        <v>-4504936.62</v>
      </c>
      <c r="G734" s="396">
        <v>-385413.3</v>
      </c>
      <c r="H734" s="396">
        <v>-729809.54</v>
      </c>
      <c r="I734" s="396">
        <v>-1071182.24</v>
      </c>
      <c r="J734" s="396">
        <v>-1359215.21</v>
      </c>
      <c r="K734" s="396">
        <v>-1644927.32</v>
      </c>
      <c r="L734" s="396">
        <v>-1920296.64</v>
      </c>
      <c r="M734" s="396">
        <v>-2127459.1800000002</v>
      </c>
      <c r="N734" s="396">
        <v>-2335906.56</v>
      </c>
      <c r="O734" s="396">
        <v>-2538098.5</v>
      </c>
      <c r="P734" s="396">
        <v>-2740440.94</v>
      </c>
      <c r="Q734" s="396">
        <v>-2935997.06</v>
      </c>
      <c r="R734" s="396">
        <v>-3136992.3</v>
      </c>
      <c r="S734" s="357">
        <f t="shared" si="126"/>
        <v>-1967475.9124999999</v>
      </c>
      <c r="U734" s="358"/>
      <c r="V734" s="359"/>
      <c r="W734" s="359">
        <f t="shared" si="128"/>
        <v>-1967475.9124999999</v>
      </c>
      <c r="X734" s="360"/>
      <c r="Y734" s="359"/>
      <c r="Z734" s="359"/>
      <c r="AA734" s="358"/>
      <c r="AB734" s="359"/>
      <c r="AC734" s="1410">
        <f t="shared" si="127"/>
        <v>-1967475.9124999999</v>
      </c>
      <c r="AF734" s="289">
        <f t="shared" si="124"/>
        <v>0</v>
      </c>
    </row>
    <row r="735" spans="1:32">
      <c r="A735" s="113">
        <v>720</v>
      </c>
      <c r="E735" s="374" t="s">
        <v>2849</v>
      </c>
      <c r="F735" s="697">
        <f t="shared" ref="F735:S735" si="129">SUM(F724:F734)</f>
        <v>-5675979.0899999999</v>
      </c>
      <c r="G735" s="697">
        <f t="shared" si="129"/>
        <v>-552532.77</v>
      </c>
      <c r="H735" s="697">
        <f t="shared" si="129"/>
        <v>-1005535.1000000001</v>
      </c>
      <c r="I735" s="697">
        <f t="shared" si="129"/>
        <v>-1454431.45</v>
      </c>
      <c r="J735" s="697">
        <f t="shared" si="129"/>
        <v>-1839940.21</v>
      </c>
      <c r="K735" s="697">
        <f t="shared" si="129"/>
        <v>-2222190.0500000003</v>
      </c>
      <c r="L735" s="697">
        <f t="shared" si="129"/>
        <v>-2757167.34</v>
      </c>
      <c r="M735" s="697">
        <f t="shared" si="129"/>
        <v>-3082004.66</v>
      </c>
      <c r="N735" s="697">
        <f t="shared" si="129"/>
        <v>-3386050.2</v>
      </c>
      <c r="O735" s="697">
        <f t="shared" si="129"/>
        <v>-3807161.3</v>
      </c>
      <c r="P735" s="697">
        <f t="shared" si="129"/>
        <v>-4143599.1399999997</v>
      </c>
      <c r="Q735" s="697">
        <f t="shared" si="129"/>
        <v>-4447104.99</v>
      </c>
      <c r="R735" s="697">
        <f t="shared" si="129"/>
        <v>-4719185.95</v>
      </c>
      <c r="S735" s="697">
        <f t="shared" si="129"/>
        <v>-2824608.3108333331</v>
      </c>
      <c r="U735" s="358"/>
      <c r="V735" s="359"/>
      <c r="W735" s="359"/>
      <c r="X735" s="360"/>
      <c r="Y735" s="359"/>
      <c r="Z735" s="359"/>
      <c r="AA735" s="358"/>
      <c r="AB735" s="359"/>
    </row>
    <row r="736" spans="1:32">
      <c r="A736" s="113">
        <v>721</v>
      </c>
      <c r="E736" s="374"/>
      <c r="F736" s="356"/>
      <c r="G736" s="399"/>
      <c r="H736" s="387"/>
      <c r="I736" s="387"/>
      <c r="J736" s="388"/>
      <c r="K736" s="389"/>
      <c r="L736" s="390"/>
      <c r="M736" s="391"/>
      <c r="N736" s="392"/>
      <c r="O736" s="373"/>
      <c r="P736" s="393"/>
      <c r="Q736" s="400"/>
      <c r="R736" s="356"/>
      <c r="S736" s="96"/>
      <c r="U736" s="358"/>
      <c r="V736" s="359"/>
      <c r="W736" s="359"/>
      <c r="X736" s="360"/>
      <c r="Y736" s="359"/>
      <c r="Z736" s="359"/>
      <c r="AA736" s="358"/>
      <c r="AB736" s="359"/>
    </row>
    <row r="737" spans="1:31" ht="15.75" thickBot="1">
      <c r="A737" s="113">
        <v>722</v>
      </c>
      <c r="B737" s="4"/>
      <c r="C737" s="4"/>
      <c r="D737" s="4"/>
      <c r="E737" s="428" t="s">
        <v>2850</v>
      </c>
      <c r="F737" s="410">
        <f t="shared" ref="F737:R737" si="130">+F735+F722+F652+F625+F582+F482+F440+F417+SUM(F485:F523)</f>
        <v>-1262198971.3000002</v>
      </c>
      <c r="G737" s="410">
        <f t="shared" si="130"/>
        <v>-984552125.33000016</v>
      </c>
      <c r="H737" s="410">
        <f t="shared" si="130"/>
        <v>-1009604091.7599999</v>
      </c>
      <c r="I737" s="410">
        <f t="shared" si="130"/>
        <v>-1038567759.47</v>
      </c>
      <c r="J737" s="410">
        <f t="shared" si="130"/>
        <v>-1046700305.0500002</v>
      </c>
      <c r="K737" s="410">
        <f t="shared" si="130"/>
        <v>-1062163982.4100001</v>
      </c>
      <c r="L737" s="410">
        <f t="shared" si="130"/>
        <v>-1082593718.8100002</v>
      </c>
      <c r="M737" s="410">
        <f t="shared" si="130"/>
        <v>-1107251282.1000001</v>
      </c>
      <c r="N737" s="410">
        <f t="shared" si="130"/>
        <v>-1133579732.6100001</v>
      </c>
      <c r="O737" s="410">
        <f t="shared" si="130"/>
        <v>-1178403726.77</v>
      </c>
      <c r="P737" s="410">
        <f t="shared" si="130"/>
        <v>-1220519086.8699999</v>
      </c>
      <c r="Q737" s="410">
        <f t="shared" si="130"/>
        <v>-1273973404.1900001</v>
      </c>
      <c r="R737" s="410">
        <f t="shared" si="130"/>
        <v>-1333883549.25</v>
      </c>
      <c r="S737" s="410">
        <f>+S735+S722+S652+S625+S582+S482+S440+S417+SUM(S485:S523)</f>
        <v>-1119662539.6370835</v>
      </c>
      <c r="T737" s="4"/>
      <c r="U737" s="411"/>
      <c r="V737" s="412"/>
      <c r="W737" s="412"/>
      <c r="X737" s="413"/>
      <c r="Y737" s="412"/>
      <c r="Z737" s="412"/>
      <c r="AA737" s="411"/>
      <c r="AB737" s="412"/>
      <c r="AC737" s="4"/>
      <c r="AD737" s="4"/>
      <c r="AE737" s="4"/>
    </row>
    <row r="738" spans="1:31" ht="15.75" thickTop="1">
      <c r="A738" s="113">
        <v>723</v>
      </c>
      <c r="S738" s="341"/>
      <c r="U738" s="438"/>
      <c r="V738" s="692"/>
      <c r="W738" s="692"/>
      <c r="X738" s="692"/>
      <c r="Y738" s="692"/>
      <c r="Z738" s="692"/>
      <c r="AA738" s="438"/>
      <c r="AB738" s="692"/>
      <c r="AC738" s="435"/>
      <c r="AD738" s="435"/>
      <c r="AE738" s="435"/>
    </row>
    <row r="739" spans="1:31">
      <c r="A739" s="113">
        <v>724</v>
      </c>
      <c r="S739" s="341"/>
      <c r="U739" s="341"/>
      <c r="V739" s="342"/>
      <c r="W739" s="342"/>
      <c r="X739" s="342"/>
      <c r="Y739" s="342"/>
      <c r="Z739" s="342"/>
      <c r="AA739" s="341"/>
      <c r="AB739" s="342"/>
    </row>
    <row r="740" spans="1:31">
      <c r="A740" s="113">
        <v>725</v>
      </c>
      <c r="E740" s="4" t="s">
        <v>2851</v>
      </c>
      <c r="S740" s="341"/>
      <c r="U740" s="429">
        <f t="shared" ref="U740:AB740" si="131">SUM(U16:U735)</f>
        <v>207007340.25791663</v>
      </c>
      <c r="V740" s="430">
        <f t="shared" si="131"/>
        <v>-185410320.04999995</v>
      </c>
      <c r="W740" s="430">
        <f t="shared" si="131"/>
        <v>-674496405.51750004</v>
      </c>
      <c r="X740" s="430">
        <f t="shared" si="131"/>
        <v>652899385.30958354</v>
      </c>
      <c r="Y740" s="430">
        <f>SUM(Y16:Y735)</f>
        <v>399788291.79976571</v>
      </c>
      <c r="Z740" s="430">
        <f t="shared" si="131"/>
        <v>130858081.06023408</v>
      </c>
      <c r="AA740" s="429">
        <f t="shared" si="131"/>
        <v>0</v>
      </c>
      <c r="AB740" s="430">
        <f t="shared" si="131"/>
        <v>122253012.44958334</v>
      </c>
      <c r="AC740" s="431">
        <f>SUM(AC16:AC735)</f>
        <v>-674496405.51750004</v>
      </c>
      <c r="AD740" s="431">
        <f>SUM(AD16:AD735)</f>
        <v>21597020.207916699</v>
      </c>
      <c r="AE740" s="271">
        <f>+AB740+Z740+Y740</f>
        <v>652899385.30958319</v>
      </c>
    </row>
    <row r="741" spans="1:31">
      <c r="A741" s="113">
        <v>726</v>
      </c>
      <c r="E741" s="113" t="s">
        <v>2852</v>
      </c>
      <c r="S741" s="341"/>
      <c r="U741" s="348" t="s">
        <v>2853</v>
      </c>
      <c r="V741" s="430">
        <f>+U740+V740</f>
        <v>21597020.207916677</v>
      </c>
      <c r="W741" s="349" t="s">
        <v>2854</v>
      </c>
      <c r="X741" s="342">
        <f>-W740-X740</f>
        <v>21597020.207916498</v>
      </c>
      <c r="Y741" s="342"/>
      <c r="Z741" s="342"/>
      <c r="AA741" s="341"/>
      <c r="AB741" s="342"/>
      <c r="AC741" s="271">
        <f>+AB740+Z740+Y740</f>
        <v>652899385.30958319</v>
      </c>
      <c r="AE741" s="271">
        <f>+AE740-X740</f>
        <v>0</v>
      </c>
    </row>
    <row r="742" spans="1:31">
      <c r="A742" s="113">
        <v>727</v>
      </c>
      <c r="S742" s="341"/>
      <c r="U742" s="341"/>
      <c r="V742" s="342"/>
      <c r="W742" s="342"/>
      <c r="X742" s="430">
        <f>+X741-V741</f>
        <v>-1.7881393432617188E-7</v>
      </c>
      <c r="Y742" s="342"/>
      <c r="Z742" s="342"/>
      <c r="AA742" s="341">
        <f>+Y740+Z740+AB740-X740</f>
        <v>0</v>
      </c>
      <c r="AB742" s="342"/>
      <c r="AD742" s="271"/>
    </row>
    <row r="743" spans="1:31">
      <c r="A743" s="113">
        <v>728</v>
      </c>
      <c r="E743" s="113" t="s">
        <v>2855</v>
      </c>
      <c r="S743" s="341"/>
      <c r="U743" s="341"/>
      <c r="V743" s="342"/>
      <c r="W743" s="342"/>
      <c r="X743" s="342">
        <f>+X740-Y740-Z740-AB740</f>
        <v>4.1723251342773438E-7</v>
      </c>
      <c r="Y743" s="345">
        <f>+Y740/AC741</f>
        <v>0.61232756653645704</v>
      </c>
      <c r="Z743" s="345">
        <f>+Z740/AC741</f>
        <v>0.20042610546828057</v>
      </c>
      <c r="AA743" s="345"/>
      <c r="AB743" s="345">
        <f>+AD740/-AC740</f>
        <v>3.2019474130994992E-2</v>
      </c>
    </row>
    <row r="744" spans="1:31">
      <c r="A744" s="113">
        <v>729</v>
      </c>
      <c r="S744" s="341"/>
      <c r="U744" s="341"/>
      <c r="V744" s="342"/>
      <c r="W744" s="342"/>
      <c r="X744" s="342"/>
      <c r="Y744" s="342"/>
      <c r="Z744" s="342"/>
      <c r="AA744" s="341"/>
      <c r="AB744" s="342"/>
    </row>
    <row r="745" spans="1:31">
      <c r="A745" s="113">
        <v>730</v>
      </c>
      <c r="E745" s="113" t="s">
        <v>2856</v>
      </c>
      <c r="S745" s="341"/>
      <c r="U745" s="341"/>
      <c r="V745" s="342"/>
      <c r="W745" s="342"/>
      <c r="X745" s="342"/>
      <c r="Y745" s="1378">
        <f>+AD740*Y743-(186074.83)</f>
        <v>13038375.998352319</v>
      </c>
      <c r="Z745" s="342">
        <f>+X741*Z743</f>
        <v>4328606.6499924585</v>
      </c>
      <c r="AA745" s="341"/>
      <c r="AB745" s="342">
        <f>+X741*AB743</f>
        <v>691525.22985395836</v>
      </c>
    </row>
    <row r="746" spans="1:31">
      <c r="S746" s="341"/>
      <c r="U746" s="341"/>
      <c r="V746" s="342"/>
      <c r="W746" s="342"/>
      <c r="X746" s="342"/>
      <c r="Y746" s="342"/>
      <c r="Z746" s="342"/>
      <c r="AA746" s="341"/>
      <c r="AB746" s="342"/>
    </row>
    <row r="747" spans="1:31">
      <c r="S747" s="341"/>
      <c r="U747" s="341"/>
      <c r="V747" s="342"/>
      <c r="W747" s="342"/>
      <c r="X747" s="342"/>
      <c r="Y747" s="342"/>
      <c r="Z747" s="342"/>
      <c r="AA747" s="341"/>
      <c r="AB747" s="342"/>
    </row>
    <row r="748" spans="1:31">
      <c r="S748" s="341"/>
      <c r="U748" s="341"/>
      <c r="V748" s="342"/>
      <c r="W748" s="342"/>
      <c r="X748" s="342"/>
      <c r="Y748" s="342"/>
      <c r="Z748" s="342"/>
      <c r="AA748" s="341"/>
      <c r="AB748" s="342"/>
    </row>
    <row r="749" spans="1:31">
      <c r="S749" s="341"/>
      <c r="U749" s="341"/>
      <c r="V749" s="342"/>
      <c r="W749" s="342"/>
      <c r="X749" s="342"/>
      <c r="Y749" s="342"/>
      <c r="Z749" s="342"/>
      <c r="AA749" s="341"/>
      <c r="AB749" s="342"/>
    </row>
    <row r="750" spans="1:31">
      <c r="S750" s="341"/>
      <c r="U750" s="341"/>
      <c r="V750" s="342"/>
      <c r="W750" s="342"/>
      <c r="X750" s="342"/>
      <c r="Y750" s="342"/>
      <c r="Z750" s="342"/>
      <c r="AA750" s="341"/>
      <c r="AB750" s="342"/>
    </row>
    <row r="751" spans="1:31">
      <c r="S751" s="341"/>
      <c r="U751" s="341"/>
      <c r="V751" s="342"/>
      <c r="W751" s="342"/>
      <c r="X751" s="342"/>
      <c r="Y751" s="342"/>
      <c r="Z751" s="342"/>
      <c r="AA751" s="341"/>
      <c r="AB751" s="342"/>
    </row>
    <row r="752" spans="1:31">
      <c r="S752" s="341"/>
      <c r="U752" s="341"/>
      <c r="V752" s="342"/>
      <c r="W752" s="342"/>
      <c r="X752" s="342"/>
      <c r="Y752" s="342"/>
      <c r="Z752" s="342"/>
      <c r="AA752" s="341"/>
      <c r="AB752" s="342"/>
    </row>
    <row r="753" spans="19:28">
      <c r="S753" s="341"/>
      <c r="U753" s="341"/>
      <c r="V753" s="342"/>
      <c r="W753" s="342"/>
      <c r="X753" s="342"/>
      <c r="Y753" s="342"/>
      <c r="Z753" s="342"/>
      <c r="AA753" s="341"/>
      <c r="AB753" s="342"/>
    </row>
    <row r="754" spans="19:28">
      <c r="S754" s="341"/>
      <c r="U754" s="341"/>
      <c r="V754" s="342"/>
      <c r="W754" s="342"/>
      <c r="X754" s="342"/>
      <c r="Y754" s="342"/>
      <c r="Z754" s="342"/>
      <c r="AA754" s="341"/>
      <c r="AB754" s="342"/>
    </row>
    <row r="755" spans="19:28">
      <c r="S755" s="341"/>
      <c r="U755" s="341"/>
      <c r="V755" s="342"/>
      <c r="W755" s="342"/>
      <c r="X755" s="342"/>
      <c r="Y755" s="342"/>
      <c r="Z755" s="342"/>
      <c r="AA755" s="341"/>
      <c r="AB755" s="342"/>
    </row>
    <row r="756" spans="19:28">
      <c r="S756" s="341"/>
      <c r="U756" s="341"/>
      <c r="V756" s="342"/>
      <c r="W756" s="342"/>
      <c r="X756" s="342"/>
      <c r="Y756" s="342"/>
      <c r="Z756" s="342"/>
      <c r="AA756" s="341"/>
      <c r="AB756" s="342"/>
    </row>
    <row r="757" spans="19:28">
      <c r="S757" s="341"/>
      <c r="U757" s="341"/>
      <c r="V757" s="342"/>
      <c r="W757" s="342"/>
      <c r="X757" s="342"/>
      <c r="Y757" s="342"/>
      <c r="Z757" s="342"/>
      <c r="AA757" s="341"/>
      <c r="AB757" s="342"/>
    </row>
    <row r="758" spans="19:28">
      <c r="S758" s="341"/>
      <c r="U758" s="341"/>
      <c r="V758" s="342"/>
      <c r="W758" s="342"/>
      <c r="X758" s="342"/>
      <c r="Y758" s="342"/>
      <c r="Z758" s="342"/>
      <c r="AA758" s="341"/>
      <c r="AB758" s="342"/>
    </row>
    <row r="759" spans="19:28">
      <c r="S759" s="341"/>
      <c r="U759" s="341"/>
      <c r="V759" s="342"/>
      <c r="W759" s="342"/>
      <c r="X759" s="342"/>
      <c r="Y759" s="342"/>
      <c r="Z759" s="342"/>
      <c r="AA759" s="341"/>
      <c r="AB759" s="342"/>
    </row>
    <row r="760" spans="19:28">
      <c r="S760" s="341"/>
      <c r="U760" s="341"/>
      <c r="V760" s="342"/>
      <c r="W760" s="342"/>
      <c r="X760" s="342"/>
      <c r="Y760" s="342"/>
      <c r="Z760" s="342"/>
      <c r="AA760" s="341"/>
      <c r="AB760" s="342"/>
    </row>
    <row r="761" spans="19:28">
      <c r="S761" s="341"/>
      <c r="U761" s="341"/>
      <c r="V761" s="342"/>
      <c r="W761" s="342"/>
      <c r="X761" s="342"/>
      <c r="Y761" s="342"/>
      <c r="Z761" s="342"/>
      <c r="AA761" s="341"/>
      <c r="AB761" s="342"/>
    </row>
    <row r="762" spans="19:28">
      <c r="S762" s="341"/>
      <c r="U762" s="341"/>
      <c r="V762" s="342"/>
      <c r="W762" s="342"/>
      <c r="X762" s="342"/>
      <c r="Y762" s="342"/>
      <c r="Z762" s="342"/>
      <c r="AA762" s="341"/>
      <c r="AB762" s="342"/>
    </row>
    <row r="763" spans="19:28">
      <c r="S763" s="341"/>
      <c r="U763" s="341"/>
      <c r="V763" s="342"/>
      <c r="W763" s="342"/>
      <c r="X763" s="342"/>
      <c r="Y763" s="342"/>
      <c r="Z763" s="342"/>
      <c r="AA763" s="341"/>
      <c r="AB763" s="342"/>
    </row>
    <row r="764" spans="19:28">
      <c r="S764" s="341"/>
      <c r="U764" s="341"/>
      <c r="V764" s="342"/>
      <c r="W764" s="342"/>
      <c r="X764" s="342"/>
      <c r="Y764" s="342"/>
      <c r="Z764" s="342"/>
      <c r="AA764" s="341"/>
      <c r="AB764" s="342"/>
    </row>
    <row r="765" spans="19:28">
      <c r="S765" s="341"/>
      <c r="U765" s="341"/>
      <c r="V765" s="342"/>
      <c r="W765" s="342"/>
      <c r="X765" s="342"/>
      <c r="Y765" s="342"/>
      <c r="Z765" s="342"/>
      <c r="AA765" s="341"/>
      <c r="AB765" s="342"/>
    </row>
    <row r="766" spans="19:28">
      <c r="S766" s="341"/>
      <c r="U766" s="341"/>
      <c r="V766" s="342"/>
      <c r="W766" s="342"/>
      <c r="X766" s="342"/>
      <c r="Y766" s="342"/>
      <c r="Z766" s="342"/>
      <c r="AA766" s="341"/>
      <c r="AB766" s="342"/>
    </row>
    <row r="767" spans="19:28">
      <c r="S767" s="341"/>
      <c r="U767" s="341"/>
      <c r="V767" s="342"/>
      <c r="W767" s="342"/>
      <c r="X767" s="342"/>
      <c r="Y767" s="342"/>
      <c r="Z767" s="342"/>
      <c r="AA767" s="341"/>
      <c r="AB767" s="342"/>
    </row>
    <row r="768" spans="19:28">
      <c r="S768" s="341"/>
      <c r="U768" s="341"/>
      <c r="V768" s="342"/>
      <c r="W768" s="342"/>
      <c r="X768" s="342"/>
      <c r="Y768" s="342"/>
      <c r="Z768" s="342"/>
      <c r="AA768" s="341"/>
      <c r="AB768" s="342"/>
    </row>
    <row r="769" spans="19:28">
      <c r="S769" s="341"/>
      <c r="U769" s="341"/>
      <c r="V769" s="342"/>
      <c r="W769" s="342"/>
      <c r="X769" s="342"/>
      <c r="Y769" s="342"/>
      <c r="Z769" s="342"/>
      <c r="AA769" s="341"/>
      <c r="AB769" s="342"/>
    </row>
    <row r="770" spans="19:28">
      <c r="S770" s="341"/>
      <c r="U770" s="341"/>
      <c r="V770" s="342"/>
      <c r="W770" s="342"/>
      <c r="X770" s="342"/>
      <c r="Y770" s="342"/>
      <c r="Z770" s="342"/>
      <c r="AA770" s="341"/>
      <c r="AB770" s="342"/>
    </row>
    <row r="771" spans="19:28">
      <c r="S771" s="341"/>
      <c r="U771" s="341"/>
      <c r="V771" s="342"/>
      <c r="W771" s="342"/>
      <c r="X771" s="342"/>
      <c r="Y771" s="342"/>
      <c r="Z771" s="342"/>
      <c r="AA771" s="341"/>
      <c r="AB771" s="342"/>
    </row>
    <row r="772" spans="19:28">
      <c r="S772" s="341"/>
      <c r="U772" s="341"/>
      <c r="V772" s="342"/>
      <c r="W772" s="342"/>
      <c r="X772" s="342"/>
      <c r="Y772" s="342"/>
      <c r="Z772" s="342"/>
      <c r="AA772" s="341"/>
      <c r="AB772" s="342"/>
    </row>
    <row r="773" spans="19:28">
      <c r="S773" s="341"/>
      <c r="U773" s="341"/>
      <c r="V773" s="342"/>
      <c r="W773" s="342"/>
      <c r="X773" s="342"/>
      <c r="Y773" s="342"/>
      <c r="Z773" s="342"/>
      <c r="AA773" s="341"/>
      <c r="AB773" s="342"/>
    </row>
    <row r="774" spans="19:28">
      <c r="S774" s="341"/>
      <c r="U774" s="341"/>
      <c r="V774" s="342"/>
      <c r="W774" s="342"/>
      <c r="X774" s="342"/>
      <c r="Y774" s="342"/>
      <c r="Z774" s="342"/>
      <c r="AA774" s="341"/>
      <c r="AB774" s="342"/>
    </row>
    <row r="775" spans="19:28">
      <c r="S775" s="341"/>
      <c r="U775" s="341"/>
      <c r="V775" s="342"/>
      <c r="W775" s="342"/>
      <c r="X775" s="342"/>
      <c r="Y775" s="342"/>
      <c r="Z775" s="342"/>
      <c r="AA775" s="341"/>
      <c r="AB775" s="342"/>
    </row>
    <row r="776" spans="19:28">
      <c r="S776" s="341"/>
      <c r="U776" s="341"/>
      <c r="V776" s="342"/>
      <c r="W776" s="342"/>
      <c r="X776" s="342"/>
      <c r="Y776" s="342"/>
      <c r="Z776" s="342"/>
      <c r="AA776" s="341"/>
      <c r="AB776" s="342"/>
    </row>
    <row r="777" spans="19:28">
      <c r="S777" s="341"/>
      <c r="U777" s="341"/>
      <c r="V777" s="342"/>
      <c r="W777" s="342"/>
      <c r="X777" s="342"/>
      <c r="Y777" s="342"/>
      <c r="Z777" s="342"/>
      <c r="AA777" s="341"/>
      <c r="AB777" s="342"/>
    </row>
    <row r="778" spans="19:28">
      <c r="S778" s="341"/>
      <c r="U778" s="341"/>
      <c r="V778" s="342"/>
      <c r="W778" s="342"/>
      <c r="X778" s="342"/>
      <c r="Y778" s="342"/>
      <c r="Z778" s="342"/>
      <c r="AA778" s="341"/>
      <c r="AB778" s="342"/>
    </row>
    <row r="779" spans="19:28">
      <c r="S779" s="341"/>
      <c r="U779" s="341"/>
      <c r="V779" s="342"/>
      <c r="W779" s="342"/>
      <c r="X779" s="342"/>
      <c r="Y779" s="342"/>
      <c r="Z779" s="342"/>
      <c r="AA779" s="341"/>
      <c r="AB779" s="342"/>
    </row>
    <row r="780" spans="19:28">
      <c r="S780" s="341"/>
      <c r="U780" s="341"/>
      <c r="V780" s="342"/>
      <c r="W780" s="342"/>
      <c r="X780" s="342"/>
      <c r="Y780" s="342"/>
      <c r="Z780" s="342"/>
      <c r="AA780" s="341"/>
      <c r="AB780" s="342"/>
    </row>
    <row r="781" spans="19:28">
      <c r="S781" s="341"/>
      <c r="U781" s="341"/>
      <c r="V781" s="342"/>
      <c r="W781" s="342"/>
      <c r="X781" s="342"/>
      <c r="Y781" s="342"/>
      <c r="Z781" s="342"/>
      <c r="AA781" s="341"/>
      <c r="AB781" s="342"/>
    </row>
    <row r="782" spans="19:28">
      <c r="S782" s="341"/>
      <c r="U782" s="341"/>
      <c r="V782" s="342"/>
      <c r="W782" s="342"/>
      <c r="X782" s="342"/>
      <c r="Y782" s="342"/>
      <c r="Z782" s="342"/>
      <c r="AA782" s="341"/>
      <c r="AB782" s="342"/>
    </row>
    <row r="783" spans="19:28">
      <c r="S783" s="341"/>
      <c r="U783" s="341"/>
      <c r="V783" s="342"/>
      <c r="W783" s="342"/>
      <c r="X783" s="342"/>
      <c r="Y783" s="342"/>
      <c r="Z783" s="342"/>
      <c r="AA783" s="341"/>
      <c r="AB783" s="342"/>
    </row>
    <row r="784" spans="19:28">
      <c r="S784" s="341"/>
      <c r="U784" s="341"/>
      <c r="V784" s="342"/>
      <c r="W784" s="342"/>
      <c r="X784" s="342"/>
      <c r="Y784" s="342"/>
      <c r="Z784" s="342"/>
      <c r="AA784" s="341"/>
      <c r="AB784" s="342"/>
    </row>
    <row r="785" spans="19:28">
      <c r="S785" s="341"/>
      <c r="U785" s="341"/>
      <c r="V785" s="342"/>
      <c r="W785" s="342"/>
      <c r="X785" s="342"/>
      <c r="Y785" s="342"/>
      <c r="Z785" s="342"/>
      <c r="AA785" s="341"/>
      <c r="AB785" s="342"/>
    </row>
    <row r="786" spans="19:28">
      <c r="S786" s="341"/>
      <c r="U786" s="341"/>
      <c r="V786" s="342"/>
      <c r="W786" s="342"/>
      <c r="X786" s="342"/>
      <c r="Y786" s="342"/>
      <c r="Z786" s="342"/>
      <c r="AA786" s="341"/>
      <c r="AB786" s="342"/>
    </row>
    <row r="787" spans="19:28">
      <c r="S787" s="341"/>
      <c r="U787" s="341"/>
      <c r="V787" s="342"/>
      <c r="W787" s="342"/>
      <c r="X787" s="342"/>
      <c r="Y787" s="342"/>
      <c r="Z787" s="342"/>
      <c r="AA787" s="341"/>
      <c r="AB787" s="342"/>
    </row>
    <row r="788" spans="19:28">
      <c r="S788" s="341"/>
      <c r="U788" s="341"/>
      <c r="V788" s="342"/>
      <c r="W788" s="342"/>
      <c r="X788" s="342"/>
      <c r="Y788" s="342"/>
      <c r="Z788" s="342"/>
      <c r="AA788" s="341"/>
      <c r="AB788" s="342"/>
    </row>
    <row r="789" spans="19:28">
      <c r="S789" s="341"/>
      <c r="U789" s="341"/>
      <c r="V789" s="342"/>
      <c r="W789" s="342"/>
      <c r="X789" s="342"/>
      <c r="Y789" s="342"/>
      <c r="Z789" s="342"/>
      <c r="AA789" s="341"/>
      <c r="AB789" s="342"/>
    </row>
    <row r="790" spans="19:28">
      <c r="S790" s="341"/>
      <c r="U790" s="341"/>
      <c r="V790" s="342"/>
      <c r="W790" s="342"/>
      <c r="X790" s="342"/>
      <c r="Y790" s="342"/>
      <c r="Z790" s="342"/>
      <c r="AA790" s="341"/>
      <c r="AB790" s="342"/>
    </row>
    <row r="791" spans="19:28">
      <c r="S791" s="341"/>
      <c r="U791" s="341"/>
      <c r="V791" s="342"/>
      <c r="W791" s="342"/>
      <c r="X791" s="342"/>
      <c r="Y791" s="342"/>
      <c r="Z791" s="342"/>
      <c r="AA791" s="341"/>
      <c r="AB791" s="342"/>
    </row>
    <row r="792" spans="19:28">
      <c r="S792" s="341"/>
      <c r="U792" s="341"/>
      <c r="V792" s="342"/>
      <c r="W792" s="342"/>
      <c r="X792" s="342"/>
      <c r="Y792" s="342"/>
      <c r="Z792" s="342"/>
      <c r="AA792" s="341"/>
      <c r="AB792" s="342"/>
    </row>
    <row r="793" spans="19:28">
      <c r="S793" s="341"/>
      <c r="U793" s="341"/>
      <c r="V793" s="342"/>
      <c r="W793" s="342"/>
      <c r="X793" s="342"/>
      <c r="Y793" s="342"/>
      <c r="Z793" s="342"/>
      <c r="AA793" s="341"/>
      <c r="AB793" s="342"/>
    </row>
    <row r="794" spans="19:28">
      <c r="S794" s="341"/>
      <c r="U794" s="341"/>
      <c r="V794" s="342"/>
      <c r="W794" s="342"/>
      <c r="X794" s="342"/>
      <c r="Y794" s="342"/>
      <c r="Z794" s="342"/>
      <c r="AA794" s="341"/>
      <c r="AB794" s="342"/>
    </row>
    <row r="795" spans="19:28">
      <c r="S795" s="341"/>
      <c r="U795" s="341"/>
      <c r="V795" s="342"/>
      <c r="W795" s="342"/>
      <c r="X795" s="342"/>
      <c r="Y795" s="342"/>
      <c r="Z795" s="342"/>
      <c r="AA795" s="341"/>
      <c r="AB795" s="342"/>
    </row>
    <row r="796" spans="19:28">
      <c r="S796" s="341"/>
      <c r="U796" s="341"/>
      <c r="V796" s="342"/>
      <c r="W796" s="342"/>
      <c r="X796" s="342"/>
      <c r="Y796" s="342"/>
      <c r="Z796" s="342"/>
      <c r="AA796" s="341"/>
      <c r="AB796" s="342"/>
    </row>
    <row r="797" spans="19:28">
      <c r="S797" s="341"/>
      <c r="U797" s="341"/>
      <c r="V797" s="342"/>
      <c r="W797" s="342"/>
      <c r="X797" s="342"/>
      <c r="Y797" s="342"/>
      <c r="Z797" s="342"/>
      <c r="AA797" s="341"/>
      <c r="AB797" s="342"/>
    </row>
    <row r="798" spans="19:28">
      <c r="S798" s="341"/>
      <c r="U798" s="341"/>
      <c r="V798" s="342"/>
      <c r="W798" s="342"/>
      <c r="X798" s="342"/>
      <c r="Y798" s="342"/>
      <c r="Z798" s="342"/>
      <c r="AA798" s="341"/>
      <c r="AB798" s="342"/>
    </row>
    <row r="799" spans="19:28">
      <c r="S799" s="341"/>
      <c r="U799" s="341"/>
      <c r="V799" s="342"/>
      <c r="W799" s="342"/>
      <c r="X799" s="342"/>
      <c r="Y799" s="342"/>
      <c r="Z799" s="342"/>
      <c r="AA799" s="341"/>
      <c r="AB799" s="342"/>
    </row>
    <row r="800" spans="19:28">
      <c r="S800" s="341"/>
      <c r="U800" s="341"/>
      <c r="V800" s="342"/>
      <c r="W800" s="342"/>
      <c r="X800" s="342"/>
      <c r="Y800" s="342"/>
      <c r="Z800" s="342"/>
      <c r="AA800" s="341"/>
      <c r="AB800" s="342"/>
    </row>
    <row r="801" spans="19:28">
      <c r="S801" s="341"/>
      <c r="U801" s="341"/>
      <c r="V801" s="342"/>
      <c r="W801" s="342"/>
      <c r="X801" s="342"/>
      <c r="Y801" s="342"/>
      <c r="Z801" s="342"/>
      <c r="AA801" s="341"/>
      <c r="AB801" s="342"/>
    </row>
    <row r="802" spans="19:28">
      <c r="S802" s="341"/>
      <c r="U802" s="341"/>
      <c r="V802" s="342"/>
      <c r="W802" s="342"/>
      <c r="X802" s="342"/>
      <c r="Y802" s="342"/>
      <c r="Z802" s="342"/>
      <c r="AA802" s="341"/>
      <c r="AB802" s="342"/>
    </row>
    <row r="803" spans="19:28">
      <c r="S803" s="341"/>
      <c r="U803" s="341"/>
      <c r="V803" s="342"/>
      <c r="W803" s="342"/>
      <c r="X803" s="342"/>
      <c r="Y803" s="342"/>
      <c r="Z803" s="342"/>
      <c r="AA803" s="341"/>
      <c r="AB803" s="342"/>
    </row>
    <row r="804" spans="19:28">
      <c r="S804" s="341"/>
      <c r="U804" s="341"/>
      <c r="V804" s="342"/>
      <c r="W804" s="342"/>
      <c r="X804" s="342"/>
      <c r="Y804" s="342"/>
      <c r="Z804" s="342"/>
      <c r="AA804" s="341"/>
      <c r="AB804" s="342"/>
    </row>
    <row r="805" spans="19:28">
      <c r="S805" s="341"/>
      <c r="U805" s="341"/>
      <c r="V805" s="342"/>
      <c r="W805" s="342"/>
      <c r="X805" s="342"/>
      <c r="Y805" s="342"/>
      <c r="Z805" s="342"/>
      <c r="AA805" s="341"/>
      <c r="AB805" s="342"/>
    </row>
    <row r="806" spans="19:28">
      <c r="S806" s="341"/>
      <c r="U806" s="341"/>
      <c r="V806" s="342"/>
      <c r="W806" s="342"/>
      <c r="X806" s="342"/>
      <c r="Y806" s="342"/>
      <c r="Z806" s="342"/>
      <c r="AA806" s="341"/>
      <c r="AB806" s="342"/>
    </row>
    <row r="807" spans="19:28">
      <c r="S807" s="341"/>
      <c r="U807" s="341"/>
      <c r="V807" s="342"/>
      <c r="W807" s="342"/>
      <c r="X807" s="342"/>
      <c r="Y807" s="342"/>
      <c r="Z807" s="342"/>
      <c r="AA807" s="341"/>
      <c r="AB807" s="342"/>
    </row>
    <row r="808" spans="19:28">
      <c r="S808" s="341"/>
      <c r="U808" s="341"/>
      <c r="V808" s="342"/>
      <c r="W808" s="342"/>
      <c r="X808" s="342"/>
      <c r="Y808" s="342"/>
      <c r="Z808" s="342"/>
      <c r="AA808" s="341"/>
      <c r="AB808" s="342"/>
    </row>
    <row r="809" spans="19:28">
      <c r="S809" s="341"/>
      <c r="U809" s="341"/>
      <c r="V809" s="342"/>
      <c r="W809" s="342"/>
      <c r="X809" s="342"/>
      <c r="Y809" s="342"/>
      <c r="Z809" s="342"/>
      <c r="AA809" s="341"/>
      <c r="AB809" s="342"/>
    </row>
    <row r="810" spans="19:28">
      <c r="S810" s="341"/>
      <c r="U810" s="341"/>
      <c r="V810" s="342"/>
      <c r="W810" s="342"/>
      <c r="X810" s="342"/>
      <c r="Y810" s="342"/>
      <c r="Z810" s="342"/>
      <c r="AA810" s="341"/>
      <c r="AB810" s="342"/>
    </row>
    <row r="811" spans="19:28">
      <c r="S811" s="341"/>
      <c r="U811" s="341"/>
      <c r="V811" s="342"/>
      <c r="W811" s="342"/>
      <c r="X811" s="342"/>
      <c r="Y811" s="342"/>
      <c r="Z811" s="342"/>
      <c r="AA811" s="341"/>
      <c r="AB811" s="342"/>
    </row>
    <row r="812" spans="19:28">
      <c r="S812" s="341"/>
      <c r="U812" s="341"/>
      <c r="V812" s="342"/>
      <c r="W812" s="342"/>
      <c r="X812" s="342"/>
      <c r="Y812" s="342"/>
      <c r="Z812" s="342"/>
      <c r="AA812" s="341"/>
      <c r="AB812" s="342"/>
    </row>
    <row r="813" spans="19:28">
      <c r="S813" s="341"/>
      <c r="U813" s="341"/>
      <c r="V813" s="342"/>
      <c r="W813" s="342"/>
      <c r="X813" s="342"/>
      <c r="Y813" s="342"/>
      <c r="Z813" s="342"/>
      <c r="AA813" s="341"/>
      <c r="AB813" s="342"/>
    </row>
    <row r="814" spans="19:28">
      <c r="S814" s="341"/>
      <c r="U814" s="341"/>
      <c r="V814" s="342"/>
      <c r="W814" s="342"/>
      <c r="X814" s="342"/>
      <c r="Y814" s="342"/>
      <c r="Z814" s="342"/>
      <c r="AA814" s="341"/>
      <c r="AB814" s="342"/>
    </row>
    <row r="815" spans="19:28">
      <c r="S815" s="341"/>
      <c r="U815" s="341"/>
      <c r="V815" s="342"/>
      <c r="W815" s="342"/>
      <c r="X815" s="342"/>
      <c r="Y815" s="342"/>
      <c r="Z815" s="342"/>
      <c r="AA815" s="341"/>
      <c r="AB815" s="342"/>
    </row>
    <row r="816" spans="19:28">
      <c r="S816" s="341"/>
      <c r="U816" s="341"/>
      <c r="V816" s="342"/>
      <c r="W816" s="342"/>
      <c r="X816" s="342"/>
      <c r="Y816" s="342"/>
      <c r="Z816" s="342"/>
      <c r="AA816" s="341"/>
      <c r="AB816" s="342"/>
    </row>
    <row r="817" spans="19:28">
      <c r="S817" s="341"/>
      <c r="U817" s="341"/>
      <c r="V817" s="342"/>
      <c r="W817" s="342"/>
      <c r="X817" s="342"/>
      <c r="Y817" s="342"/>
      <c r="Z817" s="342"/>
      <c r="AA817" s="341"/>
      <c r="AB817" s="342"/>
    </row>
    <row r="818" spans="19:28">
      <c r="S818" s="341"/>
      <c r="U818" s="341"/>
      <c r="V818" s="342"/>
      <c r="W818" s="342"/>
      <c r="X818" s="342"/>
      <c r="Y818" s="342"/>
      <c r="Z818" s="342"/>
      <c r="AA818" s="341"/>
      <c r="AB818" s="342"/>
    </row>
    <row r="819" spans="19:28">
      <c r="S819" s="341"/>
      <c r="U819" s="341"/>
      <c r="V819" s="342"/>
      <c r="W819" s="342"/>
      <c r="X819" s="342"/>
      <c r="Y819" s="342"/>
      <c r="Z819" s="342"/>
      <c r="AA819" s="341"/>
      <c r="AB819" s="342"/>
    </row>
    <row r="820" spans="19:28">
      <c r="S820" s="341"/>
      <c r="U820" s="341"/>
      <c r="V820" s="342"/>
      <c r="W820" s="342"/>
      <c r="X820" s="342"/>
      <c r="Y820" s="342"/>
      <c r="Z820" s="342"/>
      <c r="AA820" s="341"/>
      <c r="AB820" s="342"/>
    </row>
    <row r="821" spans="19:28">
      <c r="S821" s="341"/>
      <c r="U821" s="341"/>
      <c r="V821" s="342"/>
      <c r="W821" s="342"/>
      <c r="X821" s="342"/>
      <c r="Y821" s="342"/>
      <c r="Z821" s="342"/>
      <c r="AA821" s="341"/>
      <c r="AB821" s="342"/>
    </row>
    <row r="822" spans="19:28">
      <c r="S822" s="341"/>
      <c r="U822" s="341"/>
      <c r="V822" s="342"/>
      <c r="W822" s="342"/>
      <c r="X822" s="342"/>
      <c r="Y822" s="342"/>
      <c r="Z822" s="342"/>
      <c r="AA822" s="341"/>
      <c r="AB822" s="342"/>
    </row>
    <row r="823" spans="19:28">
      <c r="S823" s="341"/>
      <c r="U823" s="341"/>
      <c r="V823" s="342"/>
      <c r="W823" s="342"/>
      <c r="X823" s="342"/>
      <c r="Y823" s="342"/>
      <c r="Z823" s="342"/>
      <c r="AA823" s="341"/>
      <c r="AB823" s="342"/>
    </row>
    <row r="824" spans="19:28">
      <c r="S824" s="341"/>
      <c r="U824" s="341"/>
      <c r="V824" s="342"/>
      <c r="W824" s="342"/>
      <c r="X824" s="342"/>
      <c r="Y824" s="342"/>
      <c r="Z824" s="342"/>
      <c r="AA824" s="341"/>
      <c r="AB824" s="342"/>
    </row>
    <row r="825" spans="19:28">
      <c r="S825" s="341"/>
      <c r="U825" s="341"/>
      <c r="V825" s="342"/>
      <c r="W825" s="342"/>
      <c r="X825" s="342"/>
      <c r="Y825" s="342"/>
      <c r="Z825" s="342"/>
      <c r="AA825" s="341"/>
      <c r="AB825" s="342"/>
    </row>
    <row r="826" spans="19:28">
      <c r="S826" s="341"/>
      <c r="U826" s="341"/>
      <c r="V826" s="342"/>
      <c r="W826" s="342"/>
      <c r="X826" s="342"/>
      <c r="Y826" s="342"/>
      <c r="Z826" s="342"/>
      <c r="AA826" s="341"/>
      <c r="AB826" s="342"/>
    </row>
    <row r="827" spans="19:28">
      <c r="S827" s="341"/>
      <c r="U827" s="341"/>
      <c r="V827" s="342"/>
      <c r="W827" s="342"/>
      <c r="X827" s="342"/>
      <c r="Y827" s="342"/>
      <c r="Z827" s="342"/>
      <c r="AA827" s="341"/>
      <c r="AB827" s="342"/>
    </row>
    <row r="828" spans="19:28">
      <c r="S828" s="341"/>
      <c r="U828" s="341"/>
      <c r="V828" s="342"/>
      <c r="W828" s="342"/>
      <c r="X828" s="342"/>
      <c r="Y828" s="342"/>
      <c r="Z828" s="342"/>
      <c r="AA828" s="341"/>
      <c r="AB828" s="342"/>
    </row>
    <row r="829" spans="19:28">
      <c r="S829" s="341"/>
      <c r="U829" s="341"/>
      <c r="V829" s="342"/>
      <c r="W829" s="342"/>
      <c r="X829" s="342"/>
      <c r="Y829" s="342"/>
      <c r="Z829" s="342"/>
      <c r="AA829" s="341"/>
      <c r="AB829" s="342"/>
    </row>
    <row r="830" spans="19:28">
      <c r="S830" s="341"/>
      <c r="U830" s="341"/>
      <c r="V830" s="342"/>
      <c r="W830" s="342"/>
      <c r="X830" s="342"/>
      <c r="Y830" s="342"/>
      <c r="Z830" s="342"/>
      <c r="AA830" s="341"/>
      <c r="AB830" s="342"/>
    </row>
    <row r="831" spans="19:28">
      <c r="S831" s="341"/>
      <c r="U831" s="341"/>
      <c r="V831" s="342"/>
      <c r="W831" s="342"/>
      <c r="X831" s="342"/>
      <c r="Y831" s="342"/>
      <c r="Z831" s="342"/>
      <c r="AA831" s="341"/>
      <c r="AB831" s="342"/>
    </row>
    <row r="832" spans="19:28">
      <c r="S832" s="341"/>
      <c r="U832" s="341"/>
      <c r="V832" s="342"/>
      <c r="W832" s="342"/>
      <c r="X832" s="342"/>
      <c r="Y832" s="342"/>
      <c r="Z832" s="342"/>
      <c r="AA832" s="341"/>
      <c r="AB832" s="342"/>
    </row>
    <row r="833" spans="19:28">
      <c r="S833" s="341"/>
      <c r="U833" s="341"/>
      <c r="V833" s="342"/>
      <c r="W833" s="342"/>
      <c r="X833" s="342"/>
      <c r="Y833" s="342"/>
      <c r="Z833" s="342"/>
      <c r="AA833" s="341"/>
      <c r="AB833" s="342"/>
    </row>
    <row r="834" spans="19:28">
      <c r="S834" s="341"/>
      <c r="U834" s="341"/>
      <c r="V834" s="342"/>
      <c r="W834" s="342"/>
      <c r="X834" s="342"/>
      <c r="Y834" s="342"/>
      <c r="Z834" s="342"/>
      <c r="AA834" s="341"/>
      <c r="AB834" s="342"/>
    </row>
    <row r="835" spans="19:28">
      <c r="S835" s="341"/>
      <c r="U835" s="341"/>
      <c r="V835" s="342"/>
      <c r="W835" s="342"/>
      <c r="X835" s="342"/>
      <c r="Y835" s="342"/>
      <c r="Z835" s="342"/>
      <c r="AA835" s="341"/>
      <c r="AB835" s="342"/>
    </row>
    <row r="836" spans="19:28">
      <c r="S836" s="341"/>
      <c r="U836" s="341"/>
      <c r="V836" s="342"/>
      <c r="W836" s="342"/>
      <c r="X836" s="342"/>
      <c r="Y836" s="342"/>
      <c r="Z836" s="342"/>
      <c r="AA836" s="341"/>
      <c r="AB836" s="342"/>
    </row>
    <row r="837" spans="19:28">
      <c r="S837" s="341"/>
      <c r="U837" s="341"/>
      <c r="V837" s="342"/>
      <c r="W837" s="342"/>
      <c r="X837" s="342"/>
      <c r="Y837" s="342"/>
      <c r="Z837" s="342"/>
      <c r="AA837" s="341"/>
      <c r="AB837" s="342"/>
    </row>
    <row r="838" spans="19:28">
      <c r="S838" s="341"/>
      <c r="U838" s="341"/>
      <c r="V838" s="342"/>
      <c r="W838" s="342"/>
      <c r="X838" s="342"/>
      <c r="Y838" s="342"/>
      <c r="Z838" s="342"/>
      <c r="AA838" s="341"/>
      <c r="AB838" s="342"/>
    </row>
    <row r="839" spans="19:28">
      <c r="S839" s="341"/>
      <c r="U839" s="341"/>
      <c r="V839" s="342"/>
      <c r="W839" s="342"/>
      <c r="X839" s="342"/>
      <c r="Y839" s="342"/>
      <c r="Z839" s="342"/>
      <c r="AA839" s="341"/>
      <c r="AB839" s="342"/>
    </row>
    <row r="840" spans="19:28">
      <c r="S840" s="341"/>
      <c r="U840" s="341"/>
      <c r="V840" s="342"/>
      <c r="W840" s="342"/>
      <c r="X840" s="342"/>
      <c r="Y840" s="342"/>
      <c r="Z840" s="342"/>
      <c r="AA840" s="341"/>
      <c r="AB840" s="342"/>
    </row>
    <row r="841" spans="19:28">
      <c r="S841" s="341"/>
      <c r="U841" s="341"/>
      <c r="V841" s="342"/>
      <c r="W841" s="342"/>
      <c r="X841" s="342"/>
      <c r="Y841" s="342"/>
      <c r="Z841" s="342"/>
      <c r="AA841" s="341"/>
      <c r="AB841" s="342"/>
    </row>
    <row r="842" spans="19:28">
      <c r="S842" s="341"/>
      <c r="U842" s="341"/>
      <c r="V842" s="342"/>
      <c r="W842" s="342"/>
      <c r="X842" s="342"/>
      <c r="Y842" s="342"/>
      <c r="Z842" s="342"/>
      <c r="AA842" s="341"/>
      <c r="AB842" s="342"/>
    </row>
    <row r="843" spans="19:28">
      <c r="S843" s="341"/>
      <c r="U843" s="341"/>
      <c r="V843" s="342"/>
      <c r="W843" s="342"/>
      <c r="X843" s="342"/>
      <c r="Y843" s="342"/>
      <c r="Z843" s="342"/>
      <c r="AA843" s="341"/>
      <c r="AB843" s="342"/>
    </row>
    <row r="844" spans="19:28">
      <c r="S844" s="341"/>
      <c r="U844" s="341"/>
      <c r="V844" s="342"/>
      <c r="W844" s="342"/>
      <c r="X844" s="342"/>
      <c r="Y844" s="342"/>
      <c r="Z844" s="342"/>
      <c r="AA844" s="341"/>
      <c r="AB844" s="342"/>
    </row>
    <row r="845" spans="19:28">
      <c r="S845" s="341"/>
      <c r="U845" s="341"/>
      <c r="V845" s="342"/>
      <c r="W845" s="342"/>
      <c r="X845" s="342"/>
      <c r="Y845" s="342"/>
      <c r="Z845" s="342"/>
      <c r="AA845" s="341"/>
      <c r="AB845" s="342"/>
    </row>
    <row r="846" spans="19:28">
      <c r="S846" s="341"/>
      <c r="U846" s="341"/>
      <c r="V846" s="342"/>
      <c r="W846" s="342"/>
      <c r="X846" s="342"/>
      <c r="Y846" s="342"/>
      <c r="Z846" s="342"/>
      <c r="AA846" s="341"/>
      <c r="AB846" s="342"/>
    </row>
    <row r="847" spans="19:28">
      <c r="S847" s="341"/>
      <c r="U847" s="341"/>
      <c r="V847" s="342"/>
      <c r="W847" s="342"/>
      <c r="X847" s="342"/>
      <c r="Y847" s="342"/>
      <c r="Z847" s="342"/>
      <c r="AA847" s="341"/>
      <c r="AB847" s="342"/>
    </row>
    <row r="848" spans="19:28">
      <c r="S848" s="341"/>
      <c r="U848" s="341"/>
      <c r="V848" s="342"/>
      <c r="W848" s="342"/>
      <c r="X848" s="342"/>
      <c r="Y848" s="342"/>
      <c r="Z848" s="342"/>
      <c r="AA848" s="341"/>
      <c r="AB848" s="342"/>
    </row>
    <row r="849" spans="19:28">
      <c r="S849" s="341"/>
      <c r="U849" s="341"/>
      <c r="V849" s="342"/>
      <c r="W849" s="342"/>
      <c r="X849" s="342"/>
      <c r="Y849" s="342"/>
      <c r="Z849" s="342"/>
      <c r="AA849" s="341"/>
      <c r="AB849" s="342"/>
    </row>
    <row r="850" spans="19:28">
      <c r="S850" s="341"/>
      <c r="U850" s="341"/>
      <c r="V850" s="342"/>
      <c r="W850" s="342"/>
      <c r="X850" s="342"/>
      <c r="Y850" s="342"/>
      <c r="Z850" s="342"/>
      <c r="AA850" s="341"/>
      <c r="AB850" s="342"/>
    </row>
    <row r="851" spans="19:28">
      <c r="S851" s="341"/>
      <c r="U851" s="341"/>
      <c r="V851" s="342"/>
      <c r="W851" s="342"/>
      <c r="X851" s="342"/>
      <c r="Y851" s="342"/>
      <c r="Z851" s="342"/>
      <c r="AA851" s="341"/>
      <c r="AB851" s="342"/>
    </row>
    <row r="852" spans="19:28">
      <c r="S852" s="341"/>
      <c r="U852" s="341"/>
      <c r="V852" s="342"/>
      <c r="W852" s="342"/>
      <c r="X852" s="342"/>
      <c r="Y852" s="342"/>
      <c r="Z852" s="342"/>
      <c r="AA852" s="341"/>
      <c r="AB852" s="342"/>
    </row>
    <row r="853" spans="19:28">
      <c r="S853" s="341"/>
      <c r="U853" s="341"/>
      <c r="V853" s="342"/>
      <c r="W853" s="342"/>
      <c r="X853" s="342"/>
      <c r="Y853" s="342"/>
      <c r="Z853" s="342"/>
      <c r="AA853" s="341"/>
      <c r="AB853" s="342"/>
    </row>
    <row r="854" spans="19:28">
      <c r="S854" s="341"/>
      <c r="U854" s="341"/>
      <c r="V854" s="342"/>
      <c r="W854" s="342"/>
      <c r="X854" s="342"/>
      <c r="Y854" s="342"/>
      <c r="Z854" s="342"/>
      <c r="AA854" s="341"/>
      <c r="AB854" s="342"/>
    </row>
    <row r="855" spans="19:28">
      <c r="S855" s="341"/>
      <c r="U855" s="341"/>
      <c r="V855" s="342"/>
      <c r="W855" s="342"/>
      <c r="X855" s="342"/>
      <c r="Y855" s="342"/>
      <c r="Z855" s="342"/>
      <c r="AA855" s="341"/>
      <c r="AB855" s="342"/>
    </row>
    <row r="856" spans="19:28">
      <c r="S856" s="341"/>
      <c r="U856" s="341"/>
      <c r="V856" s="342"/>
      <c r="W856" s="342"/>
      <c r="X856" s="342"/>
      <c r="Y856" s="342"/>
      <c r="Z856" s="342"/>
      <c r="AA856" s="341"/>
      <c r="AB856" s="342"/>
    </row>
    <row r="857" spans="19:28">
      <c r="S857" s="341"/>
      <c r="U857" s="341"/>
      <c r="V857" s="342"/>
      <c r="W857" s="342"/>
      <c r="X857" s="342"/>
      <c r="Y857" s="342"/>
      <c r="Z857" s="342"/>
      <c r="AA857" s="341"/>
      <c r="AB857" s="342"/>
    </row>
    <row r="858" spans="19:28">
      <c r="S858" s="341"/>
      <c r="U858" s="341"/>
      <c r="V858" s="342"/>
      <c r="W858" s="342"/>
      <c r="X858" s="342"/>
      <c r="Y858" s="342"/>
      <c r="Z858" s="342"/>
      <c r="AA858" s="341"/>
      <c r="AB858" s="342"/>
    </row>
    <row r="859" spans="19:28">
      <c r="S859" s="341"/>
      <c r="U859" s="341"/>
      <c r="V859" s="342"/>
      <c r="W859" s="342"/>
      <c r="X859" s="342"/>
      <c r="Y859" s="342"/>
      <c r="Z859" s="342"/>
      <c r="AA859" s="341"/>
      <c r="AB859" s="342"/>
    </row>
    <row r="860" spans="19:28">
      <c r="S860" s="341"/>
      <c r="U860" s="341"/>
      <c r="V860" s="342"/>
      <c r="W860" s="342"/>
      <c r="X860" s="342"/>
      <c r="Y860" s="342"/>
      <c r="Z860" s="342"/>
      <c r="AA860" s="341"/>
      <c r="AB860" s="342"/>
    </row>
    <row r="861" spans="19:28">
      <c r="S861" s="341"/>
      <c r="U861" s="341"/>
      <c r="V861" s="342"/>
      <c r="W861" s="342"/>
      <c r="X861" s="342"/>
      <c r="Y861" s="342"/>
      <c r="Z861" s="342"/>
      <c r="AA861" s="341"/>
      <c r="AB861" s="342"/>
    </row>
    <row r="862" spans="19:28">
      <c r="S862" s="341"/>
      <c r="U862" s="341"/>
      <c r="V862" s="342"/>
      <c r="W862" s="342"/>
      <c r="X862" s="342"/>
      <c r="Y862" s="342"/>
      <c r="Z862" s="342"/>
      <c r="AA862" s="341"/>
      <c r="AB862" s="342"/>
    </row>
    <row r="863" spans="19:28">
      <c r="S863" s="341"/>
      <c r="U863" s="341"/>
      <c r="V863" s="342"/>
      <c r="W863" s="342"/>
      <c r="X863" s="342"/>
      <c r="Y863" s="342"/>
      <c r="Z863" s="342"/>
      <c r="AA863" s="341"/>
      <c r="AB863" s="342"/>
    </row>
    <row r="864" spans="19:28">
      <c r="S864" s="341"/>
      <c r="U864" s="341"/>
      <c r="V864" s="342"/>
      <c r="W864" s="342"/>
      <c r="X864" s="342"/>
      <c r="Y864" s="342"/>
      <c r="Z864" s="342"/>
      <c r="AA864" s="341"/>
      <c r="AB864" s="342"/>
    </row>
    <row r="865" spans="19:28">
      <c r="S865" s="341"/>
      <c r="U865" s="341"/>
      <c r="V865" s="342"/>
      <c r="W865" s="342"/>
      <c r="X865" s="342"/>
      <c r="Y865" s="342"/>
      <c r="Z865" s="342"/>
      <c r="AA865" s="341"/>
      <c r="AB865" s="342"/>
    </row>
    <row r="866" spans="19:28">
      <c r="S866" s="341"/>
      <c r="U866" s="341"/>
      <c r="V866" s="342"/>
      <c r="W866" s="342"/>
      <c r="X866" s="342"/>
      <c r="Y866" s="342"/>
      <c r="Z866" s="342"/>
      <c r="AA866" s="341"/>
      <c r="AB866" s="342"/>
    </row>
    <row r="867" spans="19:28">
      <c r="S867" s="341"/>
      <c r="U867" s="341"/>
      <c r="V867" s="342"/>
      <c r="W867" s="342"/>
      <c r="X867" s="342"/>
      <c r="Y867" s="342"/>
      <c r="Z867" s="342"/>
      <c r="AA867" s="341"/>
      <c r="AB867" s="342"/>
    </row>
    <row r="868" spans="19:28">
      <c r="S868" s="341"/>
      <c r="U868" s="341"/>
      <c r="V868" s="342"/>
      <c r="W868" s="342"/>
      <c r="X868" s="342"/>
      <c r="Y868" s="342"/>
      <c r="Z868" s="342"/>
      <c r="AA868" s="341"/>
      <c r="AB868" s="342"/>
    </row>
    <row r="869" spans="19:28">
      <c r="S869" s="341"/>
      <c r="U869" s="341"/>
      <c r="V869" s="342"/>
      <c r="W869" s="342"/>
      <c r="X869" s="342"/>
      <c r="Y869" s="342"/>
      <c r="Z869" s="342"/>
      <c r="AA869" s="341"/>
      <c r="AB869" s="342"/>
    </row>
    <row r="870" spans="19:28">
      <c r="S870" s="341"/>
      <c r="U870" s="341"/>
      <c r="V870" s="342"/>
      <c r="W870" s="342"/>
      <c r="X870" s="342"/>
      <c r="Y870" s="342"/>
      <c r="Z870" s="342"/>
      <c r="AA870" s="341"/>
      <c r="AB870" s="342"/>
    </row>
    <row r="871" spans="19:28">
      <c r="S871" s="341"/>
      <c r="U871" s="341"/>
      <c r="V871" s="342"/>
      <c r="W871" s="342"/>
      <c r="X871" s="342"/>
      <c r="Y871" s="342"/>
      <c r="Z871" s="342"/>
      <c r="AA871" s="341"/>
      <c r="AB871" s="342"/>
    </row>
    <row r="872" spans="19:28">
      <c r="S872" s="341"/>
      <c r="U872" s="341"/>
      <c r="V872" s="342"/>
      <c r="W872" s="342"/>
      <c r="X872" s="342"/>
      <c r="Y872" s="342"/>
      <c r="Z872" s="342"/>
      <c r="AA872" s="341"/>
      <c r="AB872" s="342"/>
    </row>
    <row r="873" spans="19:28">
      <c r="S873" s="341"/>
      <c r="U873" s="341"/>
      <c r="V873" s="342"/>
      <c r="W873" s="342"/>
      <c r="X873" s="342"/>
      <c r="Y873" s="342"/>
      <c r="Z873" s="342"/>
      <c r="AA873" s="341"/>
      <c r="AB873" s="342"/>
    </row>
    <row r="874" spans="19:28">
      <c r="S874" s="341"/>
      <c r="U874" s="341"/>
      <c r="V874" s="342"/>
      <c r="W874" s="342"/>
      <c r="X874" s="342"/>
      <c r="Y874" s="342"/>
      <c r="Z874" s="342"/>
      <c r="AA874" s="341"/>
      <c r="AB874" s="342"/>
    </row>
    <row r="875" spans="19:28">
      <c r="S875" s="341"/>
      <c r="U875" s="341"/>
      <c r="V875" s="342"/>
      <c r="W875" s="342"/>
      <c r="X875" s="342"/>
      <c r="Y875" s="342"/>
      <c r="Z875" s="342"/>
      <c r="AA875" s="341"/>
      <c r="AB875" s="342"/>
    </row>
    <row r="876" spans="19:28">
      <c r="S876" s="341"/>
      <c r="U876" s="341"/>
      <c r="V876" s="342"/>
      <c r="W876" s="342"/>
      <c r="X876" s="342"/>
      <c r="Y876" s="342"/>
      <c r="Z876" s="342"/>
      <c r="AA876" s="341"/>
      <c r="AB876" s="342"/>
    </row>
    <row r="877" spans="19:28">
      <c r="S877" s="341"/>
      <c r="U877" s="341"/>
      <c r="V877" s="342"/>
      <c r="W877" s="342"/>
      <c r="X877" s="342"/>
      <c r="Y877" s="342"/>
      <c r="Z877" s="342"/>
      <c r="AA877" s="341"/>
      <c r="AB877" s="342"/>
    </row>
    <row r="878" spans="19:28">
      <c r="S878" s="341"/>
      <c r="U878" s="341"/>
      <c r="V878" s="342"/>
      <c r="W878" s="342"/>
      <c r="X878" s="342"/>
      <c r="Y878" s="342"/>
      <c r="Z878" s="342"/>
      <c r="AA878" s="341"/>
      <c r="AB878" s="342"/>
    </row>
    <row r="879" spans="19:28">
      <c r="S879" s="341"/>
      <c r="U879" s="341"/>
      <c r="V879" s="342"/>
      <c r="W879" s="342"/>
      <c r="X879" s="342"/>
      <c r="Y879" s="342"/>
      <c r="Z879" s="342"/>
      <c r="AA879" s="341"/>
      <c r="AB879" s="342"/>
    </row>
    <row r="880" spans="19:28">
      <c r="S880" s="341"/>
      <c r="U880" s="341"/>
      <c r="V880" s="342"/>
      <c r="W880" s="342"/>
      <c r="X880" s="342"/>
      <c r="Y880" s="342"/>
      <c r="Z880" s="342"/>
      <c r="AA880" s="341"/>
      <c r="AB880" s="342"/>
    </row>
    <row r="881" spans="19:28">
      <c r="S881" s="341"/>
      <c r="U881" s="341"/>
      <c r="V881" s="342"/>
      <c r="W881" s="342"/>
      <c r="X881" s="342"/>
      <c r="Y881" s="342"/>
      <c r="Z881" s="342"/>
      <c r="AA881" s="341"/>
      <c r="AB881" s="342"/>
    </row>
    <row r="882" spans="19:28">
      <c r="S882" s="341"/>
      <c r="U882" s="341"/>
      <c r="V882" s="342"/>
      <c r="W882" s="342"/>
      <c r="X882" s="342"/>
      <c r="Y882" s="342"/>
      <c r="Z882" s="342"/>
      <c r="AA882" s="341"/>
      <c r="AB882" s="342"/>
    </row>
    <row r="883" spans="19:28">
      <c r="S883" s="341"/>
      <c r="U883" s="341"/>
      <c r="V883" s="342"/>
      <c r="W883" s="342"/>
      <c r="X883" s="342"/>
      <c r="Y883" s="342"/>
      <c r="Z883" s="342"/>
      <c r="AA883" s="341"/>
      <c r="AB883" s="342"/>
    </row>
    <row r="884" spans="19:28">
      <c r="S884" s="341"/>
      <c r="U884" s="341"/>
      <c r="V884" s="342"/>
      <c r="W884" s="342"/>
      <c r="X884" s="342"/>
      <c r="Y884" s="342"/>
      <c r="Z884" s="342"/>
      <c r="AA884" s="341"/>
      <c r="AB884" s="342"/>
    </row>
    <row r="885" spans="19:28">
      <c r="S885" s="341"/>
      <c r="U885" s="341"/>
      <c r="V885" s="342"/>
      <c r="W885" s="342"/>
      <c r="X885" s="342"/>
      <c r="Y885" s="342"/>
      <c r="Z885" s="342"/>
      <c r="AA885" s="341"/>
      <c r="AB885" s="342"/>
    </row>
    <row r="886" spans="19:28">
      <c r="S886" s="341"/>
      <c r="U886" s="341"/>
      <c r="V886" s="342"/>
      <c r="W886" s="342"/>
      <c r="X886" s="342"/>
      <c r="Y886" s="342"/>
      <c r="Z886" s="342"/>
      <c r="AA886" s="341"/>
      <c r="AB886" s="342"/>
    </row>
    <row r="887" spans="19:28">
      <c r="S887" s="341"/>
      <c r="U887" s="341"/>
      <c r="V887" s="342"/>
      <c r="W887" s="342"/>
      <c r="X887" s="342"/>
      <c r="Y887" s="342"/>
      <c r="Z887" s="342"/>
      <c r="AA887" s="341"/>
      <c r="AB887" s="342"/>
    </row>
    <row r="888" spans="19:28">
      <c r="S888" s="341"/>
      <c r="U888" s="341"/>
      <c r="V888" s="342"/>
      <c r="W888" s="342"/>
      <c r="X888" s="342"/>
      <c r="Y888" s="342"/>
      <c r="Z888" s="342"/>
      <c r="AA888" s="341"/>
      <c r="AB888" s="342"/>
    </row>
    <row r="889" spans="19:28">
      <c r="S889" s="341"/>
      <c r="U889" s="341"/>
      <c r="V889" s="342"/>
      <c r="W889" s="342"/>
      <c r="X889" s="342"/>
      <c r="Y889" s="342"/>
      <c r="Z889" s="342"/>
      <c r="AA889" s="341"/>
      <c r="AB889" s="342"/>
    </row>
    <row r="890" spans="19:28">
      <c r="S890" s="341"/>
      <c r="U890" s="341"/>
      <c r="V890" s="342"/>
      <c r="W890" s="342"/>
      <c r="X890" s="342"/>
      <c r="Y890" s="342"/>
      <c r="Z890" s="342"/>
      <c r="AA890" s="341"/>
      <c r="AB890" s="342"/>
    </row>
    <row r="891" spans="19:28">
      <c r="S891" s="341"/>
      <c r="U891" s="341"/>
      <c r="V891" s="342"/>
      <c r="W891" s="342"/>
      <c r="X891" s="342"/>
      <c r="Y891" s="342"/>
      <c r="Z891" s="342"/>
      <c r="AA891" s="341"/>
      <c r="AB891" s="342"/>
    </row>
    <row r="892" spans="19:28">
      <c r="S892" s="341"/>
      <c r="U892" s="341"/>
      <c r="V892" s="342"/>
      <c r="W892" s="342"/>
      <c r="X892" s="342"/>
      <c r="Y892" s="342"/>
      <c r="Z892" s="342"/>
      <c r="AA892" s="341"/>
      <c r="AB892" s="342"/>
    </row>
    <row r="893" spans="19:28">
      <c r="S893" s="341"/>
      <c r="U893" s="341"/>
      <c r="V893" s="342"/>
      <c r="W893" s="342"/>
      <c r="X893" s="342"/>
      <c r="Y893" s="342"/>
      <c r="Z893" s="342"/>
      <c r="AA893" s="341"/>
      <c r="AB893" s="342"/>
    </row>
    <row r="894" spans="19:28">
      <c r="S894" s="341"/>
      <c r="U894" s="341"/>
      <c r="V894" s="342"/>
      <c r="W894" s="342"/>
      <c r="X894" s="342"/>
      <c r="Y894" s="342"/>
      <c r="Z894" s="342"/>
      <c r="AA894" s="341"/>
      <c r="AB894" s="342"/>
    </row>
    <row r="895" spans="19:28">
      <c r="S895" s="341"/>
      <c r="U895" s="341"/>
      <c r="V895" s="342"/>
      <c r="W895" s="342"/>
      <c r="X895" s="342"/>
      <c r="Y895" s="342"/>
      <c r="Z895" s="342"/>
      <c r="AA895" s="341"/>
      <c r="AB895" s="342"/>
    </row>
    <row r="896" spans="19:28">
      <c r="S896" s="341"/>
      <c r="U896" s="341"/>
      <c r="V896" s="342"/>
      <c r="W896" s="342"/>
      <c r="X896" s="342"/>
      <c r="Y896" s="342"/>
      <c r="Z896" s="342"/>
      <c r="AA896" s="341"/>
      <c r="AB896" s="342"/>
    </row>
    <row r="897" spans="19:28">
      <c r="S897" s="341"/>
      <c r="U897" s="341"/>
      <c r="V897" s="342"/>
      <c r="W897" s="342"/>
      <c r="X897" s="342"/>
      <c r="Y897" s="342"/>
      <c r="Z897" s="342"/>
      <c r="AA897" s="341"/>
      <c r="AB897" s="342"/>
    </row>
    <row r="898" spans="19:28">
      <c r="S898" s="341"/>
      <c r="U898" s="341"/>
      <c r="V898" s="342"/>
      <c r="W898" s="342"/>
      <c r="X898" s="342"/>
      <c r="Y898" s="342"/>
      <c r="Z898" s="342"/>
      <c r="AA898" s="341"/>
      <c r="AB898" s="342"/>
    </row>
    <row r="899" spans="19:28">
      <c r="S899" s="341"/>
      <c r="U899" s="341"/>
      <c r="V899" s="342"/>
      <c r="W899" s="342"/>
      <c r="X899" s="342"/>
      <c r="Y899" s="342"/>
      <c r="Z899" s="342"/>
      <c r="AA899" s="341"/>
      <c r="AB899" s="342"/>
    </row>
    <row r="900" spans="19:28">
      <c r="S900" s="341"/>
      <c r="U900" s="341"/>
      <c r="V900" s="342"/>
      <c r="W900" s="342"/>
      <c r="X900" s="342"/>
      <c r="Y900" s="342"/>
      <c r="Z900" s="342"/>
      <c r="AA900" s="341"/>
      <c r="AB900" s="342"/>
    </row>
    <row r="901" spans="19:28">
      <c r="S901" s="341"/>
      <c r="U901" s="341"/>
      <c r="V901" s="342"/>
      <c r="W901" s="342"/>
      <c r="X901" s="342"/>
      <c r="Y901" s="342"/>
      <c r="Z901" s="342"/>
      <c r="AA901" s="341"/>
      <c r="AB901" s="342"/>
    </row>
    <row r="902" spans="19:28">
      <c r="S902" s="341"/>
      <c r="U902" s="341"/>
      <c r="V902" s="342"/>
      <c r="W902" s="342"/>
      <c r="X902" s="342"/>
      <c r="Y902" s="342"/>
      <c r="Z902" s="342"/>
      <c r="AA902" s="341"/>
      <c r="AB902" s="342"/>
    </row>
    <row r="903" spans="19:28">
      <c r="S903" s="341"/>
      <c r="U903" s="341"/>
      <c r="V903" s="342"/>
      <c r="W903" s="342"/>
      <c r="X903" s="342"/>
      <c r="Y903" s="342"/>
      <c r="Z903" s="342"/>
      <c r="AA903" s="341"/>
      <c r="AB903" s="342"/>
    </row>
    <row r="904" spans="19:28">
      <c r="S904" s="341"/>
      <c r="U904" s="341"/>
      <c r="V904" s="342"/>
      <c r="W904" s="342"/>
      <c r="X904" s="342"/>
      <c r="Y904" s="342"/>
      <c r="Z904" s="342"/>
      <c r="AA904" s="341"/>
      <c r="AB904" s="342"/>
    </row>
    <row r="905" spans="19:28">
      <c r="S905" s="341"/>
      <c r="U905" s="341"/>
      <c r="V905" s="342"/>
      <c r="W905" s="342"/>
      <c r="X905" s="342"/>
      <c r="Y905" s="342"/>
      <c r="Z905" s="342"/>
      <c r="AA905" s="341"/>
      <c r="AB905" s="342"/>
    </row>
    <row r="906" spans="19:28">
      <c r="S906" s="341"/>
      <c r="U906" s="341"/>
      <c r="V906" s="342"/>
      <c r="W906" s="342"/>
      <c r="X906" s="342"/>
      <c r="Y906" s="342"/>
      <c r="Z906" s="342"/>
      <c r="AA906" s="341"/>
      <c r="AB906" s="342"/>
    </row>
    <row r="907" spans="19:28">
      <c r="S907" s="341"/>
      <c r="U907" s="341"/>
      <c r="V907" s="342"/>
      <c r="W907" s="342"/>
      <c r="X907" s="342"/>
      <c r="Y907" s="342"/>
      <c r="Z907" s="342"/>
      <c r="AA907" s="341"/>
      <c r="AB907" s="342"/>
    </row>
    <row r="908" spans="19:28">
      <c r="S908" s="341"/>
      <c r="U908" s="341"/>
      <c r="V908" s="342"/>
      <c r="W908" s="342"/>
      <c r="X908" s="342"/>
      <c r="Y908" s="342"/>
      <c r="Z908" s="342"/>
      <c r="AA908" s="341"/>
      <c r="AB908" s="342"/>
    </row>
    <row r="909" spans="19:28">
      <c r="S909" s="341"/>
      <c r="U909" s="341"/>
      <c r="V909" s="342"/>
      <c r="W909" s="342"/>
      <c r="X909" s="342"/>
      <c r="Y909" s="342"/>
      <c r="Z909" s="342"/>
      <c r="AA909" s="341"/>
      <c r="AB909" s="342"/>
    </row>
    <row r="910" spans="19:28">
      <c r="S910" s="341"/>
      <c r="U910" s="341"/>
      <c r="V910" s="342"/>
      <c r="W910" s="342"/>
      <c r="X910" s="342"/>
      <c r="Y910" s="342"/>
      <c r="Z910" s="342"/>
      <c r="AA910" s="341"/>
      <c r="AB910" s="342"/>
    </row>
    <row r="911" spans="19:28">
      <c r="S911" s="341"/>
      <c r="U911" s="341"/>
      <c r="V911" s="342"/>
      <c r="W911" s="342"/>
      <c r="X911" s="342"/>
      <c r="Y911" s="342"/>
      <c r="Z911" s="342"/>
      <c r="AA911" s="341"/>
      <c r="AB911" s="342"/>
    </row>
    <row r="912" spans="19:28">
      <c r="S912" s="341"/>
      <c r="U912" s="341"/>
      <c r="V912" s="342"/>
      <c r="W912" s="342"/>
      <c r="X912" s="342"/>
      <c r="Y912" s="342"/>
      <c r="Z912" s="342"/>
      <c r="AA912" s="341"/>
      <c r="AB912" s="342"/>
    </row>
    <row r="913" spans="19:28">
      <c r="S913" s="341"/>
      <c r="U913" s="341"/>
      <c r="V913" s="342"/>
      <c r="W913" s="342"/>
      <c r="X913" s="342"/>
      <c r="Y913" s="342"/>
      <c r="Z913" s="342"/>
      <c r="AA913" s="341"/>
      <c r="AB913" s="342"/>
    </row>
    <row r="914" spans="19:28">
      <c r="S914" s="341"/>
      <c r="U914" s="341"/>
      <c r="V914" s="342"/>
      <c r="W914" s="342"/>
      <c r="X914" s="342"/>
      <c r="Y914" s="342"/>
      <c r="Z914" s="342"/>
      <c r="AA914" s="341"/>
      <c r="AB914" s="342"/>
    </row>
    <row r="915" spans="19:28">
      <c r="S915" s="341"/>
      <c r="U915" s="341"/>
      <c r="V915" s="342"/>
      <c r="W915" s="342"/>
      <c r="X915" s="342"/>
      <c r="Y915" s="342"/>
      <c r="Z915" s="342"/>
      <c r="AA915" s="341"/>
      <c r="AB915" s="342"/>
    </row>
    <row r="916" spans="19:28">
      <c r="S916" s="341"/>
      <c r="U916" s="341"/>
      <c r="V916" s="342"/>
      <c r="W916" s="342"/>
      <c r="X916" s="342"/>
      <c r="Y916" s="342"/>
      <c r="Z916" s="342"/>
      <c r="AA916" s="341"/>
      <c r="AB916" s="342"/>
    </row>
    <row r="917" spans="19:28">
      <c r="S917" s="341"/>
      <c r="U917" s="341"/>
      <c r="V917" s="342"/>
      <c r="W917" s="342"/>
      <c r="X917" s="342"/>
      <c r="Y917" s="342"/>
      <c r="Z917" s="342"/>
      <c r="AA917" s="341"/>
      <c r="AB917" s="342"/>
    </row>
    <row r="918" spans="19:28">
      <c r="S918" s="341"/>
      <c r="U918" s="341"/>
      <c r="V918" s="342"/>
      <c r="W918" s="342"/>
      <c r="X918" s="342"/>
      <c r="Y918" s="342"/>
      <c r="Z918" s="342"/>
      <c r="AA918" s="341"/>
      <c r="AB918" s="342"/>
    </row>
    <row r="919" spans="19:28">
      <c r="S919" s="341"/>
      <c r="U919" s="341"/>
      <c r="V919" s="342"/>
      <c r="W919" s="342"/>
      <c r="X919" s="342"/>
      <c r="Y919" s="342"/>
      <c r="Z919" s="342"/>
      <c r="AA919" s="341"/>
      <c r="AB919" s="342"/>
    </row>
    <row r="920" spans="19:28">
      <c r="S920" s="341"/>
      <c r="U920" s="341"/>
      <c r="V920" s="342"/>
      <c r="W920" s="342"/>
      <c r="X920" s="342"/>
      <c r="Y920" s="342"/>
      <c r="Z920" s="342"/>
      <c r="AA920" s="341"/>
      <c r="AB920" s="342"/>
    </row>
    <row r="921" spans="19:28">
      <c r="S921" s="341"/>
      <c r="U921" s="341"/>
      <c r="V921" s="342"/>
      <c r="W921" s="342"/>
      <c r="X921" s="342"/>
      <c r="Y921" s="342"/>
      <c r="Z921" s="342"/>
      <c r="AA921" s="341"/>
      <c r="AB921" s="342"/>
    </row>
    <row r="922" spans="19:28">
      <c r="S922" s="341"/>
      <c r="U922" s="341"/>
      <c r="V922" s="342"/>
      <c r="W922" s="342"/>
      <c r="X922" s="342"/>
      <c r="Y922" s="342"/>
      <c r="Z922" s="342"/>
      <c r="AA922" s="341"/>
      <c r="AB922" s="342"/>
    </row>
    <row r="923" spans="19:28">
      <c r="S923" s="341"/>
      <c r="U923" s="341"/>
      <c r="V923" s="342"/>
      <c r="W923" s="342"/>
      <c r="X923" s="342"/>
      <c r="Y923" s="342"/>
      <c r="Z923" s="342"/>
      <c r="AA923" s="341"/>
      <c r="AB923" s="342"/>
    </row>
    <row r="924" spans="19:28">
      <c r="S924" s="341"/>
      <c r="U924" s="341"/>
      <c r="V924" s="342"/>
      <c r="W924" s="342"/>
      <c r="X924" s="342"/>
      <c r="Y924" s="342"/>
      <c r="Z924" s="342"/>
      <c r="AA924" s="341"/>
      <c r="AB924" s="342"/>
    </row>
    <row r="925" spans="19:28">
      <c r="S925" s="341"/>
      <c r="U925" s="341"/>
      <c r="V925" s="342"/>
      <c r="W925" s="342"/>
      <c r="X925" s="342"/>
      <c r="Y925" s="342"/>
      <c r="Z925" s="342"/>
      <c r="AA925" s="341"/>
      <c r="AB925" s="342"/>
    </row>
    <row r="926" spans="19:28">
      <c r="S926" s="341"/>
      <c r="U926" s="341"/>
      <c r="V926" s="342"/>
      <c r="W926" s="342"/>
      <c r="X926" s="342"/>
      <c r="Y926" s="342"/>
      <c r="Z926" s="342"/>
      <c r="AA926" s="341"/>
      <c r="AB926" s="342"/>
    </row>
    <row r="927" spans="19:28">
      <c r="S927" s="341"/>
      <c r="U927" s="341"/>
      <c r="V927" s="342"/>
      <c r="W927" s="342"/>
      <c r="X927" s="342"/>
      <c r="Y927" s="342"/>
      <c r="Z927" s="342"/>
      <c r="AA927" s="341"/>
      <c r="AB927" s="342"/>
    </row>
    <row r="928" spans="19:28">
      <c r="S928" s="341"/>
      <c r="U928" s="341"/>
      <c r="V928" s="342"/>
      <c r="W928" s="342"/>
      <c r="X928" s="342"/>
      <c r="Y928" s="342"/>
      <c r="Z928" s="342"/>
      <c r="AA928" s="341"/>
      <c r="AB928" s="342"/>
    </row>
    <row r="929" spans="19:28">
      <c r="S929" s="341"/>
      <c r="U929" s="341"/>
      <c r="V929" s="342"/>
      <c r="W929" s="342"/>
      <c r="X929" s="342"/>
      <c r="Y929" s="342"/>
      <c r="Z929" s="342"/>
      <c r="AA929" s="341"/>
      <c r="AB929" s="342"/>
    </row>
    <row r="930" spans="19:28">
      <c r="S930" s="341"/>
      <c r="U930" s="341"/>
      <c r="V930" s="342"/>
      <c r="W930" s="342"/>
      <c r="X930" s="342"/>
      <c r="Y930" s="342"/>
      <c r="Z930" s="342"/>
      <c r="AA930" s="341"/>
      <c r="AB930" s="342"/>
    </row>
    <row r="931" spans="19:28">
      <c r="S931" s="341"/>
      <c r="U931" s="341"/>
      <c r="V931" s="342"/>
      <c r="W931" s="342"/>
      <c r="X931" s="342"/>
      <c r="Y931" s="342"/>
      <c r="Z931" s="342"/>
      <c r="AA931" s="341"/>
      <c r="AB931" s="342"/>
    </row>
    <row r="932" spans="19:28">
      <c r="S932" s="341"/>
      <c r="U932" s="341"/>
      <c r="V932" s="342"/>
      <c r="W932" s="342"/>
      <c r="X932" s="342"/>
      <c r="Y932" s="342"/>
      <c r="Z932" s="342"/>
      <c r="AA932" s="341"/>
      <c r="AB932" s="342"/>
    </row>
    <row r="933" spans="19:28">
      <c r="S933" s="341"/>
      <c r="U933" s="341"/>
      <c r="V933" s="342"/>
      <c r="W933" s="342"/>
      <c r="X933" s="342"/>
      <c r="Y933" s="342"/>
      <c r="Z933" s="342"/>
      <c r="AA933" s="341"/>
      <c r="AB933" s="342"/>
    </row>
    <row r="934" spans="19:28">
      <c r="S934" s="341"/>
      <c r="U934" s="341"/>
      <c r="V934" s="342"/>
      <c r="W934" s="342"/>
      <c r="X934" s="342"/>
      <c r="Y934" s="342"/>
      <c r="Z934" s="342"/>
      <c r="AA934" s="341"/>
      <c r="AB934" s="342"/>
    </row>
    <row r="935" spans="19:28">
      <c r="S935" s="341"/>
      <c r="U935" s="341"/>
      <c r="V935" s="342"/>
      <c r="W935" s="342"/>
      <c r="X935" s="342"/>
      <c r="Y935" s="342"/>
      <c r="Z935" s="342"/>
      <c r="AA935" s="341"/>
      <c r="AB935" s="342"/>
    </row>
    <row r="936" spans="19:28">
      <c r="S936" s="341"/>
      <c r="U936" s="341"/>
      <c r="V936" s="342"/>
      <c r="W936" s="342"/>
      <c r="X936" s="342"/>
      <c r="Y936" s="342"/>
      <c r="Z936" s="342"/>
      <c r="AA936" s="341"/>
      <c r="AB936" s="342"/>
    </row>
  </sheetData>
  <mergeCells count="2">
    <mergeCell ref="B12:B13"/>
    <mergeCell ref="D12:D13"/>
  </mergeCells>
  <phoneticPr fontId="124" type="noConversion"/>
  <printOptions horizontalCentered="1"/>
  <pageMargins left="0.31" right="0.3" top="1" bottom="1" header="0.5" footer="0.5"/>
  <pageSetup scale="35" fitToHeight="0" orientation="landscape" r:id="rId1"/>
  <headerFooter scaleWithDoc="0" alignWithMargins="0">
    <oddHeader>&amp;RPage &amp;P of &amp;N</oddHeader>
    <oddFooter>&amp;LElectronic Tab Name: &amp;A</oddFooter>
  </headerFooter>
  <colBreaks count="1" manualBreakCount="1">
    <brk id="16" max="744" man="1"/>
  </colBreaks>
  <ignoredErrors>
    <ignoredError sqref="F9:R9" numberStoredAsText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C5BFF-8D5F-4DA3-834D-793F640EDAEB}">
  <sheetPr codeName="Sheet29">
    <tabColor theme="7" tint="0.79998168889431442"/>
  </sheetPr>
  <dimension ref="A1:G32"/>
  <sheetViews>
    <sheetView view="pageBreakPreview" zoomScale="80" zoomScaleNormal="100" zoomScaleSheetLayoutView="80" workbookViewId="0">
      <selection activeCell="F13" sqref="F13"/>
    </sheetView>
  </sheetViews>
  <sheetFormatPr defaultColWidth="9.140625" defaultRowHeight="15"/>
  <cols>
    <col min="1" max="1" width="6.7109375" style="1178" bestFit="1" customWidth="1"/>
    <col min="2" max="2" width="31.42578125" style="113" bestFit="1" customWidth="1"/>
    <col min="3" max="3" width="38.140625" style="113" bestFit="1" customWidth="1"/>
    <col min="4" max="4" width="13.42578125" style="113" bestFit="1" customWidth="1"/>
    <col min="5" max="5" width="10.140625" style="113" bestFit="1" customWidth="1"/>
    <col min="6" max="6" width="13.5703125" style="113" bestFit="1" customWidth="1"/>
    <col min="7" max="7" width="9.140625" style="113"/>
    <col min="8" max="8" width="9.7109375" style="113" bestFit="1" customWidth="1"/>
    <col min="9" max="16384" width="9.140625" style="113"/>
  </cols>
  <sheetData>
    <row r="1" spans="1:7">
      <c r="A1" s="1505" t="str">
        <f>Company</f>
        <v>Cascade Natural Gas Corp.</v>
      </c>
      <c r="B1" s="1505"/>
      <c r="C1" s="1505"/>
      <c r="D1" s="1505"/>
      <c r="E1" s="209"/>
      <c r="F1" s="209"/>
      <c r="G1" s="209"/>
    </row>
    <row r="2" spans="1:7">
      <c r="A2" s="1505" t="str">
        <f>Title1</f>
        <v>Washington Jurisdiction</v>
      </c>
      <c r="B2" s="1505"/>
      <c r="C2" s="1505"/>
      <c r="D2" s="1505"/>
      <c r="E2" s="209"/>
      <c r="F2" s="209"/>
      <c r="G2" s="209"/>
    </row>
    <row r="3" spans="1:7">
      <c r="A3" s="1505" t="str">
        <f>Title2</f>
        <v>Twelve-Months ended December 31, 2020</v>
      </c>
      <c r="B3" s="1505"/>
      <c r="C3" s="1505"/>
      <c r="D3" s="1505"/>
      <c r="E3" s="209"/>
      <c r="F3" s="209"/>
      <c r="G3" s="209"/>
    </row>
    <row r="4" spans="1:7">
      <c r="A4" s="1505" t="str">
        <f>Title8</f>
        <v>UG-21____</v>
      </c>
      <c r="B4" s="1505"/>
      <c r="C4" s="1505"/>
      <c r="D4" s="1505"/>
      <c r="E4" s="209"/>
      <c r="F4" s="209"/>
      <c r="G4" s="209"/>
    </row>
    <row r="5" spans="1:7">
      <c r="A5" s="1505" t="s">
        <v>3248</v>
      </c>
      <c r="B5" s="1505"/>
      <c r="C5" s="1505"/>
      <c r="D5" s="1505"/>
      <c r="E5" s="209"/>
      <c r="F5" s="209"/>
      <c r="G5" s="209"/>
    </row>
    <row r="6" spans="1:7">
      <c r="A6" s="1558" t="s">
        <v>3225</v>
      </c>
      <c r="B6" s="1558"/>
      <c r="C6" s="1558"/>
      <c r="D6" s="1558"/>
      <c r="E6" s="209"/>
      <c r="F6" s="209"/>
      <c r="G6" s="209"/>
    </row>
    <row r="8" spans="1:7" s="1178" customFormat="1" ht="30">
      <c r="A8" s="334" t="s">
        <v>8</v>
      </c>
      <c r="B8" s="334" t="s">
        <v>9</v>
      </c>
      <c r="C8" s="334" t="s">
        <v>2906</v>
      </c>
      <c r="D8" s="334" t="s">
        <v>1840</v>
      </c>
      <c r="E8" s="1209"/>
      <c r="F8" s="1209"/>
      <c r="G8" s="1209"/>
    </row>
    <row r="9" spans="1:7">
      <c r="A9" s="121"/>
      <c r="B9" s="121" t="s">
        <v>2</v>
      </c>
      <c r="C9" s="121" t="s">
        <v>4</v>
      </c>
      <c r="D9" s="121" t="s">
        <v>5</v>
      </c>
    </row>
    <row r="10" spans="1:7">
      <c r="A10" s="1209">
        <v>1</v>
      </c>
      <c r="B10" s="113" t="s">
        <v>2939</v>
      </c>
      <c r="D10" s="341">
        <v>1751141.91</v>
      </c>
    </row>
    <row r="11" spans="1:7">
      <c r="A11" s="1312">
        <f>A10+1</f>
        <v>2</v>
      </c>
      <c r="B11" s="113" t="s">
        <v>3226</v>
      </c>
      <c r="D11" s="438">
        <v>1678884.33</v>
      </c>
    </row>
    <row r="12" spans="1:7">
      <c r="A12" s="1312">
        <f t="shared" ref="A12:A23" si="0">A11+1</f>
        <v>3</v>
      </c>
      <c r="B12" t="s">
        <v>1734</v>
      </c>
      <c r="D12" s="341">
        <f>SUM(D10:D11)</f>
        <v>3430026.24</v>
      </c>
    </row>
    <row r="13" spans="1:7">
      <c r="A13" s="1312">
        <f t="shared" si="0"/>
        <v>4</v>
      </c>
      <c r="B13" s="113" t="s">
        <v>2940</v>
      </c>
      <c r="D13" s="502">
        <f>'EOP Depn Exp Adj'!D20</f>
        <v>1.52E-2</v>
      </c>
    </row>
    <row r="14" spans="1:7">
      <c r="A14" s="1312">
        <f t="shared" si="0"/>
        <v>5</v>
      </c>
      <c r="B14" s="113" t="s">
        <v>2941</v>
      </c>
      <c r="D14" s="341">
        <f>+D12*D13</f>
        <v>52136.398848000004</v>
      </c>
    </row>
    <row r="15" spans="1:7">
      <c r="A15" s="1312">
        <f t="shared" si="0"/>
        <v>6</v>
      </c>
      <c r="D15" s="341"/>
    </row>
    <row r="16" spans="1:7">
      <c r="A16" s="1312">
        <f t="shared" si="0"/>
        <v>7</v>
      </c>
      <c r="B16" s="113" t="s">
        <v>2941</v>
      </c>
      <c r="D16" s="341">
        <f>D14</f>
        <v>52136.398848000004</v>
      </c>
    </row>
    <row r="17" spans="1:5">
      <c r="A17" s="1312">
        <f t="shared" si="0"/>
        <v>8</v>
      </c>
      <c r="B17" s="113" t="s">
        <v>2911</v>
      </c>
      <c r="C17" s="113" t="s">
        <v>3227</v>
      </c>
      <c r="D17" s="341">
        <f>+D16/2</f>
        <v>26068.199424000002</v>
      </c>
    </row>
    <row r="18" spans="1:5">
      <c r="A18" s="1312">
        <f t="shared" si="0"/>
        <v>9</v>
      </c>
      <c r="B18" s="113" t="s">
        <v>2913</v>
      </c>
      <c r="C18" s="113" t="s">
        <v>3228</v>
      </c>
      <c r="D18" s="341">
        <f>+D12*3.75%</f>
        <v>128625.984</v>
      </c>
    </row>
    <row r="19" spans="1:5">
      <c r="A19" s="1312">
        <f t="shared" si="0"/>
        <v>10</v>
      </c>
      <c r="B19" s="113" t="s">
        <v>2915</v>
      </c>
      <c r="C19" s="113" t="s">
        <v>3229</v>
      </c>
      <c r="D19" s="341">
        <f>(+D18-D16)*'Exh MCG-4, Conversion Factor'!$C$33</f>
        <v>16062.812881919996</v>
      </c>
    </row>
    <row r="20" spans="1:5">
      <c r="A20" s="1312">
        <f t="shared" si="0"/>
        <v>11</v>
      </c>
      <c r="B20" s="113" t="s">
        <v>2917</v>
      </c>
      <c r="C20" s="113" t="s">
        <v>3230</v>
      </c>
      <c r="D20" s="341">
        <f>+D19/2</f>
        <v>8031.4064409599978</v>
      </c>
    </row>
    <row r="21" spans="1:5">
      <c r="A21" s="1312">
        <f t="shared" si="0"/>
        <v>12</v>
      </c>
      <c r="B21" s="113" t="s">
        <v>2919</v>
      </c>
      <c r="C21" s="113" t="s">
        <v>3231</v>
      </c>
      <c r="D21" s="341">
        <f>+D16*'Exh MCG-4, Conversion Factor'!$C$31</f>
        <v>10948.643758080001</v>
      </c>
    </row>
    <row r="22" spans="1:5">
      <c r="A22" s="1312">
        <f t="shared" si="0"/>
        <v>13</v>
      </c>
      <c r="B22" s="113" t="s">
        <v>2921</v>
      </c>
      <c r="C22" s="113" t="s">
        <v>3232</v>
      </c>
      <c r="D22" s="341">
        <f>+D12-D20-D17</f>
        <v>3395926.6341350405</v>
      </c>
    </row>
    <row r="23" spans="1:5">
      <c r="A23" s="1312">
        <f t="shared" si="0"/>
        <v>14</v>
      </c>
      <c r="D23" s="341"/>
    </row>
    <row r="24" spans="1:5">
      <c r="A24" s="1209"/>
      <c r="B24" s="110"/>
      <c r="E24" s="440"/>
    </row>
    <row r="25" spans="1:5">
      <c r="A25" s="121" t="s">
        <v>1078</v>
      </c>
      <c r="B25" s="435"/>
      <c r="C25" s="435"/>
      <c r="D25" s="435"/>
      <c r="E25" s="440"/>
    </row>
    <row r="26" spans="1:5">
      <c r="A26" s="1209" t="s">
        <v>2924</v>
      </c>
      <c r="B26" s="1569" t="s">
        <v>2942</v>
      </c>
      <c r="C26" s="1569"/>
      <c r="D26" s="1569"/>
      <c r="E26" s="440"/>
    </row>
    <row r="27" spans="1:5">
      <c r="A27" s="1209"/>
      <c r="B27" s="1570"/>
      <c r="C27" s="1570"/>
      <c r="D27" s="1570"/>
      <c r="E27" s="440"/>
    </row>
    <row r="28" spans="1:5">
      <c r="A28" s="1209"/>
      <c r="D28" s="441"/>
      <c r="E28" s="440"/>
    </row>
    <row r="29" spans="1:5">
      <c r="A29" s="1209"/>
      <c r="E29" s="440"/>
    </row>
    <row r="30" spans="1:5">
      <c r="A30" s="1209"/>
      <c r="E30" s="440"/>
    </row>
    <row r="31" spans="1:5">
      <c r="A31" s="1209"/>
      <c r="E31" s="440"/>
    </row>
    <row r="32" spans="1:5">
      <c r="A32" s="1209"/>
      <c r="E32" s="440"/>
    </row>
  </sheetData>
  <mergeCells count="7">
    <mergeCell ref="B26:D27"/>
    <mergeCell ref="A1:D1"/>
    <mergeCell ref="A2:D2"/>
    <mergeCell ref="A3:D3"/>
    <mergeCell ref="A4:D4"/>
    <mergeCell ref="A5:D5"/>
    <mergeCell ref="A6:D6"/>
  </mergeCells>
  <printOptions horizontalCentered="1"/>
  <pageMargins left="0.7" right="0.7" top="0.75" bottom="0.75" header="0.3" footer="0.3"/>
  <pageSetup scale="84" fitToHeight="0" orientation="landscape" r:id="rId1"/>
  <headerFooter scaleWithDoc="0" alignWithMargins="0">
    <oddHeader>&amp;RPage &amp;P of &amp;N</oddHeader>
    <oddFooter>&amp;LElectronic Tab Name:&amp;A</oddFooter>
  </headerFooter>
  <colBreaks count="1" manualBreakCount="1">
    <brk id="4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>
    <tabColor theme="2"/>
  </sheetPr>
  <dimension ref="A1:K15"/>
  <sheetViews>
    <sheetView view="pageBreakPreview" zoomScale="80" zoomScaleNormal="100" zoomScaleSheetLayoutView="80" workbookViewId="0">
      <selection activeCell="G13" sqref="G13"/>
    </sheetView>
  </sheetViews>
  <sheetFormatPr defaultColWidth="9.140625" defaultRowHeight="15"/>
  <cols>
    <col min="1" max="1" width="5.5703125" style="275" customWidth="1"/>
    <col min="2" max="2" width="43" style="113" customWidth="1"/>
    <col min="3" max="3" width="17.5703125" style="113" bestFit="1" customWidth="1"/>
    <col min="4" max="4" width="10.140625" style="113" bestFit="1" customWidth="1"/>
    <col min="5" max="5" width="13.7109375" style="113" bestFit="1" customWidth="1"/>
    <col min="6" max="7" width="9.140625" style="113"/>
    <col min="8" max="8" width="9" style="113" bestFit="1" customWidth="1"/>
    <col min="9" max="9" width="16.5703125" style="113" bestFit="1" customWidth="1"/>
    <col min="10" max="16384" width="9.140625" style="113"/>
  </cols>
  <sheetData>
    <row r="1" spans="1:11">
      <c r="A1" s="1505" t="str">
        <f>Company</f>
        <v>Cascade Natural Gas Corp.</v>
      </c>
      <c r="B1" s="1505"/>
      <c r="C1" s="1505"/>
      <c r="D1" s="1505"/>
      <c r="E1" s="1505"/>
      <c r="F1" s="482"/>
      <c r="G1" s="483"/>
      <c r="H1" s="482"/>
    </row>
    <row r="2" spans="1:11">
      <c r="A2" s="1505" t="str">
        <f>Title1</f>
        <v>Washington Jurisdiction</v>
      </c>
      <c r="B2" s="1505"/>
      <c r="C2" s="1505"/>
      <c r="D2" s="1505"/>
      <c r="E2" s="1505"/>
      <c r="F2" s="482"/>
      <c r="G2" s="483"/>
      <c r="H2" s="482"/>
    </row>
    <row r="3" spans="1:11">
      <c r="A3" s="1505" t="str">
        <f>Title2</f>
        <v>Twelve-Months ended December 31, 2020</v>
      </c>
      <c r="B3" s="1505"/>
      <c r="C3" s="1505"/>
      <c r="D3" s="1505"/>
      <c r="E3" s="1505"/>
      <c r="F3" s="484"/>
      <c r="G3" s="484"/>
      <c r="H3" s="484"/>
    </row>
    <row r="4" spans="1:11">
      <c r="A4" s="1505" t="str">
        <f>Title8</f>
        <v>UG-21____</v>
      </c>
      <c r="B4" s="1505"/>
      <c r="C4" s="1505"/>
      <c r="D4" s="1505"/>
      <c r="E4" s="1505"/>
      <c r="F4" s="456"/>
      <c r="G4" s="456"/>
      <c r="H4" s="456"/>
    </row>
    <row r="5" spans="1:11">
      <c r="A5" s="1505" t="s">
        <v>3243</v>
      </c>
      <c r="B5" s="1505"/>
      <c r="C5" s="1505"/>
      <c r="D5" s="1505"/>
      <c r="E5" s="1505"/>
      <c r="F5" s="456"/>
      <c r="G5" s="456"/>
      <c r="H5" s="456"/>
    </row>
    <row r="6" spans="1:11">
      <c r="A6" s="1505" t="s">
        <v>2943</v>
      </c>
      <c r="B6" s="1505"/>
      <c r="C6" s="1505"/>
      <c r="D6" s="1505"/>
      <c r="E6" s="1505"/>
      <c r="F6" s="482"/>
      <c r="G6" s="482"/>
      <c r="H6" s="482"/>
    </row>
    <row r="7" spans="1:11">
      <c r="A7" s="1209"/>
      <c r="C7" s="1572"/>
      <c r="D7" s="1572"/>
      <c r="E7" s="1572"/>
    </row>
    <row r="8" spans="1:11" ht="30">
      <c r="A8" s="611" t="s">
        <v>8</v>
      </c>
      <c r="B8" s="485" t="s">
        <v>9</v>
      </c>
      <c r="C8" s="485" t="s">
        <v>2944</v>
      </c>
      <c r="D8" s="485" t="s">
        <v>2945</v>
      </c>
      <c r="E8" s="486" t="s">
        <v>2946</v>
      </c>
      <c r="F8" s="482"/>
      <c r="G8" s="482"/>
      <c r="H8" s="482"/>
    </row>
    <row r="9" spans="1:11">
      <c r="A9" s="487"/>
      <c r="B9" s="488" t="s">
        <v>2</v>
      </c>
      <c r="C9" s="488" t="s">
        <v>3</v>
      </c>
      <c r="D9" s="488" t="s">
        <v>4</v>
      </c>
      <c r="E9" s="488" t="s">
        <v>5</v>
      </c>
      <c r="F9" s="482"/>
      <c r="G9" s="688" t="s">
        <v>2947</v>
      </c>
      <c r="H9" s="688"/>
      <c r="J9" s="688" t="s">
        <v>2948</v>
      </c>
      <c r="K9" s="688"/>
    </row>
    <row r="10" spans="1:11">
      <c r="A10" s="1209">
        <v>1</v>
      </c>
      <c r="B10" s="489" t="s">
        <v>2949</v>
      </c>
      <c r="C10" s="1454">
        <v>0.53</v>
      </c>
      <c r="D10" s="491">
        <v>4.5900000000000003E-2</v>
      </c>
      <c r="E10" s="1455">
        <f>ROUND(+C10*D10,5)</f>
        <v>2.4330000000000001E-2</v>
      </c>
      <c r="F10" s="482"/>
      <c r="G10" s="493"/>
      <c r="H10" s="494"/>
      <c r="I10" s="248"/>
      <c r="J10" s="493"/>
      <c r="K10" s="494"/>
    </row>
    <row r="11" spans="1:11">
      <c r="A11" s="1209">
        <v>2</v>
      </c>
      <c r="B11" s="489" t="s">
        <v>2950</v>
      </c>
      <c r="C11" s="490">
        <v>0</v>
      </c>
      <c r="D11" s="490">
        <v>0</v>
      </c>
      <c r="E11" s="492">
        <f>ROUND(+C11*D11,5)</f>
        <v>0</v>
      </c>
      <c r="F11" s="482"/>
      <c r="G11" s="495"/>
      <c r="H11" s="482"/>
      <c r="J11" s="495"/>
      <c r="K11" s="482"/>
    </row>
    <row r="12" spans="1:11">
      <c r="A12" s="1209">
        <v>3</v>
      </c>
      <c r="B12" s="489" t="s">
        <v>2951</v>
      </c>
      <c r="C12" s="1455">
        <f>1-C10</f>
        <v>0.47</v>
      </c>
      <c r="D12" s="490">
        <v>9.4E-2</v>
      </c>
      <c r="E12" s="1455">
        <f>ROUND(+C12*D12,5)</f>
        <v>4.4179999999999997E-2</v>
      </c>
      <c r="F12" s="482"/>
      <c r="G12" s="493"/>
      <c r="H12" s="494"/>
      <c r="J12" s="493"/>
      <c r="K12" s="494"/>
    </row>
    <row r="13" spans="1:11" ht="15.75" thickBot="1">
      <c r="A13" s="1209">
        <v>4</v>
      </c>
      <c r="B13" s="496" t="s">
        <v>2952</v>
      </c>
      <c r="C13" s="497">
        <f>SUM(C10:C12)</f>
        <v>1</v>
      </c>
      <c r="D13" s="498"/>
      <c r="E13" s="1456">
        <f>SUM(E10:E12)</f>
        <v>6.8510000000000001E-2</v>
      </c>
      <c r="F13" s="482"/>
      <c r="G13" s="482"/>
      <c r="H13" s="482"/>
    </row>
    <row r="14" spans="1:11" ht="15.75" thickTop="1">
      <c r="A14" s="499"/>
      <c r="B14" s="482"/>
      <c r="C14" s="482"/>
      <c r="D14" s="482"/>
      <c r="E14" s="482"/>
      <c r="F14" s="482"/>
      <c r="G14" s="482"/>
      <c r="H14" s="494"/>
      <c r="I14" s="500"/>
    </row>
    <row r="15" spans="1:11" ht="16.899999999999999" customHeight="1">
      <c r="A15" s="1571"/>
      <c r="B15" s="1571"/>
      <c r="C15" s="1571"/>
      <c r="D15" s="1571"/>
      <c r="E15" s="1571"/>
      <c r="F15" s="482"/>
      <c r="G15" s="482"/>
    </row>
  </sheetData>
  <mergeCells count="8">
    <mergeCell ref="A15:E15"/>
    <mergeCell ref="C7:E7"/>
    <mergeCell ref="A1:E1"/>
    <mergeCell ref="A4:E4"/>
    <mergeCell ref="A5:E5"/>
    <mergeCell ref="A6:E6"/>
    <mergeCell ref="A3:E3"/>
    <mergeCell ref="A2:E2"/>
  </mergeCells>
  <printOptions horizontalCentered="1"/>
  <pageMargins left="0.7" right="0.7" top="0.75" bottom="0.75" header="0.3" footer="0.3"/>
  <pageSetup scale="79" orientation="portrait" r:id="rId1"/>
  <headerFooter scaleWithDoc="0" alignWithMargins="0">
    <oddHeader>&amp;RPage &amp;P of &amp;N</oddHeader>
    <oddFooter>&amp;LElectronic Tab Name:&amp;A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B5F6B-27D7-4873-BDBB-E156C310734B}">
  <sheetPr>
    <tabColor theme="2"/>
  </sheetPr>
  <dimension ref="A1:Q61"/>
  <sheetViews>
    <sheetView topLeftCell="A30" zoomScale="80" zoomScaleNormal="80" zoomScaleSheetLayoutView="80" workbookViewId="0">
      <selection activeCell="E61" sqref="E61"/>
    </sheetView>
  </sheetViews>
  <sheetFormatPr defaultColWidth="9.140625" defaultRowHeight="15"/>
  <cols>
    <col min="1" max="1" width="6" style="113" customWidth="1"/>
    <col min="2" max="2" width="38.85546875" style="113" bestFit="1" customWidth="1"/>
    <col min="3" max="3" width="16.140625" style="113" bestFit="1" customWidth="1"/>
    <col min="4" max="4" width="15.28515625" style="113" customWidth="1"/>
    <col min="5" max="5" width="15.28515625" style="1374" bestFit="1" customWidth="1"/>
    <col min="6" max="7" width="3.7109375" style="113" customWidth="1"/>
    <col min="8" max="8" width="9.140625" style="113"/>
    <col min="9" max="9" width="34.85546875" style="113" bestFit="1" customWidth="1"/>
    <col min="10" max="11" width="12.28515625" style="113" bestFit="1" customWidth="1"/>
    <col min="12" max="12" width="13.85546875" style="113" bestFit="1" customWidth="1"/>
    <col min="13" max="13" width="9.140625" style="113"/>
    <col min="14" max="15" width="12.28515625" style="113" bestFit="1" customWidth="1"/>
    <col min="16" max="16" width="9.140625" style="113"/>
    <col min="17" max="17" width="13.85546875" style="113" bestFit="1" customWidth="1"/>
    <col min="18" max="16384" width="9.140625" style="113"/>
  </cols>
  <sheetData>
    <row r="1" spans="1:15" ht="15.6" customHeight="1">
      <c r="A1" s="1558" t="s">
        <v>14</v>
      </c>
      <c r="B1" s="1558"/>
      <c r="C1" s="1558"/>
      <c r="D1" s="1558"/>
      <c r="E1" s="1558"/>
    </row>
    <row r="2" spans="1:15" ht="15.6" customHeight="1">
      <c r="A2" s="1558" t="s">
        <v>7</v>
      </c>
      <c r="B2" s="1558"/>
      <c r="C2" s="1558"/>
      <c r="D2" s="1558"/>
      <c r="E2" s="1558"/>
    </row>
    <row r="3" spans="1:15">
      <c r="A3" s="1558" t="s">
        <v>17</v>
      </c>
      <c r="B3" s="1558"/>
      <c r="C3" s="1558"/>
      <c r="D3" s="1558"/>
      <c r="E3" s="1558"/>
    </row>
    <row r="4" spans="1:15">
      <c r="A4" s="1558" t="s">
        <v>28</v>
      </c>
      <c r="B4" s="1558"/>
      <c r="C4" s="1558"/>
      <c r="D4" s="1558"/>
      <c r="E4" s="1558"/>
    </row>
    <row r="5" spans="1:15">
      <c r="A5" s="1558" t="s">
        <v>2938</v>
      </c>
      <c r="B5" s="1558"/>
      <c r="C5" s="1558"/>
      <c r="D5" s="1558"/>
      <c r="E5" s="1558"/>
      <c r="K5"/>
      <c r="L5"/>
    </row>
    <row r="6" spans="1:15">
      <c r="A6" s="1558" t="s">
        <v>2857</v>
      </c>
      <c r="B6" s="1558"/>
      <c r="C6" s="1558"/>
      <c r="D6" s="1558"/>
      <c r="E6" s="1558"/>
      <c r="K6"/>
      <c r="L6"/>
    </row>
    <row r="7" spans="1:15">
      <c r="D7" s="1"/>
      <c r="E7" s="113"/>
    </row>
    <row r="8" spans="1:15" s="338" customFormat="1" ht="48" customHeight="1">
      <c r="A8" s="505" t="s">
        <v>8</v>
      </c>
      <c r="B8" s="505" t="s">
        <v>2858</v>
      </c>
      <c r="C8" s="237" t="s">
        <v>2859</v>
      </c>
      <c r="D8" s="505" t="s">
        <v>2860</v>
      </c>
      <c r="E8" s="237" t="s">
        <v>2861</v>
      </c>
    </row>
    <row r="9" spans="1:15" s="338" customFormat="1">
      <c r="A9" s="504"/>
      <c r="B9" s="505" t="s">
        <v>2</v>
      </c>
      <c r="C9" s="237" t="s">
        <v>3</v>
      </c>
      <c r="D9" s="505" t="s">
        <v>4</v>
      </c>
      <c r="E9" s="237" t="s">
        <v>5</v>
      </c>
    </row>
    <row r="10" spans="1:15">
      <c r="A10" s="1374">
        <v>1</v>
      </c>
      <c r="B10" s="506" t="s">
        <v>2862</v>
      </c>
      <c r="C10" s="234">
        <v>114125.59</v>
      </c>
      <c r="D10" s="115">
        <v>0</v>
      </c>
      <c r="E10" s="342">
        <v>0</v>
      </c>
    </row>
    <row r="11" spans="1:15">
      <c r="A11" s="1374">
        <v>2</v>
      </c>
      <c r="B11" s="506" t="s">
        <v>2863</v>
      </c>
      <c r="C11" s="234">
        <v>138157.95000000001</v>
      </c>
      <c r="D11" s="115">
        <v>0</v>
      </c>
      <c r="E11" s="342">
        <v>0</v>
      </c>
    </row>
    <row r="12" spans="1:15">
      <c r="A12" s="1374">
        <v>3</v>
      </c>
      <c r="B12" s="506" t="s">
        <v>2864</v>
      </c>
      <c r="C12" s="234">
        <v>47978842.300000012</v>
      </c>
      <c r="D12" s="115">
        <v>0</v>
      </c>
      <c r="E12" s="342">
        <v>444318.23000000004</v>
      </c>
      <c r="N12" s="271"/>
      <c r="O12" s="271"/>
    </row>
    <row r="13" spans="1:15">
      <c r="A13" s="1374">
        <v>4</v>
      </c>
      <c r="B13" s="506" t="s">
        <v>2865</v>
      </c>
      <c r="C13" s="234">
        <v>211404.97</v>
      </c>
      <c r="D13" s="115">
        <v>0</v>
      </c>
      <c r="E13" s="342">
        <f t="shared" ref="E13:E52" si="0">C13*D13/12</f>
        <v>0</v>
      </c>
    </row>
    <row r="14" spans="1:15">
      <c r="A14" s="1374">
        <v>5</v>
      </c>
      <c r="B14" s="506" t="s">
        <v>2866</v>
      </c>
      <c r="C14" s="234">
        <v>1145207.57</v>
      </c>
      <c r="D14" s="115">
        <v>6.5000000000000006E-3</v>
      </c>
      <c r="E14" s="342">
        <f t="shared" si="0"/>
        <v>620.32076708333341</v>
      </c>
    </row>
    <row r="15" spans="1:15">
      <c r="A15" s="1374">
        <v>6</v>
      </c>
      <c r="B15" s="506" t="s">
        <v>2867</v>
      </c>
      <c r="C15" s="234">
        <v>15943654.369999999</v>
      </c>
      <c r="D15" s="115">
        <v>1.4999999999999999E-2</v>
      </c>
      <c r="E15" s="342">
        <f t="shared" si="0"/>
        <v>19929.567962499998</v>
      </c>
    </row>
    <row r="16" spans="1:15">
      <c r="A16" s="1374">
        <v>7</v>
      </c>
      <c r="B16" s="506" t="s">
        <v>2868</v>
      </c>
      <c r="C16" s="234">
        <v>135338.4</v>
      </c>
      <c r="D16" s="115">
        <v>4.5999999999999999E-2</v>
      </c>
      <c r="E16" s="342">
        <f t="shared" si="0"/>
        <v>518.79719999999998</v>
      </c>
    </row>
    <row r="17" spans="1:5">
      <c r="A17" s="1374">
        <v>8</v>
      </c>
      <c r="B17" s="506" t="s">
        <v>2869</v>
      </c>
      <c r="C17" s="234">
        <v>388188.07</v>
      </c>
      <c r="D17" s="115">
        <v>0</v>
      </c>
      <c r="E17" s="342">
        <f t="shared" si="0"/>
        <v>0</v>
      </c>
    </row>
    <row r="18" spans="1:5">
      <c r="A18" s="1374">
        <v>9</v>
      </c>
      <c r="B18" s="506" t="s">
        <v>2870</v>
      </c>
      <c r="C18" s="234">
        <v>2139322.66</v>
      </c>
      <c r="D18" s="115">
        <v>1.6399999999999998E-2</v>
      </c>
      <c r="E18" s="342">
        <f t="shared" si="0"/>
        <v>2923.7409686666665</v>
      </c>
    </row>
    <row r="19" spans="1:5">
      <c r="A19" s="1374">
        <v>10</v>
      </c>
      <c r="B19" s="506" t="s">
        <v>2871</v>
      </c>
      <c r="C19" s="234">
        <v>1033606.0900000001</v>
      </c>
      <c r="D19" s="115">
        <v>8.3999999999999995E-3</v>
      </c>
      <c r="E19" s="342">
        <f t="shared" si="0"/>
        <v>723.52426299999991</v>
      </c>
    </row>
    <row r="20" spans="1:5">
      <c r="A20" s="1374">
        <v>11</v>
      </c>
      <c r="B20" s="506" t="s">
        <v>2872</v>
      </c>
      <c r="C20" s="234">
        <v>190353613.15000001</v>
      </c>
      <c r="D20" s="115">
        <v>1.52E-2</v>
      </c>
      <c r="E20" s="342">
        <f t="shared" si="0"/>
        <v>241114.57665666667</v>
      </c>
    </row>
    <row r="21" spans="1:5">
      <c r="A21" s="1374">
        <v>12</v>
      </c>
      <c r="B21" s="506" t="s">
        <v>2873</v>
      </c>
      <c r="C21" s="234">
        <v>166934963.66999999</v>
      </c>
      <c r="D21" s="115">
        <v>2.81E-2</v>
      </c>
      <c r="E21" s="342">
        <f t="shared" si="0"/>
        <v>390906.03992725001</v>
      </c>
    </row>
    <row r="22" spans="1:5">
      <c r="A22" s="1374">
        <v>13</v>
      </c>
      <c r="B22" s="506" t="s">
        <v>2874</v>
      </c>
      <c r="C22" s="234">
        <v>121354809.52</v>
      </c>
      <c r="D22" s="115">
        <v>3.56E-2</v>
      </c>
      <c r="E22" s="342">
        <f t="shared" si="0"/>
        <v>360019.26824266667</v>
      </c>
    </row>
    <row r="23" spans="1:5">
      <c r="A23" s="1374">
        <v>14</v>
      </c>
      <c r="B23" s="506" t="s">
        <v>2875</v>
      </c>
      <c r="C23" s="234">
        <v>2097766.77</v>
      </c>
      <c r="D23" s="115">
        <v>1.72E-2</v>
      </c>
      <c r="E23" s="342">
        <f t="shared" si="0"/>
        <v>3006.7990370000002</v>
      </c>
    </row>
    <row r="24" spans="1:5">
      <c r="A24" s="1374">
        <v>15</v>
      </c>
      <c r="B24" s="506" t="s">
        <v>2876</v>
      </c>
      <c r="C24" s="234">
        <v>32275101.82</v>
      </c>
      <c r="D24" s="115">
        <v>1.9699999999999999E-2</v>
      </c>
      <c r="E24" s="342">
        <f t="shared" si="0"/>
        <v>52984.958821166663</v>
      </c>
    </row>
    <row r="25" spans="1:5">
      <c r="A25" s="1374">
        <v>16</v>
      </c>
      <c r="B25" s="507" t="s">
        <v>2877</v>
      </c>
      <c r="C25" s="234">
        <v>504955.57</v>
      </c>
      <c r="D25" s="115">
        <v>1.9699999999999999E-2</v>
      </c>
      <c r="E25" s="342">
        <f t="shared" si="0"/>
        <v>828.96872741666664</v>
      </c>
    </row>
    <row r="26" spans="1:5">
      <c r="A26" s="1374">
        <v>17</v>
      </c>
      <c r="B26" s="506" t="s">
        <v>2878</v>
      </c>
      <c r="C26" s="234">
        <v>159001002.13</v>
      </c>
      <c r="D26" s="115">
        <v>3.3599999999999998E-2</v>
      </c>
      <c r="E26" s="342">
        <f t="shared" si="0"/>
        <v>445202.805964</v>
      </c>
    </row>
    <row r="27" spans="1:5">
      <c r="A27" s="1374">
        <v>18</v>
      </c>
      <c r="B27" s="506" t="s">
        <v>2879</v>
      </c>
      <c r="C27" s="234">
        <v>61669284.18</v>
      </c>
      <c r="D27" s="115">
        <v>3.4700000000000002E-2</v>
      </c>
      <c r="E27" s="342">
        <f t="shared" si="0"/>
        <v>178327.01342050001</v>
      </c>
    </row>
    <row r="28" spans="1:5">
      <c r="A28" s="1374">
        <v>19</v>
      </c>
      <c r="B28" s="506" t="s">
        <v>2880</v>
      </c>
      <c r="C28" s="234">
        <v>15882921.119999999</v>
      </c>
      <c r="D28" s="115">
        <v>2.6099999999999998E-2</v>
      </c>
      <c r="E28" s="342">
        <f t="shared" si="0"/>
        <v>34545.353435999998</v>
      </c>
    </row>
    <row r="29" spans="1:5">
      <c r="A29" s="1374">
        <v>20</v>
      </c>
      <c r="B29" s="506" t="s">
        <v>2881</v>
      </c>
      <c r="C29" s="234">
        <v>33650620.18</v>
      </c>
      <c r="D29" s="115">
        <v>2.6099999999999998E-2</v>
      </c>
      <c r="E29" s="342">
        <f t="shared" si="0"/>
        <v>73190.098891499991</v>
      </c>
    </row>
    <row r="30" spans="1:5">
      <c r="A30" s="1374">
        <v>21</v>
      </c>
      <c r="B30" s="506" t="s">
        <v>2882</v>
      </c>
      <c r="C30" s="234">
        <v>26631633.549999997</v>
      </c>
      <c r="D30" s="115">
        <v>2.6099999999999998E-2</v>
      </c>
      <c r="E30" s="342">
        <f t="shared" si="0"/>
        <v>57923.802971249992</v>
      </c>
    </row>
    <row r="31" spans="1:5">
      <c r="A31" s="1374">
        <v>22</v>
      </c>
      <c r="B31" s="506" t="s">
        <v>2883</v>
      </c>
      <c r="C31" s="234">
        <v>8821187.3200000003</v>
      </c>
      <c r="D31" s="115">
        <v>2.1600000000000001E-2</v>
      </c>
      <c r="E31" s="342">
        <f t="shared" si="0"/>
        <v>15878.137176000002</v>
      </c>
    </row>
    <row r="32" spans="1:5">
      <c r="A32" s="1374">
        <v>23</v>
      </c>
      <c r="B32" s="506" t="s">
        <v>2884</v>
      </c>
      <c r="C32" s="234">
        <v>9834732.0999999996</v>
      </c>
      <c r="D32" s="115">
        <v>1.7000000000000001E-2</v>
      </c>
      <c r="E32" s="342">
        <f t="shared" si="0"/>
        <v>13932.537141666668</v>
      </c>
    </row>
    <row r="33" spans="1:17">
      <c r="A33" s="1374">
        <v>24</v>
      </c>
      <c r="B33" s="506" t="s">
        <v>2885</v>
      </c>
      <c r="C33" s="234">
        <v>3224568.37</v>
      </c>
      <c r="D33" s="115">
        <v>0</v>
      </c>
      <c r="E33" s="342">
        <f t="shared" si="0"/>
        <v>0</v>
      </c>
    </row>
    <row r="34" spans="1:17">
      <c r="A34" s="1374">
        <v>25</v>
      </c>
      <c r="B34" s="506" t="s">
        <v>2886</v>
      </c>
      <c r="C34" s="234">
        <v>7933.28</v>
      </c>
      <c r="D34" s="115">
        <v>0</v>
      </c>
      <c r="E34" s="342">
        <f t="shared" si="0"/>
        <v>0</v>
      </c>
    </row>
    <row r="35" spans="1:17">
      <c r="A35" s="1374">
        <v>26</v>
      </c>
      <c r="B35" s="506" t="s">
        <v>2887</v>
      </c>
      <c r="C35" s="234">
        <v>17942495.23</v>
      </c>
      <c r="D35" s="115">
        <v>1.44E-2</v>
      </c>
      <c r="E35" s="342">
        <f t="shared" si="0"/>
        <v>21530.994276000001</v>
      </c>
      <c r="Q35" s="271"/>
    </row>
    <row r="36" spans="1:17">
      <c r="A36" s="1374">
        <v>27</v>
      </c>
      <c r="B36" s="506" t="s">
        <v>2888</v>
      </c>
      <c r="C36" s="234">
        <v>2744637.32</v>
      </c>
      <c r="D36" s="115">
        <v>0.44020000000000004</v>
      </c>
      <c r="E36" s="342">
        <f t="shared" si="0"/>
        <v>100682.44568866666</v>
      </c>
    </row>
    <row r="37" spans="1:17">
      <c r="A37" s="1374">
        <v>28</v>
      </c>
      <c r="B37" s="506" t="s">
        <v>2889</v>
      </c>
      <c r="C37" s="234">
        <v>221838.31</v>
      </c>
      <c r="D37" s="115">
        <v>0.26369999999999999</v>
      </c>
      <c r="E37" s="342">
        <f t="shared" si="0"/>
        <v>4874.8968622499997</v>
      </c>
      <c r="Q37" s="271"/>
    </row>
    <row r="38" spans="1:17">
      <c r="A38" s="1374">
        <v>29</v>
      </c>
      <c r="B38" s="1404" t="s">
        <v>2890</v>
      </c>
      <c r="C38" s="234">
        <v>1455804.42</v>
      </c>
      <c r="D38" s="115">
        <v>0.19</v>
      </c>
      <c r="E38" s="342">
        <f t="shared" si="0"/>
        <v>23050.236650000003</v>
      </c>
    </row>
    <row r="39" spans="1:17">
      <c r="A39" s="1374">
        <v>30</v>
      </c>
      <c r="B39" s="1404" t="s">
        <v>2891</v>
      </c>
      <c r="C39" s="234">
        <v>2247304.41</v>
      </c>
      <c r="D39" s="115">
        <v>0</v>
      </c>
      <c r="E39" s="342">
        <f t="shared" si="0"/>
        <v>0</v>
      </c>
      <c r="L39" s="271"/>
    </row>
    <row r="40" spans="1:17">
      <c r="A40" s="1374">
        <v>31</v>
      </c>
      <c r="B40" s="1404" t="s">
        <v>2892</v>
      </c>
      <c r="C40" s="234">
        <v>209346.69</v>
      </c>
      <c r="D40" s="115">
        <v>2.69E-2</v>
      </c>
      <c r="E40" s="342">
        <f t="shared" si="0"/>
        <v>469.28549674999999</v>
      </c>
      <c r="L40" s="271"/>
    </row>
    <row r="41" spans="1:17">
      <c r="A41" s="1374">
        <v>32</v>
      </c>
      <c r="B41" s="1404" t="s">
        <v>2893</v>
      </c>
      <c r="C41" s="234">
        <v>14011094.33</v>
      </c>
      <c r="D41" s="115">
        <v>5.8899999999999994E-2</v>
      </c>
      <c r="E41" s="342">
        <f t="shared" si="0"/>
        <v>68771.121336416662</v>
      </c>
    </row>
    <row r="42" spans="1:17">
      <c r="A42" s="1374">
        <v>33</v>
      </c>
      <c r="B42" s="1404" t="s">
        <v>2894</v>
      </c>
      <c r="C42" s="234">
        <v>64210.400000000001</v>
      </c>
      <c r="D42" s="115">
        <v>8.4000000000000005E-2</v>
      </c>
      <c r="E42" s="342">
        <f t="shared" si="0"/>
        <v>449.47280000000001</v>
      </c>
    </row>
    <row r="43" spans="1:17">
      <c r="A43" s="1374">
        <v>34</v>
      </c>
      <c r="B43" s="1404" t="s">
        <v>2895</v>
      </c>
      <c r="C43" s="234">
        <v>7286918.9800000004</v>
      </c>
      <c r="D43" s="115">
        <v>0.1066</v>
      </c>
      <c r="E43" s="342">
        <f t="shared" si="0"/>
        <v>64732.130272333336</v>
      </c>
    </row>
    <row r="44" spans="1:17">
      <c r="A44" s="1374">
        <v>35</v>
      </c>
      <c r="B44" s="1404" t="s">
        <v>2896</v>
      </c>
      <c r="C44" s="234">
        <v>131231.01999999999</v>
      </c>
      <c r="D44" s="115">
        <v>1.52E-2</v>
      </c>
      <c r="E44" s="342">
        <f t="shared" si="0"/>
        <v>166.22595866666666</v>
      </c>
    </row>
    <row r="45" spans="1:17">
      <c r="A45" s="1374">
        <v>36</v>
      </c>
      <c r="B45" s="1404" t="s">
        <v>2897</v>
      </c>
      <c r="C45" s="234">
        <v>67414.22</v>
      </c>
      <c r="D45" s="115">
        <v>0.14550000000000002</v>
      </c>
      <c r="E45" s="342">
        <f t="shared" si="0"/>
        <v>817.39741750000019</v>
      </c>
    </row>
    <row r="46" spans="1:17">
      <c r="A46" s="1374">
        <v>37</v>
      </c>
      <c r="B46" s="1404" t="s">
        <v>2898</v>
      </c>
      <c r="C46" s="234">
        <v>2477078.1199999996</v>
      </c>
      <c r="D46" s="115">
        <v>9.6300000000000011E-2</v>
      </c>
      <c r="E46" s="342">
        <f t="shared" si="0"/>
        <v>19878.551912999999</v>
      </c>
    </row>
    <row r="47" spans="1:17">
      <c r="A47" s="1374">
        <v>38</v>
      </c>
      <c r="B47" s="1404" t="s">
        <v>2899</v>
      </c>
      <c r="C47" s="234">
        <v>550713.39</v>
      </c>
      <c r="D47" s="115">
        <v>2.6099999999999998E-2</v>
      </c>
      <c r="E47" s="342">
        <f t="shared" si="0"/>
        <v>1197.8016232499999</v>
      </c>
    </row>
    <row r="48" spans="1:17">
      <c r="A48" s="1374">
        <v>39</v>
      </c>
      <c r="B48" s="1404" t="s">
        <v>2900</v>
      </c>
      <c r="C48" s="234">
        <v>194717.3</v>
      </c>
      <c r="D48" s="115">
        <v>5.3499999999999999E-2</v>
      </c>
      <c r="E48" s="342">
        <f t="shared" si="0"/>
        <v>868.11462916666653</v>
      </c>
    </row>
    <row r="49" spans="1:8">
      <c r="A49" s="1374">
        <v>40</v>
      </c>
      <c r="B49" s="1404" t="s">
        <v>2901</v>
      </c>
      <c r="C49" s="234">
        <v>930966.2699999999</v>
      </c>
      <c r="D49" s="115">
        <v>6.9900000000000004E-2</v>
      </c>
      <c r="E49" s="342">
        <f t="shared" si="0"/>
        <v>5422.8785227500002</v>
      </c>
    </row>
    <row r="50" spans="1:8">
      <c r="A50" s="1374">
        <v>41</v>
      </c>
      <c r="B50" s="1404" t="s">
        <v>2902</v>
      </c>
      <c r="C50" s="234">
        <v>4175225.49</v>
      </c>
      <c r="D50" s="115">
        <v>5.5300000000000002E-2</v>
      </c>
      <c r="E50" s="342">
        <f t="shared" si="0"/>
        <v>19240.830799750001</v>
      </c>
    </row>
    <row r="51" spans="1:8">
      <c r="A51" s="1374">
        <v>42</v>
      </c>
      <c r="B51" s="506" t="s">
        <v>2903</v>
      </c>
      <c r="C51" s="234">
        <v>422258.34</v>
      </c>
      <c r="D51" s="115">
        <v>0.2162</v>
      </c>
      <c r="E51" s="342">
        <f t="shared" si="0"/>
        <v>7607.6877590000004</v>
      </c>
    </row>
    <row r="52" spans="1:8">
      <c r="A52" s="1374">
        <v>43</v>
      </c>
      <c r="B52" s="506" t="s">
        <v>2904</v>
      </c>
      <c r="C52" s="234">
        <v>58917.47</v>
      </c>
      <c r="D52" s="115">
        <v>4.3499999999999997E-2</v>
      </c>
      <c r="E52" s="342">
        <f t="shared" si="0"/>
        <v>213.57582875</v>
      </c>
    </row>
    <row r="53" spans="1:8">
      <c r="A53" s="1374">
        <v>44</v>
      </c>
      <c r="B53" s="508" t="s">
        <v>294</v>
      </c>
      <c r="C53" s="1375">
        <f>SUM(C10:C52)</f>
        <v>956665112.40999997</v>
      </c>
      <c r="D53" s="124"/>
      <c r="E53" s="235">
        <f>SUM(E10:E52)</f>
        <v>2676868.1894085845</v>
      </c>
    </row>
    <row r="54" spans="1:8">
      <c r="A54" s="1374">
        <v>45</v>
      </c>
      <c r="B54" s="509"/>
      <c r="C54" s="123"/>
      <c r="D54" s="124"/>
      <c r="E54" s="236"/>
    </row>
    <row r="55" spans="1:8">
      <c r="A55" s="1374">
        <v>46</v>
      </c>
      <c r="B55" s="1373" t="s">
        <v>3266</v>
      </c>
      <c r="D55" s="124"/>
      <c r="E55" s="342">
        <f>E56</f>
        <v>26511110.390000001</v>
      </c>
    </row>
    <row r="56" spans="1:8">
      <c r="A56" s="1374">
        <v>47</v>
      </c>
      <c r="B56" s="1373" t="s">
        <v>3267</v>
      </c>
      <c r="D56" s="124"/>
      <c r="E56" s="342">
        <v>26511110.390000001</v>
      </c>
    </row>
    <row r="57" spans="1:8" ht="15.75" thickBot="1">
      <c r="A57" s="1374">
        <v>48</v>
      </c>
      <c r="B57" s="1373" t="s">
        <v>2905</v>
      </c>
      <c r="D57" s="124"/>
      <c r="E57" s="1403">
        <f>E55-E56</f>
        <v>0</v>
      </c>
      <c r="H57" s="58"/>
    </row>
    <row r="58" spans="1:8" ht="15.75" thickTop="1">
      <c r="B58" s="33"/>
      <c r="C58" s="342"/>
      <c r="D58" s="1"/>
      <c r="E58" s="113"/>
      <c r="G58" s="1573"/>
      <c r="H58" s="1573"/>
    </row>
    <row r="59" spans="1:8">
      <c r="C59" s="289"/>
      <c r="G59" s="1573"/>
      <c r="H59" s="1573"/>
    </row>
    <row r="61" spans="1:8">
      <c r="E61" s="1411"/>
    </row>
  </sheetData>
  <mergeCells count="7">
    <mergeCell ref="G58:H59"/>
    <mergeCell ref="A6:E6"/>
    <mergeCell ref="A1:E1"/>
    <mergeCell ref="A2:E2"/>
    <mergeCell ref="A3:E3"/>
    <mergeCell ref="A4:E4"/>
    <mergeCell ref="A5:E5"/>
  </mergeCells>
  <printOptions horizontalCentered="1"/>
  <pageMargins left="0.7" right="0.7" top="0.75" bottom="0.75" header="0.3" footer="0.3"/>
  <pageSetup scale="40" orientation="portrait" r:id="rId1"/>
  <headerFooter scaleWithDoc="0" alignWithMargins="0">
    <oddHeader>&amp;R&amp;P of &amp;N</oddHeader>
    <oddFooter>&amp;LElectronic Tab Name: &amp;A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8">
    <tabColor theme="7" tint="0.79998168889431442"/>
  </sheetPr>
  <dimension ref="A1:G31"/>
  <sheetViews>
    <sheetView view="pageBreakPreview" zoomScale="80" zoomScaleNormal="100" zoomScaleSheetLayoutView="80" workbookViewId="0">
      <selection activeCell="F6" sqref="F6"/>
    </sheetView>
  </sheetViews>
  <sheetFormatPr defaultColWidth="9.140625" defaultRowHeight="15" outlineLevelRow="1"/>
  <cols>
    <col min="1" max="1" width="6.7109375" style="275" bestFit="1" customWidth="1"/>
    <col min="2" max="2" width="31.42578125" style="113" bestFit="1" customWidth="1"/>
    <col min="3" max="3" width="38.140625" style="113" bestFit="1" customWidth="1"/>
    <col min="4" max="4" width="13.42578125" style="113" bestFit="1" customWidth="1"/>
    <col min="5" max="5" width="10.140625" style="113" bestFit="1" customWidth="1"/>
    <col min="6" max="6" width="13.5703125" style="113" bestFit="1" customWidth="1"/>
    <col min="7" max="7" width="9.140625" style="113"/>
    <col min="8" max="8" width="9.7109375" style="113" bestFit="1" customWidth="1"/>
    <col min="9" max="16384" width="9.140625" style="113"/>
  </cols>
  <sheetData>
    <row r="1" spans="1:7">
      <c r="A1" s="1505" t="str">
        <f>Company</f>
        <v>Cascade Natural Gas Corp.</v>
      </c>
      <c r="B1" s="1505"/>
      <c r="C1" s="1505"/>
      <c r="D1" s="1505"/>
      <c r="E1" s="209"/>
      <c r="F1" s="209"/>
      <c r="G1" s="209"/>
    </row>
    <row r="2" spans="1:7">
      <c r="A2" s="1505" t="str">
        <f>Title1</f>
        <v>Washington Jurisdiction</v>
      </c>
      <c r="B2" s="1505"/>
      <c r="C2" s="1505"/>
      <c r="D2" s="1505"/>
      <c r="E2" s="209"/>
      <c r="F2" s="209"/>
      <c r="G2" s="209"/>
    </row>
    <row r="3" spans="1:7">
      <c r="A3" s="1505" t="str">
        <f>Title2</f>
        <v>Twelve-Months ended December 31, 2020</v>
      </c>
      <c r="B3" s="1505"/>
      <c r="C3" s="1505"/>
      <c r="D3" s="1505"/>
      <c r="E3" s="209"/>
      <c r="F3" s="209"/>
      <c r="G3" s="209"/>
    </row>
    <row r="4" spans="1:7">
      <c r="A4" s="1505" t="str">
        <f>Title8</f>
        <v>UG-21____</v>
      </c>
      <c r="B4" s="1505"/>
      <c r="C4" s="1505"/>
      <c r="D4" s="1505"/>
      <c r="E4" s="209"/>
      <c r="F4" s="209"/>
      <c r="G4" s="209"/>
    </row>
    <row r="5" spans="1:7">
      <c r="A5" s="1505" t="s">
        <v>2938</v>
      </c>
      <c r="B5" s="1505"/>
      <c r="C5" s="1505"/>
      <c r="D5" s="1505"/>
      <c r="E5" s="209"/>
      <c r="F5" s="209"/>
      <c r="G5" s="209"/>
    </row>
    <row r="6" spans="1:7">
      <c r="A6" s="1574" t="s">
        <v>1172</v>
      </c>
      <c r="B6" s="1574"/>
      <c r="C6" s="1574"/>
      <c r="D6" s="1574"/>
      <c r="E6" s="209"/>
      <c r="F6" s="209"/>
      <c r="G6" s="209"/>
    </row>
    <row r="7" spans="1:7">
      <c r="A7" s="1028"/>
      <c r="B7" s="1315"/>
      <c r="C7" s="1315"/>
      <c r="D7" s="1315"/>
    </row>
    <row r="8" spans="1:7" s="275" customFormat="1" ht="30" hidden="1" outlineLevel="1">
      <c r="A8" s="1289" t="s">
        <v>8</v>
      </c>
      <c r="B8" s="1289" t="s">
        <v>9</v>
      </c>
      <c r="C8" s="1289" t="s">
        <v>2906</v>
      </c>
      <c r="D8" s="1289" t="s">
        <v>1840</v>
      </c>
      <c r="E8" s="1209"/>
      <c r="F8" s="1209"/>
      <c r="G8" s="1209"/>
    </row>
    <row r="9" spans="1:7" hidden="1" outlineLevel="1">
      <c r="A9" s="1290"/>
      <c r="B9" s="1290" t="s">
        <v>2</v>
      </c>
      <c r="C9" s="1290" t="s">
        <v>4</v>
      </c>
      <c r="D9" s="1290" t="s">
        <v>5</v>
      </c>
    </row>
    <row r="10" spans="1:7" hidden="1" outlineLevel="1">
      <c r="A10" s="1288">
        <v>1</v>
      </c>
      <c r="B10" s="1197" t="s">
        <v>2907</v>
      </c>
      <c r="C10" s="1197"/>
      <c r="D10" s="1291">
        <f>+'Plant Additions'!I190</f>
        <v>0</v>
      </c>
    </row>
    <row r="11" spans="1:7" hidden="1" outlineLevel="1">
      <c r="A11" s="1288">
        <v>2</v>
      </c>
      <c r="B11" s="1197" t="s">
        <v>2908</v>
      </c>
      <c r="C11" s="1197"/>
      <c r="D11" s="1292">
        <f>D27</f>
        <v>1.065367567882192E-2</v>
      </c>
    </row>
    <row r="12" spans="1:7" hidden="1" outlineLevel="1">
      <c r="A12" s="1288">
        <v>3</v>
      </c>
      <c r="B12" s="1197" t="s">
        <v>2909</v>
      </c>
      <c r="C12" s="1197"/>
      <c r="D12" s="1291">
        <f>+D10*D11</f>
        <v>0</v>
      </c>
    </row>
    <row r="13" spans="1:7" hidden="1" outlineLevel="1">
      <c r="A13" s="1288">
        <v>4</v>
      </c>
      <c r="B13" s="1197"/>
      <c r="C13" s="1197"/>
      <c r="D13" s="1291"/>
    </row>
    <row r="14" spans="1:7" hidden="1" outlineLevel="1">
      <c r="A14" s="1288">
        <v>5</v>
      </c>
      <c r="B14" s="1197" t="s">
        <v>2910</v>
      </c>
      <c r="C14" s="1197"/>
      <c r="D14" s="1291">
        <f>+'Plant Additions'!K215</f>
        <v>0</v>
      </c>
    </row>
    <row r="15" spans="1:7" hidden="1" outlineLevel="1">
      <c r="A15" s="1288">
        <v>6</v>
      </c>
      <c r="B15" s="1197" t="s">
        <v>2911</v>
      </c>
      <c r="C15" s="1197" t="s">
        <v>2912</v>
      </c>
      <c r="D15" s="1291">
        <f>+D14/2</f>
        <v>0</v>
      </c>
    </row>
    <row r="16" spans="1:7" hidden="1" outlineLevel="1">
      <c r="A16" s="1288">
        <v>7</v>
      </c>
      <c r="B16" s="1197" t="s">
        <v>2913</v>
      </c>
      <c r="C16" s="1197" t="s">
        <v>2914</v>
      </c>
      <c r="D16" s="1291">
        <f>+D10*3.75%</f>
        <v>0</v>
      </c>
    </row>
    <row r="17" spans="1:5" hidden="1" outlineLevel="1">
      <c r="A17" s="1288">
        <v>8</v>
      </c>
      <c r="B17" s="1197" t="s">
        <v>2915</v>
      </c>
      <c r="C17" s="1197" t="s">
        <v>2916</v>
      </c>
      <c r="D17" s="1291">
        <f>(+D16-D14)*'Exh MCG-4, Conversion Factor'!$C$33</f>
        <v>0</v>
      </c>
    </row>
    <row r="18" spans="1:5" hidden="1" outlineLevel="1">
      <c r="A18" s="1288">
        <v>9</v>
      </c>
      <c r="B18" s="1197" t="s">
        <v>2917</v>
      </c>
      <c r="C18" s="1197" t="s">
        <v>2918</v>
      </c>
      <c r="D18" s="1291">
        <f>+D17/2</f>
        <v>0</v>
      </c>
    </row>
    <row r="19" spans="1:5" hidden="1" outlineLevel="1">
      <c r="A19" s="1288">
        <v>10</v>
      </c>
      <c r="B19" s="1197" t="s">
        <v>2919</v>
      </c>
      <c r="C19" s="1197" t="s">
        <v>2920</v>
      </c>
      <c r="D19" s="1291">
        <f>+D14*'Exh MCG-4, Conversion Factor'!$C$31</f>
        <v>0</v>
      </c>
    </row>
    <row r="20" spans="1:5" hidden="1" outlineLevel="1">
      <c r="A20" s="1288">
        <v>11</v>
      </c>
      <c r="B20" s="1197" t="s">
        <v>2921</v>
      </c>
      <c r="C20" s="1197" t="s">
        <v>2922</v>
      </c>
      <c r="D20" s="1291">
        <f>+D10-D18-D15</f>
        <v>0</v>
      </c>
    </row>
    <row r="21" spans="1:5" hidden="1" outlineLevel="1">
      <c r="A21" s="1288">
        <v>12</v>
      </c>
      <c r="B21" s="1197"/>
      <c r="C21" s="1197"/>
      <c r="D21" s="1291"/>
    </row>
    <row r="22" spans="1:5" hidden="1" outlineLevel="1">
      <c r="A22" s="1288">
        <v>13</v>
      </c>
      <c r="B22" s="1197" t="s">
        <v>2923</v>
      </c>
      <c r="C22" s="1197"/>
      <c r="D22" s="1293">
        <v>0</v>
      </c>
      <c r="E22" s="440"/>
    </row>
    <row r="23" spans="1:5" hidden="1" outlineLevel="1">
      <c r="A23" s="1288"/>
      <c r="B23" s="1294"/>
      <c r="C23" s="1197"/>
      <c r="D23" s="1197"/>
      <c r="E23" s="440"/>
    </row>
    <row r="24" spans="1:5" hidden="1" outlineLevel="1">
      <c r="A24" s="1290" t="s">
        <v>1078</v>
      </c>
      <c r="B24" s="1295"/>
      <c r="C24" s="1295"/>
      <c r="D24" s="1295"/>
      <c r="E24" s="440"/>
    </row>
    <row r="25" spans="1:5" hidden="1" outlineLevel="1">
      <c r="A25" s="1288" t="s">
        <v>2924</v>
      </c>
      <c r="B25" s="1197" t="s">
        <v>2925</v>
      </c>
      <c r="C25" s="1197"/>
      <c r="D25" s="1296">
        <v>274888000</v>
      </c>
      <c r="E25" s="440"/>
    </row>
    <row r="26" spans="1:5" hidden="1" outlineLevel="1">
      <c r="A26" s="1288"/>
      <c r="B26" s="1197" t="s">
        <v>2926</v>
      </c>
      <c r="C26" s="1197"/>
      <c r="D26" s="1297">
        <v>2928567.6</v>
      </c>
      <c r="E26" s="440"/>
    </row>
    <row r="27" spans="1:5" hidden="1" outlineLevel="1">
      <c r="A27" s="1288"/>
      <c r="B27" s="1197" t="s">
        <v>2927</v>
      </c>
      <c r="C27" s="1197"/>
      <c r="D27" s="1298">
        <f>D26/D25</f>
        <v>1.065367567882192E-2</v>
      </c>
      <c r="E27" s="440"/>
    </row>
    <row r="28" spans="1:5" collapsed="1">
      <c r="A28" s="1209"/>
      <c r="E28" s="440"/>
    </row>
    <row r="29" spans="1:5">
      <c r="A29" s="1209"/>
      <c r="B29" s="1299" t="s">
        <v>3223</v>
      </c>
      <c r="E29" s="440"/>
    </row>
    <row r="30" spans="1:5">
      <c r="A30" s="1209"/>
      <c r="E30" s="440"/>
    </row>
    <row r="31" spans="1:5">
      <c r="A31" s="1209"/>
      <c r="E31" s="440"/>
    </row>
  </sheetData>
  <mergeCells count="6">
    <mergeCell ref="A6:D6"/>
    <mergeCell ref="A1:D1"/>
    <mergeCell ref="A2:D2"/>
    <mergeCell ref="A3:D3"/>
    <mergeCell ref="A4:D4"/>
    <mergeCell ref="A5:D5"/>
  </mergeCells>
  <printOptions horizontalCentered="1"/>
  <pageMargins left="0.7" right="0.7" top="0.75" bottom="0.75" header="0.3" footer="0.3"/>
  <pageSetup scale="84" fitToHeight="0" orientation="landscape" r:id="rId1"/>
  <headerFooter scaleWithDoc="0" alignWithMargins="0">
    <oddHeader>&amp;RPage &amp;P of &amp;N</oddHeader>
    <oddFooter>&amp;LElectronic Tab Name:&amp;A</oddFooter>
  </headerFooter>
  <colBreaks count="1" manualBreakCount="1">
    <brk id="4" max="1048575" man="1"/>
  </colBreaks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63CFD-0D59-4A3E-967C-93B637303902}">
  <sheetPr codeName="Sheet7">
    <tabColor theme="7" tint="0.79998168889431442"/>
  </sheetPr>
  <dimension ref="A1:E24"/>
  <sheetViews>
    <sheetView view="pageBreakPreview" zoomScaleNormal="80" zoomScaleSheetLayoutView="100" workbookViewId="0">
      <selection activeCell="C24" sqref="C24"/>
    </sheetView>
  </sheetViews>
  <sheetFormatPr defaultColWidth="8.85546875" defaultRowHeight="15" outlineLevelRow="1"/>
  <cols>
    <col min="1" max="1" width="5.42578125" style="113" bestFit="1" customWidth="1"/>
    <col min="2" max="2" width="51.28515625" style="113" bestFit="1" customWidth="1"/>
    <col min="3" max="3" width="14.140625" style="113" customWidth="1"/>
    <col min="4" max="4" width="11" style="113" bestFit="1" customWidth="1"/>
    <col min="5" max="5" width="12.28515625" style="113" bestFit="1" customWidth="1"/>
    <col min="6" max="16384" width="8.85546875" style="113"/>
  </cols>
  <sheetData>
    <row r="1" spans="1:4">
      <c r="A1" s="1507" t="str">
        <f>Company</f>
        <v>Cascade Natural Gas Corp.</v>
      </c>
      <c r="B1" s="1507"/>
      <c r="C1" s="1507"/>
    </row>
    <row r="2" spans="1:4">
      <c r="A2" s="1507" t="str">
        <f>Title1</f>
        <v>Washington Jurisdiction</v>
      </c>
      <c r="B2" s="1507"/>
      <c r="C2" s="1507"/>
    </row>
    <row r="3" spans="1:4">
      <c r="A3" s="1508" t="str">
        <f>Title2</f>
        <v>Twelve-Months ended December 31, 2020</v>
      </c>
      <c r="B3" s="1508"/>
      <c r="C3" s="1508"/>
    </row>
    <row r="4" spans="1:4">
      <c r="A4" s="1505" t="s">
        <v>2938</v>
      </c>
      <c r="B4" s="1505"/>
      <c r="C4" s="1505"/>
      <c r="D4" s="1311"/>
    </row>
    <row r="5" spans="1:4">
      <c r="A5" s="1508" t="s">
        <v>2928</v>
      </c>
      <c r="B5" s="1508"/>
      <c r="C5" s="1508"/>
    </row>
    <row r="7" spans="1:4" ht="30" hidden="1" outlineLevel="1">
      <c r="A7" s="1300" t="s">
        <v>0</v>
      </c>
      <c r="B7" s="1300" t="s">
        <v>9</v>
      </c>
      <c r="C7" s="1300" t="s">
        <v>2929</v>
      </c>
    </row>
    <row r="8" spans="1:4" hidden="1" outlineLevel="1">
      <c r="A8" s="1290"/>
      <c r="B8" s="1290" t="s">
        <v>2</v>
      </c>
      <c r="C8" s="1290" t="s">
        <v>3</v>
      </c>
    </row>
    <row r="9" spans="1:4" hidden="1" outlineLevel="1">
      <c r="A9" s="1288">
        <v>1</v>
      </c>
      <c r="B9" s="1301" t="s">
        <v>2930</v>
      </c>
      <c r="C9" s="1197"/>
    </row>
    <row r="10" spans="1:4" hidden="1" outlineLevel="1">
      <c r="A10" s="1288">
        <v>2</v>
      </c>
      <c r="B10" s="1197" t="s">
        <v>2931</v>
      </c>
      <c r="C10" s="1302">
        <v>2268558.5099999998</v>
      </c>
      <c r="D10" s="501"/>
    </row>
    <row r="11" spans="1:4" hidden="1" outlineLevel="1">
      <c r="A11" s="1288">
        <v>3</v>
      </c>
      <c r="B11" s="1295" t="s">
        <v>2932</v>
      </c>
      <c r="C11" s="1303">
        <v>3.0599999999999999E-2</v>
      </c>
    </row>
    <row r="12" spans="1:4" hidden="1" outlineLevel="1">
      <c r="A12" s="1288">
        <v>4</v>
      </c>
      <c r="B12" s="1304" t="s">
        <v>2933</v>
      </c>
      <c r="C12" s="1305">
        <f>C10*C11</f>
        <v>69417.890405999991</v>
      </c>
    </row>
    <row r="13" spans="1:4" hidden="1" outlineLevel="1">
      <c r="A13" s="1288">
        <v>5</v>
      </c>
      <c r="B13" s="1197"/>
      <c r="C13" s="1197"/>
    </row>
    <row r="14" spans="1:4" hidden="1" outlineLevel="1">
      <c r="A14" s="1288">
        <v>6</v>
      </c>
      <c r="B14" s="1301" t="s">
        <v>2934</v>
      </c>
      <c r="C14" s="1197"/>
    </row>
    <row r="15" spans="1:4" hidden="1" outlineLevel="1">
      <c r="A15" s="1288">
        <v>7</v>
      </c>
      <c r="B15" s="1197" t="s">
        <v>2931</v>
      </c>
      <c r="C15" s="1302">
        <v>6341244.1399999997</v>
      </c>
      <c r="D15" s="501"/>
    </row>
    <row r="16" spans="1:4" hidden="1" outlineLevel="1">
      <c r="A16" s="1288">
        <v>8</v>
      </c>
      <c r="B16" s="1295" t="s">
        <v>2932</v>
      </c>
      <c r="C16" s="1306">
        <f>C11</f>
        <v>3.0599999999999999E-2</v>
      </c>
    </row>
    <row r="17" spans="1:5" hidden="1" outlineLevel="1">
      <c r="A17" s="1288">
        <v>9</v>
      </c>
      <c r="B17" s="1304" t="s">
        <v>2935</v>
      </c>
      <c r="C17" s="1305">
        <f>C15*C16</f>
        <v>194042.07068399998</v>
      </c>
    </row>
    <row r="18" spans="1:5" hidden="1" outlineLevel="1">
      <c r="A18" s="1288">
        <v>10</v>
      </c>
      <c r="B18" s="1304"/>
      <c r="C18" s="1307"/>
    </row>
    <row r="19" spans="1:5" ht="15.75" hidden="1" outlineLevel="1" thickBot="1">
      <c r="A19" s="1288">
        <v>11</v>
      </c>
      <c r="B19" s="1308" t="s">
        <v>2936</v>
      </c>
      <c r="C19" s="1309">
        <f>IF('Plant Additions'!$O$7="Yes", -SUM(C12,C17), 0)</f>
        <v>0</v>
      </c>
    </row>
    <row r="20" spans="1:5" ht="15.75" hidden="1" outlineLevel="1" thickTop="1">
      <c r="A20" s="1288">
        <v>12</v>
      </c>
      <c r="B20" s="1304"/>
      <c r="C20" s="1307"/>
    </row>
    <row r="21" spans="1:5" hidden="1" outlineLevel="1">
      <c r="A21" s="1288">
        <v>13</v>
      </c>
      <c r="B21" s="1304" t="s">
        <v>2937</v>
      </c>
      <c r="C21" s="1310"/>
      <c r="E21" s="259"/>
    </row>
    <row r="22" spans="1:5" hidden="1" outlineLevel="1">
      <c r="A22" s="1197"/>
      <c r="B22" s="1197"/>
      <c r="C22" s="1197"/>
    </row>
    <row r="23" spans="1:5" collapsed="1"/>
    <row r="24" spans="1:5">
      <c r="B24" s="5" t="s">
        <v>3223</v>
      </c>
    </row>
  </sheetData>
  <mergeCells count="5">
    <mergeCell ref="A1:C1"/>
    <mergeCell ref="A4:C4"/>
    <mergeCell ref="A5:C5"/>
    <mergeCell ref="A3:C3"/>
    <mergeCell ref="A2:C2"/>
  </mergeCell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tabColor theme="7" tint="0.79998168889431442"/>
    <pageSetUpPr fitToPage="1"/>
  </sheetPr>
  <dimension ref="A1:AH196"/>
  <sheetViews>
    <sheetView view="pageBreakPreview" topLeftCell="A7" zoomScale="80" zoomScaleNormal="30" zoomScaleSheetLayoutView="80" workbookViewId="0">
      <pane xSplit="2" ySplit="3" topLeftCell="Q145" activePane="bottomRight" state="frozen"/>
      <selection activeCell="A7" sqref="A7"/>
      <selection pane="topRight" activeCell="C7" sqref="C7"/>
      <selection pane="bottomLeft" activeCell="A10" sqref="A10"/>
      <selection pane="bottomRight" activeCell="AE173" sqref="AE173"/>
    </sheetView>
  </sheetViews>
  <sheetFormatPr defaultColWidth="9.140625" defaultRowHeight="15"/>
  <cols>
    <col min="1" max="1" width="6.28515625" style="735" customWidth="1"/>
    <col min="2" max="2" width="49.5703125" style="113" customWidth="1"/>
    <col min="3" max="3" width="10" style="113" bestFit="1" customWidth="1"/>
    <col min="4" max="4" width="16.7109375" style="113" bestFit="1" customWidth="1"/>
    <col min="5" max="5" width="14.140625" style="113" bestFit="1" customWidth="1"/>
    <col min="6" max="6" width="15.85546875" style="113" bestFit="1" customWidth="1"/>
    <col min="7" max="7" width="16.28515625" style="113" bestFit="1" customWidth="1"/>
    <col min="8" max="8" width="15.85546875" style="113" bestFit="1" customWidth="1"/>
    <col min="9" max="9" width="14.28515625" style="113" bestFit="1" customWidth="1"/>
    <col min="10" max="10" width="15.85546875" style="113" bestFit="1" customWidth="1"/>
    <col min="11" max="11" width="14.28515625" style="113" bestFit="1" customWidth="1"/>
    <col min="12" max="12" width="15.85546875" style="113" bestFit="1" customWidth="1"/>
    <col min="13" max="13" width="14.28515625" style="113" bestFit="1" customWidth="1"/>
    <col min="14" max="14" width="15.85546875" style="113" bestFit="1" customWidth="1"/>
    <col min="15" max="15" width="14.28515625" style="113" bestFit="1" customWidth="1"/>
    <col min="16" max="16" width="15.85546875" style="113" bestFit="1" customWidth="1"/>
    <col min="17" max="17" width="16.42578125" style="113" customWidth="1"/>
    <col min="18" max="20" width="15.85546875" style="113" bestFit="1" customWidth="1"/>
    <col min="21" max="21" width="14.28515625" style="113" bestFit="1" customWidth="1"/>
    <col min="22" max="22" width="16.28515625" style="113" bestFit="1" customWidth="1"/>
    <col min="23" max="23" width="14.28515625" style="113" bestFit="1" customWidth="1"/>
    <col min="24" max="24" width="15.85546875" style="113" bestFit="1" customWidth="1"/>
    <col min="25" max="25" width="16.42578125" style="113" customWidth="1"/>
    <col min="26" max="26" width="15.85546875" style="113" bestFit="1" customWidth="1"/>
    <col min="27" max="27" width="14.28515625" style="113" bestFit="1" customWidth="1"/>
    <col min="28" max="28" width="15.85546875" style="113" bestFit="1" customWidth="1"/>
    <col min="29" max="29" width="14.28515625" style="113" bestFit="1" customWidth="1"/>
    <col min="30" max="30" width="18.7109375" style="113" bestFit="1" customWidth="1"/>
    <col min="31" max="31" width="20.85546875" style="113" bestFit="1" customWidth="1"/>
    <col min="32" max="32" width="13.85546875" style="113" bestFit="1" customWidth="1"/>
    <col min="33" max="16384" width="9.140625" style="113"/>
  </cols>
  <sheetData>
    <row r="1" spans="1:34">
      <c r="A1" s="1505" t="str">
        <f>Company</f>
        <v>Cascade Natural Gas Corp.</v>
      </c>
      <c r="B1" s="1505"/>
      <c r="C1" s="1505"/>
      <c r="D1" s="1505"/>
      <c r="E1" s="1505"/>
      <c r="F1" s="1505"/>
      <c r="G1" s="1505"/>
      <c r="H1" s="1505"/>
      <c r="I1" s="1505"/>
      <c r="J1" s="1505"/>
      <c r="K1" s="1505"/>
      <c r="L1" s="1505"/>
      <c r="M1" s="1505"/>
      <c r="N1" s="1505"/>
      <c r="O1" s="1505"/>
      <c r="P1" s="1505"/>
      <c r="Q1" s="1505"/>
      <c r="R1" s="1505"/>
      <c r="S1" s="1505"/>
      <c r="T1" s="1505"/>
      <c r="U1" s="1505"/>
      <c r="V1" s="1505"/>
      <c r="W1" s="1505"/>
      <c r="X1" s="1505"/>
      <c r="Y1" s="1505"/>
      <c r="Z1" s="1505"/>
      <c r="AA1" s="1505"/>
      <c r="AB1" s="1505"/>
      <c r="AC1" s="1505"/>
      <c r="AD1" s="1505"/>
      <c r="AE1" s="1505"/>
      <c r="AF1" s="209"/>
      <c r="AG1" s="209"/>
      <c r="AH1" s="209"/>
    </row>
    <row r="2" spans="1:34">
      <c r="A2" s="1505" t="str">
        <f>Title1</f>
        <v>Washington Jurisdiction</v>
      </c>
      <c r="B2" s="1505"/>
      <c r="C2" s="1505"/>
      <c r="D2" s="1505"/>
      <c r="E2" s="1505"/>
      <c r="F2" s="1505"/>
      <c r="G2" s="1505"/>
      <c r="H2" s="1505"/>
      <c r="I2" s="1505"/>
      <c r="J2" s="1505"/>
      <c r="K2" s="1505"/>
      <c r="L2" s="1505"/>
      <c r="M2" s="1505"/>
      <c r="N2" s="1505"/>
      <c r="O2" s="1505"/>
      <c r="P2" s="1505"/>
      <c r="Q2" s="1505"/>
      <c r="R2" s="1505"/>
      <c r="S2" s="1505"/>
      <c r="T2" s="1505"/>
      <c r="U2" s="1505"/>
      <c r="V2" s="1505"/>
      <c r="W2" s="1505"/>
      <c r="X2" s="1505"/>
      <c r="Y2" s="1505"/>
      <c r="Z2" s="1505"/>
      <c r="AA2" s="1505"/>
      <c r="AB2" s="1505"/>
      <c r="AC2" s="1505"/>
      <c r="AD2" s="1505"/>
      <c r="AE2" s="1505"/>
      <c r="AF2" s="209"/>
      <c r="AG2" s="209"/>
      <c r="AH2" s="209"/>
    </row>
    <row r="3" spans="1:34">
      <c r="A3" s="1505" t="str">
        <f>Title2</f>
        <v>Twelve-Months ended December 31, 2020</v>
      </c>
      <c r="B3" s="1505"/>
      <c r="C3" s="1505"/>
      <c r="D3" s="1505"/>
      <c r="E3" s="1505"/>
      <c r="F3" s="1505"/>
      <c r="G3" s="1505"/>
      <c r="H3" s="1505"/>
      <c r="I3" s="1505"/>
      <c r="J3" s="1505"/>
      <c r="K3" s="1505"/>
      <c r="L3" s="1505"/>
      <c r="M3" s="1505"/>
      <c r="N3" s="1505"/>
      <c r="O3" s="1505"/>
      <c r="P3" s="1505"/>
      <c r="Q3" s="1505"/>
      <c r="R3" s="1505"/>
      <c r="S3" s="1505"/>
      <c r="T3" s="1505"/>
      <c r="U3" s="1505"/>
      <c r="V3" s="1505"/>
      <c r="W3" s="1505"/>
      <c r="X3" s="1505"/>
      <c r="Y3" s="1505"/>
      <c r="Z3" s="1505"/>
      <c r="AA3" s="1505"/>
      <c r="AB3" s="1505"/>
      <c r="AC3" s="1505"/>
      <c r="AD3" s="1505"/>
      <c r="AE3" s="1505"/>
      <c r="AF3" s="209"/>
      <c r="AG3" s="209"/>
      <c r="AH3" s="209"/>
    </row>
    <row r="4" spans="1:34">
      <c r="A4" s="1505" t="str">
        <f>Title8</f>
        <v>UG-21____</v>
      </c>
      <c r="B4" s="1505"/>
      <c r="C4" s="1505"/>
      <c r="D4" s="1505"/>
      <c r="E4" s="1505"/>
      <c r="F4" s="1505"/>
      <c r="G4" s="1505"/>
      <c r="H4" s="1505"/>
      <c r="I4" s="1505"/>
      <c r="J4" s="1505"/>
      <c r="K4" s="1505"/>
      <c r="L4" s="1505"/>
      <c r="M4" s="1505"/>
      <c r="N4" s="1505"/>
      <c r="O4" s="1505"/>
      <c r="P4" s="1505"/>
      <c r="Q4" s="1505"/>
      <c r="R4" s="1505"/>
      <c r="S4" s="1505"/>
      <c r="T4" s="1505"/>
      <c r="U4" s="1505"/>
      <c r="V4" s="1505"/>
      <c r="W4" s="1505"/>
      <c r="X4" s="1505"/>
      <c r="Y4" s="1505"/>
      <c r="Z4" s="1505"/>
      <c r="AA4" s="1505"/>
      <c r="AB4" s="1505"/>
      <c r="AC4" s="1505"/>
      <c r="AD4" s="1505"/>
      <c r="AE4" s="1505"/>
      <c r="AF4" s="209"/>
      <c r="AG4" s="209"/>
      <c r="AH4" s="209"/>
    </row>
    <row r="5" spans="1:34">
      <c r="A5" s="1505" t="s">
        <v>2938</v>
      </c>
      <c r="B5" s="1505"/>
      <c r="C5" s="1505"/>
      <c r="D5" s="1505"/>
      <c r="E5" s="1505"/>
      <c r="F5" s="1505"/>
      <c r="G5" s="1505"/>
      <c r="H5" s="1505"/>
      <c r="I5" s="1505"/>
      <c r="J5" s="1505"/>
      <c r="K5" s="1505"/>
      <c r="L5" s="1505"/>
      <c r="M5" s="1505"/>
      <c r="N5" s="1505"/>
      <c r="O5" s="1505"/>
      <c r="P5" s="1505"/>
      <c r="Q5" s="1505"/>
      <c r="R5" s="1505"/>
      <c r="S5" s="1505"/>
      <c r="T5" s="1505"/>
      <c r="U5" s="1505"/>
      <c r="V5" s="1505"/>
      <c r="W5" s="1505"/>
      <c r="X5" s="1505"/>
      <c r="Y5" s="1505"/>
      <c r="Z5" s="1505"/>
      <c r="AA5" s="1505"/>
      <c r="AB5" s="1505"/>
      <c r="AC5" s="1505"/>
      <c r="AD5" s="1505"/>
      <c r="AE5" s="1505"/>
      <c r="AF5" s="209"/>
      <c r="AG5" s="209"/>
      <c r="AH5" s="209"/>
    </row>
    <row r="6" spans="1:34">
      <c r="A6" s="1505" t="s">
        <v>2953</v>
      </c>
      <c r="B6" s="1505"/>
      <c r="C6" s="1505"/>
      <c r="D6" s="1505"/>
      <c r="E6" s="1505"/>
      <c r="F6" s="1505"/>
      <c r="G6" s="1505"/>
      <c r="H6" s="1505"/>
      <c r="I6" s="1505"/>
      <c r="J6" s="1505"/>
      <c r="K6" s="1505"/>
      <c r="L6" s="1505"/>
      <c r="M6" s="1505"/>
      <c r="N6" s="1505"/>
      <c r="O6" s="1505"/>
      <c r="P6" s="1505"/>
      <c r="Q6" s="1505"/>
      <c r="R6" s="1505"/>
      <c r="S6" s="1505"/>
      <c r="T6" s="1505"/>
      <c r="U6" s="1505"/>
      <c r="V6" s="1505"/>
      <c r="W6" s="1505"/>
      <c r="X6" s="1505"/>
      <c r="Y6" s="1505"/>
      <c r="Z6" s="1505"/>
      <c r="AA6" s="1505"/>
      <c r="AB6" s="1505"/>
      <c r="AC6" s="1505"/>
      <c r="AD6" s="1505"/>
      <c r="AE6" s="1505"/>
      <c r="AF6" s="209"/>
      <c r="AG6" s="209"/>
      <c r="AH6" s="209"/>
    </row>
    <row r="7" spans="1:34">
      <c r="A7" s="1214"/>
      <c r="B7" s="1214"/>
      <c r="C7" s="1214"/>
      <c r="D7" s="1214"/>
      <c r="E7" s="1214"/>
      <c r="F7" s="1214"/>
      <c r="G7" s="1214"/>
      <c r="H7" s="1214"/>
      <c r="I7" s="1214"/>
      <c r="J7" s="1214"/>
      <c r="K7" s="1214"/>
      <c r="L7" s="1214"/>
      <c r="M7" s="1214"/>
      <c r="N7" s="1214"/>
      <c r="O7" s="1214"/>
      <c r="P7" s="1214"/>
      <c r="Q7" s="1214"/>
      <c r="R7" s="1214"/>
      <c r="S7" s="1214"/>
      <c r="T7" s="1214"/>
      <c r="U7" s="1214"/>
      <c r="V7" s="1214"/>
      <c r="W7" s="1214"/>
      <c r="X7" s="1214"/>
      <c r="Y7" s="1214"/>
      <c r="Z7" s="1214"/>
      <c r="AA7" s="1214"/>
      <c r="AB7" s="1214"/>
      <c r="AC7" s="1214"/>
      <c r="AD7" s="1214"/>
      <c r="AE7" s="1214"/>
      <c r="AF7" s="209"/>
      <c r="AG7" s="209"/>
      <c r="AH7" s="209"/>
    </row>
    <row r="8" spans="1:34" ht="30">
      <c r="A8" s="334" t="s">
        <v>8</v>
      </c>
      <c r="B8" s="151" t="s">
        <v>2954</v>
      </c>
      <c r="C8" s="151" t="s">
        <v>2955</v>
      </c>
      <c r="D8" s="151" t="s">
        <v>2956</v>
      </c>
      <c r="E8" s="151" t="s">
        <v>2957</v>
      </c>
      <c r="F8" s="151" t="s">
        <v>2958</v>
      </c>
      <c r="G8" s="151" t="s">
        <v>2959</v>
      </c>
      <c r="H8" s="151" t="s">
        <v>2960</v>
      </c>
      <c r="I8" s="151" t="s">
        <v>2961</v>
      </c>
      <c r="J8" s="151" t="s">
        <v>2962</v>
      </c>
      <c r="K8" s="151" t="s">
        <v>2963</v>
      </c>
      <c r="L8" s="151" t="s">
        <v>2964</v>
      </c>
      <c r="M8" s="151" t="s">
        <v>2965</v>
      </c>
      <c r="N8" s="151" t="s">
        <v>2966</v>
      </c>
      <c r="O8" s="151" t="s">
        <v>2967</v>
      </c>
      <c r="P8" s="151" t="s">
        <v>2968</v>
      </c>
      <c r="Q8" s="151" t="s">
        <v>2969</v>
      </c>
      <c r="R8" s="151" t="s">
        <v>2970</v>
      </c>
      <c r="S8" s="151" t="s">
        <v>2971</v>
      </c>
      <c r="T8" s="151" t="s">
        <v>2972</v>
      </c>
      <c r="U8" s="151" t="s">
        <v>2973</v>
      </c>
      <c r="V8" s="151" t="s">
        <v>2974</v>
      </c>
      <c r="W8" s="151" t="s">
        <v>2975</v>
      </c>
      <c r="X8" s="151" t="s">
        <v>2976</v>
      </c>
      <c r="Y8" s="151" t="s">
        <v>2977</v>
      </c>
      <c r="Z8" s="151" t="s">
        <v>2978</v>
      </c>
      <c r="AA8" s="151" t="s">
        <v>2979</v>
      </c>
      <c r="AB8" s="151" t="s">
        <v>2980</v>
      </c>
      <c r="AC8" s="151" t="s">
        <v>2981</v>
      </c>
      <c r="AD8" s="151" t="s">
        <v>2982</v>
      </c>
      <c r="AE8" s="151" t="s">
        <v>2983</v>
      </c>
    </row>
    <row r="9" spans="1:34">
      <c r="A9" s="121"/>
      <c r="B9" s="121" t="s">
        <v>2</v>
      </c>
      <c r="C9" s="121" t="s">
        <v>3</v>
      </c>
      <c r="D9" s="121" t="s">
        <v>4</v>
      </c>
      <c r="E9" s="121" t="s">
        <v>5</v>
      </c>
      <c r="F9" s="121" t="s">
        <v>6</v>
      </c>
      <c r="G9" s="121" t="s">
        <v>273</v>
      </c>
      <c r="H9" s="121" t="s">
        <v>274</v>
      </c>
      <c r="I9" s="121" t="s">
        <v>275</v>
      </c>
      <c r="J9" s="121" t="s">
        <v>276</v>
      </c>
      <c r="K9" s="121" t="s">
        <v>277</v>
      </c>
      <c r="L9" s="121" t="s">
        <v>278</v>
      </c>
      <c r="M9" s="121" t="s">
        <v>279</v>
      </c>
      <c r="N9" s="121" t="s">
        <v>280</v>
      </c>
      <c r="O9" s="121" t="s">
        <v>281</v>
      </c>
      <c r="P9" s="121" t="s">
        <v>282</v>
      </c>
      <c r="Q9" s="121" t="s">
        <v>283</v>
      </c>
      <c r="R9" s="121" t="s">
        <v>284</v>
      </c>
      <c r="S9" s="121" t="s">
        <v>285</v>
      </c>
      <c r="T9" s="121" t="s">
        <v>286</v>
      </c>
      <c r="U9" s="121" t="s">
        <v>287</v>
      </c>
      <c r="V9" s="121" t="s">
        <v>288</v>
      </c>
      <c r="W9" s="121" t="s">
        <v>289</v>
      </c>
      <c r="X9" s="121" t="s">
        <v>290</v>
      </c>
      <c r="Y9" s="121" t="s">
        <v>1147</v>
      </c>
      <c r="Z9" s="121" t="s">
        <v>1148</v>
      </c>
      <c r="AA9" s="121" t="s">
        <v>1149</v>
      </c>
      <c r="AB9" s="121" t="s">
        <v>1150</v>
      </c>
      <c r="AC9" s="121" t="s">
        <v>1468</v>
      </c>
      <c r="AD9" s="121" t="s">
        <v>1469</v>
      </c>
      <c r="AE9" s="121" t="s">
        <v>1470</v>
      </c>
    </row>
    <row r="10" spans="1:34">
      <c r="A10" s="1209">
        <v>1</v>
      </c>
      <c r="B10" s="11" t="s">
        <v>1905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</row>
    <row r="11" spans="1:34">
      <c r="A11" s="1209">
        <v>2</v>
      </c>
      <c r="B11" s="113" t="s">
        <v>2984</v>
      </c>
      <c r="C11" s="370" t="s">
        <v>2985</v>
      </c>
      <c r="D11" s="341">
        <v>73666.720000000001</v>
      </c>
      <c r="E11" s="341">
        <v>73666.720000000001</v>
      </c>
      <c r="F11" s="341">
        <v>73666.720000000001</v>
      </c>
      <c r="G11" s="341">
        <v>73666.720000000001</v>
      </c>
      <c r="H11" s="341">
        <v>73666.720000000001</v>
      </c>
      <c r="I11" s="341">
        <v>73666.720000000001</v>
      </c>
      <c r="J11" s="341">
        <v>73666.720000000001</v>
      </c>
      <c r="K11" s="341">
        <v>73666.720000000001</v>
      </c>
      <c r="L11" s="341">
        <v>73666.720000000001</v>
      </c>
      <c r="M11" s="341">
        <v>73666.720000000001</v>
      </c>
      <c r="N11" s="341">
        <v>73666.720000000001</v>
      </c>
      <c r="O11" s="341">
        <v>73666.720000000001</v>
      </c>
      <c r="P11" s="341">
        <v>73666.720000000001</v>
      </c>
      <c r="Q11" s="341">
        <v>73666.720000000001</v>
      </c>
      <c r="R11" s="341">
        <v>73666.720000000001</v>
      </c>
      <c r="S11" s="341">
        <v>73666.720000000001</v>
      </c>
      <c r="T11" s="341">
        <v>73666.720000000001</v>
      </c>
      <c r="U11" s="341">
        <v>73666.720000000001</v>
      </c>
      <c r="V11" s="341">
        <v>73666.720000000001</v>
      </c>
      <c r="W11" s="341">
        <v>73666.720000000001</v>
      </c>
      <c r="X11" s="341">
        <v>73666.720000000001</v>
      </c>
      <c r="Y11" s="341">
        <v>73666.720000000001</v>
      </c>
      <c r="Z11" s="341">
        <v>73666.720000000001</v>
      </c>
      <c r="AA11" s="341">
        <v>73666.720000000001</v>
      </c>
      <c r="AB11" s="341">
        <v>73666.720000000001</v>
      </c>
      <c r="AC11" s="341">
        <v>73666.720000000001</v>
      </c>
      <c r="AD11" s="341">
        <f>+(D11+AB11+(+F11+H11+J11+L11+N11+P11+R11+T11+V11+X11+Z11)*2)/24</f>
        <v>73666.719999999987</v>
      </c>
      <c r="AE11" s="341">
        <f>+(E11+AC11+(+G11+I11+K11+M11+O11+Q11+S11+U11+W11+Y11+AA11)*2)/24</f>
        <v>73666.719999999987</v>
      </c>
    </row>
    <row r="12" spans="1:34">
      <c r="A12" s="1209">
        <v>3</v>
      </c>
      <c r="B12" s="113" t="s">
        <v>2986</v>
      </c>
      <c r="C12" s="370" t="s">
        <v>2985</v>
      </c>
      <c r="D12" s="341">
        <v>113374.44</v>
      </c>
      <c r="E12" s="341">
        <v>15692.11</v>
      </c>
      <c r="F12" s="341">
        <v>113374.44</v>
      </c>
      <c r="G12" s="341">
        <v>15928.31</v>
      </c>
      <c r="H12" s="341">
        <v>113374.44</v>
      </c>
      <c r="I12" s="341">
        <v>16164.51</v>
      </c>
      <c r="J12" s="341">
        <v>113374.44</v>
      </c>
      <c r="K12" s="341">
        <v>16400.71</v>
      </c>
      <c r="L12" s="341">
        <v>113374.44</v>
      </c>
      <c r="M12" s="341">
        <v>16636.91</v>
      </c>
      <c r="N12" s="341">
        <v>113374.44</v>
      </c>
      <c r="O12" s="341">
        <v>16873.11</v>
      </c>
      <c r="P12" s="341">
        <v>113374.44</v>
      </c>
      <c r="Q12" s="341">
        <v>17109.310000000001</v>
      </c>
      <c r="R12" s="341">
        <v>113374.44</v>
      </c>
      <c r="S12" s="341">
        <v>17345.510000000002</v>
      </c>
      <c r="T12" s="341">
        <v>113374.44</v>
      </c>
      <c r="U12" s="341">
        <v>17581.71</v>
      </c>
      <c r="V12" s="341">
        <v>113374.44</v>
      </c>
      <c r="W12" s="341">
        <v>17817.91</v>
      </c>
      <c r="X12" s="341">
        <v>113374.44</v>
      </c>
      <c r="Y12" s="341">
        <v>18054.11</v>
      </c>
      <c r="Z12" s="341">
        <v>113374.44</v>
      </c>
      <c r="AA12" s="341">
        <v>18290.310000000001</v>
      </c>
      <c r="AB12" s="341">
        <v>113374.44</v>
      </c>
      <c r="AC12" s="341">
        <v>18526.510000000002</v>
      </c>
      <c r="AD12" s="341">
        <f>+(D12+AB12+(+F12+H12+J12+L12+N12+P12+R12+T12+V12+X12+Z12)*2)/24</f>
        <v>113374.43999999996</v>
      </c>
      <c r="AE12" s="341">
        <f t="shared" ref="AE12:AE47" si="0">+(E12+AC12+(+G12+I12+K12+M12+O12+Q12+S12+U12+W12+Y12+AA12)*2)/24</f>
        <v>17109.309999999998</v>
      </c>
    </row>
    <row r="13" spans="1:34">
      <c r="A13" s="1209">
        <v>4</v>
      </c>
      <c r="B13" s="113" t="s">
        <v>2987</v>
      </c>
      <c r="C13" s="370" t="s">
        <v>2985</v>
      </c>
      <c r="D13" s="341">
        <v>1016861.1</v>
      </c>
      <c r="E13" s="341">
        <v>59318.48</v>
      </c>
      <c r="F13" s="341">
        <v>1016861.1</v>
      </c>
      <c r="G13" s="341">
        <v>61436.94</v>
      </c>
      <c r="H13" s="341">
        <v>1016861.1</v>
      </c>
      <c r="I13" s="341">
        <v>63555.4</v>
      </c>
      <c r="J13" s="341">
        <v>1016861.1</v>
      </c>
      <c r="K13" s="341">
        <v>65673.86</v>
      </c>
      <c r="L13" s="341">
        <v>1016861.1</v>
      </c>
      <c r="M13" s="341">
        <v>67792.320000000007</v>
      </c>
      <c r="N13" s="341">
        <v>1016861.1</v>
      </c>
      <c r="O13" s="341">
        <v>69910.78</v>
      </c>
      <c r="P13" s="341">
        <v>1016861.1</v>
      </c>
      <c r="Q13" s="341">
        <v>72029.240000000005</v>
      </c>
      <c r="R13" s="341">
        <v>1016861.1</v>
      </c>
      <c r="S13" s="341">
        <v>74147.7</v>
      </c>
      <c r="T13" s="341">
        <v>1016861.1</v>
      </c>
      <c r="U13" s="341">
        <v>76266.16</v>
      </c>
      <c r="V13" s="341">
        <v>1016861.1</v>
      </c>
      <c r="W13" s="341">
        <v>78384.62</v>
      </c>
      <c r="X13" s="341">
        <v>1016861.1</v>
      </c>
      <c r="Y13" s="341">
        <v>80503.08</v>
      </c>
      <c r="Z13" s="341">
        <v>1016861.1</v>
      </c>
      <c r="AA13" s="341">
        <v>82621.540000000008</v>
      </c>
      <c r="AB13" s="341">
        <v>1016861.1</v>
      </c>
      <c r="AC13" s="341">
        <v>84740</v>
      </c>
      <c r="AD13" s="341">
        <f t="shared" ref="AD13:AD47" si="1">+(D13+AB13+(+F13+H13+J13+L13+N13+P13+R13+T13+V13+X13+Z13)*2)/24</f>
        <v>1016861.0999999997</v>
      </c>
      <c r="AE13" s="341">
        <f t="shared" si="0"/>
        <v>72029.240000000005</v>
      </c>
    </row>
    <row r="14" spans="1:34">
      <c r="A14" s="1209">
        <v>5</v>
      </c>
      <c r="B14" s="113" t="s">
        <v>2988</v>
      </c>
      <c r="C14" s="370" t="s">
        <v>2985</v>
      </c>
      <c r="D14" s="341">
        <v>1817585.2000000002</v>
      </c>
      <c r="E14" s="341">
        <v>90879.360000000001</v>
      </c>
      <c r="F14" s="341">
        <v>1817585.2000000002</v>
      </c>
      <c r="G14" s="341">
        <v>94666</v>
      </c>
      <c r="H14" s="341">
        <v>1817585.2000000002</v>
      </c>
      <c r="I14" s="341">
        <v>98452.64</v>
      </c>
      <c r="J14" s="341">
        <v>1817585.2000000002</v>
      </c>
      <c r="K14" s="341">
        <v>102239.28</v>
      </c>
      <c r="L14" s="341">
        <v>1817585.2000000002</v>
      </c>
      <c r="M14" s="341">
        <v>106025.92</v>
      </c>
      <c r="N14" s="341">
        <v>1817585.2000000002</v>
      </c>
      <c r="O14" s="341">
        <v>109812.56</v>
      </c>
      <c r="P14" s="341">
        <v>1817585.2000000002</v>
      </c>
      <c r="Q14" s="341">
        <v>113599.2</v>
      </c>
      <c r="R14" s="341">
        <v>1817585.2000000002</v>
      </c>
      <c r="S14" s="341">
        <v>117385.84</v>
      </c>
      <c r="T14" s="341">
        <v>1817585.2000000002</v>
      </c>
      <c r="U14" s="341">
        <v>121172.48</v>
      </c>
      <c r="V14" s="341">
        <v>1817585.2000000002</v>
      </c>
      <c r="W14" s="341">
        <v>124959.12</v>
      </c>
      <c r="X14" s="341">
        <v>1817585.2000000002</v>
      </c>
      <c r="Y14" s="341">
        <v>128745.76000000001</v>
      </c>
      <c r="Z14" s="341">
        <v>1817585.2000000002</v>
      </c>
      <c r="AA14" s="341">
        <v>132532.4</v>
      </c>
      <c r="AB14" s="341">
        <v>1817585.2000000002</v>
      </c>
      <c r="AC14" s="341">
        <v>136319.04000000001</v>
      </c>
      <c r="AD14" s="341">
        <f t="shared" si="1"/>
        <v>1817585.1999999995</v>
      </c>
      <c r="AE14" s="341">
        <f t="shared" si="0"/>
        <v>113599.19999999997</v>
      </c>
    </row>
    <row r="15" spans="1:34">
      <c r="A15" s="1209">
        <v>6</v>
      </c>
      <c r="B15" s="113" t="s">
        <v>2989</v>
      </c>
      <c r="C15" s="370" t="s">
        <v>2985</v>
      </c>
      <c r="D15" s="341">
        <v>13130.54</v>
      </c>
      <c r="E15" s="341">
        <v>0</v>
      </c>
      <c r="F15" s="341">
        <v>13130.54</v>
      </c>
      <c r="G15" s="341">
        <v>0</v>
      </c>
      <c r="H15" s="341">
        <v>13130.54</v>
      </c>
      <c r="I15" s="341">
        <v>0</v>
      </c>
      <c r="J15" s="341">
        <v>13130.54</v>
      </c>
      <c r="K15" s="341">
        <v>0</v>
      </c>
      <c r="L15" s="341">
        <v>13130.54</v>
      </c>
      <c r="M15" s="341">
        <v>0</v>
      </c>
      <c r="N15" s="341">
        <v>13130.54</v>
      </c>
      <c r="O15" s="341">
        <v>0</v>
      </c>
      <c r="P15" s="341">
        <v>13130.54</v>
      </c>
      <c r="Q15" s="341">
        <v>0</v>
      </c>
      <c r="R15" s="341">
        <v>13130.54</v>
      </c>
      <c r="S15" s="341">
        <v>0</v>
      </c>
      <c r="T15" s="341">
        <v>13130.54</v>
      </c>
      <c r="U15" s="341">
        <v>0</v>
      </c>
      <c r="V15" s="341">
        <v>13130.54</v>
      </c>
      <c r="W15" s="341">
        <v>0</v>
      </c>
      <c r="X15" s="341">
        <v>13130.54</v>
      </c>
      <c r="Y15" s="341">
        <v>0</v>
      </c>
      <c r="Z15" s="341">
        <v>13130.54</v>
      </c>
      <c r="AA15" s="341">
        <v>0</v>
      </c>
      <c r="AB15" s="341">
        <v>13130.54</v>
      </c>
      <c r="AC15" s="341">
        <v>0</v>
      </c>
      <c r="AD15" s="341">
        <f t="shared" si="1"/>
        <v>13130.540000000006</v>
      </c>
      <c r="AE15" s="341">
        <f t="shared" si="0"/>
        <v>0</v>
      </c>
    </row>
    <row r="16" spans="1:34">
      <c r="A16" s="1209">
        <v>7</v>
      </c>
      <c r="B16" s="113" t="s">
        <v>2990</v>
      </c>
      <c r="C16" s="370" t="s">
        <v>2985</v>
      </c>
      <c r="D16" s="341">
        <v>7692.66</v>
      </c>
      <c r="E16" s="341">
        <v>6691.92</v>
      </c>
      <c r="F16" s="341">
        <v>7692.66</v>
      </c>
      <c r="G16" s="341">
        <v>6702.05</v>
      </c>
      <c r="H16" s="341">
        <v>7692.66</v>
      </c>
      <c r="I16" s="341">
        <v>6712.18</v>
      </c>
      <c r="J16" s="341">
        <v>7692.66</v>
      </c>
      <c r="K16" s="341">
        <v>6722.31</v>
      </c>
      <c r="L16" s="341">
        <v>7692.66</v>
      </c>
      <c r="M16" s="341">
        <v>6732.4400000000005</v>
      </c>
      <c r="N16" s="341">
        <v>7692.66</v>
      </c>
      <c r="O16" s="341">
        <v>6742.57</v>
      </c>
      <c r="P16" s="341">
        <v>7692.66</v>
      </c>
      <c r="Q16" s="341">
        <v>6752.7</v>
      </c>
      <c r="R16" s="341">
        <v>7692.66</v>
      </c>
      <c r="S16" s="341">
        <v>6762.83</v>
      </c>
      <c r="T16" s="341">
        <v>7692.66</v>
      </c>
      <c r="U16" s="341">
        <v>6772.96</v>
      </c>
      <c r="V16" s="341">
        <v>7692.66</v>
      </c>
      <c r="W16" s="341">
        <v>6783.09</v>
      </c>
      <c r="X16" s="341">
        <v>7692.66</v>
      </c>
      <c r="Y16" s="341">
        <v>6793.22</v>
      </c>
      <c r="Z16" s="341">
        <v>7692.66</v>
      </c>
      <c r="AA16" s="341">
        <v>6803.35</v>
      </c>
      <c r="AB16" s="341">
        <v>7692.66</v>
      </c>
      <c r="AC16" s="341">
        <v>6813.4800000000005</v>
      </c>
      <c r="AD16" s="341">
        <f t="shared" si="1"/>
        <v>7692.6600000000026</v>
      </c>
      <c r="AE16" s="341">
        <f t="shared" si="0"/>
        <v>6752.7000000000007</v>
      </c>
    </row>
    <row r="17" spans="1:31">
      <c r="A17" s="1209">
        <v>8</v>
      </c>
      <c r="B17" s="113" t="s">
        <v>2991</v>
      </c>
      <c r="C17" s="370" t="s">
        <v>2985</v>
      </c>
      <c r="D17" s="341">
        <v>6203474.7999999998</v>
      </c>
      <c r="E17" s="341">
        <v>3730254.5300000003</v>
      </c>
      <c r="F17" s="341">
        <v>6203474.7999999998</v>
      </c>
      <c r="G17" s="341">
        <v>3739663.13</v>
      </c>
      <c r="H17" s="341">
        <v>6203474.7999999998</v>
      </c>
      <c r="I17" s="341">
        <v>3749071.73</v>
      </c>
      <c r="J17" s="341">
        <v>6203474.7999999998</v>
      </c>
      <c r="K17" s="341">
        <v>3758480.33</v>
      </c>
      <c r="L17" s="341">
        <v>6203474.7999999998</v>
      </c>
      <c r="M17" s="341">
        <v>3767888.93</v>
      </c>
      <c r="N17" s="341">
        <v>6203474.7999999998</v>
      </c>
      <c r="O17" s="341">
        <v>3777297.5300000003</v>
      </c>
      <c r="P17" s="341">
        <v>6203474.7999999998</v>
      </c>
      <c r="Q17" s="341">
        <v>3786706.13</v>
      </c>
      <c r="R17" s="341">
        <v>6203474.7999999998</v>
      </c>
      <c r="S17" s="341">
        <v>3796114.73</v>
      </c>
      <c r="T17" s="341">
        <v>6203474.7999999998</v>
      </c>
      <c r="U17" s="341">
        <v>3805523.33</v>
      </c>
      <c r="V17" s="341">
        <v>6203474.7999999998</v>
      </c>
      <c r="W17" s="341">
        <v>3814931.93</v>
      </c>
      <c r="X17" s="341">
        <v>6203474.7999999998</v>
      </c>
      <c r="Y17" s="341">
        <v>3824340.5300000003</v>
      </c>
      <c r="Z17" s="341">
        <v>6203474.7999999998</v>
      </c>
      <c r="AA17" s="341">
        <v>3833749.13</v>
      </c>
      <c r="AB17" s="341">
        <v>6203474.7999999998</v>
      </c>
      <c r="AC17" s="341">
        <v>3843157.73</v>
      </c>
      <c r="AD17" s="341">
        <f t="shared" si="1"/>
        <v>6203474.799999998</v>
      </c>
      <c r="AE17" s="341">
        <f t="shared" si="0"/>
        <v>3786706.1300000004</v>
      </c>
    </row>
    <row r="18" spans="1:31">
      <c r="A18" s="1209">
        <v>9</v>
      </c>
      <c r="B18" s="113" t="s">
        <v>2992</v>
      </c>
      <c r="C18" s="370" t="s">
        <v>2985</v>
      </c>
      <c r="D18" s="341">
        <v>36161.700000000004</v>
      </c>
      <c r="E18" s="341">
        <v>-3971.6</v>
      </c>
      <c r="F18" s="341">
        <v>36161.700000000004</v>
      </c>
      <c r="G18" s="341">
        <v>-3959.25</v>
      </c>
      <c r="H18" s="341">
        <v>36161.700000000004</v>
      </c>
      <c r="I18" s="341">
        <v>-3946.9</v>
      </c>
      <c r="J18" s="341">
        <v>36161.700000000004</v>
      </c>
      <c r="K18" s="341">
        <v>-3934.55</v>
      </c>
      <c r="L18" s="341">
        <v>36161.700000000004</v>
      </c>
      <c r="M18" s="341">
        <v>-3922.2000000000003</v>
      </c>
      <c r="N18" s="341">
        <v>36161.700000000004</v>
      </c>
      <c r="O18" s="341">
        <v>-3909.85</v>
      </c>
      <c r="P18" s="341">
        <v>36161.700000000004</v>
      </c>
      <c r="Q18" s="341">
        <v>-3897.5</v>
      </c>
      <c r="R18" s="341">
        <v>36161.700000000004</v>
      </c>
      <c r="S18" s="341">
        <v>-3885.15</v>
      </c>
      <c r="T18" s="341">
        <v>36161.700000000004</v>
      </c>
      <c r="U18" s="341">
        <v>-3872.8</v>
      </c>
      <c r="V18" s="341">
        <v>36161.700000000004</v>
      </c>
      <c r="W18" s="341">
        <v>-3860.4500000000003</v>
      </c>
      <c r="X18" s="341">
        <v>36161.700000000004</v>
      </c>
      <c r="Y18" s="341">
        <v>-3848.1</v>
      </c>
      <c r="Z18" s="341">
        <v>36161.700000000004</v>
      </c>
      <c r="AA18" s="341">
        <v>-3835.75</v>
      </c>
      <c r="AB18" s="341">
        <v>36161.700000000004</v>
      </c>
      <c r="AC18" s="341">
        <v>-3823.4</v>
      </c>
      <c r="AD18" s="341">
        <f t="shared" si="1"/>
        <v>36161.700000000004</v>
      </c>
      <c r="AE18" s="341">
        <f t="shared" si="0"/>
        <v>-3897.5</v>
      </c>
    </row>
    <row r="19" spans="1:31">
      <c r="A19" s="1209">
        <v>10</v>
      </c>
      <c r="B19" s="113" t="s">
        <v>2993</v>
      </c>
      <c r="C19" s="370" t="s">
        <v>2985</v>
      </c>
      <c r="D19" s="341">
        <v>235020</v>
      </c>
      <c r="E19" s="341">
        <v>11153.01</v>
      </c>
      <c r="F19" s="341">
        <v>235020</v>
      </c>
      <c r="G19" s="341">
        <v>11521.210000000001</v>
      </c>
      <c r="H19" s="341">
        <v>235020</v>
      </c>
      <c r="I19" s="341">
        <v>11889.41</v>
      </c>
      <c r="J19" s="341">
        <v>235020</v>
      </c>
      <c r="K19" s="341">
        <v>12257.61</v>
      </c>
      <c r="L19" s="341">
        <v>235020</v>
      </c>
      <c r="M19" s="341">
        <v>12625.81</v>
      </c>
      <c r="N19" s="341">
        <v>235020</v>
      </c>
      <c r="O19" s="341">
        <v>12994.01</v>
      </c>
      <c r="P19" s="341">
        <v>235020</v>
      </c>
      <c r="Q19" s="341">
        <v>13362.210000000001</v>
      </c>
      <c r="R19" s="341">
        <v>235020</v>
      </c>
      <c r="S19" s="341">
        <v>13730.41</v>
      </c>
      <c r="T19" s="341">
        <v>235020</v>
      </c>
      <c r="U19" s="341">
        <v>14098.61</v>
      </c>
      <c r="V19" s="341">
        <v>235020</v>
      </c>
      <c r="W19" s="341">
        <v>14466.81</v>
      </c>
      <c r="X19" s="341">
        <v>235020</v>
      </c>
      <c r="Y19" s="341">
        <v>14835.01</v>
      </c>
      <c r="Z19" s="341">
        <v>235020</v>
      </c>
      <c r="AA19" s="341">
        <v>15203.210000000001</v>
      </c>
      <c r="AB19" s="341">
        <v>235020</v>
      </c>
      <c r="AC19" s="341">
        <v>15571.41</v>
      </c>
      <c r="AD19" s="341">
        <f t="shared" si="1"/>
        <v>235020</v>
      </c>
      <c r="AE19" s="341">
        <f t="shared" si="0"/>
        <v>13362.21</v>
      </c>
    </row>
    <row r="20" spans="1:31">
      <c r="A20" s="1209">
        <v>11</v>
      </c>
      <c r="B20" s="113" t="s">
        <v>2994</v>
      </c>
      <c r="C20" s="370" t="s">
        <v>2985</v>
      </c>
      <c r="D20" s="341">
        <v>141860.15</v>
      </c>
      <c r="E20" s="341">
        <v>0</v>
      </c>
      <c r="F20" s="341">
        <v>141860.15</v>
      </c>
      <c r="G20" s="341">
        <v>0</v>
      </c>
      <c r="H20" s="341">
        <v>141860.15</v>
      </c>
      <c r="I20" s="341">
        <v>0</v>
      </c>
      <c r="J20" s="341">
        <v>141860.15</v>
      </c>
      <c r="K20" s="341">
        <v>0</v>
      </c>
      <c r="L20" s="341">
        <v>141860.15</v>
      </c>
      <c r="M20" s="341">
        <v>0</v>
      </c>
      <c r="N20" s="341">
        <v>141860.15</v>
      </c>
      <c r="O20" s="341">
        <v>0</v>
      </c>
      <c r="P20" s="341">
        <v>141860.15</v>
      </c>
      <c r="Q20" s="341">
        <v>0</v>
      </c>
      <c r="R20" s="341">
        <v>141860.15</v>
      </c>
      <c r="S20" s="341">
        <v>0</v>
      </c>
      <c r="T20" s="341">
        <v>141860.15</v>
      </c>
      <c r="U20" s="341">
        <v>0</v>
      </c>
      <c r="V20" s="341">
        <v>141860.15</v>
      </c>
      <c r="W20" s="341">
        <v>0</v>
      </c>
      <c r="X20" s="341">
        <v>141860.15</v>
      </c>
      <c r="Y20" s="341">
        <v>0</v>
      </c>
      <c r="Z20" s="341">
        <v>141860.15</v>
      </c>
      <c r="AA20" s="341">
        <v>0</v>
      </c>
      <c r="AB20" s="341">
        <v>141860.15</v>
      </c>
      <c r="AC20" s="341">
        <v>0</v>
      </c>
      <c r="AD20" s="341">
        <f t="shared" si="1"/>
        <v>141860.14999999997</v>
      </c>
      <c r="AE20" s="341">
        <f t="shared" si="0"/>
        <v>0</v>
      </c>
    </row>
    <row r="21" spans="1:31">
      <c r="A21" s="1209">
        <v>12</v>
      </c>
      <c r="B21" s="113" t="s">
        <v>2995</v>
      </c>
      <c r="C21" s="370" t="s">
        <v>2985</v>
      </c>
      <c r="D21" s="341">
        <v>0</v>
      </c>
      <c r="E21" s="341">
        <v>0</v>
      </c>
      <c r="F21" s="341">
        <v>0</v>
      </c>
      <c r="G21" s="341">
        <v>0</v>
      </c>
      <c r="H21" s="341">
        <v>0</v>
      </c>
      <c r="I21" s="341">
        <v>0</v>
      </c>
      <c r="J21" s="341">
        <v>0</v>
      </c>
      <c r="K21" s="341">
        <v>0</v>
      </c>
      <c r="L21" s="341">
        <v>0</v>
      </c>
      <c r="M21" s="341">
        <v>0</v>
      </c>
      <c r="N21" s="341">
        <v>0</v>
      </c>
      <c r="O21" s="341">
        <v>0</v>
      </c>
      <c r="P21" s="341">
        <v>0</v>
      </c>
      <c r="Q21" s="341">
        <v>0</v>
      </c>
      <c r="R21" s="341">
        <v>0</v>
      </c>
      <c r="S21" s="341">
        <v>0</v>
      </c>
      <c r="T21" s="341">
        <v>0</v>
      </c>
      <c r="U21" s="341">
        <v>0</v>
      </c>
      <c r="V21" s="341">
        <v>0</v>
      </c>
      <c r="W21" s="341">
        <v>0</v>
      </c>
      <c r="X21" s="341">
        <v>0</v>
      </c>
      <c r="Y21" s="341">
        <v>0</v>
      </c>
      <c r="Z21" s="341">
        <v>0</v>
      </c>
      <c r="AA21" s="341">
        <v>0</v>
      </c>
      <c r="AB21" s="341">
        <v>0</v>
      </c>
      <c r="AC21" s="341">
        <v>0</v>
      </c>
      <c r="AD21" s="341">
        <f t="shared" si="1"/>
        <v>0</v>
      </c>
      <c r="AE21" s="341">
        <f t="shared" si="0"/>
        <v>0</v>
      </c>
    </row>
    <row r="22" spans="1:31">
      <c r="A22" s="1209">
        <v>13</v>
      </c>
      <c r="B22" s="113" t="s">
        <v>2996</v>
      </c>
      <c r="C22" s="370" t="s">
        <v>2985</v>
      </c>
      <c r="D22" s="341">
        <v>363784.97000000003</v>
      </c>
      <c r="E22" s="341">
        <v>263504.28999999998</v>
      </c>
      <c r="F22" s="341">
        <v>363784.97000000003</v>
      </c>
      <c r="G22" s="341">
        <v>263874.14</v>
      </c>
      <c r="H22" s="341">
        <v>363784.97000000003</v>
      </c>
      <c r="I22" s="341">
        <v>264243.99</v>
      </c>
      <c r="J22" s="341">
        <v>363784.97000000003</v>
      </c>
      <c r="K22" s="341">
        <v>264613.84000000003</v>
      </c>
      <c r="L22" s="341">
        <v>363784.97000000003</v>
      </c>
      <c r="M22" s="341">
        <v>264983.69</v>
      </c>
      <c r="N22" s="341">
        <v>363784.97000000003</v>
      </c>
      <c r="O22" s="341">
        <v>265353.53999999998</v>
      </c>
      <c r="P22" s="341">
        <v>363784.97000000003</v>
      </c>
      <c r="Q22" s="341">
        <v>265723.39</v>
      </c>
      <c r="R22" s="341">
        <v>363784.97000000003</v>
      </c>
      <c r="S22" s="341">
        <v>266093.24</v>
      </c>
      <c r="T22" s="341">
        <v>363784.97000000003</v>
      </c>
      <c r="U22" s="341">
        <v>266463.09000000003</v>
      </c>
      <c r="V22" s="341">
        <v>363784.97000000003</v>
      </c>
      <c r="W22" s="341">
        <v>266832.94</v>
      </c>
      <c r="X22" s="341">
        <v>363784.97000000003</v>
      </c>
      <c r="Y22" s="341">
        <v>267202.78999999998</v>
      </c>
      <c r="Z22" s="341">
        <v>363784.97000000003</v>
      </c>
      <c r="AA22" s="341">
        <v>267572.64</v>
      </c>
      <c r="AB22" s="341">
        <v>363784.97000000003</v>
      </c>
      <c r="AC22" s="341">
        <v>267942.49</v>
      </c>
      <c r="AD22" s="341">
        <f t="shared" si="1"/>
        <v>363784.97000000015</v>
      </c>
      <c r="AE22" s="341">
        <f t="shared" si="0"/>
        <v>265723.39</v>
      </c>
    </row>
    <row r="23" spans="1:31">
      <c r="A23" s="1209">
        <v>14</v>
      </c>
      <c r="B23" s="113" t="s">
        <v>2997</v>
      </c>
      <c r="C23" s="370" t="s">
        <v>2985</v>
      </c>
      <c r="D23" s="341">
        <v>21829158.440000001</v>
      </c>
      <c r="E23" s="341">
        <v>5443378.3200000003</v>
      </c>
      <c r="F23" s="341">
        <v>22234654.100000001</v>
      </c>
      <c r="G23" s="341">
        <v>5451254.3300000001</v>
      </c>
      <c r="H23" s="341">
        <v>22442036.5</v>
      </c>
      <c r="I23" s="341">
        <v>5474415.4299999997</v>
      </c>
      <c r="J23" s="341">
        <v>22441930.25</v>
      </c>
      <c r="K23" s="341">
        <v>5496230.2199999997</v>
      </c>
      <c r="L23" s="341">
        <v>22446186.859999999</v>
      </c>
      <c r="M23" s="341">
        <v>5519607.2400000002</v>
      </c>
      <c r="N23" s="341">
        <v>22470944.57</v>
      </c>
      <c r="O23" s="341">
        <v>5542988.6900000004</v>
      </c>
      <c r="P23" s="341">
        <v>22482255.170000002</v>
      </c>
      <c r="Q23" s="341">
        <v>5566395.9199999999</v>
      </c>
      <c r="R23" s="341">
        <v>22538796.859999999</v>
      </c>
      <c r="S23" s="341">
        <v>5589385.5300000003</v>
      </c>
      <c r="T23" s="341">
        <v>27500361.059999999</v>
      </c>
      <c r="U23" s="341">
        <v>5613292.8499999996</v>
      </c>
      <c r="V23" s="341">
        <v>27493093.969999999</v>
      </c>
      <c r="W23" s="341">
        <v>5641939.0600000005</v>
      </c>
      <c r="X23" s="341">
        <v>28947944.329999998</v>
      </c>
      <c r="Y23" s="341">
        <v>5647573.9900000002</v>
      </c>
      <c r="Z23" s="341">
        <v>28948079.16</v>
      </c>
      <c r="AA23" s="341">
        <v>5677728.0899999999</v>
      </c>
      <c r="AB23" s="341">
        <v>29144560.640000001</v>
      </c>
      <c r="AC23" s="341">
        <v>5645523.1900000004</v>
      </c>
      <c r="AD23" s="341">
        <f t="shared" si="1"/>
        <v>24619428.530833337</v>
      </c>
      <c r="AE23" s="341">
        <f t="shared" si="0"/>
        <v>5563771.842083334</v>
      </c>
    </row>
    <row r="24" spans="1:31">
      <c r="A24" s="1209">
        <v>15</v>
      </c>
      <c r="B24" s="113" t="s">
        <v>2998</v>
      </c>
      <c r="C24" s="370" t="s">
        <v>2985</v>
      </c>
      <c r="D24" s="341">
        <v>49535595.829999998</v>
      </c>
      <c r="E24" s="341">
        <v>15741269.390000001</v>
      </c>
      <c r="F24" s="341">
        <v>49677459.829999998</v>
      </c>
      <c r="G24" s="341">
        <v>15911754.4</v>
      </c>
      <c r="H24" s="341">
        <v>49863329.939999998</v>
      </c>
      <c r="I24" s="341">
        <v>16082727.66</v>
      </c>
      <c r="J24" s="341">
        <v>51025528.170000002</v>
      </c>
      <c r="K24" s="341">
        <v>16248213.01</v>
      </c>
      <c r="L24" s="341">
        <v>51020765.799999997</v>
      </c>
      <c r="M24" s="341">
        <v>16390581.84</v>
      </c>
      <c r="N24" s="341">
        <v>51236219.689999998</v>
      </c>
      <c r="O24" s="341">
        <v>16566001.029999999</v>
      </c>
      <c r="P24" s="341">
        <v>50759948.770000003</v>
      </c>
      <c r="Q24" s="341">
        <v>16742146.09</v>
      </c>
      <c r="R24" s="341">
        <v>50969993.090000004</v>
      </c>
      <c r="S24" s="341">
        <v>16901703.350000001</v>
      </c>
      <c r="T24" s="341">
        <v>51174178.700000003</v>
      </c>
      <c r="U24" s="341">
        <v>17075559.890000001</v>
      </c>
      <c r="V24" s="341">
        <v>51464750.950000003</v>
      </c>
      <c r="W24" s="341">
        <v>17251172.789999999</v>
      </c>
      <c r="X24" s="341">
        <v>51853036.450000003</v>
      </c>
      <c r="Y24" s="341">
        <v>17428218.449999999</v>
      </c>
      <c r="Z24" s="341">
        <v>51939138.460000001</v>
      </c>
      <c r="AA24" s="341">
        <v>17594896.739999998</v>
      </c>
      <c r="AB24" s="341">
        <v>52636123.609999999</v>
      </c>
      <c r="AC24" s="341">
        <v>17763361</v>
      </c>
      <c r="AD24" s="341">
        <f t="shared" si="1"/>
        <v>51005850.797499992</v>
      </c>
      <c r="AE24" s="341">
        <f t="shared" si="0"/>
        <v>16745440.870416665</v>
      </c>
    </row>
    <row r="25" spans="1:31">
      <c r="A25" s="1209">
        <v>16</v>
      </c>
      <c r="B25" s="113" t="s">
        <v>2999</v>
      </c>
      <c r="C25" s="370" t="s">
        <v>2985</v>
      </c>
      <c r="D25" s="341">
        <v>40643375.299999997</v>
      </c>
      <c r="E25" s="341">
        <v>24982388.82</v>
      </c>
      <c r="F25" s="341">
        <v>40635813.649999999</v>
      </c>
      <c r="G25" s="341">
        <v>25039570.5</v>
      </c>
      <c r="H25" s="341">
        <v>40635944.259999998</v>
      </c>
      <c r="I25" s="341">
        <v>25107009.5</v>
      </c>
      <c r="J25" s="341">
        <v>40665053.43</v>
      </c>
      <c r="K25" s="341">
        <v>25146334.73</v>
      </c>
      <c r="L25" s="341">
        <v>41391708.939999998</v>
      </c>
      <c r="M25" s="341">
        <v>25209987.629999999</v>
      </c>
      <c r="N25" s="341">
        <v>41549285.93</v>
      </c>
      <c r="O25" s="341">
        <v>25260657.440000001</v>
      </c>
      <c r="P25" s="341">
        <v>41659708.829999998</v>
      </c>
      <c r="Q25" s="341">
        <v>25323204.039999999</v>
      </c>
      <c r="R25" s="341">
        <v>41878075.030000001</v>
      </c>
      <c r="S25" s="341">
        <v>25397043.059999999</v>
      </c>
      <c r="T25" s="341">
        <v>42004470.850000001</v>
      </c>
      <c r="U25" s="341">
        <v>25470422.02</v>
      </c>
      <c r="V25" s="341">
        <v>42022788.75</v>
      </c>
      <c r="W25" s="341">
        <v>25472251.98</v>
      </c>
      <c r="X25" s="341">
        <v>42123304.369999997</v>
      </c>
      <c r="Y25" s="341">
        <v>25545791.050000001</v>
      </c>
      <c r="Z25" s="341">
        <v>42196907.619999997</v>
      </c>
      <c r="AA25" s="341">
        <v>25599603.289999999</v>
      </c>
      <c r="AB25" s="341">
        <v>41965369.340000004</v>
      </c>
      <c r="AC25" s="341">
        <v>24925130.149999999</v>
      </c>
      <c r="AD25" s="341">
        <f t="shared" si="1"/>
        <v>41505619.498333342</v>
      </c>
      <c r="AE25" s="341">
        <f t="shared" si="0"/>
        <v>25293802.893750001</v>
      </c>
    </row>
    <row r="26" spans="1:31">
      <c r="A26" s="1209">
        <v>17</v>
      </c>
      <c r="B26" s="113" t="s">
        <v>3000</v>
      </c>
      <c r="C26" s="370" t="s">
        <v>2985</v>
      </c>
      <c r="D26" s="341">
        <v>11123787.66</v>
      </c>
      <c r="E26" s="341">
        <v>3441715.64</v>
      </c>
      <c r="F26" s="341">
        <v>11270958.26</v>
      </c>
      <c r="G26" s="341">
        <v>3458741.77</v>
      </c>
      <c r="H26" s="341">
        <v>11154441.68</v>
      </c>
      <c r="I26" s="341">
        <v>3476775.3</v>
      </c>
      <c r="J26" s="341">
        <v>11154441.68</v>
      </c>
      <c r="K26" s="341">
        <v>3494622.41</v>
      </c>
      <c r="L26" s="341">
        <v>11149575.369999999</v>
      </c>
      <c r="M26" s="341">
        <v>3507603.21</v>
      </c>
      <c r="N26" s="341">
        <v>11144047.49</v>
      </c>
      <c r="O26" s="341">
        <v>3521832.67</v>
      </c>
      <c r="P26" s="341">
        <v>11181803.77</v>
      </c>
      <c r="Q26" s="341">
        <v>3539663.15</v>
      </c>
      <c r="R26" s="341">
        <v>11182316.25</v>
      </c>
      <c r="S26" s="341">
        <v>3557554.04</v>
      </c>
      <c r="T26" s="341">
        <v>11182316.25</v>
      </c>
      <c r="U26" s="341">
        <v>3575445.75</v>
      </c>
      <c r="V26" s="341">
        <v>11182444.5</v>
      </c>
      <c r="W26" s="341">
        <v>3593337.46</v>
      </c>
      <c r="X26" s="341">
        <v>11243753.119999999</v>
      </c>
      <c r="Y26" s="341">
        <v>3611229.37</v>
      </c>
      <c r="Z26" s="341">
        <v>11243753.119999999</v>
      </c>
      <c r="AA26" s="341">
        <v>3629219.38</v>
      </c>
      <c r="AB26" s="341">
        <v>11480917.42</v>
      </c>
      <c r="AC26" s="341">
        <v>3647209.39</v>
      </c>
      <c r="AD26" s="341">
        <f t="shared" si="1"/>
        <v>11199350.335833333</v>
      </c>
      <c r="AE26" s="341">
        <f t="shared" si="0"/>
        <v>3542540.5854166667</v>
      </c>
    </row>
    <row r="27" spans="1:31">
      <c r="A27" s="1209">
        <v>18</v>
      </c>
      <c r="B27" s="113" t="s">
        <v>3001</v>
      </c>
      <c r="C27" s="370" t="s">
        <v>2985</v>
      </c>
      <c r="D27" s="341">
        <v>47881219.5</v>
      </c>
      <c r="E27" s="341">
        <v>17690092.91</v>
      </c>
      <c r="F27" s="341">
        <v>48245223.93</v>
      </c>
      <c r="G27" s="341">
        <v>17844908.850000001</v>
      </c>
      <c r="H27" s="341">
        <v>48359791.32</v>
      </c>
      <c r="I27" s="341">
        <v>17993984.039999999</v>
      </c>
      <c r="J27" s="341">
        <v>48840820.859999999</v>
      </c>
      <c r="K27" s="341">
        <v>18070146.420000002</v>
      </c>
      <c r="L27" s="341">
        <v>49166353.729999997</v>
      </c>
      <c r="M27" s="341">
        <v>18225579.629999999</v>
      </c>
      <c r="N27" s="341">
        <v>49462502.350000001</v>
      </c>
      <c r="O27" s="341">
        <v>18380188.27</v>
      </c>
      <c r="P27" s="341">
        <v>49699483.149999999</v>
      </c>
      <c r="Q27" s="341">
        <v>18540084.309999999</v>
      </c>
      <c r="R27" s="341">
        <v>50333325.560000002</v>
      </c>
      <c r="S27" s="341">
        <v>18700333.300000001</v>
      </c>
      <c r="T27" s="341">
        <v>50961358.299999997</v>
      </c>
      <c r="U27" s="341">
        <v>18837324.219999999</v>
      </c>
      <c r="V27" s="341">
        <v>51510184.240000002</v>
      </c>
      <c r="W27" s="341">
        <v>18997148.989999998</v>
      </c>
      <c r="X27" s="341">
        <v>52024320.57</v>
      </c>
      <c r="Y27" s="341">
        <v>19162665.640000001</v>
      </c>
      <c r="Z27" s="341">
        <v>52602616.950000003</v>
      </c>
      <c r="AA27" s="341">
        <v>19300228.890000001</v>
      </c>
      <c r="AB27" s="341">
        <v>53054904.340000004</v>
      </c>
      <c r="AC27" s="341">
        <v>19392851.329999998</v>
      </c>
      <c r="AD27" s="341">
        <f t="shared" si="1"/>
        <v>50139503.57333333</v>
      </c>
      <c r="AE27" s="341">
        <f t="shared" si="0"/>
        <v>18549505.390000001</v>
      </c>
    </row>
    <row r="28" spans="1:31">
      <c r="A28" s="1209">
        <v>19</v>
      </c>
      <c r="B28" s="113" t="s">
        <v>3002</v>
      </c>
      <c r="C28" s="370" t="s">
        <v>2985</v>
      </c>
      <c r="D28" s="341">
        <v>12890838.57</v>
      </c>
      <c r="E28" s="341">
        <v>19737147.850000001</v>
      </c>
      <c r="F28" s="341">
        <v>12880860.140000001</v>
      </c>
      <c r="G28" s="341">
        <v>19745207.170000002</v>
      </c>
      <c r="H28" s="341">
        <v>12876712.289999999</v>
      </c>
      <c r="I28" s="341">
        <v>19723261.960000001</v>
      </c>
      <c r="J28" s="341">
        <v>12864140.32</v>
      </c>
      <c r="K28" s="341">
        <v>19704501.399999999</v>
      </c>
      <c r="L28" s="341">
        <v>12862930.6</v>
      </c>
      <c r="M28" s="341">
        <v>19710667.690000001</v>
      </c>
      <c r="N28" s="341">
        <v>12844840.5</v>
      </c>
      <c r="O28" s="341">
        <v>19713388.52</v>
      </c>
      <c r="P28" s="341">
        <v>12836443.439999999</v>
      </c>
      <c r="Q28" s="341">
        <v>19740525.530000001</v>
      </c>
      <c r="R28" s="341">
        <v>12836330.890000001</v>
      </c>
      <c r="S28" s="341">
        <v>19775847.300000001</v>
      </c>
      <c r="T28" s="341">
        <v>12830867.300000001</v>
      </c>
      <c r="U28" s="341">
        <v>19757554.379999999</v>
      </c>
      <c r="V28" s="341">
        <v>12825896.16</v>
      </c>
      <c r="W28" s="341">
        <v>19769881.66</v>
      </c>
      <c r="X28" s="341">
        <v>12823927.310000001</v>
      </c>
      <c r="Y28" s="341">
        <v>19802371.760000002</v>
      </c>
      <c r="Z28" s="341">
        <v>12822579.16</v>
      </c>
      <c r="AA28" s="341">
        <v>19814979.140000001</v>
      </c>
      <c r="AB28" s="341">
        <v>12795561.15</v>
      </c>
      <c r="AC28" s="341">
        <v>19698070.18</v>
      </c>
      <c r="AD28" s="341">
        <f t="shared" si="1"/>
        <v>12845727.330833336</v>
      </c>
      <c r="AE28" s="341">
        <f t="shared" si="0"/>
        <v>19747982.960416663</v>
      </c>
    </row>
    <row r="29" spans="1:31">
      <c r="A29" s="1209">
        <v>20</v>
      </c>
      <c r="B29" s="113" t="s">
        <v>3003</v>
      </c>
      <c r="C29" s="370" t="s">
        <v>2985</v>
      </c>
      <c r="D29" s="341">
        <v>9717462.2300000004</v>
      </c>
      <c r="E29" s="341">
        <v>3971953.69</v>
      </c>
      <c r="F29" s="341">
        <v>9720478.5999999996</v>
      </c>
      <c r="G29" s="341">
        <v>3985745.51</v>
      </c>
      <c r="H29" s="341">
        <v>9712223.0399999991</v>
      </c>
      <c r="I29" s="341">
        <v>3996107.38</v>
      </c>
      <c r="J29" s="341">
        <v>9710152.7699999996</v>
      </c>
      <c r="K29" s="341">
        <v>4010185.77</v>
      </c>
      <c r="L29" s="341">
        <v>9710152.7699999996</v>
      </c>
      <c r="M29" s="341">
        <v>4025236.51</v>
      </c>
      <c r="N29" s="341">
        <v>9710152.7699999996</v>
      </c>
      <c r="O29" s="341">
        <v>4040287.25</v>
      </c>
      <c r="P29" s="341">
        <v>9710152.7699999996</v>
      </c>
      <c r="Q29" s="341">
        <v>4055337.99</v>
      </c>
      <c r="R29" s="341">
        <v>9710152.7699999996</v>
      </c>
      <c r="S29" s="341">
        <v>4070388.73</v>
      </c>
      <c r="T29" s="341">
        <v>9710152.7699999996</v>
      </c>
      <c r="U29" s="341">
        <v>4085439.47</v>
      </c>
      <c r="V29" s="341">
        <v>9710152.7699999996</v>
      </c>
      <c r="W29" s="341">
        <v>4100490.21</v>
      </c>
      <c r="X29" s="341">
        <v>9699946.6899999995</v>
      </c>
      <c r="Y29" s="341">
        <v>4105334.87</v>
      </c>
      <c r="Z29" s="341">
        <v>9699273.3399999999</v>
      </c>
      <c r="AA29" s="341">
        <v>4119696.44</v>
      </c>
      <c r="AB29" s="341">
        <v>9699259.6099999994</v>
      </c>
      <c r="AC29" s="341">
        <v>4134684.31</v>
      </c>
      <c r="AD29" s="341">
        <f t="shared" si="1"/>
        <v>9709279.3316666652</v>
      </c>
      <c r="AE29" s="341">
        <f t="shared" si="0"/>
        <v>4053964.0941666663</v>
      </c>
    </row>
    <row r="30" spans="1:31">
      <c r="A30" s="1209">
        <v>21</v>
      </c>
      <c r="B30" s="113" t="s">
        <v>3004</v>
      </c>
      <c r="C30" s="370" t="s">
        <v>2985</v>
      </c>
      <c r="D30" s="341">
        <v>2441943.67</v>
      </c>
      <c r="E30" s="341">
        <v>808988.32000000007</v>
      </c>
      <c r="F30" s="341">
        <v>2448561.39</v>
      </c>
      <c r="G30" s="341">
        <v>813424.52</v>
      </c>
      <c r="H30" s="341">
        <v>2449579.64</v>
      </c>
      <c r="I30" s="341">
        <v>814231.02</v>
      </c>
      <c r="J30" s="341">
        <v>2486887.4900000002</v>
      </c>
      <c r="K30" s="341">
        <v>815839.25</v>
      </c>
      <c r="L30" s="341">
        <v>2486887.4900000002</v>
      </c>
      <c r="M30" s="341">
        <v>820357.1</v>
      </c>
      <c r="N30" s="341">
        <v>2486887.4900000002</v>
      </c>
      <c r="O30" s="341">
        <v>824874.95000000007</v>
      </c>
      <c r="P30" s="341">
        <v>2501491.21</v>
      </c>
      <c r="Q30" s="341">
        <v>827922.33000000007</v>
      </c>
      <c r="R30" s="341">
        <v>2955556.74</v>
      </c>
      <c r="S30" s="341">
        <v>832466.71</v>
      </c>
      <c r="T30" s="341">
        <v>2946167.76</v>
      </c>
      <c r="U30" s="341">
        <v>837835.97</v>
      </c>
      <c r="V30" s="341">
        <v>2910019.71</v>
      </c>
      <c r="W30" s="341">
        <v>843188.17</v>
      </c>
      <c r="X30" s="341">
        <v>2910019.71</v>
      </c>
      <c r="Y30" s="341">
        <v>848474.71</v>
      </c>
      <c r="Z30" s="341">
        <v>2907559</v>
      </c>
      <c r="AA30" s="341">
        <v>853761.25</v>
      </c>
      <c r="AB30" s="341">
        <v>2911298.2199999997</v>
      </c>
      <c r="AC30" s="341">
        <v>852516.06</v>
      </c>
      <c r="AD30" s="341">
        <f t="shared" si="1"/>
        <v>2680519.8812500001</v>
      </c>
      <c r="AE30" s="341">
        <f t="shared" si="0"/>
        <v>830260.68083333329</v>
      </c>
    </row>
    <row r="31" spans="1:31">
      <c r="A31" s="1209">
        <v>22</v>
      </c>
      <c r="B31" s="113" t="s">
        <v>3005</v>
      </c>
      <c r="C31" s="370" t="s">
        <v>2985</v>
      </c>
      <c r="D31" s="341">
        <v>0</v>
      </c>
      <c r="E31" s="341">
        <v>0</v>
      </c>
      <c r="F31" s="341">
        <v>0</v>
      </c>
      <c r="G31" s="341">
        <v>0</v>
      </c>
      <c r="H31" s="341">
        <v>0</v>
      </c>
      <c r="I31" s="341">
        <v>0</v>
      </c>
      <c r="J31" s="341">
        <v>0</v>
      </c>
      <c r="K31" s="341">
        <v>0</v>
      </c>
      <c r="L31" s="341">
        <v>0</v>
      </c>
      <c r="M31" s="341">
        <v>0</v>
      </c>
      <c r="N31" s="341">
        <v>0</v>
      </c>
      <c r="O31" s="341">
        <v>0</v>
      </c>
      <c r="P31" s="341">
        <v>0</v>
      </c>
      <c r="Q31" s="341">
        <v>0</v>
      </c>
      <c r="R31" s="341">
        <v>0</v>
      </c>
      <c r="S31" s="341">
        <v>0</v>
      </c>
      <c r="T31" s="341">
        <v>0</v>
      </c>
      <c r="U31" s="341">
        <v>0</v>
      </c>
      <c r="V31" s="341">
        <v>0</v>
      </c>
      <c r="W31" s="341">
        <v>0</v>
      </c>
      <c r="X31" s="341">
        <v>0</v>
      </c>
      <c r="Y31" s="341">
        <v>0</v>
      </c>
      <c r="Z31" s="341">
        <v>0</v>
      </c>
      <c r="AA31" s="341">
        <v>0</v>
      </c>
      <c r="AB31" s="341">
        <v>0</v>
      </c>
      <c r="AC31" s="341">
        <v>0</v>
      </c>
      <c r="AD31" s="341">
        <f t="shared" si="1"/>
        <v>0</v>
      </c>
      <c r="AE31" s="341">
        <f t="shared" si="0"/>
        <v>0</v>
      </c>
    </row>
    <row r="32" spans="1:31">
      <c r="A32" s="1209">
        <v>23</v>
      </c>
      <c r="B32" s="113" t="s">
        <v>3006</v>
      </c>
      <c r="C32" s="370" t="s">
        <v>2985</v>
      </c>
      <c r="D32" s="341">
        <v>493301.43</v>
      </c>
      <c r="E32" s="341">
        <v>309237.99</v>
      </c>
      <c r="F32" s="341">
        <v>493301.43</v>
      </c>
      <c r="G32" s="341">
        <v>309237.99</v>
      </c>
      <c r="H32" s="341">
        <v>493301.43</v>
      </c>
      <c r="I32" s="341">
        <v>309237.99</v>
      </c>
      <c r="J32" s="341">
        <v>493301.43</v>
      </c>
      <c r="K32" s="341">
        <v>309237.99</v>
      </c>
      <c r="L32" s="341">
        <v>493301.43</v>
      </c>
      <c r="M32" s="341">
        <v>309237.99</v>
      </c>
      <c r="N32" s="341">
        <v>493301.43</v>
      </c>
      <c r="O32" s="341">
        <v>309237.99</v>
      </c>
      <c r="P32" s="341">
        <v>493301.43</v>
      </c>
      <c r="Q32" s="341">
        <v>309237.99</v>
      </c>
      <c r="R32" s="341">
        <v>493301.43</v>
      </c>
      <c r="S32" s="341">
        <v>309237.99</v>
      </c>
      <c r="T32" s="341">
        <v>493301.43</v>
      </c>
      <c r="U32" s="341">
        <v>309237.99</v>
      </c>
      <c r="V32" s="341">
        <v>493301.43</v>
      </c>
      <c r="W32" s="341">
        <v>309237.99</v>
      </c>
      <c r="X32" s="341">
        <v>493301.43</v>
      </c>
      <c r="Y32" s="341">
        <v>309237.99</v>
      </c>
      <c r="Z32" s="341">
        <v>493301.43</v>
      </c>
      <c r="AA32" s="341">
        <v>309237.99</v>
      </c>
      <c r="AB32" s="341">
        <v>493301.43</v>
      </c>
      <c r="AC32" s="341">
        <v>309237.99</v>
      </c>
      <c r="AD32" s="341">
        <f t="shared" si="1"/>
        <v>493301.42999999993</v>
      </c>
      <c r="AE32" s="341">
        <f t="shared" si="0"/>
        <v>309237.99000000005</v>
      </c>
    </row>
    <row r="33" spans="1:31">
      <c r="A33" s="1209">
        <v>24</v>
      </c>
      <c r="B33" s="113" t="s">
        <v>3007</v>
      </c>
      <c r="C33" s="370" t="s">
        <v>2985</v>
      </c>
      <c r="D33" s="341">
        <v>0</v>
      </c>
      <c r="E33" s="341">
        <v>0</v>
      </c>
      <c r="F33" s="341">
        <v>0</v>
      </c>
      <c r="G33" s="341">
        <v>0</v>
      </c>
      <c r="H33" s="341">
        <v>0</v>
      </c>
      <c r="I33" s="341">
        <v>0</v>
      </c>
      <c r="J33" s="341">
        <v>0</v>
      </c>
      <c r="K33" s="341">
        <v>0</v>
      </c>
      <c r="L33" s="341">
        <v>0</v>
      </c>
      <c r="M33" s="341">
        <v>0</v>
      </c>
      <c r="N33" s="341">
        <v>0</v>
      </c>
      <c r="O33" s="341">
        <v>0</v>
      </c>
      <c r="P33" s="341">
        <v>0</v>
      </c>
      <c r="Q33" s="341">
        <v>0</v>
      </c>
      <c r="R33" s="341">
        <v>0</v>
      </c>
      <c r="S33" s="341">
        <v>0</v>
      </c>
      <c r="T33" s="341">
        <v>0</v>
      </c>
      <c r="U33" s="341">
        <v>0</v>
      </c>
      <c r="V33" s="341">
        <v>0</v>
      </c>
      <c r="W33" s="341">
        <v>0</v>
      </c>
      <c r="X33" s="341">
        <v>0</v>
      </c>
      <c r="Y33" s="341">
        <v>0</v>
      </c>
      <c r="Z33" s="341">
        <v>0</v>
      </c>
      <c r="AA33" s="341">
        <v>0</v>
      </c>
      <c r="AB33" s="341">
        <v>0</v>
      </c>
      <c r="AC33" s="341">
        <v>0</v>
      </c>
      <c r="AD33" s="341">
        <f t="shared" si="1"/>
        <v>0</v>
      </c>
      <c r="AE33" s="341">
        <f t="shared" si="0"/>
        <v>0</v>
      </c>
    </row>
    <row r="34" spans="1:31">
      <c r="A34" s="1209">
        <v>25</v>
      </c>
      <c r="B34" s="113" t="s">
        <v>3008</v>
      </c>
      <c r="C34" s="370" t="s">
        <v>2985</v>
      </c>
      <c r="D34" s="341">
        <v>4516779.63</v>
      </c>
      <c r="E34" s="341">
        <v>1239374.99</v>
      </c>
      <c r="F34" s="341">
        <v>4516779.63</v>
      </c>
      <c r="G34" s="341">
        <v>1244042.33</v>
      </c>
      <c r="H34" s="341">
        <v>4516779.63</v>
      </c>
      <c r="I34" s="341">
        <v>1248709.67</v>
      </c>
      <c r="J34" s="341">
        <v>4516779.63</v>
      </c>
      <c r="K34" s="341">
        <v>1253377.01</v>
      </c>
      <c r="L34" s="341">
        <v>4516175.41</v>
      </c>
      <c r="M34" s="341">
        <v>1258044.3500000001</v>
      </c>
      <c r="N34" s="341">
        <v>4516175.41</v>
      </c>
      <c r="O34" s="341">
        <v>1262711.06</v>
      </c>
      <c r="P34" s="341">
        <v>4516175.41</v>
      </c>
      <c r="Q34" s="341">
        <v>1267377.77</v>
      </c>
      <c r="R34" s="341">
        <v>4516175.41</v>
      </c>
      <c r="S34" s="341">
        <v>1272044.48</v>
      </c>
      <c r="T34" s="341">
        <v>4516175.41</v>
      </c>
      <c r="U34" s="341">
        <v>1276711.19</v>
      </c>
      <c r="V34" s="341">
        <v>4531484.96</v>
      </c>
      <c r="W34" s="341">
        <v>1281377.8999999999</v>
      </c>
      <c r="X34" s="341">
        <v>4526939.62</v>
      </c>
      <c r="Y34" s="341">
        <v>1281515.0900000001</v>
      </c>
      <c r="Z34" s="341">
        <v>4526939.62</v>
      </c>
      <c r="AA34" s="341">
        <v>1286192.93</v>
      </c>
      <c r="AB34" s="341">
        <v>4526954.33</v>
      </c>
      <c r="AC34" s="341">
        <v>1287087.27</v>
      </c>
      <c r="AD34" s="341">
        <f t="shared" si="1"/>
        <v>4519870.5933333328</v>
      </c>
      <c r="AE34" s="341">
        <f t="shared" si="0"/>
        <v>1266277.9091666667</v>
      </c>
    </row>
    <row r="35" spans="1:31">
      <c r="A35" s="1209">
        <v>26</v>
      </c>
      <c r="B35" s="113" t="s">
        <v>3009</v>
      </c>
      <c r="C35" s="370" t="s">
        <v>2985</v>
      </c>
      <c r="D35" s="341">
        <v>72240.02</v>
      </c>
      <c r="E35" s="341">
        <v>48457.46</v>
      </c>
      <c r="F35" s="341">
        <v>72240.02</v>
      </c>
      <c r="G35" s="341">
        <v>49503.130000000005</v>
      </c>
      <c r="H35" s="341">
        <v>72240.02</v>
      </c>
      <c r="I35" s="341">
        <v>50548.800000000003</v>
      </c>
      <c r="J35" s="341">
        <v>72240.02</v>
      </c>
      <c r="K35" s="341">
        <v>51594.47</v>
      </c>
      <c r="L35" s="341">
        <v>72240.02</v>
      </c>
      <c r="M35" s="341">
        <v>52640.14</v>
      </c>
      <c r="N35" s="341">
        <v>72240.02</v>
      </c>
      <c r="O35" s="341">
        <v>53685.81</v>
      </c>
      <c r="P35" s="341">
        <v>72240.02</v>
      </c>
      <c r="Q35" s="341">
        <v>54731.48</v>
      </c>
      <c r="R35" s="341">
        <v>65041.020000000004</v>
      </c>
      <c r="S35" s="341">
        <v>48578.15</v>
      </c>
      <c r="T35" s="341">
        <v>65041.020000000004</v>
      </c>
      <c r="U35" s="341">
        <v>49519.62</v>
      </c>
      <c r="V35" s="341">
        <v>65041.020000000004</v>
      </c>
      <c r="W35" s="341">
        <v>50461.090000000004</v>
      </c>
      <c r="X35" s="341">
        <v>65041.020000000004</v>
      </c>
      <c r="Y35" s="341">
        <v>51402.559999999998</v>
      </c>
      <c r="Z35" s="341">
        <v>65041.020000000004</v>
      </c>
      <c r="AA35" s="341">
        <v>52344.03</v>
      </c>
      <c r="AB35" s="341">
        <v>65041.020000000004</v>
      </c>
      <c r="AC35" s="341">
        <v>53285.5</v>
      </c>
      <c r="AD35" s="341">
        <f t="shared" si="1"/>
        <v>68940.478333333347</v>
      </c>
      <c r="AE35" s="341">
        <f t="shared" si="0"/>
        <v>51323.396666666667</v>
      </c>
    </row>
    <row r="36" spans="1:31">
      <c r="A36" s="1209">
        <v>27</v>
      </c>
      <c r="B36" s="113" t="s">
        <v>3010</v>
      </c>
      <c r="C36" s="370" t="s">
        <v>2985</v>
      </c>
      <c r="D36" s="341">
        <v>106237.48</v>
      </c>
      <c r="E36" s="341">
        <v>35718.07</v>
      </c>
      <c r="F36" s="341">
        <v>106237.48</v>
      </c>
      <c r="G36" s="341">
        <v>36158.959999999999</v>
      </c>
      <c r="H36" s="341">
        <v>106237.48</v>
      </c>
      <c r="I36" s="341">
        <v>36599.85</v>
      </c>
      <c r="J36" s="341">
        <v>106237.48</v>
      </c>
      <c r="K36" s="341">
        <v>37040.74</v>
      </c>
      <c r="L36" s="341">
        <v>106237.48</v>
      </c>
      <c r="M36" s="341">
        <v>37481.629999999997</v>
      </c>
      <c r="N36" s="341">
        <v>106237.48</v>
      </c>
      <c r="O36" s="341">
        <v>37922.520000000004</v>
      </c>
      <c r="P36" s="341">
        <v>106237.48</v>
      </c>
      <c r="Q36" s="341">
        <v>38363.410000000003</v>
      </c>
      <c r="R36" s="341">
        <v>106237.48</v>
      </c>
      <c r="S36" s="341">
        <v>38804.300000000003</v>
      </c>
      <c r="T36" s="341">
        <v>106237.48</v>
      </c>
      <c r="U36" s="341">
        <v>39245.19</v>
      </c>
      <c r="V36" s="341">
        <v>106237.48</v>
      </c>
      <c r="W36" s="341">
        <v>39686.080000000002</v>
      </c>
      <c r="X36" s="341">
        <v>106237.48</v>
      </c>
      <c r="Y36" s="341">
        <v>40126.97</v>
      </c>
      <c r="Z36" s="341">
        <v>106237.48</v>
      </c>
      <c r="AA36" s="341">
        <v>40567.86</v>
      </c>
      <c r="AB36" s="341">
        <v>106237.48</v>
      </c>
      <c r="AC36" s="341">
        <v>41008.75</v>
      </c>
      <c r="AD36" s="341">
        <f t="shared" si="1"/>
        <v>106237.48</v>
      </c>
      <c r="AE36" s="341">
        <f t="shared" si="0"/>
        <v>38363.410000000003</v>
      </c>
    </row>
    <row r="37" spans="1:31">
      <c r="A37" s="1209">
        <v>28</v>
      </c>
      <c r="B37" s="113" t="s">
        <v>3011</v>
      </c>
      <c r="C37" s="370" t="s">
        <v>2985</v>
      </c>
      <c r="D37" s="341">
        <v>67111.78</v>
      </c>
      <c r="E37" s="341">
        <v>44882.41</v>
      </c>
      <c r="F37" s="341">
        <v>67111.78</v>
      </c>
      <c r="G37" s="341">
        <v>45058.58</v>
      </c>
      <c r="H37" s="341">
        <v>67111.78</v>
      </c>
      <c r="I37" s="341">
        <v>45234.75</v>
      </c>
      <c r="J37" s="341">
        <v>67111.78</v>
      </c>
      <c r="K37" s="341">
        <v>45410.92</v>
      </c>
      <c r="L37" s="341">
        <v>67111.78</v>
      </c>
      <c r="M37" s="341">
        <v>45587.090000000004</v>
      </c>
      <c r="N37" s="341">
        <v>67111.78</v>
      </c>
      <c r="O37" s="341">
        <v>45763.26</v>
      </c>
      <c r="P37" s="341">
        <v>67111.78</v>
      </c>
      <c r="Q37" s="341">
        <v>45939.43</v>
      </c>
      <c r="R37" s="341">
        <v>67111.78</v>
      </c>
      <c r="S37" s="341">
        <v>46115.6</v>
      </c>
      <c r="T37" s="341">
        <v>67111.78</v>
      </c>
      <c r="U37" s="341">
        <v>46291.770000000004</v>
      </c>
      <c r="V37" s="341">
        <v>67111.78</v>
      </c>
      <c r="W37" s="341">
        <v>46467.94</v>
      </c>
      <c r="X37" s="341">
        <v>67111.78</v>
      </c>
      <c r="Y37" s="341">
        <v>46644.11</v>
      </c>
      <c r="Z37" s="341">
        <v>67111.78</v>
      </c>
      <c r="AA37" s="341">
        <v>46820.28</v>
      </c>
      <c r="AB37" s="341">
        <v>67111.78</v>
      </c>
      <c r="AC37" s="341">
        <v>46996.450000000004</v>
      </c>
      <c r="AD37" s="341">
        <f t="shared" si="1"/>
        <v>67111.780000000013</v>
      </c>
      <c r="AE37" s="341">
        <f t="shared" si="0"/>
        <v>45939.43</v>
      </c>
    </row>
    <row r="38" spans="1:31">
      <c r="A38" s="1209">
        <v>29</v>
      </c>
      <c r="B38" s="113" t="s">
        <v>3012</v>
      </c>
      <c r="C38" s="370" t="s">
        <v>2985</v>
      </c>
      <c r="D38" s="341">
        <v>4251446.0999999996</v>
      </c>
      <c r="E38" s="341">
        <v>1514357.97</v>
      </c>
      <c r="F38" s="341">
        <v>4283152.54</v>
      </c>
      <c r="G38" s="341">
        <v>1509131.72</v>
      </c>
      <c r="H38" s="341">
        <v>4166033.48</v>
      </c>
      <c r="I38" s="341">
        <v>1413449.07</v>
      </c>
      <c r="J38" s="341">
        <v>4238832.05</v>
      </c>
      <c r="K38" s="341">
        <v>1462834.99</v>
      </c>
      <c r="L38" s="341">
        <v>4238670.1900000004</v>
      </c>
      <c r="M38" s="341">
        <v>1484559</v>
      </c>
      <c r="N38" s="341">
        <v>4348410.49</v>
      </c>
      <c r="O38" s="341">
        <v>1506282.19</v>
      </c>
      <c r="P38" s="341">
        <v>4215167.18</v>
      </c>
      <c r="Q38" s="341">
        <v>1461472.45</v>
      </c>
      <c r="R38" s="341">
        <v>4213700.3600000003</v>
      </c>
      <c r="S38" s="341">
        <v>1483075.18</v>
      </c>
      <c r="T38" s="341">
        <v>4343112.6399999997</v>
      </c>
      <c r="U38" s="341">
        <v>1504670.4</v>
      </c>
      <c r="V38" s="341">
        <v>4320512.08</v>
      </c>
      <c r="W38" s="341">
        <v>1503269.37</v>
      </c>
      <c r="X38" s="341">
        <v>4418406.4000000004</v>
      </c>
      <c r="Y38" s="341">
        <v>1525411.99</v>
      </c>
      <c r="Z38" s="341">
        <v>4418442.03</v>
      </c>
      <c r="AA38" s="341">
        <v>1548056.32</v>
      </c>
      <c r="AB38" s="341">
        <v>4418849.2300000004</v>
      </c>
      <c r="AC38" s="341">
        <v>1570700.83</v>
      </c>
      <c r="AD38" s="341">
        <f t="shared" si="1"/>
        <v>4294965.5920833331</v>
      </c>
      <c r="AE38" s="341">
        <f t="shared" si="0"/>
        <v>1495395.1733333336</v>
      </c>
    </row>
    <row r="39" spans="1:31">
      <c r="A39" s="1209">
        <v>30</v>
      </c>
      <c r="B39" s="113" t="s">
        <v>3013</v>
      </c>
      <c r="C39" s="370" t="s">
        <v>2985</v>
      </c>
      <c r="D39" s="341">
        <v>0</v>
      </c>
      <c r="E39" s="341">
        <v>0</v>
      </c>
      <c r="F39" s="341">
        <v>0</v>
      </c>
      <c r="G39" s="341">
        <v>0</v>
      </c>
      <c r="H39" s="341">
        <v>0</v>
      </c>
      <c r="I39" s="341">
        <v>0</v>
      </c>
      <c r="J39" s="341">
        <v>0</v>
      </c>
      <c r="K39" s="341">
        <v>0</v>
      </c>
      <c r="L39" s="341">
        <v>0</v>
      </c>
      <c r="M39" s="341">
        <v>0</v>
      </c>
      <c r="N39" s="341">
        <v>0</v>
      </c>
      <c r="O39" s="341">
        <v>0</v>
      </c>
      <c r="P39" s="341">
        <v>0</v>
      </c>
      <c r="Q39" s="341">
        <v>0</v>
      </c>
      <c r="R39" s="341">
        <v>0</v>
      </c>
      <c r="S39" s="341">
        <v>0</v>
      </c>
      <c r="T39" s="341">
        <v>0</v>
      </c>
      <c r="U39" s="341">
        <v>0</v>
      </c>
      <c r="V39" s="341">
        <v>0</v>
      </c>
      <c r="W39" s="341">
        <v>0</v>
      </c>
      <c r="X39" s="341">
        <v>0</v>
      </c>
      <c r="Y39" s="341">
        <v>0</v>
      </c>
      <c r="Z39" s="341">
        <v>0</v>
      </c>
      <c r="AA39" s="341">
        <v>0</v>
      </c>
      <c r="AB39" s="341">
        <v>0</v>
      </c>
      <c r="AC39" s="341">
        <v>0</v>
      </c>
      <c r="AD39" s="341">
        <f t="shared" si="1"/>
        <v>0</v>
      </c>
      <c r="AE39" s="341">
        <f t="shared" si="0"/>
        <v>0</v>
      </c>
    </row>
    <row r="40" spans="1:31">
      <c r="A40" s="1209">
        <v>31</v>
      </c>
      <c r="B40" s="113" t="s">
        <v>3014</v>
      </c>
      <c r="C40" s="370" t="s">
        <v>2985</v>
      </c>
      <c r="D40" s="341">
        <v>1555929.2</v>
      </c>
      <c r="E40" s="341">
        <v>426857.98</v>
      </c>
      <c r="F40" s="341">
        <v>1555929.2</v>
      </c>
      <c r="G40" s="341">
        <v>431473.9</v>
      </c>
      <c r="H40" s="341">
        <v>1569636.21</v>
      </c>
      <c r="I40" s="341">
        <v>436089.82</v>
      </c>
      <c r="J40" s="341">
        <v>1544145.3</v>
      </c>
      <c r="K40" s="341">
        <v>415105.32</v>
      </c>
      <c r="L40" s="341">
        <v>1544145.3</v>
      </c>
      <c r="M40" s="341">
        <v>419686.28</v>
      </c>
      <c r="N40" s="341">
        <v>1569259.85</v>
      </c>
      <c r="O40" s="341">
        <v>424267.24</v>
      </c>
      <c r="P40" s="341">
        <v>1569259.85</v>
      </c>
      <c r="Q40" s="341">
        <v>428922.71</v>
      </c>
      <c r="R40" s="341">
        <v>1569132.3900000001</v>
      </c>
      <c r="S40" s="341">
        <v>433578.18</v>
      </c>
      <c r="T40" s="341">
        <v>1601619.96</v>
      </c>
      <c r="U40" s="341">
        <v>438233.27</v>
      </c>
      <c r="V40" s="341">
        <v>1601649.3</v>
      </c>
      <c r="W40" s="341">
        <v>442984.74</v>
      </c>
      <c r="X40" s="341">
        <v>1608737.99</v>
      </c>
      <c r="Y40" s="341">
        <v>448411.3</v>
      </c>
      <c r="Z40" s="341">
        <v>1608737.99</v>
      </c>
      <c r="AA40" s="341">
        <v>453183.89</v>
      </c>
      <c r="AB40" s="341">
        <v>1608810.73</v>
      </c>
      <c r="AC40" s="341">
        <v>457956.48</v>
      </c>
      <c r="AD40" s="341">
        <f t="shared" si="1"/>
        <v>1577051.9420833334</v>
      </c>
      <c r="AE40" s="341">
        <f t="shared" si="0"/>
        <v>434528.65666666656</v>
      </c>
    </row>
    <row r="41" spans="1:31">
      <c r="A41" s="1209">
        <v>32</v>
      </c>
      <c r="B41" s="113" t="s">
        <v>3015</v>
      </c>
      <c r="C41" s="370" t="s">
        <v>2985</v>
      </c>
      <c r="D41" s="341">
        <v>966321.15</v>
      </c>
      <c r="E41" s="341">
        <v>-445256.66000000003</v>
      </c>
      <c r="F41" s="341">
        <v>853044.02</v>
      </c>
      <c r="G41" s="341">
        <v>-456139.5</v>
      </c>
      <c r="H41" s="341">
        <v>853044.02</v>
      </c>
      <c r="I41" s="341">
        <v>-452457.19</v>
      </c>
      <c r="J41" s="341">
        <v>853044.02</v>
      </c>
      <c r="K41" s="341">
        <v>-448774.88</v>
      </c>
      <c r="L41" s="341">
        <v>853044.02</v>
      </c>
      <c r="M41" s="341">
        <v>-445092.57</v>
      </c>
      <c r="N41" s="341">
        <v>853044.02</v>
      </c>
      <c r="O41" s="341">
        <v>-441410.26</v>
      </c>
      <c r="P41" s="341">
        <v>834495.19000000006</v>
      </c>
      <c r="Q41" s="341">
        <v>-437727.95</v>
      </c>
      <c r="R41" s="341">
        <v>834495.19000000006</v>
      </c>
      <c r="S41" s="341">
        <v>-434125.72000000003</v>
      </c>
      <c r="T41" s="341">
        <v>773149.32000000007</v>
      </c>
      <c r="U41" s="341">
        <v>-430523.49</v>
      </c>
      <c r="V41" s="341">
        <v>773149.32000000007</v>
      </c>
      <c r="W41" s="341">
        <v>-427186.07</v>
      </c>
      <c r="X41" s="341">
        <v>999963.18</v>
      </c>
      <c r="Y41" s="341">
        <v>-448299.98</v>
      </c>
      <c r="Z41" s="341">
        <v>1006143.36</v>
      </c>
      <c r="AA41" s="341">
        <v>-448776.46</v>
      </c>
      <c r="AB41" s="341">
        <v>1010066.18</v>
      </c>
      <c r="AC41" s="341">
        <v>-359276.13</v>
      </c>
      <c r="AD41" s="341">
        <f t="shared" si="1"/>
        <v>872900.77708333323</v>
      </c>
      <c r="AE41" s="341">
        <f t="shared" si="0"/>
        <v>-439398.37208333332</v>
      </c>
    </row>
    <row r="42" spans="1:31">
      <c r="A42" s="1209">
        <v>33</v>
      </c>
      <c r="B42" s="113" t="s">
        <v>3016</v>
      </c>
      <c r="C42" s="370" t="s">
        <v>2985</v>
      </c>
      <c r="D42" s="341">
        <v>341685.37</v>
      </c>
      <c r="E42" s="341">
        <v>70739.48</v>
      </c>
      <c r="F42" s="341">
        <v>341685.37</v>
      </c>
      <c r="G42" s="341">
        <v>71627.86</v>
      </c>
      <c r="H42" s="341">
        <v>341685.37</v>
      </c>
      <c r="I42" s="341">
        <v>72516.240000000005</v>
      </c>
      <c r="J42" s="341">
        <v>341685.37</v>
      </c>
      <c r="K42" s="341">
        <v>73404.62</v>
      </c>
      <c r="L42" s="341">
        <v>341685.37</v>
      </c>
      <c r="M42" s="341">
        <v>74293</v>
      </c>
      <c r="N42" s="341">
        <v>341685.37</v>
      </c>
      <c r="O42" s="341">
        <v>75181.38</v>
      </c>
      <c r="P42" s="341">
        <v>341685.37</v>
      </c>
      <c r="Q42" s="341">
        <v>76069.759999999995</v>
      </c>
      <c r="R42" s="341">
        <v>341685.37</v>
      </c>
      <c r="S42" s="341">
        <v>76958.14</v>
      </c>
      <c r="T42" s="341">
        <v>341685.37</v>
      </c>
      <c r="U42" s="341">
        <v>77846.52</v>
      </c>
      <c r="V42" s="341">
        <v>341685.37</v>
      </c>
      <c r="W42" s="341">
        <v>78734.900000000009</v>
      </c>
      <c r="X42" s="341">
        <v>341685.37</v>
      </c>
      <c r="Y42" s="341">
        <v>79623.28</v>
      </c>
      <c r="Z42" s="341">
        <v>341685.37</v>
      </c>
      <c r="AA42" s="341">
        <v>80511.66</v>
      </c>
      <c r="AB42" s="341">
        <v>341685.37</v>
      </c>
      <c r="AC42" s="341">
        <v>81400.040000000008</v>
      </c>
      <c r="AD42" s="341">
        <f t="shared" si="1"/>
        <v>341685.37000000005</v>
      </c>
      <c r="AE42" s="341">
        <f t="shared" si="0"/>
        <v>76069.760000000009</v>
      </c>
    </row>
    <row r="43" spans="1:31">
      <c r="A43" s="1209">
        <v>34</v>
      </c>
      <c r="B43" s="113" t="s">
        <v>3017</v>
      </c>
      <c r="C43" s="370" t="s">
        <v>2985</v>
      </c>
      <c r="D43" s="341">
        <v>190417.76</v>
      </c>
      <c r="E43" s="341">
        <v>122850.7</v>
      </c>
      <c r="F43" s="341">
        <v>190417.76</v>
      </c>
      <c r="G43" s="341">
        <v>123574.29000000001</v>
      </c>
      <c r="H43" s="341">
        <v>190417.76</v>
      </c>
      <c r="I43" s="341">
        <v>124297.88</v>
      </c>
      <c r="J43" s="341">
        <v>190417.76</v>
      </c>
      <c r="K43" s="341">
        <v>125021.47</v>
      </c>
      <c r="L43" s="341">
        <v>190417.76</v>
      </c>
      <c r="M43" s="341">
        <v>125745.06</v>
      </c>
      <c r="N43" s="341">
        <v>190417.76</v>
      </c>
      <c r="O43" s="341">
        <v>126468.65000000001</v>
      </c>
      <c r="P43" s="341">
        <v>190417.76</v>
      </c>
      <c r="Q43" s="341">
        <v>127192.24</v>
      </c>
      <c r="R43" s="341">
        <v>190417.76</v>
      </c>
      <c r="S43" s="341">
        <v>127915.83</v>
      </c>
      <c r="T43" s="341">
        <v>190417.76</v>
      </c>
      <c r="U43" s="341">
        <v>128639.42</v>
      </c>
      <c r="V43" s="341">
        <v>190417.76</v>
      </c>
      <c r="W43" s="341">
        <v>129363.01000000001</v>
      </c>
      <c r="X43" s="341">
        <v>190417.76</v>
      </c>
      <c r="Y43" s="341">
        <v>130086.6</v>
      </c>
      <c r="Z43" s="341">
        <v>190417.76</v>
      </c>
      <c r="AA43" s="341">
        <v>130810.19</v>
      </c>
      <c r="AB43" s="341">
        <v>190417.76</v>
      </c>
      <c r="AC43" s="341">
        <v>131533.78</v>
      </c>
      <c r="AD43" s="341">
        <f t="shared" si="1"/>
        <v>190417.76</v>
      </c>
      <c r="AE43" s="341">
        <f t="shared" si="0"/>
        <v>127192.24</v>
      </c>
    </row>
    <row r="44" spans="1:31">
      <c r="A44" s="1209">
        <v>35</v>
      </c>
      <c r="B44" s="113" t="s">
        <v>3018</v>
      </c>
      <c r="C44" s="370" t="s">
        <v>2985</v>
      </c>
      <c r="D44" s="341">
        <v>295285.8</v>
      </c>
      <c r="E44" s="341">
        <v>124140.98</v>
      </c>
      <c r="F44" s="341">
        <v>295285.8</v>
      </c>
      <c r="G44" s="341">
        <v>126446.67</v>
      </c>
      <c r="H44" s="341">
        <v>295285.8</v>
      </c>
      <c r="I44" s="341">
        <v>128752.36</v>
      </c>
      <c r="J44" s="341">
        <v>295285.8</v>
      </c>
      <c r="K44" s="341">
        <v>131058.05</v>
      </c>
      <c r="L44" s="341">
        <v>295285.8</v>
      </c>
      <c r="M44" s="341">
        <v>133363.74</v>
      </c>
      <c r="N44" s="341">
        <v>295285.8</v>
      </c>
      <c r="O44" s="341">
        <v>135669.43</v>
      </c>
      <c r="P44" s="341">
        <v>295285.8</v>
      </c>
      <c r="Q44" s="341">
        <v>137975.12</v>
      </c>
      <c r="R44" s="341">
        <v>295285.8</v>
      </c>
      <c r="S44" s="341">
        <v>140280.81</v>
      </c>
      <c r="T44" s="341">
        <v>295285.8</v>
      </c>
      <c r="U44" s="341">
        <v>142586.5</v>
      </c>
      <c r="V44" s="341">
        <v>295285.8</v>
      </c>
      <c r="W44" s="341">
        <v>144892.19</v>
      </c>
      <c r="X44" s="341">
        <v>295285.8</v>
      </c>
      <c r="Y44" s="341">
        <v>147197.88</v>
      </c>
      <c r="Z44" s="341">
        <v>295285.8</v>
      </c>
      <c r="AA44" s="341">
        <v>149503.57</v>
      </c>
      <c r="AB44" s="341">
        <v>295285.8</v>
      </c>
      <c r="AC44" s="341">
        <v>151809.26</v>
      </c>
      <c r="AD44" s="341">
        <f t="shared" si="1"/>
        <v>295285.79999999993</v>
      </c>
      <c r="AE44" s="341">
        <f t="shared" si="0"/>
        <v>137975.12</v>
      </c>
    </row>
    <row r="45" spans="1:31">
      <c r="A45" s="1209">
        <v>36</v>
      </c>
      <c r="B45" s="113" t="s">
        <v>3019</v>
      </c>
      <c r="C45" s="370" t="s">
        <v>2985</v>
      </c>
      <c r="D45" s="341">
        <v>1040813.32</v>
      </c>
      <c r="E45" s="341">
        <v>612138.39</v>
      </c>
      <c r="F45" s="341">
        <v>1040813.32</v>
      </c>
      <c r="G45" s="341">
        <v>612251.14</v>
      </c>
      <c r="H45" s="341">
        <v>1040813.32</v>
      </c>
      <c r="I45" s="341">
        <v>612363.89</v>
      </c>
      <c r="J45" s="341">
        <v>1040813.32</v>
      </c>
      <c r="K45" s="341">
        <v>612476.64</v>
      </c>
      <c r="L45" s="341">
        <v>1040813.32</v>
      </c>
      <c r="M45" s="341">
        <v>612589.39</v>
      </c>
      <c r="N45" s="341">
        <v>1040813.32</v>
      </c>
      <c r="O45" s="341">
        <v>612702.14</v>
      </c>
      <c r="P45" s="341">
        <v>1040813.32</v>
      </c>
      <c r="Q45" s="341">
        <v>612814.89</v>
      </c>
      <c r="R45" s="341">
        <v>1040813.32</v>
      </c>
      <c r="S45" s="341">
        <v>612927.64</v>
      </c>
      <c r="T45" s="341">
        <v>1040813.32</v>
      </c>
      <c r="U45" s="341">
        <v>613040.39</v>
      </c>
      <c r="V45" s="341">
        <v>1040813.32</v>
      </c>
      <c r="W45" s="341">
        <v>613153.14</v>
      </c>
      <c r="X45" s="341">
        <v>1040813.32</v>
      </c>
      <c r="Y45" s="341">
        <v>613265.89</v>
      </c>
      <c r="Z45" s="341">
        <v>1040813.32</v>
      </c>
      <c r="AA45" s="341">
        <v>613378.64</v>
      </c>
      <c r="AB45" s="341">
        <v>1040813.32</v>
      </c>
      <c r="AC45" s="341">
        <v>613491.39</v>
      </c>
      <c r="AD45" s="341">
        <f t="shared" si="1"/>
        <v>1040813.3200000002</v>
      </c>
      <c r="AE45" s="341">
        <f t="shared" si="0"/>
        <v>612814.8899999999</v>
      </c>
    </row>
    <row r="46" spans="1:31">
      <c r="A46" s="1209">
        <v>37</v>
      </c>
      <c r="B46" s="113" t="s">
        <v>3020</v>
      </c>
      <c r="C46" s="370" t="s">
        <v>2985</v>
      </c>
      <c r="D46" s="341">
        <v>79223.14</v>
      </c>
      <c r="E46" s="341">
        <v>65988.790000000008</v>
      </c>
      <c r="F46" s="341">
        <v>79223.14</v>
      </c>
      <c r="G46" s="341">
        <v>66594.850000000006</v>
      </c>
      <c r="H46" s="341">
        <v>79223.14</v>
      </c>
      <c r="I46" s="341">
        <v>67200.91</v>
      </c>
      <c r="J46" s="341">
        <v>79223.14</v>
      </c>
      <c r="K46" s="341">
        <v>67806.97</v>
      </c>
      <c r="L46" s="341">
        <v>79223.14</v>
      </c>
      <c r="M46" s="341">
        <v>68413.03</v>
      </c>
      <c r="N46" s="341">
        <v>79223.14</v>
      </c>
      <c r="O46" s="341">
        <v>69019.09</v>
      </c>
      <c r="P46" s="341">
        <v>79223.14</v>
      </c>
      <c r="Q46" s="341">
        <v>69625.149999999994</v>
      </c>
      <c r="R46" s="341">
        <v>79223.14</v>
      </c>
      <c r="S46" s="341">
        <v>70231.210000000006</v>
      </c>
      <c r="T46" s="341">
        <v>79223.14</v>
      </c>
      <c r="U46" s="341">
        <v>70837.27</v>
      </c>
      <c r="V46" s="341">
        <v>79223.14</v>
      </c>
      <c r="W46" s="341">
        <v>71443.33</v>
      </c>
      <c r="X46" s="341">
        <v>79223.14</v>
      </c>
      <c r="Y46" s="341">
        <v>72049.39</v>
      </c>
      <c r="Z46" s="341">
        <v>79223.14</v>
      </c>
      <c r="AA46" s="341">
        <v>72655.45</v>
      </c>
      <c r="AB46" s="341">
        <v>79223.14</v>
      </c>
      <c r="AC46" s="341">
        <v>73261.509999999995</v>
      </c>
      <c r="AD46" s="341">
        <f t="shared" si="1"/>
        <v>79223.14</v>
      </c>
      <c r="AE46" s="341">
        <f t="shared" si="0"/>
        <v>69625.149999999994</v>
      </c>
    </row>
    <row r="47" spans="1:31">
      <c r="A47" s="1209">
        <v>38</v>
      </c>
      <c r="B47" s="113" t="s">
        <v>3021</v>
      </c>
      <c r="C47" s="370" t="s">
        <v>2985</v>
      </c>
      <c r="D47" s="341">
        <v>7208.81</v>
      </c>
      <c r="E47" s="341">
        <v>113.36</v>
      </c>
      <c r="F47" s="341">
        <v>7208.81</v>
      </c>
      <c r="G47" s="341">
        <v>176.5</v>
      </c>
      <c r="H47" s="341">
        <v>7208.81</v>
      </c>
      <c r="I47" s="341">
        <v>239.64000000000001</v>
      </c>
      <c r="J47" s="341">
        <v>7208.81</v>
      </c>
      <c r="K47" s="341">
        <v>302.78000000000003</v>
      </c>
      <c r="L47" s="341">
        <v>7208.81</v>
      </c>
      <c r="M47" s="341">
        <v>365.92</v>
      </c>
      <c r="N47" s="341">
        <v>7208.81</v>
      </c>
      <c r="O47" s="341">
        <v>429.06</v>
      </c>
      <c r="P47" s="341">
        <v>7208.81</v>
      </c>
      <c r="Q47" s="341">
        <v>492.2</v>
      </c>
      <c r="R47" s="341">
        <v>7208.81</v>
      </c>
      <c r="S47" s="341">
        <v>555.34</v>
      </c>
      <c r="T47" s="341">
        <v>7208.81</v>
      </c>
      <c r="U47" s="341">
        <v>618.48</v>
      </c>
      <c r="V47" s="341">
        <v>7208.81</v>
      </c>
      <c r="W47" s="341">
        <v>681.62</v>
      </c>
      <c r="X47" s="341">
        <v>7208.81</v>
      </c>
      <c r="Y47" s="341">
        <v>744.76</v>
      </c>
      <c r="Z47" s="341">
        <v>7208.81</v>
      </c>
      <c r="AA47" s="341">
        <v>807.9</v>
      </c>
      <c r="AB47" s="341">
        <v>7208.81</v>
      </c>
      <c r="AC47" s="341">
        <v>871.04</v>
      </c>
      <c r="AD47" s="341">
        <f t="shared" si="1"/>
        <v>7208.8099999999986</v>
      </c>
      <c r="AE47" s="341">
        <f t="shared" si="0"/>
        <v>492.2</v>
      </c>
    </row>
    <row r="48" spans="1:31">
      <c r="A48" s="1209">
        <v>39</v>
      </c>
      <c r="B48" s="673" t="s">
        <v>1496</v>
      </c>
      <c r="C48" s="673" t="s">
        <v>1734</v>
      </c>
      <c r="D48" s="716">
        <f>SUBTOTAL(9,D11:D47)</f>
        <v>220069994.46999994</v>
      </c>
      <c r="E48" s="716">
        <f t="shared" ref="E48:AB48" si="2">SUBTOTAL(9,E11:E47)</f>
        <v>100233725.66999999</v>
      </c>
      <c r="F48" s="716">
        <f t="shared" si="2"/>
        <v>221039052.47999996</v>
      </c>
      <c r="G48" s="716">
        <f t="shared" si="2"/>
        <v>100683244.72</v>
      </c>
      <c r="H48" s="716">
        <f t="shared" si="2"/>
        <v>221315689.19999996</v>
      </c>
      <c r="I48" s="716">
        <f t="shared" si="2"/>
        <v>101041105.64999995</v>
      </c>
      <c r="J48" s="716">
        <f t="shared" si="2"/>
        <v>223057893.16000006</v>
      </c>
      <c r="K48" s="716">
        <f t="shared" si="2"/>
        <v>101418090.41</v>
      </c>
      <c r="L48" s="716">
        <f t="shared" si="2"/>
        <v>224102733.67000002</v>
      </c>
      <c r="M48" s="716">
        <f t="shared" si="2"/>
        <v>101898965.44</v>
      </c>
      <c r="N48" s="716">
        <f t="shared" si="2"/>
        <v>224907907.75000003</v>
      </c>
      <c r="O48" s="716">
        <f t="shared" si="2"/>
        <v>102396889.34999999</v>
      </c>
      <c r="P48" s="716">
        <f t="shared" si="2"/>
        <v>224682521.93000001</v>
      </c>
      <c r="Q48" s="716">
        <f t="shared" si="2"/>
        <v>102872817.41</v>
      </c>
      <c r="R48" s="716">
        <f t="shared" si="2"/>
        <v>226246988.72999999</v>
      </c>
      <c r="S48" s="716">
        <f t="shared" si="2"/>
        <v>103412260.98</v>
      </c>
      <c r="T48" s="716">
        <f t="shared" si="2"/>
        <v>232252868.50999999</v>
      </c>
      <c r="U48" s="716">
        <f t="shared" si="2"/>
        <v>103897501.32999998</v>
      </c>
      <c r="V48" s="716">
        <f t="shared" si="2"/>
        <v>233055064.90000004</v>
      </c>
      <c r="W48" s="716">
        <f t="shared" si="2"/>
        <v>104347960.24000001</v>
      </c>
      <c r="X48" s="716">
        <f t="shared" si="2"/>
        <v>235889237.93000004</v>
      </c>
      <c r="Y48" s="716">
        <f t="shared" si="2"/>
        <v>104859370.78999999</v>
      </c>
      <c r="Z48" s="716">
        <f t="shared" si="2"/>
        <v>236629108.00000006</v>
      </c>
      <c r="AA48" s="716">
        <f t="shared" si="2"/>
        <v>105352011.02</v>
      </c>
      <c r="AB48" s="716">
        <f t="shared" si="2"/>
        <v>237961612.98999998</v>
      </c>
      <c r="AC48" s="716">
        <f>SUBTOTAL(9,AC11:AC47)</f>
        <v>104961623.75000003</v>
      </c>
      <c r="AD48" s="716">
        <f>SUBTOTAL(9,AD11:AD47)</f>
        <v>227682905.83249998</v>
      </c>
      <c r="AE48" s="716">
        <f>SUBTOTAL(9,AE11:AE47)</f>
        <v>102898157.67083332</v>
      </c>
    </row>
    <row r="49" spans="1:31">
      <c r="A49" s="1209">
        <v>40</v>
      </c>
      <c r="B49" s="11" t="s">
        <v>1904</v>
      </c>
      <c r="C49" s="557"/>
      <c r="D49" s="717"/>
      <c r="E49" s="717"/>
      <c r="F49" s="717"/>
      <c r="G49" s="717"/>
      <c r="H49" s="717"/>
      <c r="I49" s="717"/>
      <c r="J49" s="717"/>
      <c r="K49" s="717"/>
      <c r="L49" s="717"/>
      <c r="M49" s="717"/>
      <c r="N49" s="717"/>
      <c r="O49" s="717"/>
      <c r="P49" s="717"/>
      <c r="Q49" s="717"/>
      <c r="R49" s="717"/>
      <c r="S49" s="717"/>
      <c r="T49" s="717"/>
      <c r="U49" s="717"/>
      <c r="V49" s="717"/>
      <c r="W49" s="717"/>
      <c r="X49" s="717"/>
      <c r="Y49" s="717"/>
      <c r="Z49" s="717"/>
      <c r="AA49" s="717"/>
      <c r="AB49" s="717"/>
      <c r="AC49" s="717"/>
      <c r="AD49" s="717"/>
      <c r="AE49" s="717"/>
    </row>
    <row r="50" spans="1:31">
      <c r="A50" s="1209">
        <v>41</v>
      </c>
      <c r="B50" s="113" t="s">
        <v>3022</v>
      </c>
      <c r="C50" s="113" t="s">
        <v>3023</v>
      </c>
      <c r="D50" s="341">
        <v>138157.95000000001</v>
      </c>
      <c r="E50" s="341">
        <v>138157.95000000001</v>
      </c>
      <c r="F50" s="341">
        <v>138157.95000000001</v>
      </c>
      <c r="G50" s="341">
        <v>138157.95000000001</v>
      </c>
      <c r="H50" s="341">
        <v>138157.95000000001</v>
      </c>
      <c r="I50" s="341">
        <v>138157.95000000001</v>
      </c>
      <c r="J50" s="341">
        <v>138157.95000000001</v>
      </c>
      <c r="K50" s="341">
        <v>138157.95000000001</v>
      </c>
      <c r="L50" s="341">
        <v>138157.95000000001</v>
      </c>
      <c r="M50" s="341">
        <v>138157.95000000001</v>
      </c>
      <c r="N50" s="341">
        <v>138157.95000000001</v>
      </c>
      <c r="O50" s="341">
        <v>138157.95000000001</v>
      </c>
      <c r="P50" s="341">
        <v>138157.95000000001</v>
      </c>
      <c r="Q50" s="341">
        <v>138157.95000000001</v>
      </c>
      <c r="R50" s="341">
        <v>138157.95000000001</v>
      </c>
      <c r="S50" s="341">
        <v>138157.95000000001</v>
      </c>
      <c r="T50" s="341">
        <v>138157.95000000001</v>
      </c>
      <c r="U50" s="341">
        <v>138157.95000000001</v>
      </c>
      <c r="V50" s="341">
        <v>138157.95000000001</v>
      </c>
      <c r="W50" s="341">
        <v>138157.95000000001</v>
      </c>
      <c r="X50" s="341">
        <v>138157.95000000001</v>
      </c>
      <c r="Y50" s="341">
        <v>138157.95000000001</v>
      </c>
      <c r="Z50" s="341">
        <v>138157.95000000001</v>
      </c>
      <c r="AA50" s="341">
        <v>138157.95000000001</v>
      </c>
      <c r="AB50" s="341">
        <v>138157.95000000001</v>
      </c>
      <c r="AC50" s="341">
        <v>138157.95000000001</v>
      </c>
      <c r="AD50" s="341">
        <f t="shared" ref="AD50:AE94" si="3">+(D50+AB50+(+F50+H50+J50+L50+N50+P50+R50+T50+V50+X50+Z50)*2)/24</f>
        <v>138157.94999999998</v>
      </c>
      <c r="AE50" s="341">
        <f t="shared" si="3"/>
        <v>138157.94999999998</v>
      </c>
    </row>
    <row r="51" spans="1:31">
      <c r="A51" s="1209">
        <v>42</v>
      </c>
      <c r="B51" s="113" t="s">
        <v>3024</v>
      </c>
      <c r="C51" s="370" t="s">
        <v>3023</v>
      </c>
      <c r="D51" s="341">
        <v>0</v>
      </c>
      <c r="E51" s="341">
        <v>0</v>
      </c>
      <c r="F51" s="341">
        <v>0</v>
      </c>
      <c r="G51" s="341">
        <v>0</v>
      </c>
      <c r="H51" s="341">
        <v>0</v>
      </c>
      <c r="I51" s="341">
        <v>0</v>
      </c>
      <c r="J51" s="341">
        <v>0</v>
      </c>
      <c r="K51" s="341">
        <v>0</v>
      </c>
      <c r="L51" s="341">
        <v>0</v>
      </c>
      <c r="M51" s="341">
        <v>0</v>
      </c>
      <c r="N51" s="341">
        <v>0</v>
      </c>
      <c r="O51" s="341">
        <v>0</v>
      </c>
      <c r="P51" s="341">
        <v>0</v>
      </c>
      <c r="Q51" s="341">
        <v>0</v>
      </c>
      <c r="R51" s="341">
        <v>0</v>
      </c>
      <c r="S51" s="341">
        <v>0</v>
      </c>
      <c r="T51" s="341">
        <v>0</v>
      </c>
      <c r="U51" s="341">
        <v>0</v>
      </c>
      <c r="V51" s="341">
        <v>0</v>
      </c>
      <c r="W51" s="341">
        <v>0</v>
      </c>
      <c r="X51" s="341">
        <v>0</v>
      </c>
      <c r="Y51" s="341">
        <v>0</v>
      </c>
      <c r="Z51" s="341">
        <v>0</v>
      </c>
      <c r="AA51" s="341">
        <v>0</v>
      </c>
      <c r="AB51" s="341">
        <v>0</v>
      </c>
      <c r="AC51" s="341">
        <v>0</v>
      </c>
      <c r="AD51" s="341">
        <f t="shared" si="3"/>
        <v>0</v>
      </c>
      <c r="AE51" s="341">
        <f t="shared" si="3"/>
        <v>0</v>
      </c>
    </row>
    <row r="52" spans="1:31">
      <c r="A52" s="1209">
        <v>43</v>
      </c>
      <c r="B52" s="113" t="s">
        <v>3025</v>
      </c>
      <c r="C52" s="370" t="s">
        <v>3023</v>
      </c>
      <c r="D52" s="341">
        <v>12647.45</v>
      </c>
      <c r="E52" s="341">
        <v>1629.71</v>
      </c>
      <c r="F52" s="341">
        <v>12647.45</v>
      </c>
      <c r="G52" s="341">
        <v>1682.41</v>
      </c>
      <c r="H52" s="341">
        <v>12647.45</v>
      </c>
      <c r="I52" s="341">
        <v>1735.1100000000001</v>
      </c>
      <c r="J52" s="341">
        <v>12647.45</v>
      </c>
      <c r="K52" s="341">
        <v>1787.81</v>
      </c>
      <c r="L52" s="341">
        <v>12647.45</v>
      </c>
      <c r="M52" s="341">
        <v>1840.51</v>
      </c>
      <c r="N52" s="341">
        <v>12647.45</v>
      </c>
      <c r="O52" s="341">
        <v>1893.21</v>
      </c>
      <c r="P52" s="341">
        <v>12647.45</v>
      </c>
      <c r="Q52" s="341">
        <v>1945.91</v>
      </c>
      <c r="R52" s="341">
        <v>12647.45</v>
      </c>
      <c r="S52" s="341">
        <v>1998.6100000000001</v>
      </c>
      <c r="T52" s="341">
        <v>12647.45</v>
      </c>
      <c r="U52" s="341">
        <v>2051.31</v>
      </c>
      <c r="V52" s="341">
        <v>12647.45</v>
      </c>
      <c r="W52" s="341">
        <v>2104.0100000000002</v>
      </c>
      <c r="X52" s="341">
        <v>12647.45</v>
      </c>
      <c r="Y52" s="341">
        <v>2156.71</v>
      </c>
      <c r="Z52" s="341">
        <v>12647.45</v>
      </c>
      <c r="AA52" s="341">
        <v>2209.41</v>
      </c>
      <c r="AB52" s="341">
        <v>12647.45</v>
      </c>
      <c r="AC52" s="341">
        <v>2262.11</v>
      </c>
      <c r="AD52" s="341">
        <f t="shared" si="3"/>
        <v>12647.449999999999</v>
      </c>
      <c r="AE52" s="341">
        <f t="shared" si="3"/>
        <v>1945.9099999999999</v>
      </c>
    </row>
    <row r="53" spans="1:31">
      <c r="A53" s="1209">
        <v>44</v>
      </c>
      <c r="B53" s="113" t="s">
        <v>3026</v>
      </c>
      <c r="C53" s="370" t="s">
        <v>3023</v>
      </c>
      <c r="D53" s="341">
        <v>45037.37</v>
      </c>
      <c r="E53" s="341">
        <v>5723.63</v>
      </c>
      <c r="F53" s="341">
        <v>45037.37</v>
      </c>
      <c r="G53" s="341">
        <v>5817.46</v>
      </c>
      <c r="H53" s="341">
        <v>45037.37</v>
      </c>
      <c r="I53" s="341">
        <v>5911.29</v>
      </c>
      <c r="J53" s="341">
        <v>45037.37</v>
      </c>
      <c r="K53" s="341">
        <v>6005.12</v>
      </c>
      <c r="L53" s="341">
        <v>45037.37</v>
      </c>
      <c r="M53" s="341">
        <v>6098.95</v>
      </c>
      <c r="N53" s="341">
        <v>45037.37</v>
      </c>
      <c r="O53" s="341">
        <v>6192.78</v>
      </c>
      <c r="P53" s="341">
        <v>45037.37</v>
      </c>
      <c r="Q53" s="341">
        <v>6286.6100000000006</v>
      </c>
      <c r="R53" s="341">
        <v>45037.37</v>
      </c>
      <c r="S53" s="341">
        <v>6380.4400000000005</v>
      </c>
      <c r="T53" s="341">
        <v>45037.37</v>
      </c>
      <c r="U53" s="341">
        <v>6474.27</v>
      </c>
      <c r="V53" s="341">
        <v>45037.37</v>
      </c>
      <c r="W53" s="341">
        <v>6568.1</v>
      </c>
      <c r="X53" s="341">
        <v>45037.37</v>
      </c>
      <c r="Y53" s="341">
        <v>6661.93</v>
      </c>
      <c r="Z53" s="341">
        <v>45037.37</v>
      </c>
      <c r="AA53" s="341">
        <v>6755.76</v>
      </c>
      <c r="AB53" s="341">
        <v>45037.37</v>
      </c>
      <c r="AC53" s="341">
        <v>6849.59</v>
      </c>
      <c r="AD53" s="341">
        <f t="shared" si="3"/>
        <v>45037.37</v>
      </c>
      <c r="AE53" s="341">
        <f t="shared" si="3"/>
        <v>6286.61</v>
      </c>
    </row>
    <row r="54" spans="1:31">
      <c r="A54" s="1209">
        <v>45</v>
      </c>
      <c r="B54" s="113" t="s">
        <v>3027</v>
      </c>
      <c r="C54" s="113" t="s">
        <v>3023</v>
      </c>
      <c r="D54" s="341">
        <v>1218966.19</v>
      </c>
      <c r="E54" s="341">
        <v>126436.5</v>
      </c>
      <c r="F54" s="341">
        <v>1218966.19</v>
      </c>
      <c r="G54" s="341">
        <v>128976.01000000001</v>
      </c>
      <c r="H54" s="341">
        <v>1218966.19</v>
      </c>
      <c r="I54" s="341">
        <v>131515.51999999999</v>
      </c>
      <c r="J54" s="341">
        <v>1218966.19</v>
      </c>
      <c r="K54" s="341">
        <v>134055.03</v>
      </c>
      <c r="L54" s="341">
        <v>1218966.19</v>
      </c>
      <c r="M54" s="341">
        <v>136594.54</v>
      </c>
      <c r="N54" s="341">
        <v>1218966.19</v>
      </c>
      <c r="O54" s="341">
        <v>139134.04999999999</v>
      </c>
      <c r="P54" s="341">
        <v>1218966.19</v>
      </c>
      <c r="Q54" s="341">
        <v>141673.56</v>
      </c>
      <c r="R54" s="341">
        <v>1218966.19</v>
      </c>
      <c r="S54" s="341">
        <v>144213.07</v>
      </c>
      <c r="T54" s="341">
        <v>1218966.19</v>
      </c>
      <c r="U54" s="341">
        <v>146752.58000000002</v>
      </c>
      <c r="V54" s="341">
        <v>1218966.19</v>
      </c>
      <c r="W54" s="341">
        <v>149292.09</v>
      </c>
      <c r="X54" s="341">
        <v>1218966.19</v>
      </c>
      <c r="Y54" s="341">
        <v>151831.6</v>
      </c>
      <c r="Z54" s="341">
        <v>1218966.19</v>
      </c>
      <c r="AA54" s="341">
        <v>154371.11000000002</v>
      </c>
      <c r="AB54" s="341">
        <v>1218966.19</v>
      </c>
      <c r="AC54" s="341">
        <v>156910.62</v>
      </c>
      <c r="AD54" s="341">
        <f t="shared" si="3"/>
        <v>1218966.1899999997</v>
      </c>
      <c r="AE54" s="341">
        <f t="shared" si="3"/>
        <v>141673.56000000003</v>
      </c>
    </row>
    <row r="55" spans="1:31">
      <c r="A55" s="1209">
        <v>46</v>
      </c>
      <c r="B55" s="113" t="s">
        <v>3028</v>
      </c>
      <c r="C55" s="113" t="s">
        <v>3023</v>
      </c>
      <c r="D55" s="341">
        <v>2333239.5300000003</v>
      </c>
      <c r="E55" s="341">
        <v>115354.68000000001</v>
      </c>
      <c r="F55" s="341">
        <v>2333239.5300000003</v>
      </c>
      <c r="G55" s="341">
        <v>120215.6</v>
      </c>
      <c r="H55" s="341">
        <v>2333239.5300000003</v>
      </c>
      <c r="I55" s="341">
        <v>125076.52</v>
      </c>
      <c r="J55" s="341">
        <v>2333239.5300000003</v>
      </c>
      <c r="K55" s="341">
        <v>129937.44</v>
      </c>
      <c r="L55" s="341">
        <v>2333239.5300000003</v>
      </c>
      <c r="M55" s="341">
        <v>134798.36000000002</v>
      </c>
      <c r="N55" s="341">
        <v>2333239.5300000003</v>
      </c>
      <c r="O55" s="341">
        <v>139659.28</v>
      </c>
      <c r="P55" s="341">
        <v>2333239.5300000003</v>
      </c>
      <c r="Q55" s="341">
        <v>144520.20000000001</v>
      </c>
      <c r="R55" s="341">
        <v>2333239.5300000003</v>
      </c>
      <c r="S55" s="341">
        <v>149381.12</v>
      </c>
      <c r="T55" s="341">
        <v>2333239.5300000003</v>
      </c>
      <c r="U55" s="341">
        <v>154242.04</v>
      </c>
      <c r="V55" s="341">
        <v>2333239.5300000003</v>
      </c>
      <c r="W55" s="341">
        <v>159102.96</v>
      </c>
      <c r="X55" s="341">
        <v>2333239.5300000003</v>
      </c>
      <c r="Y55" s="341">
        <v>163963.88</v>
      </c>
      <c r="Z55" s="341">
        <v>2333239.5300000003</v>
      </c>
      <c r="AA55" s="341">
        <v>168824.80000000002</v>
      </c>
      <c r="AB55" s="341">
        <v>2333239.5300000003</v>
      </c>
      <c r="AC55" s="341">
        <v>173685.72</v>
      </c>
      <c r="AD55" s="341">
        <f t="shared" si="3"/>
        <v>2333239.5300000007</v>
      </c>
      <c r="AE55" s="341">
        <f t="shared" si="3"/>
        <v>144520.19999999998</v>
      </c>
    </row>
    <row r="56" spans="1:31">
      <c r="A56" s="1209">
        <v>47</v>
      </c>
      <c r="B56" s="113" t="s">
        <v>3029</v>
      </c>
      <c r="C56" s="113" t="s">
        <v>3023</v>
      </c>
      <c r="D56" s="341">
        <v>8000.9000000000005</v>
      </c>
      <c r="E56" s="341">
        <v>266.72000000000003</v>
      </c>
      <c r="F56" s="341">
        <v>8000.9000000000005</v>
      </c>
      <c r="G56" s="341">
        <v>283.39</v>
      </c>
      <c r="H56" s="341">
        <v>8000.9000000000005</v>
      </c>
      <c r="I56" s="341">
        <v>300.06</v>
      </c>
      <c r="J56" s="341">
        <v>8000.9000000000005</v>
      </c>
      <c r="K56" s="341">
        <v>316.73</v>
      </c>
      <c r="L56" s="341">
        <v>8000.9000000000005</v>
      </c>
      <c r="M56" s="341">
        <v>333.40000000000003</v>
      </c>
      <c r="N56" s="341">
        <v>8000.9000000000005</v>
      </c>
      <c r="O56" s="341">
        <v>350.07</v>
      </c>
      <c r="P56" s="341">
        <v>8000.9000000000005</v>
      </c>
      <c r="Q56" s="341">
        <v>366.74</v>
      </c>
      <c r="R56" s="341">
        <v>8000.9000000000005</v>
      </c>
      <c r="S56" s="341">
        <v>383.41</v>
      </c>
      <c r="T56" s="341">
        <v>8000.9000000000005</v>
      </c>
      <c r="U56" s="341">
        <v>400.08</v>
      </c>
      <c r="V56" s="341">
        <v>8000.9000000000005</v>
      </c>
      <c r="W56" s="341">
        <v>416.75</v>
      </c>
      <c r="X56" s="341">
        <v>8000.9000000000005</v>
      </c>
      <c r="Y56" s="341">
        <v>433.42</v>
      </c>
      <c r="Z56" s="341">
        <v>8000.9000000000005</v>
      </c>
      <c r="AA56" s="341">
        <v>450.09000000000003</v>
      </c>
      <c r="AB56" s="341">
        <v>8000.9000000000005</v>
      </c>
      <c r="AC56" s="341">
        <v>466.76</v>
      </c>
      <c r="AD56" s="341">
        <f t="shared" si="3"/>
        <v>8000.8999999999987</v>
      </c>
      <c r="AE56" s="341">
        <f t="shared" si="3"/>
        <v>366.74</v>
      </c>
    </row>
    <row r="57" spans="1:31">
      <c r="A57" s="1209">
        <v>48</v>
      </c>
      <c r="B57" s="113" t="s">
        <v>3030</v>
      </c>
      <c r="C57" s="113" t="s">
        <v>3023</v>
      </c>
      <c r="D57" s="341">
        <v>0</v>
      </c>
      <c r="E57" s="341">
        <v>0</v>
      </c>
      <c r="F57" s="341">
        <v>0</v>
      </c>
      <c r="G57" s="341">
        <v>0</v>
      </c>
      <c r="H57" s="341">
        <v>0</v>
      </c>
      <c r="I57" s="341">
        <v>0</v>
      </c>
      <c r="J57" s="341">
        <v>0</v>
      </c>
      <c r="K57" s="341">
        <v>0</v>
      </c>
      <c r="L57" s="341">
        <v>0</v>
      </c>
      <c r="M57" s="341">
        <v>0</v>
      </c>
      <c r="N57" s="341">
        <v>0</v>
      </c>
      <c r="O57" s="341">
        <v>0</v>
      </c>
      <c r="P57" s="341">
        <v>0</v>
      </c>
      <c r="Q57" s="341">
        <v>0</v>
      </c>
      <c r="R57" s="341">
        <v>0</v>
      </c>
      <c r="S57" s="341">
        <v>0</v>
      </c>
      <c r="T57" s="341">
        <v>114050.90000000001</v>
      </c>
      <c r="U57" s="341">
        <v>0</v>
      </c>
      <c r="V57" s="341">
        <v>114050.90000000001</v>
      </c>
      <c r="W57" s="341">
        <v>237.61</v>
      </c>
      <c r="X57" s="341">
        <v>114050.90000000001</v>
      </c>
      <c r="Y57" s="341">
        <v>475.22</v>
      </c>
      <c r="Z57" s="341">
        <v>114050.90000000001</v>
      </c>
      <c r="AA57" s="341">
        <v>712.83</v>
      </c>
      <c r="AB57" s="341">
        <v>12780514.609999999</v>
      </c>
      <c r="AC57" s="341">
        <v>950.44</v>
      </c>
      <c r="AD57" s="341">
        <f t="shared" si="3"/>
        <v>570538.40874999994</v>
      </c>
      <c r="AE57" s="341">
        <f t="shared" si="3"/>
        <v>158.40666666666667</v>
      </c>
    </row>
    <row r="58" spans="1:31">
      <c r="A58" s="1209">
        <v>49</v>
      </c>
      <c r="B58" s="113" t="s">
        <v>3031</v>
      </c>
      <c r="C58" s="113" t="s">
        <v>3023</v>
      </c>
      <c r="D58" s="341">
        <v>211404.97</v>
      </c>
      <c r="E58" s="341">
        <v>0</v>
      </c>
      <c r="F58" s="341">
        <v>211404.97</v>
      </c>
      <c r="G58" s="341">
        <v>0</v>
      </c>
      <c r="H58" s="341">
        <v>211404.97</v>
      </c>
      <c r="I58" s="341">
        <v>0</v>
      </c>
      <c r="J58" s="341">
        <v>211404.97</v>
      </c>
      <c r="K58" s="341">
        <v>0</v>
      </c>
      <c r="L58" s="341">
        <v>211404.97</v>
      </c>
      <c r="M58" s="341">
        <v>0</v>
      </c>
      <c r="N58" s="341">
        <v>211404.97</v>
      </c>
      <c r="O58" s="341">
        <v>0</v>
      </c>
      <c r="P58" s="341">
        <v>211404.97</v>
      </c>
      <c r="Q58" s="341">
        <v>0</v>
      </c>
      <c r="R58" s="341">
        <v>211404.97</v>
      </c>
      <c r="S58" s="341">
        <v>0</v>
      </c>
      <c r="T58" s="341">
        <v>211404.97</v>
      </c>
      <c r="U58" s="341">
        <v>0</v>
      </c>
      <c r="V58" s="341">
        <v>211404.97</v>
      </c>
      <c r="W58" s="341">
        <v>0</v>
      </c>
      <c r="X58" s="341">
        <v>211404.97</v>
      </c>
      <c r="Y58" s="341">
        <v>0</v>
      </c>
      <c r="Z58" s="341">
        <v>211404.97</v>
      </c>
      <c r="AA58" s="341">
        <v>0</v>
      </c>
      <c r="AB58" s="341">
        <v>211404.97</v>
      </c>
      <c r="AC58" s="341">
        <v>0</v>
      </c>
      <c r="AD58" s="341">
        <f t="shared" si="3"/>
        <v>211404.97000000006</v>
      </c>
      <c r="AE58" s="341">
        <f t="shared" si="3"/>
        <v>0</v>
      </c>
    </row>
    <row r="59" spans="1:31">
      <c r="A59" s="1209">
        <v>50</v>
      </c>
      <c r="B59" s="113" t="s">
        <v>3032</v>
      </c>
      <c r="C59" s="113" t="s">
        <v>3023</v>
      </c>
      <c r="D59" s="341">
        <v>1018396.75</v>
      </c>
      <c r="E59" s="341">
        <v>809104.56</v>
      </c>
      <c r="F59" s="341">
        <v>1018396.75</v>
      </c>
      <c r="G59" s="341">
        <v>810445.45000000007</v>
      </c>
      <c r="H59" s="341">
        <v>1018396.75</v>
      </c>
      <c r="I59" s="341">
        <v>811786.34</v>
      </c>
      <c r="J59" s="341">
        <v>1018396.75</v>
      </c>
      <c r="K59" s="341">
        <v>813127.23</v>
      </c>
      <c r="L59" s="341">
        <v>1018396.75</v>
      </c>
      <c r="M59" s="341">
        <v>814468.12</v>
      </c>
      <c r="N59" s="341">
        <v>1018396.75</v>
      </c>
      <c r="O59" s="341">
        <v>815809.01</v>
      </c>
      <c r="P59" s="341">
        <v>1018396.75</v>
      </c>
      <c r="Q59" s="341">
        <v>817149.9</v>
      </c>
      <c r="R59" s="341">
        <v>1018396.75</v>
      </c>
      <c r="S59" s="341">
        <v>818490.79</v>
      </c>
      <c r="T59" s="341">
        <v>1018396.75</v>
      </c>
      <c r="U59" s="341">
        <v>819831.68</v>
      </c>
      <c r="V59" s="341">
        <v>1145207.57</v>
      </c>
      <c r="W59" s="341">
        <v>828470.73</v>
      </c>
      <c r="X59" s="341">
        <v>1145207.57</v>
      </c>
      <c r="Y59" s="341">
        <v>829978.59</v>
      </c>
      <c r="Z59" s="341">
        <v>1145207.57</v>
      </c>
      <c r="AA59" s="341">
        <v>831486.45000000007</v>
      </c>
      <c r="AB59" s="341">
        <v>1145207.57</v>
      </c>
      <c r="AC59" s="341">
        <v>832994.31</v>
      </c>
      <c r="AD59" s="341">
        <f t="shared" si="3"/>
        <v>1055383.2391666668</v>
      </c>
      <c r="AE59" s="341">
        <f t="shared" si="3"/>
        <v>819341.14374999993</v>
      </c>
    </row>
    <row r="60" spans="1:31">
      <c r="A60" s="1209">
        <v>51</v>
      </c>
      <c r="B60" s="113" t="s">
        <v>3033</v>
      </c>
      <c r="C60" s="113" t="s">
        <v>3023</v>
      </c>
      <c r="D60" s="341">
        <v>15900055.619999999</v>
      </c>
      <c r="E60" s="341">
        <v>11325653.23</v>
      </c>
      <c r="F60" s="341">
        <v>15886271.27</v>
      </c>
      <c r="G60" s="341">
        <v>11334014.130000001</v>
      </c>
      <c r="H60" s="341">
        <v>15886271.27</v>
      </c>
      <c r="I60" s="341">
        <v>11358093.4</v>
      </c>
      <c r="J60" s="341">
        <v>15886271.27</v>
      </c>
      <c r="K60" s="341">
        <v>11382186.68</v>
      </c>
      <c r="L60" s="341">
        <v>15884812.48</v>
      </c>
      <c r="M60" s="341">
        <v>11404822.060000001</v>
      </c>
      <c r="N60" s="341">
        <v>15884812.48</v>
      </c>
      <c r="O60" s="341">
        <v>11428914.029999999</v>
      </c>
      <c r="P60" s="341">
        <v>15884812.48</v>
      </c>
      <c r="Q60" s="341">
        <v>11452986.529999999</v>
      </c>
      <c r="R60" s="341">
        <v>15884812.48</v>
      </c>
      <c r="S60" s="341">
        <v>11477071.84</v>
      </c>
      <c r="T60" s="341">
        <v>15884812.48</v>
      </c>
      <c r="U60" s="341">
        <v>11501163.810000001</v>
      </c>
      <c r="V60" s="341">
        <v>15884812.48</v>
      </c>
      <c r="W60" s="341">
        <v>11525255.779999999</v>
      </c>
      <c r="X60" s="341">
        <v>15884812.48</v>
      </c>
      <c r="Y60" s="341">
        <v>11549347.75</v>
      </c>
      <c r="Z60" s="341">
        <v>15959288.279999999</v>
      </c>
      <c r="AA60" s="341">
        <v>11540081.699999999</v>
      </c>
      <c r="AB60" s="720">
        <v>15943654.369999999</v>
      </c>
      <c r="AC60" s="341">
        <v>11547733.48</v>
      </c>
      <c r="AD60" s="341">
        <f t="shared" si="3"/>
        <v>15894470.370416669</v>
      </c>
      <c r="AE60" s="341">
        <f t="shared" si="3"/>
        <v>11449219.255416667</v>
      </c>
    </row>
    <row r="61" spans="1:31">
      <c r="A61" s="1209">
        <v>52</v>
      </c>
      <c r="B61" s="113" t="s">
        <v>3034</v>
      </c>
      <c r="C61" s="113" t="s">
        <v>3023</v>
      </c>
      <c r="D61" s="341">
        <v>144661.1</v>
      </c>
      <c r="E61" s="341">
        <v>155140.42000000001</v>
      </c>
      <c r="F61" s="341">
        <v>144661.1</v>
      </c>
      <c r="G61" s="341">
        <v>155189.85</v>
      </c>
      <c r="H61" s="341">
        <v>144661.1</v>
      </c>
      <c r="I61" s="341">
        <v>155239.28</v>
      </c>
      <c r="J61" s="341">
        <v>144661.1</v>
      </c>
      <c r="K61" s="341">
        <v>155288.71</v>
      </c>
      <c r="L61" s="341">
        <v>144661.1</v>
      </c>
      <c r="M61" s="341">
        <v>155338.14000000001</v>
      </c>
      <c r="N61" s="341">
        <v>135338.4</v>
      </c>
      <c r="O61" s="341">
        <v>141239.43</v>
      </c>
      <c r="P61" s="341">
        <v>135338.4</v>
      </c>
      <c r="Q61" s="341">
        <v>141285.67000000001</v>
      </c>
      <c r="R61" s="341">
        <v>135338.4</v>
      </c>
      <c r="S61" s="341">
        <v>141331.91</v>
      </c>
      <c r="T61" s="341">
        <v>135338.4</v>
      </c>
      <c r="U61" s="341">
        <v>141378.15</v>
      </c>
      <c r="V61" s="341">
        <v>135338.4</v>
      </c>
      <c r="W61" s="341">
        <v>141424.39000000001</v>
      </c>
      <c r="X61" s="341">
        <v>135338.4</v>
      </c>
      <c r="Y61" s="341">
        <v>141470.63</v>
      </c>
      <c r="Z61" s="341">
        <v>135338.4</v>
      </c>
      <c r="AA61" s="341">
        <v>141516.87</v>
      </c>
      <c r="AB61" s="341">
        <v>135338.4</v>
      </c>
      <c r="AC61" s="341">
        <v>141563.11000000002</v>
      </c>
      <c r="AD61" s="341">
        <f t="shared" si="3"/>
        <v>138834.41249999998</v>
      </c>
      <c r="AE61" s="341">
        <f t="shared" si="3"/>
        <v>146587.89958333332</v>
      </c>
    </row>
    <row r="62" spans="1:31">
      <c r="A62" s="1209">
        <v>53</v>
      </c>
      <c r="B62" s="113" t="s">
        <v>3035</v>
      </c>
      <c r="C62" s="113" t="s">
        <v>3023</v>
      </c>
      <c r="D62" s="341">
        <v>1922322.92</v>
      </c>
      <c r="E62" s="341">
        <v>748380.11</v>
      </c>
      <c r="F62" s="341">
        <v>1922322.92</v>
      </c>
      <c r="G62" s="341">
        <v>751391.75</v>
      </c>
      <c r="H62" s="341">
        <v>1922322.92</v>
      </c>
      <c r="I62" s="341">
        <v>754403.39</v>
      </c>
      <c r="J62" s="341">
        <v>1922322.92</v>
      </c>
      <c r="K62" s="341">
        <v>757415.03</v>
      </c>
      <c r="L62" s="341">
        <v>1922322.92</v>
      </c>
      <c r="M62" s="341">
        <v>760426.67</v>
      </c>
      <c r="N62" s="341">
        <v>1922322.92</v>
      </c>
      <c r="O62" s="341">
        <v>763438.31</v>
      </c>
      <c r="P62" s="341">
        <v>1922322.92</v>
      </c>
      <c r="Q62" s="341">
        <v>766449.95000000007</v>
      </c>
      <c r="R62" s="341">
        <v>1922322.92</v>
      </c>
      <c r="S62" s="341">
        <v>769461.59</v>
      </c>
      <c r="T62" s="341">
        <v>1922322.92</v>
      </c>
      <c r="U62" s="341">
        <v>772473.23</v>
      </c>
      <c r="V62" s="341">
        <v>2139322.66</v>
      </c>
      <c r="W62" s="341">
        <v>787973.53</v>
      </c>
      <c r="X62" s="341">
        <v>2139322.66</v>
      </c>
      <c r="Y62" s="341">
        <v>791325.14</v>
      </c>
      <c r="Z62" s="341">
        <v>2139322.66</v>
      </c>
      <c r="AA62" s="341">
        <v>794676.75</v>
      </c>
      <c r="AB62" s="341">
        <v>2139322.66</v>
      </c>
      <c r="AC62" s="341">
        <v>798028.36</v>
      </c>
      <c r="AD62" s="341">
        <f t="shared" si="3"/>
        <v>1985614.5108333332</v>
      </c>
      <c r="AE62" s="341">
        <f t="shared" si="3"/>
        <v>770219.96458333323</v>
      </c>
    </row>
    <row r="63" spans="1:31">
      <c r="A63" s="1209">
        <v>54</v>
      </c>
      <c r="B63" s="113" t="s">
        <v>3036</v>
      </c>
      <c r="C63" s="113" t="s">
        <v>3023</v>
      </c>
      <c r="D63" s="341">
        <v>316965.8</v>
      </c>
      <c r="E63" s="341">
        <v>613.48</v>
      </c>
      <c r="F63" s="341">
        <v>316965.8</v>
      </c>
      <c r="G63" s="341">
        <v>613.48</v>
      </c>
      <c r="H63" s="341">
        <v>316965.8</v>
      </c>
      <c r="I63" s="341">
        <v>613.48</v>
      </c>
      <c r="J63" s="341">
        <v>316965.8</v>
      </c>
      <c r="K63" s="341">
        <v>613.48</v>
      </c>
      <c r="L63" s="341">
        <v>316965.8</v>
      </c>
      <c r="M63" s="341">
        <v>613.48</v>
      </c>
      <c r="N63" s="341">
        <v>316965.8</v>
      </c>
      <c r="O63" s="341">
        <v>613.48</v>
      </c>
      <c r="P63" s="341">
        <v>316965.8</v>
      </c>
      <c r="Q63" s="341">
        <v>613.48</v>
      </c>
      <c r="R63" s="341">
        <v>316965.8</v>
      </c>
      <c r="S63" s="341">
        <v>613.48</v>
      </c>
      <c r="T63" s="341">
        <v>316965.8</v>
      </c>
      <c r="U63" s="341">
        <v>613.48</v>
      </c>
      <c r="V63" s="341">
        <v>316965.8</v>
      </c>
      <c r="W63" s="341">
        <v>613.48</v>
      </c>
      <c r="X63" s="341">
        <v>316965.8</v>
      </c>
      <c r="Y63" s="341">
        <v>613.48</v>
      </c>
      <c r="Z63" s="341">
        <v>316965.8</v>
      </c>
      <c r="AA63" s="341">
        <v>613.48</v>
      </c>
      <c r="AB63" s="341">
        <v>316965.8</v>
      </c>
      <c r="AC63" s="341">
        <v>613.48</v>
      </c>
      <c r="AD63" s="341">
        <f t="shared" si="3"/>
        <v>316965.79999999993</v>
      </c>
      <c r="AE63" s="341">
        <f t="shared" si="3"/>
        <v>613.4799999999999</v>
      </c>
    </row>
    <row r="64" spans="1:31">
      <c r="A64" s="1209">
        <v>55</v>
      </c>
      <c r="B64" s="113" t="s">
        <v>3037</v>
      </c>
      <c r="C64" s="113" t="s">
        <v>3023</v>
      </c>
      <c r="D64" s="341">
        <v>702922.71</v>
      </c>
      <c r="E64" s="341">
        <v>680125.99</v>
      </c>
      <c r="F64" s="341">
        <v>702922.71</v>
      </c>
      <c r="G64" s="341">
        <v>680840.63</v>
      </c>
      <c r="H64" s="341">
        <v>702922.71</v>
      </c>
      <c r="I64" s="341">
        <v>681555.27</v>
      </c>
      <c r="J64" s="341">
        <v>702922.71</v>
      </c>
      <c r="K64" s="341">
        <v>682269.91</v>
      </c>
      <c r="L64" s="341">
        <v>702922.71</v>
      </c>
      <c r="M64" s="341">
        <v>682984.55</v>
      </c>
      <c r="N64" s="341">
        <v>702922.71</v>
      </c>
      <c r="O64" s="341">
        <v>683699.19000000006</v>
      </c>
      <c r="P64" s="341">
        <v>702922.71</v>
      </c>
      <c r="Q64" s="341">
        <v>684413.83</v>
      </c>
      <c r="R64" s="341">
        <v>702922.71</v>
      </c>
      <c r="S64" s="341">
        <v>685128.47</v>
      </c>
      <c r="T64" s="341">
        <v>702922.71</v>
      </c>
      <c r="U64" s="341">
        <v>685843.11</v>
      </c>
      <c r="V64" s="341">
        <v>692594.59</v>
      </c>
      <c r="W64" s="341">
        <v>676229.63</v>
      </c>
      <c r="X64" s="341">
        <v>691954.74</v>
      </c>
      <c r="Y64" s="341">
        <v>676293.92</v>
      </c>
      <c r="Z64" s="341">
        <v>691954.74</v>
      </c>
      <c r="AA64" s="341">
        <v>676997.41</v>
      </c>
      <c r="AB64" s="341">
        <v>698513.05</v>
      </c>
      <c r="AC64" s="341">
        <v>677079.3</v>
      </c>
      <c r="AD64" s="341">
        <f t="shared" si="3"/>
        <v>700050.30250000011</v>
      </c>
      <c r="AE64" s="341">
        <f t="shared" si="3"/>
        <v>681238.21375000011</v>
      </c>
    </row>
    <row r="65" spans="1:31">
      <c r="A65" s="1209">
        <v>56</v>
      </c>
      <c r="B65" s="113" t="s">
        <v>3038</v>
      </c>
      <c r="C65" s="113" t="s">
        <v>3023</v>
      </c>
      <c r="D65" s="341">
        <v>159069534.16</v>
      </c>
      <c r="E65" s="341">
        <v>37410983.57</v>
      </c>
      <c r="F65" s="341">
        <v>163675135.5</v>
      </c>
      <c r="G65" s="341">
        <v>37576681</v>
      </c>
      <c r="H65" s="341">
        <v>164011994.88</v>
      </c>
      <c r="I65" s="341">
        <v>37745854.609999999</v>
      </c>
      <c r="J65" s="341">
        <v>164473976.75</v>
      </c>
      <c r="K65" s="341">
        <v>37916284.659999996</v>
      </c>
      <c r="L65" s="341">
        <v>163738466.74000001</v>
      </c>
      <c r="M65" s="341">
        <v>37476504.770000003</v>
      </c>
      <c r="N65" s="341">
        <v>165068285.50999999</v>
      </c>
      <c r="O65" s="341">
        <v>37439409.799999997</v>
      </c>
      <c r="P65" s="341">
        <v>165040884.94</v>
      </c>
      <c r="Q65" s="341">
        <v>37612208.799999997</v>
      </c>
      <c r="R65" s="341">
        <v>165147954.27000001</v>
      </c>
      <c r="S65" s="341">
        <v>37784003.810000002</v>
      </c>
      <c r="T65" s="341">
        <v>165174356.13999999</v>
      </c>
      <c r="U65" s="341">
        <v>37801047.75</v>
      </c>
      <c r="V65" s="341">
        <v>167586253.63</v>
      </c>
      <c r="W65" s="341">
        <v>37949836.460000001</v>
      </c>
      <c r="X65" s="341">
        <v>167861530.27000001</v>
      </c>
      <c r="Y65" s="341">
        <v>38117427.520000003</v>
      </c>
      <c r="Z65" s="341">
        <v>173441997.19</v>
      </c>
      <c r="AA65" s="341">
        <v>38248493.43</v>
      </c>
      <c r="AB65" s="341">
        <v>190353613.15000001</v>
      </c>
      <c r="AC65" s="341">
        <v>38341696.140000001</v>
      </c>
      <c r="AD65" s="341">
        <f t="shared" si="3"/>
        <v>166661034.12291667</v>
      </c>
      <c r="AE65" s="341">
        <f t="shared" si="3"/>
        <v>37795341.03875</v>
      </c>
    </row>
    <row r="66" spans="1:31">
      <c r="A66" s="1209">
        <v>57</v>
      </c>
      <c r="B66" s="113" t="s">
        <v>3039</v>
      </c>
      <c r="C66" s="113" t="s">
        <v>3023</v>
      </c>
      <c r="D66" s="341">
        <v>151836907.28999999</v>
      </c>
      <c r="E66" s="341">
        <v>44242872.240000002</v>
      </c>
      <c r="F66" s="341">
        <v>152765141.90000001</v>
      </c>
      <c r="G66" s="341">
        <v>44765444.259999998</v>
      </c>
      <c r="H66" s="341">
        <v>153221100.96000001</v>
      </c>
      <c r="I66" s="341">
        <v>45269853.479999997</v>
      </c>
      <c r="J66" s="341">
        <v>153494637.78999999</v>
      </c>
      <c r="K66" s="341">
        <v>45781066.810000002</v>
      </c>
      <c r="L66" s="341">
        <v>154332373.53</v>
      </c>
      <c r="M66" s="341">
        <v>46253009.890000001</v>
      </c>
      <c r="N66" s="341">
        <v>154050874.71000001</v>
      </c>
      <c r="O66" s="341">
        <v>46781798.009999998</v>
      </c>
      <c r="P66" s="341">
        <v>156158078.96000001</v>
      </c>
      <c r="Q66" s="341">
        <v>47311217.210000001</v>
      </c>
      <c r="R66" s="341">
        <v>157532545.00999999</v>
      </c>
      <c r="S66" s="341">
        <v>47844386.479999997</v>
      </c>
      <c r="T66" s="341">
        <v>157674148.66999999</v>
      </c>
      <c r="U66" s="341">
        <v>48384686.490000002</v>
      </c>
      <c r="V66" s="341">
        <v>158475868.11000001</v>
      </c>
      <c r="W66" s="341">
        <v>48926600.960000001</v>
      </c>
      <c r="X66" s="341">
        <v>159761741.52000001</v>
      </c>
      <c r="Y66" s="341">
        <v>49457882.140000001</v>
      </c>
      <c r="Z66" s="341">
        <v>162839978.44</v>
      </c>
      <c r="AA66" s="341">
        <v>50007346.789999999</v>
      </c>
      <c r="AB66" s="341">
        <v>166934963.66999999</v>
      </c>
      <c r="AC66" s="341">
        <v>50523593.890000001</v>
      </c>
      <c r="AD66" s="341">
        <f t="shared" si="3"/>
        <v>156641035.42333338</v>
      </c>
      <c r="AE66" s="341">
        <f t="shared" si="3"/>
        <v>47347210.46541667</v>
      </c>
    </row>
    <row r="67" spans="1:31">
      <c r="A67" s="1209">
        <v>58</v>
      </c>
      <c r="B67" s="113" t="s">
        <v>3040</v>
      </c>
      <c r="C67" s="113" t="s">
        <v>3023</v>
      </c>
      <c r="D67" s="341">
        <v>118986847.06999999</v>
      </c>
      <c r="E67" s="341">
        <v>85235842.780000001</v>
      </c>
      <c r="F67" s="341">
        <v>119322229.58</v>
      </c>
      <c r="G67" s="341">
        <v>85436865.989999995</v>
      </c>
      <c r="H67" s="341">
        <v>119401235.56999999</v>
      </c>
      <c r="I67" s="341">
        <v>85611526.379999995</v>
      </c>
      <c r="J67" s="341">
        <v>119495329.09999999</v>
      </c>
      <c r="K67" s="341">
        <v>85790419.260000005</v>
      </c>
      <c r="L67" s="341">
        <v>119492484.86</v>
      </c>
      <c r="M67" s="341">
        <v>85798770.379999995</v>
      </c>
      <c r="N67" s="341">
        <v>119358764.77</v>
      </c>
      <c r="O67" s="341">
        <v>85717147.75</v>
      </c>
      <c r="P67" s="341">
        <v>120587186.90000001</v>
      </c>
      <c r="Q67" s="341">
        <v>85929488.069999993</v>
      </c>
      <c r="R67" s="341">
        <v>121304845.45999999</v>
      </c>
      <c r="S67" s="341">
        <v>85748734.170000002</v>
      </c>
      <c r="T67" s="341">
        <v>121670519.47</v>
      </c>
      <c r="U67" s="341">
        <v>85768038.780000001</v>
      </c>
      <c r="V67" s="341">
        <v>122273809.98999999</v>
      </c>
      <c r="W67" s="341">
        <v>85969089.75</v>
      </c>
      <c r="X67" s="341">
        <v>122446529.34</v>
      </c>
      <c r="Y67" s="341">
        <v>86166227.760000005</v>
      </c>
      <c r="Z67" s="341">
        <v>122457687.97</v>
      </c>
      <c r="AA67" s="341">
        <v>86360314.219999999</v>
      </c>
      <c r="AB67" s="341">
        <v>121354809.52</v>
      </c>
      <c r="AC67" s="341">
        <v>86054896.680000007</v>
      </c>
      <c r="AD67" s="341">
        <f t="shared" si="3"/>
        <v>120665120.94208334</v>
      </c>
      <c r="AE67" s="341">
        <f t="shared" si="3"/>
        <v>85828499.353333339</v>
      </c>
    </row>
    <row r="68" spans="1:31">
      <c r="A68" s="1209">
        <v>59</v>
      </c>
      <c r="B68" s="113" t="s">
        <v>3041</v>
      </c>
      <c r="C68" s="113" t="s">
        <v>3023</v>
      </c>
      <c r="D68" s="341">
        <v>2097766.77</v>
      </c>
      <c r="E68" s="341">
        <v>1501187.22</v>
      </c>
      <c r="F68" s="341">
        <v>2097766.77</v>
      </c>
      <c r="G68" s="341">
        <v>1504298.9100000001</v>
      </c>
      <c r="H68" s="341">
        <v>2097766.77</v>
      </c>
      <c r="I68" s="341">
        <v>1507410.6</v>
      </c>
      <c r="J68" s="341">
        <v>2097766.77</v>
      </c>
      <c r="K68" s="341">
        <v>1510522.29</v>
      </c>
      <c r="L68" s="341">
        <v>2097766.77</v>
      </c>
      <c r="M68" s="341">
        <v>1513633.98</v>
      </c>
      <c r="N68" s="341">
        <v>2097766.77</v>
      </c>
      <c r="O68" s="341">
        <v>1516745.67</v>
      </c>
      <c r="P68" s="341">
        <v>2097766.77</v>
      </c>
      <c r="Q68" s="341">
        <v>1519857.3599999999</v>
      </c>
      <c r="R68" s="341">
        <v>2097766.77</v>
      </c>
      <c r="S68" s="341">
        <v>1522969.05</v>
      </c>
      <c r="T68" s="341">
        <v>2097766.77</v>
      </c>
      <c r="U68" s="341">
        <v>1526080.74</v>
      </c>
      <c r="V68" s="341">
        <v>2097766.77</v>
      </c>
      <c r="W68" s="341">
        <v>1529192.4300000002</v>
      </c>
      <c r="X68" s="341">
        <v>2097766.77</v>
      </c>
      <c r="Y68" s="341">
        <v>1532304.12</v>
      </c>
      <c r="Z68" s="341">
        <v>2097766.77</v>
      </c>
      <c r="AA68" s="341">
        <v>1535415.81</v>
      </c>
      <c r="AB68" s="341">
        <v>2097766.77</v>
      </c>
      <c r="AC68" s="341">
        <v>1538527.5</v>
      </c>
      <c r="AD68" s="341">
        <f t="shared" si="3"/>
        <v>2097766.77</v>
      </c>
      <c r="AE68" s="341">
        <f t="shared" si="3"/>
        <v>1519857.3600000003</v>
      </c>
    </row>
    <row r="69" spans="1:31">
      <c r="A69" s="1209">
        <v>60</v>
      </c>
      <c r="B69" s="113" t="s">
        <v>3042</v>
      </c>
      <c r="C69" s="113" t="s">
        <v>3023</v>
      </c>
      <c r="D69" s="341">
        <v>25599862.800000001</v>
      </c>
      <c r="E69" s="341">
        <v>6268204.3600000003</v>
      </c>
      <c r="F69" s="341">
        <v>25649539.460000001</v>
      </c>
      <c r="G69" s="341">
        <v>6155937.9000000004</v>
      </c>
      <c r="H69" s="341">
        <v>25822855.300000001</v>
      </c>
      <c r="I69" s="341">
        <v>6164881.1799999997</v>
      </c>
      <c r="J69" s="341">
        <v>26378269.170000002</v>
      </c>
      <c r="K69" s="341">
        <v>6204524.8099999996</v>
      </c>
      <c r="L69" s="341">
        <v>26377588.27</v>
      </c>
      <c r="M69" s="341">
        <v>6205934.4500000002</v>
      </c>
      <c r="N69" s="341">
        <v>26365664.399999999</v>
      </c>
      <c r="O69" s="341">
        <v>6155799.9100000001</v>
      </c>
      <c r="P69" s="341">
        <v>26677814.18</v>
      </c>
      <c r="Q69" s="341">
        <v>6197933.4299999997</v>
      </c>
      <c r="R69" s="341">
        <v>26701067.75</v>
      </c>
      <c r="S69" s="341">
        <v>6240617.9299999997</v>
      </c>
      <c r="T69" s="341">
        <v>27865378.34</v>
      </c>
      <c r="U69" s="341">
        <v>6249649.4000000004</v>
      </c>
      <c r="V69" s="341">
        <v>28506209.890000001</v>
      </c>
      <c r="W69" s="341">
        <v>6208799.9500000002</v>
      </c>
      <c r="X69" s="341">
        <v>29054138.109999999</v>
      </c>
      <c r="Y69" s="341">
        <v>6254133.1500000004</v>
      </c>
      <c r="Z69" s="341">
        <v>29617739.420000002</v>
      </c>
      <c r="AA69" s="341">
        <v>6300619.7699999996</v>
      </c>
      <c r="AB69" s="341">
        <v>32275101.82</v>
      </c>
      <c r="AC69" s="341">
        <v>6111795.1399999997</v>
      </c>
      <c r="AD69" s="341">
        <f t="shared" si="3"/>
        <v>27329478.883333337</v>
      </c>
      <c r="AE69" s="341">
        <f t="shared" si="3"/>
        <v>6210735.9691666663</v>
      </c>
    </row>
    <row r="70" spans="1:31">
      <c r="A70" s="1209">
        <v>61</v>
      </c>
      <c r="B70" s="113" t="s">
        <v>3043</v>
      </c>
      <c r="C70" s="113" t="s">
        <v>3023</v>
      </c>
      <c r="D70" s="341">
        <v>0</v>
      </c>
      <c r="E70" s="341">
        <v>0</v>
      </c>
      <c r="F70" s="341">
        <v>0</v>
      </c>
      <c r="G70" s="341">
        <v>0</v>
      </c>
      <c r="H70" s="341">
        <v>0</v>
      </c>
      <c r="I70" s="341">
        <v>0</v>
      </c>
      <c r="J70" s="341">
        <v>0</v>
      </c>
      <c r="K70" s="341">
        <v>0</v>
      </c>
      <c r="L70" s="341">
        <v>0</v>
      </c>
      <c r="M70" s="341">
        <v>0</v>
      </c>
      <c r="N70" s="341">
        <v>0</v>
      </c>
      <c r="O70" s="341">
        <v>0</v>
      </c>
      <c r="P70" s="341">
        <v>0</v>
      </c>
      <c r="Q70" s="341">
        <v>0</v>
      </c>
      <c r="R70" s="341">
        <v>0</v>
      </c>
      <c r="S70" s="341">
        <v>0</v>
      </c>
      <c r="T70" s="341">
        <v>0</v>
      </c>
      <c r="U70" s="341">
        <v>0</v>
      </c>
      <c r="V70" s="341">
        <v>0</v>
      </c>
      <c r="W70" s="341">
        <v>0</v>
      </c>
      <c r="X70" s="341">
        <v>0</v>
      </c>
      <c r="Y70" s="341">
        <v>0</v>
      </c>
      <c r="Z70" s="341">
        <v>2039.54</v>
      </c>
      <c r="AA70" s="341">
        <v>0</v>
      </c>
      <c r="AB70" s="341">
        <v>504955.57</v>
      </c>
      <c r="AC70" s="341">
        <v>-3840</v>
      </c>
      <c r="AD70" s="341">
        <f t="shared" si="3"/>
        <v>21209.777083333334</v>
      </c>
      <c r="AE70" s="341">
        <f t="shared" si="3"/>
        <v>-160</v>
      </c>
    </row>
    <row r="71" spans="1:31">
      <c r="A71" s="1209">
        <v>62</v>
      </c>
      <c r="B71" s="113" t="s">
        <v>3044</v>
      </c>
      <c r="C71" s="113" t="s">
        <v>3023</v>
      </c>
      <c r="D71" s="341">
        <v>146616703.03999999</v>
      </c>
      <c r="E71" s="341">
        <v>54842146.780000001</v>
      </c>
      <c r="F71" s="341">
        <v>147621425.87</v>
      </c>
      <c r="G71" s="341">
        <v>55306633.509999998</v>
      </c>
      <c r="H71" s="341">
        <v>148364619.53999999</v>
      </c>
      <c r="I71" s="341">
        <v>55722791.07</v>
      </c>
      <c r="J71" s="341">
        <v>149686226.46000001</v>
      </c>
      <c r="K71" s="341">
        <v>56174879.07</v>
      </c>
      <c r="L71" s="341">
        <v>150007208.93000001</v>
      </c>
      <c r="M71" s="341">
        <v>56577283.780000001</v>
      </c>
      <c r="N71" s="341">
        <v>150396601.66999999</v>
      </c>
      <c r="O71" s="341">
        <v>56999183.539999999</v>
      </c>
      <c r="P71" s="341">
        <v>151900995.97</v>
      </c>
      <c r="Q71" s="341">
        <v>57476579.259999998</v>
      </c>
      <c r="R71" s="341">
        <v>153069093.61000001</v>
      </c>
      <c r="S71" s="341">
        <v>57934831.310000002</v>
      </c>
      <c r="T71" s="341">
        <v>154171671.63999999</v>
      </c>
      <c r="U71" s="341">
        <v>58421052.359999999</v>
      </c>
      <c r="V71" s="341">
        <v>155227695.94999999</v>
      </c>
      <c r="W71" s="341">
        <v>58898893.909999996</v>
      </c>
      <c r="X71" s="341">
        <v>156415779.62</v>
      </c>
      <c r="Y71" s="341">
        <v>59382916.810000002</v>
      </c>
      <c r="Z71" s="341">
        <v>157512842.47</v>
      </c>
      <c r="AA71" s="341">
        <v>59874708.509999998</v>
      </c>
      <c r="AB71" s="341">
        <v>159001002.13</v>
      </c>
      <c r="AC71" s="341">
        <v>60360022.140000001</v>
      </c>
      <c r="AD71" s="341">
        <f t="shared" si="3"/>
        <v>152265251.19291669</v>
      </c>
      <c r="AE71" s="341">
        <f t="shared" si="3"/>
        <v>57530903.132500015</v>
      </c>
    </row>
    <row r="72" spans="1:31">
      <c r="A72" s="1209">
        <v>63</v>
      </c>
      <c r="B72" s="113" t="s">
        <v>3045</v>
      </c>
      <c r="C72" s="113" t="s">
        <v>3023</v>
      </c>
      <c r="D72" s="341">
        <v>62126401.859999999</v>
      </c>
      <c r="E72" s="341">
        <v>94458601.310000002</v>
      </c>
      <c r="F72" s="341">
        <v>62120400.359999999</v>
      </c>
      <c r="G72" s="341">
        <v>94602892.959999993</v>
      </c>
      <c r="H72" s="341">
        <v>62058034.829999998</v>
      </c>
      <c r="I72" s="341">
        <v>94532771.909999996</v>
      </c>
      <c r="J72" s="341">
        <v>61975571.829999998</v>
      </c>
      <c r="K72" s="341">
        <v>94457865.75</v>
      </c>
      <c r="L72" s="341">
        <v>61943097.799999997</v>
      </c>
      <c r="M72" s="341">
        <v>94505535.230000004</v>
      </c>
      <c r="N72" s="341">
        <v>61874879.57</v>
      </c>
      <c r="O72" s="341">
        <v>94512322.189999998</v>
      </c>
      <c r="P72" s="341">
        <v>61860400.829999998</v>
      </c>
      <c r="Q72" s="341">
        <v>94639214.780000001</v>
      </c>
      <c r="R72" s="341">
        <v>61779586.289999999</v>
      </c>
      <c r="S72" s="341">
        <v>94621902.200000003</v>
      </c>
      <c r="T72" s="341">
        <v>61771794.439999998</v>
      </c>
      <c r="U72" s="341">
        <v>94752042.430000007</v>
      </c>
      <c r="V72" s="341">
        <v>61767051.380000003</v>
      </c>
      <c r="W72" s="341">
        <v>94832897.180000007</v>
      </c>
      <c r="X72" s="341">
        <v>61778852.770000003</v>
      </c>
      <c r="Y72" s="341">
        <v>94919557.760000005</v>
      </c>
      <c r="Z72" s="341">
        <v>61771110.890000001</v>
      </c>
      <c r="AA72" s="341">
        <v>95032558.969999999</v>
      </c>
      <c r="AB72" s="341">
        <v>61669284.18</v>
      </c>
      <c r="AC72" s="341">
        <v>94878624.439999998</v>
      </c>
      <c r="AD72" s="341">
        <f t="shared" si="3"/>
        <v>61883218.667499997</v>
      </c>
      <c r="AE72" s="341">
        <f t="shared" si="3"/>
        <v>94673181.186250016</v>
      </c>
    </row>
    <row r="73" spans="1:31">
      <c r="A73" s="1209">
        <v>64</v>
      </c>
      <c r="B73" s="113" t="s">
        <v>3046</v>
      </c>
      <c r="C73" s="113" t="s">
        <v>3023</v>
      </c>
      <c r="D73" s="341">
        <v>0</v>
      </c>
      <c r="E73" s="341">
        <v>0.01</v>
      </c>
      <c r="F73" s="341">
        <v>0</v>
      </c>
      <c r="G73" s="341">
        <v>0.01</v>
      </c>
      <c r="H73" s="341">
        <v>0</v>
      </c>
      <c r="I73" s="341">
        <v>0.01</v>
      </c>
      <c r="J73" s="341">
        <v>0</v>
      </c>
      <c r="K73" s="341">
        <v>0.01</v>
      </c>
      <c r="L73" s="341">
        <v>0</v>
      </c>
      <c r="M73" s="341">
        <v>0.01</v>
      </c>
      <c r="N73" s="341">
        <v>0</v>
      </c>
      <c r="O73" s="341">
        <v>0.01</v>
      </c>
      <c r="P73" s="341">
        <v>0</v>
      </c>
      <c r="Q73" s="341">
        <v>0.01</v>
      </c>
      <c r="R73" s="341">
        <v>0</v>
      </c>
      <c r="S73" s="341">
        <v>0.01</v>
      </c>
      <c r="T73" s="341">
        <v>0</v>
      </c>
      <c r="U73" s="341">
        <v>0.01</v>
      </c>
      <c r="V73" s="341">
        <v>0</v>
      </c>
      <c r="W73" s="341">
        <v>0.01</v>
      </c>
      <c r="X73" s="341">
        <v>0</v>
      </c>
      <c r="Y73" s="341">
        <v>0.01</v>
      </c>
      <c r="Z73" s="341">
        <v>0</v>
      </c>
      <c r="AA73" s="341">
        <v>0.01</v>
      </c>
      <c r="AB73" s="341">
        <v>0</v>
      </c>
      <c r="AC73" s="341">
        <v>0.01</v>
      </c>
      <c r="AD73" s="341">
        <f t="shared" si="3"/>
        <v>0</v>
      </c>
      <c r="AE73" s="341">
        <f t="shared" si="3"/>
        <v>9.9999999999999985E-3</v>
      </c>
    </row>
    <row r="74" spans="1:31">
      <c r="A74" s="1209">
        <v>65</v>
      </c>
      <c r="B74" s="113" t="s">
        <v>3047</v>
      </c>
      <c r="C74" s="113" t="s">
        <v>3023</v>
      </c>
      <c r="D74" s="341">
        <v>24129820.09</v>
      </c>
      <c r="E74" s="341">
        <v>11609933</v>
      </c>
      <c r="F74" s="341">
        <v>24128104.460000001</v>
      </c>
      <c r="G74" s="341">
        <v>11645267.539999999</v>
      </c>
      <c r="H74" s="341">
        <v>24123501.5</v>
      </c>
      <c r="I74" s="341">
        <v>11678493.57</v>
      </c>
      <c r="J74" s="341">
        <v>24059068.399999999</v>
      </c>
      <c r="K74" s="341">
        <v>11676761.02</v>
      </c>
      <c r="L74" s="341">
        <v>24060310</v>
      </c>
      <c r="M74" s="341">
        <v>11713850.449999999</v>
      </c>
      <c r="N74" s="341">
        <v>24060716.91</v>
      </c>
      <c r="O74" s="341">
        <v>11751143.93</v>
      </c>
      <c r="P74" s="341">
        <v>24060769.829999998</v>
      </c>
      <c r="Q74" s="341">
        <v>11788186.91</v>
      </c>
      <c r="R74" s="341">
        <v>24061575.41</v>
      </c>
      <c r="S74" s="341">
        <v>11825481.1</v>
      </c>
      <c r="T74" s="341">
        <v>24061841.800000001</v>
      </c>
      <c r="U74" s="341">
        <v>11862776.550000001</v>
      </c>
      <c r="V74" s="341">
        <v>24064933.379999999</v>
      </c>
      <c r="W74" s="341">
        <v>11900071.619999999</v>
      </c>
      <c r="X74" s="341">
        <v>24066506.41</v>
      </c>
      <c r="Y74" s="341">
        <v>11930120.92</v>
      </c>
      <c r="Z74" s="341">
        <v>24068611.899999999</v>
      </c>
      <c r="AA74" s="341">
        <v>11967091.800000001</v>
      </c>
      <c r="AB74" s="341">
        <v>24053552.829999998</v>
      </c>
      <c r="AC74" s="341">
        <v>12004398.15</v>
      </c>
      <c r="AD74" s="341">
        <f t="shared" si="3"/>
        <v>24075635.53833333</v>
      </c>
      <c r="AE74" s="341">
        <f t="shared" si="3"/>
        <v>11795534.248749999</v>
      </c>
    </row>
    <row r="75" spans="1:31">
      <c r="A75" s="1209">
        <v>66</v>
      </c>
      <c r="B75" s="113" t="s">
        <v>3048</v>
      </c>
      <c r="C75" s="113" t="s">
        <v>3023</v>
      </c>
      <c r="D75" s="341">
        <v>9718288.5999999996</v>
      </c>
      <c r="E75" s="341">
        <v>4089802.52</v>
      </c>
      <c r="F75" s="341">
        <v>9742640.2599999998</v>
      </c>
      <c r="G75" s="341">
        <v>4104094.25</v>
      </c>
      <c r="H75" s="341">
        <v>9751031.2200000007</v>
      </c>
      <c r="I75" s="341">
        <v>4119773.13</v>
      </c>
      <c r="J75" s="341">
        <v>9744121.0099999998</v>
      </c>
      <c r="K75" s="341">
        <v>4104496.82</v>
      </c>
      <c r="L75" s="341">
        <v>9739883.0500000007</v>
      </c>
      <c r="M75" s="341">
        <v>4117417.78</v>
      </c>
      <c r="N75" s="341">
        <v>9739883.0500000007</v>
      </c>
      <c r="O75" s="341">
        <v>4135111.9</v>
      </c>
      <c r="P75" s="341">
        <v>9744313.1699999999</v>
      </c>
      <c r="Q75" s="341">
        <v>4146064.78</v>
      </c>
      <c r="R75" s="341">
        <v>9744313.1799999997</v>
      </c>
      <c r="S75" s="341">
        <v>4163766.95</v>
      </c>
      <c r="T75" s="341">
        <v>9748744.7899999991</v>
      </c>
      <c r="U75" s="341">
        <v>4180717.75</v>
      </c>
      <c r="V75" s="341">
        <v>9754304.7100000009</v>
      </c>
      <c r="W75" s="341">
        <v>4198427.97</v>
      </c>
      <c r="X75" s="341">
        <v>9756685.3900000006</v>
      </c>
      <c r="Y75" s="341">
        <v>4216148.29</v>
      </c>
      <c r="Z75" s="341">
        <v>9764477.8599999994</v>
      </c>
      <c r="AA75" s="341">
        <v>4233872.9400000004</v>
      </c>
      <c r="AB75" s="341">
        <v>9834732.0999999996</v>
      </c>
      <c r="AC75" s="341">
        <v>4251611.74</v>
      </c>
      <c r="AD75" s="341">
        <f t="shared" si="3"/>
        <v>9750575.6699999999</v>
      </c>
      <c r="AE75" s="341">
        <f t="shared" si="3"/>
        <v>4157549.9741666666</v>
      </c>
    </row>
    <row r="76" spans="1:31">
      <c r="A76" s="1209">
        <v>67</v>
      </c>
      <c r="B76" s="113" t="s">
        <v>3049</v>
      </c>
      <c r="C76" s="113" t="s">
        <v>3023</v>
      </c>
      <c r="D76" s="341">
        <v>0</v>
      </c>
      <c r="E76" s="341">
        <v>0</v>
      </c>
      <c r="F76" s="341">
        <v>0</v>
      </c>
      <c r="G76" s="341">
        <v>0</v>
      </c>
      <c r="H76" s="341">
        <v>0</v>
      </c>
      <c r="I76" s="341">
        <v>0</v>
      </c>
      <c r="J76" s="341">
        <v>0</v>
      </c>
      <c r="K76" s="341">
        <v>0</v>
      </c>
      <c r="L76" s="341">
        <v>0</v>
      </c>
      <c r="M76" s="341">
        <v>0</v>
      </c>
      <c r="N76" s="341">
        <v>0</v>
      </c>
      <c r="O76" s="341">
        <v>0</v>
      </c>
      <c r="P76" s="341">
        <v>0</v>
      </c>
      <c r="Q76" s="341">
        <v>0</v>
      </c>
      <c r="R76" s="341">
        <v>0</v>
      </c>
      <c r="S76" s="341">
        <v>0</v>
      </c>
      <c r="T76" s="341">
        <v>0</v>
      </c>
      <c r="U76" s="341">
        <v>0</v>
      </c>
      <c r="V76" s="341">
        <v>0</v>
      </c>
      <c r="W76" s="341">
        <v>0</v>
      </c>
      <c r="X76" s="341">
        <v>0</v>
      </c>
      <c r="Y76" s="341">
        <v>0</v>
      </c>
      <c r="Z76" s="341">
        <v>0</v>
      </c>
      <c r="AA76" s="341">
        <v>0</v>
      </c>
      <c r="AB76" s="341">
        <v>0</v>
      </c>
      <c r="AC76" s="341">
        <v>0</v>
      </c>
      <c r="AD76" s="341">
        <f t="shared" si="3"/>
        <v>0</v>
      </c>
      <c r="AE76" s="341">
        <f t="shared" si="3"/>
        <v>0</v>
      </c>
    </row>
    <row r="77" spans="1:31">
      <c r="A77" s="1209">
        <v>68</v>
      </c>
      <c r="B77" s="113" t="s">
        <v>3050</v>
      </c>
      <c r="C77" s="113" t="s">
        <v>3023</v>
      </c>
      <c r="D77" s="341">
        <v>2549877.4</v>
      </c>
      <c r="E77" s="341">
        <v>0</v>
      </c>
      <c r="F77" s="341">
        <v>2549877.4</v>
      </c>
      <c r="G77" s="341">
        <v>0</v>
      </c>
      <c r="H77" s="341">
        <v>2549877.4</v>
      </c>
      <c r="I77" s="341">
        <v>0</v>
      </c>
      <c r="J77" s="341">
        <v>2549877.4</v>
      </c>
      <c r="K77" s="341">
        <v>0</v>
      </c>
      <c r="L77" s="341">
        <v>2549877.4</v>
      </c>
      <c r="M77" s="341">
        <v>0</v>
      </c>
      <c r="N77" s="341">
        <v>2549877.4</v>
      </c>
      <c r="O77" s="341">
        <v>0</v>
      </c>
      <c r="P77" s="341">
        <v>2549877.4</v>
      </c>
      <c r="Q77" s="341">
        <v>0</v>
      </c>
      <c r="R77" s="341">
        <v>2549877.4</v>
      </c>
      <c r="S77" s="341">
        <v>0</v>
      </c>
      <c r="T77" s="341">
        <v>2549877.4</v>
      </c>
      <c r="U77" s="341">
        <v>0</v>
      </c>
      <c r="V77" s="341">
        <v>2508056.1800000002</v>
      </c>
      <c r="W77" s="341">
        <v>0</v>
      </c>
      <c r="X77" s="341">
        <v>2508056.1800000002</v>
      </c>
      <c r="Y77" s="341">
        <v>0</v>
      </c>
      <c r="Z77" s="341">
        <v>2508056.1800000002</v>
      </c>
      <c r="AA77" s="341">
        <v>0</v>
      </c>
      <c r="AB77" s="341">
        <v>2508056.1800000002</v>
      </c>
      <c r="AC77" s="341">
        <v>0</v>
      </c>
      <c r="AD77" s="341">
        <f t="shared" si="3"/>
        <v>2537679.5441666665</v>
      </c>
      <c r="AE77" s="341">
        <f t="shared" si="3"/>
        <v>0</v>
      </c>
    </row>
    <row r="78" spans="1:31">
      <c r="A78" s="1209">
        <v>69</v>
      </c>
      <c r="B78" s="113" t="s">
        <v>3051</v>
      </c>
      <c r="C78" s="113" t="s">
        <v>3023</v>
      </c>
      <c r="D78" s="341">
        <v>7933.28</v>
      </c>
      <c r="E78" s="341">
        <v>4703.88</v>
      </c>
      <c r="F78" s="341">
        <v>7933.28</v>
      </c>
      <c r="G78" s="341">
        <v>4703.88</v>
      </c>
      <c r="H78" s="341">
        <v>7933.28</v>
      </c>
      <c r="I78" s="341">
        <v>4703.88</v>
      </c>
      <c r="J78" s="341">
        <v>7933.28</v>
      </c>
      <c r="K78" s="341">
        <v>4703.88</v>
      </c>
      <c r="L78" s="341">
        <v>7933.28</v>
      </c>
      <c r="M78" s="341">
        <v>4703.88</v>
      </c>
      <c r="N78" s="341">
        <v>7933.28</v>
      </c>
      <c r="O78" s="341">
        <v>4703.88</v>
      </c>
      <c r="P78" s="341">
        <v>7933.28</v>
      </c>
      <c r="Q78" s="341">
        <v>4703.88</v>
      </c>
      <c r="R78" s="341">
        <v>7933.28</v>
      </c>
      <c r="S78" s="341">
        <v>4703.88</v>
      </c>
      <c r="T78" s="341">
        <v>7933.28</v>
      </c>
      <c r="U78" s="341">
        <v>4703.88</v>
      </c>
      <c r="V78" s="341">
        <v>7933.28</v>
      </c>
      <c r="W78" s="341">
        <v>4703.88</v>
      </c>
      <c r="X78" s="341">
        <v>7933.28</v>
      </c>
      <c r="Y78" s="341">
        <v>4703.88</v>
      </c>
      <c r="Z78" s="341">
        <v>7933.28</v>
      </c>
      <c r="AA78" s="341">
        <v>4703.88</v>
      </c>
      <c r="AB78" s="341">
        <v>7933.28</v>
      </c>
      <c r="AC78" s="341">
        <v>4703.88</v>
      </c>
      <c r="AD78" s="341">
        <f t="shared" si="3"/>
        <v>7933.28</v>
      </c>
      <c r="AE78" s="341">
        <f t="shared" si="3"/>
        <v>4703.8799999999992</v>
      </c>
    </row>
    <row r="79" spans="1:31">
      <c r="A79" s="1209">
        <v>70</v>
      </c>
      <c r="B79" s="113" t="s">
        <v>3052</v>
      </c>
      <c r="C79" s="113" t="s">
        <v>3023</v>
      </c>
      <c r="D79" s="341">
        <v>12467225.67</v>
      </c>
      <c r="E79" s="341">
        <v>4929230.72</v>
      </c>
      <c r="F79" s="341">
        <v>12503471.279999999</v>
      </c>
      <c r="G79" s="341">
        <v>4942113.5199999996</v>
      </c>
      <c r="H79" s="341">
        <v>12758263.119999999</v>
      </c>
      <c r="I79" s="341">
        <v>4955033.7699999996</v>
      </c>
      <c r="J79" s="341">
        <v>12692143.390000001</v>
      </c>
      <c r="K79" s="341">
        <v>4964389.7699999996</v>
      </c>
      <c r="L79" s="341">
        <v>12714297.630000001</v>
      </c>
      <c r="M79" s="341">
        <v>4977504.9800000004</v>
      </c>
      <c r="N79" s="341">
        <v>12716983.26</v>
      </c>
      <c r="O79" s="341">
        <v>4989429.8</v>
      </c>
      <c r="P79" s="341">
        <v>12716983.26</v>
      </c>
      <c r="Q79" s="341">
        <v>5002570.68</v>
      </c>
      <c r="R79" s="341">
        <v>12716983.26</v>
      </c>
      <c r="S79" s="341">
        <v>5015711.5599999996</v>
      </c>
      <c r="T79" s="341">
        <v>12716983.26</v>
      </c>
      <c r="U79" s="341">
        <v>5028852.4400000004</v>
      </c>
      <c r="V79" s="341">
        <v>12583930.560000001</v>
      </c>
      <c r="W79" s="341">
        <v>5210887.9800000004</v>
      </c>
      <c r="X79" s="341">
        <v>12582714.52</v>
      </c>
      <c r="Y79" s="341">
        <v>5222675.33</v>
      </c>
      <c r="Z79" s="341">
        <v>12582714.52</v>
      </c>
      <c r="AA79" s="341">
        <v>5235677.47</v>
      </c>
      <c r="AB79" s="341">
        <v>13364010.369999999</v>
      </c>
      <c r="AC79" s="341">
        <v>5243967.9400000004</v>
      </c>
      <c r="AD79" s="341">
        <f t="shared" si="3"/>
        <v>12683423.840000002</v>
      </c>
      <c r="AE79" s="341">
        <f t="shared" si="3"/>
        <v>5052620.5524999993</v>
      </c>
    </row>
    <row r="80" spans="1:31">
      <c r="A80" s="1209">
        <v>71</v>
      </c>
      <c r="B80" s="113" t="s">
        <v>3053</v>
      </c>
      <c r="C80" s="113" t="s">
        <v>3023</v>
      </c>
      <c r="D80" s="341">
        <v>114769.47</v>
      </c>
      <c r="E80" s="341">
        <v>57508.020000000004</v>
      </c>
      <c r="F80" s="341">
        <v>114769.47</v>
      </c>
      <c r="G80" s="341">
        <v>59169.31</v>
      </c>
      <c r="H80" s="341">
        <v>113573.02</v>
      </c>
      <c r="I80" s="341">
        <v>60830.6</v>
      </c>
      <c r="J80" s="341">
        <v>113573.02</v>
      </c>
      <c r="K80" s="341">
        <v>62474.57</v>
      </c>
      <c r="L80" s="341">
        <v>113573.02</v>
      </c>
      <c r="M80" s="341">
        <v>64118.54</v>
      </c>
      <c r="N80" s="341">
        <v>113573.02</v>
      </c>
      <c r="O80" s="341">
        <v>65762.509999999995</v>
      </c>
      <c r="P80" s="341">
        <v>113573.02</v>
      </c>
      <c r="Q80" s="341">
        <v>67406.48</v>
      </c>
      <c r="R80" s="341">
        <v>108389.02</v>
      </c>
      <c r="S80" s="341">
        <v>63866.450000000004</v>
      </c>
      <c r="T80" s="341">
        <v>108389.02</v>
      </c>
      <c r="U80" s="341">
        <v>65435.380000000005</v>
      </c>
      <c r="V80" s="341">
        <v>103026.39</v>
      </c>
      <c r="W80" s="341">
        <v>61641.68</v>
      </c>
      <c r="X80" s="341">
        <v>103026.39</v>
      </c>
      <c r="Y80" s="341">
        <v>63132.99</v>
      </c>
      <c r="Z80" s="341">
        <v>103026.39</v>
      </c>
      <c r="AA80" s="341">
        <v>64624.3</v>
      </c>
      <c r="AB80" s="341">
        <v>103026.39</v>
      </c>
      <c r="AC80" s="341">
        <v>66115.61</v>
      </c>
      <c r="AD80" s="341">
        <f t="shared" si="3"/>
        <v>109782.47583333333</v>
      </c>
      <c r="AE80" s="341">
        <f t="shared" si="3"/>
        <v>63356.21875</v>
      </c>
    </row>
    <row r="81" spans="1:31">
      <c r="A81" s="1209">
        <v>72</v>
      </c>
      <c r="B81" s="113" t="s">
        <v>3054</v>
      </c>
      <c r="C81" s="113" t="s">
        <v>3023</v>
      </c>
      <c r="D81" s="341">
        <v>446098.85000000003</v>
      </c>
      <c r="E81" s="341">
        <v>145666.29</v>
      </c>
      <c r="F81" s="341">
        <v>446098.85000000003</v>
      </c>
      <c r="G81" s="341">
        <v>147517.6</v>
      </c>
      <c r="H81" s="341">
        <v>447295.3</v>
      </c>
      <c r="I81" s="341">
        <v>149368.91</v>
      </c>
      <c r="J81" s="341">
        <v>447295.3</v>
      </c>
      <c r="K81" s="341">
        <v>151225.19</v>
      </c>
      <c r="L81" s="341">
        <v>461210.62</v>
      </c>
      <c r="M81" s="341">
        <v>153081.47</v>
      </c>
      <c r="N81" s="341">
        <v>461210.62</v>
      </c>
      <c r="O81" s="341">
        <v>154995.49</v>
      </c>
      <c r="P81" s="341">
        <v>461210.62</v>
      </c>
      <c r="Q81" s="341">
        <v>156909.51</v>
      </c>
      <c r="R81" s="341">
        <v>461210.62</v>
      </c>
      <c r="S81" s="341">
        <v>158823.53</v>
      </c>
      <c r="T81" s="341">
        <v>461210.62</v>
      </c>
      <c r="U81" s="341">
        <v>160737.55000000002</v>
      </c>
      <c r="V81" s="341">
        <v>461210.62</v>
      </c>
      <c r="W81" s="341">
        <v>162651.57</v>
      </c>
      <c r="X81" s="341">
        <v>461210.62</v>
      </c>
      <c r="Y81" s="341">
        <v>164565.59</v>
      </c>
      <c r="Z81" s="341">
        <v>461210.62</v>
      </c>
      <c r="AA81" s="341">
        <v>166479.61000000002</v>
      </c>
      <c r="AB81" s="341">
        <v>461221.36</v>
      </c>
      <c r="AC81" s="341">
        <v>168393.63</v>
      </c>
      <c r="AD81" s="341">
        <f t="shared" si="3"/>
        <v>457002.87625000003</v>
      </c>
      <c r="AE81" s="341">
        <f t="shared" si="3"/>
        <v>156948.83166666669</v>
      </c>
    </row>
    <row r="82" spans="1:31">
      <c r="A82" s="1209">
        <v>73</v>
      </c>
      <c r="B82" s="113" t="s">
        <v>3055</v>
      </c>
      <c r="C82" s="113" t="s">
        <v>3023</v>
      </c>
      <c r="D82" s="341">
        <v>203549.89</v>
      </c>
      <c r="E82" s="341">
        <v>99324.479999999996</v>
      </c>
      <c r="F82" s="341">
        <v>203549.89</v>
      </c>
      <c r="G82" s="341">
        <v>99858.8</v>
      </c>
      <c r="H82" s="341">
        <v>203549.89</v>
      </c>
      <c r="I82" s="341">
        <v>100393.12</v>
      </c>
      <c r="J82" s="341">
        <v>203549.89</v>
      </c>
      <c r="K82" s="341">
        <v>100927.44</v>
      </c>
      <c r="L82" s="341">
        <v>203549.89</v>
      </c>
      <c r="M82" s="341">
        <v>101461.76000000001</v>
      </c>
      <c r="N82" s="341">
        <v>203549.89</v>
      </c>
      <c r="O82" s="341">
        <v>101996.08</v>
      </c>
      <c r="P82" s="341">
        <v>203549.89</v>
      </c>
      <c r="Q82" s="341">
        <v>102530.40000000001</v>
      </c>
      <c r="R82" s="341">
        <v>203549.89</v>
      </c>
      <c r="S82" s="341">
        <v>103064.72</v>
      </c>
      <c r="T82" s="341">
        <v>203549.89</v>
      </c>
      <c r="U82" s="341">
        <v>103599.04000000001</v>
      </c>
      <c r="V82" s="341">
        <v>203549.89</v>
      </c>
      <c r="W82" s="341">
        <v>104133.36</v>
      </c>
      <c r="X82" s="341">
        <v>203549.89</v>
      </c>
      <c r="Y82" s="341">
        <v>104667.68000000001</v>
      </c>
      <c r="Z82" s="341">
        <v>203549.89</v>
      </c>
      <c r="AA82" s="341">
        <v>105202</v>
      </c>
      <c r="AB82" s="341">
        <v>203549.89</v>
      </c>
      <c r="AC82" s="341">
        <v>105736.32000000001</v>
      </c>
      <c r="AD82" s="341">
        <f t="shared" si="3"/>
        <v>203549.89000000004</v>
      </c>
      <c r="AE82" s="341">
        <f t="shared" si="3"/>
        <v>102530.39999999998</v>
      </c>
    </row>
    <row r="83" spans="1:31">
      <c r="A83" s="1209">
        <v>74</v>
      </c>
      <c r="B83" s="113" t="s">
        <v>3056</v>
      </c>
      <c r="C83" s="113" t="s">
        <v>3023</v>
      </c>
      <c r="D83" s="341">
        <v>11625924.470000001</v>
      </c>
      <c r="E83" s="341">
        <v>3502362.43</v>
      </c>
      <c r="F83" s="341">
        <v>11679845.560000001</v>
      </c>
      <c r="G83" s="341">
        <v>3561945.29</v>
      </c>
      <c r="H83" s="341">
        <v>11615171.83</v>
      </c>
      <c r="I83" s="341">
        <v>3557946.27</v>
      </c>
      <c r="J83" s="341">
        <v>11844466.34</v>
      </c>
      <c r="K83" s="341">
        <v>3617474.02</v>
      </c>
      <c r="L83" s="341">
        <v>11971267.4</v>
      </c>
      <c r="M83" s="341">
        <v>3678176.91</v>
      </c>
      <c r="N83" s="341">
        <v>12027409.720000001</v>
      </c>
      <c r="O83" s="341">
        <v>3739529.65</v>
      </c>
      <c r="P83" s="341">
        <v>11733203.73</v>
      </c>
      <c r="Q83" s="341">
        <v>3503889.68</v>
      </c>
      <c r="R83" s="341">
        <v>11784195.32</v>
      </c>
      <c r="S83" s="341">
        <v>3564022.35</v>
      </c>
      <c r="T83" s="341">
        <v>11927956.310000001</v>
      </c>
      <c r="U83" s="341">
        <v>3554887.55</v>
      </c>
      <c r="V83" s="341">
        <v>12188020.960000001</v>
      </c>
      <c r="W83" s="341">
        <v>3535994.52</v>
      </c>
      <c r="X83" s="341">
        <v>12276039.949999999</v>
      </c>
      <c r="Y83" s="341">
        <v>3595997.43</v>
      </c>
      <c r="Z83" s="341">
        <v>12320707.630000001</v>
      </c>
      <c r="AA83" s="341">
        <v>3658912.14</v>
      </c>
      <c r="AB83" s="341">
        <v>12453243.65</v>
      </c>
      <c r="AC83" s="341">
        <v>3722055.76</v>
      </c>
      <c r="AD83" s="341">
        <f t="shared" si="3"/>
        <v>11950655.734166667</v>
      </c>
      <c r="AE83" s="341">
        <f t="shared" si="3"/>
        <v>3598415.4087499999</v>
      </c>
    </row>
    <row r="84" spans="1:31">
      <c r="A84" s="1209">
        <v>75</v>
      </c>
      <c r="B84" s="113" t="s">
        <v>3057</v>
      </c>
      <c r="C84" s="113" t="s">
        <v>3023</v>
      </c>
      <c r="D84" s="341">
        <v>23837.02</v>
      </c>
      <c r="E84" s="341">
        <v>12964.73</v>
      </c>
      <c r="F84" s="341">
        <v>23837.02</v>
      </c>
      <c r="G84" s="341">
        <v>13070.800000000001</v>
      </c>
      <c r="H84" s="341">
        <v>23837.02</v>
      </c>
      <c r="I84" s="341">
        <v>13176.87</v>
      </c>
      <c r="J84" s="341">
        <v>23837.02</v>
      </c>
      <c r="K84" s="341">
        <v>13282.94</v>
      </c>
      <c r="L84" s="341">
        <v>23837.02</v>
      </c>
      <c r="M84" s="341">
        <v>13389.01</v>
      </c>
      <c r="N84" s="341">
        <v>23837.02</v>
      </c>
      <c r="O84" s="341">
        <v>13495.08</v>
      </c>
      <c r="P84" s="341">
        <v>23837.02</v>
      </c>
      <c r="Q84" s="341">
        <v>13601.15</v>
      </c>
      <c r="R84" s="341">
        <v>23837.02</v>
      </c>
      <c r="S84" s="341">
        <v>13707.220000000001</v>
      </c>
      <c r="T84" s="341">
        <v>23837.02</v>
      </c>
      <c r="U84" s="341">
        <v>13813.29</v>
      </c>
      <c r="V84" s="341">
        <v>23837.02</v>
      </c>
      <c r="W84" s="341">
        <v>13919.36</v>
      </c>
      <c r="X84" s="341">
        <v>24909.54</v>
      </c>
      <c r="Y84" s="341">
        <v>14025.43</v>
      </c>
      <c r="Z84" s="341">
        <v>24909.54</v>
      </c>
      <c r="AA84" s="341">
        <v>14136.28</v>
      </c>
      <c r="AB84" s="341">
        <v>24910.57</v>
      </c>
      <c r="AC84" s="341">
        <v>14247.130000000001</v>
      </c>
      <c r="AD84" s="341">
        <f t="shared" si="3"/>
        <v>24060.504583333328</v>
      </c>
      <c r="AE84" s="341">
        <f t="shared" si="3"/>
        <v>13601.946666666665</v>
      </c>
    </row>
    <row r="85" spans="1:31">
      <c r="A85" s="1209">
        <v>76</v>
      </c>
      <c r="B85" s="113" t="s">
        <v>3058</v>
      </c>
      <c r="C85" s="113" t="s">
        <v>3023</v>
      </c>
      <c r="D85" s="341">
        <v>5008038.0999999996</v>
      </c>
      <c r="E85" s="341">
        <v>1458449.09</v>
      </c>
      <c r="F85" s="341">
        <v>5014455.18</v>
      </c>
      <c r="G85" s="341">
        <v>1473306.27</v>
      </c>
      <c r="H85" s="341">
        <v>5017282.53</v>
      </c>
      <c r="I85" s="341">
        <v>1488182.49</v>
      </c>
      <c r="J85" s="341">
        <v>4898138.59</v>
      </c>
      <c r="K85" s="341">
        <v>1380862.77</v>
      </c>
      <c r="L85" s="341">
        <v>4966975.13</v>
      </c>
      <c r="M85" s="341">
        <v>1395393.9100000001</v>
      </c>
      <c r="N85" s="341">
        <v>5045125.42</v>
      </c>
      <c r="O85" s="341">
        <v>1410129.27</v>
      </c>
      <c r="P85" s="341">
        <v>4994904.93</v>
      </c>
      <c r="Q85" s="341">
        <v>1425096.48</v>
      </c>
      <c r="R85" s="341">
        <v>5012916.53</v>
      </c>
      <c r="S85" s="341">
        <v>1439914.7</v>
      </c>
      <c r="T85" s="341">
        <v>5015556.38</v>
      </c>
      <c r="U85" s="341">
        <v>1454786.35</v>
      </c>
      <c r="V85" s="341">
        <v>5041137.82</v>
      </c>
      <c r="W85" s="341">
        <v>1469665.83</v>
      </c>
      <c r="X85" s="341">
        <v>5048151.2300000004</v>
      </c>
      <c r="Y85" s="341">
        <v>1484621.21</v>
      </c>
      <c r="Z85" s="341">
        <v>5086807.43</v>
      </c>
      <c r="AA85" s="341">
        <v>1499597.3900000001</v>
      </c>
      <c r="AB85" s="341">
        <v>5086989.76</v>
      </c>
      <c r="AC85" s="341">
        <v>1514688.25</v>
      </c>
      <c r="AD85" s="341">
        <f t="shared" si="3"/>
        <v>5015747.0916666677</v>
      </c>
      <c r="AE85" s="341">
        <f t="shared" si="3"/>
        <v>1450677.1116666663</v>
      </c>
    </row>
    <row r="86" spans="1:31">
      <c r="A86" s="1209">
        <v>77</v>
      </c>
      <c r="B86" s="113" t="s">
        <v>3059</v>
      </c>
      <c r="C86" s="113" t="s">
        <v>3023</v>
      </c>
      <c r="D86" s="341">
        <v>131231.01999999999</v>
      </c>
      <c r="E86" s="341">
        <v>122703.06</v>
      </c>
      <c r="F86" s="341">
        <v>131231.01999999999</v>
      </c>
      <c r="G86" s="341">
        <v>122904.28</v>
      </c>
      <c r="H86" s="341">
        <v>131231.01999999999</v>
      </c>
      <c r="I86" s="341">
        <v>123105.5</v>
      </c>
      <c r="J86" s="341">
        <v>131231.01999999999</v>
      </c>
      <c r="K86" s="341">
        <v>123306.72</v>
      </c>
      <c r="L86" s="341">
        <v>131231.01999999999</v>
      </c>
      <c r="M86" s="341">
        <v>123507.94</v>
      </c>
      <c r="N86" s="341">
        <v>131231.01999999999</v>
      </c>
      <c r="O86" s="341">
        <v>123709.16</v>
      </c>
      <c r="P86" s="341">
        <v>131231.01999999999</v>
      </c>
      <c r="Q86" s="341">
        <v>123910.38</v>
      </c>
      <c r="R86" s="341">
        <v>131231.01999999999</v>
      </c>
      <c r="S86" s="341">
        <v>124111.6</v>
      </c>
      <c r="T86" s="341">
        <v>131231.01999999999</v>
      </c>
      <c r="U86" s="341">
        <v>124312.82</v>
      </c>
      <c r="V86" s="341">
        <v>131231.01999999999</v>
      </c>
      <c r="W86" s="341">
        <v>124514.04000000001</v>
      </c>
      <c r="X86" s="341">
        <v>131231.01999999999</v>
      </c>
      <c r="Y86" s="341">
        <v>125415.26000000001</v>
      </c>
      <c r="Z86" s="341">
        <v>131231.01999999999</v>
      </c>
      <c r="AA86" s="341">
        <v>125616.48</v>
      </c>
      <c r="AB86" s="341">
        <v>131231.01999999999</v>
      </c>
      <c r="AC86" s="341">
        <v>125817.7</v>
      </c>
      <c r="AD86" s="341">
        <f t="shared" si="3"/>
        <v>131231.01999999999</v>
      </c>
      <c r="AE86" s="341">
        <f t="shared" si="3"/>
        <v>124056.21333333333</v>
      </c>
    </row>
    <row r="87" spans="1:31">
      <c r="A87" s="1209">
        <v>78</v>
      </c>
      <c r="B87" s="113" t="s">
        <v>3060</v>
      </c>
      <c r="C87" s="113" t="s">
        <v>3023</v>
      </c>
      <c r="D87" s="341">
        <v>5249.37</v>
      </c>
      <c r="E87" s="341">
        <v>-1696.42</v>
      </c>
      <c r="F87" s="341">
        <v>5249.37</v>
      </c>
      <c r="G87" s="341">
        <v>-1676.3</v>
      </c>
      <c r="H87" s="341">
        <v>5249.37</v>
      </c>
      <c r="I87" s="341">
        <v>-1656.18</v>
      </c>
      <c r="J87" s="341">
        <v>4017.58</v>
      </c>
      <c r="K87" s="341">
        <v>-2867.85</v>
      </c>
      <c r="L87" s="341">
        <v>4017.58</v>
      </c>
      <c r="M87" s="341">
        <v>-2852.4500000000003</v>
      </c>
      <c r="N87" s="341">
        <v>4017.58</v>
      </c>
      <c r="O87" s="341">
        <v>-2837.05</v>
      </c>
      <c r="P87" s="341">
        <v>4017.58</v>
      </c>
      <c r="Q87" s="341">
        <v>-2821.65</v>
      </c>
      <c r="R87" s="341">
        <v>4017.58</v>
      </c>
      <c r="S87" s="341">
        <v>-2806.25</v>
      </c>
      <c r="T87" s="341">
        <v>4017.58</v>
      </c>
      <c r="U87" s="341">
        <v>-2790.85</v>
      </c>
      <c r="V87" s="341">
        <v>4017.58</v>
      </c>
      <c r="W87" s="341">
        <v>-2775.4500000000003</v>
      </c>
      <c r="X87" s="341">
        <v>4017.58</v>
      </c>
      <c r="Y87" s="341">
        <v>-2760.05</v>
      </c>
      <c r="Z87" s="341">
        <v>4017.58</v>
      </c>
      <c r="AA87" s="341">
        <v>-2744.65</v>
      </c>
      <c r="AB87" s="341">
        <v>4017.58</v>
      </c>
      <c r="AC87" s="341">
        <v>-2729.25</v>
      </c>
      <c r="AD87" s="341">
        <f t="shared" si="3"/>
        <v>4274.202916666668</v>
      </c>
      <c r="AE87" s="341">
        <f t="shared" si="3"/>
        <v>-2566.7970833333334</v>
      </c>
    </row>
    <row r="88" spans="1:31">
      <c r="A88" s="1209">
        <v>79</v>
      </c>
      <c r="B88" s="113" t="s">
        <v>3061</v>
      </c>
      <c r="C88" s="113" t="s">
        <v>3023</v>
      </c>
      <c r="D88" s="341">
        <v>2099536.96</v>
      </c>
      <c r="E88" s="341">
        <v>-1005357.87</v>
      </c>
      <c r="F88" s="341">
        <v>1924939.13</v>
      </c>
      <c r="G88" s="341">
        <v>-1085466.93</v>
      </c>
      <c r="H88" s="341">
        <v>1924939.13</v>
      </c>
      <c r="I88" s="341">
        <v>-1077157.6100000001</v>
      </c>
      <c r="J88" s="341">
        <v>1925838.73</v>
      </c>
      <c r="K88" s="341">
        <v>-1068848.29</v>
      </c>
      <c r="L88" s="341">
        <v>1925838.73</v>
      </c>
      <c r="M88" s="341">
        <v>-1060535.08</v>
      </c>
      <c r="N88" s="341">
        <v>1925838.73</v>
      </c>
      <c r="O88" s="341">
        <v>-1052221.8700000001</v>
      </c>
      <c r="P88" s="341">
        <v>1788821.98</v>
      </c>
      <c r="Q88" s="341">
        <v>-1043058.66</v>
      </c>
      <c r="R88" s="341">
        <v>1797766.8399999999</v>
      </c>
      <c r="S88" s="341">
        <v>-1035336.91</v>
      </c>
      <c r="T88" s="341">
        <v>1769626.9500000002</v>
      </c>
      <c r="U88" s="341">
        <v>-1027576.55</v>
      </c>
      <c r="V88" s="341">
        <v>1769626.9500000002</v>
      </c>
      <c r="W88" s="341">
        <v>-1019937.66</v>
      </c>
      <c r="X88" s="341">
        <v>2138775.19</v>
      </c>
      <c r="Y88" s="341">
        <v>-1020503.16</v>
      </c>
      <c r="Z88" s="341">
        <v>1799935.1099999999</v>
      </c>
      <c r="AA88" s="341">
        <v>-1021685.86</v>
      </c>
      <c r="AB88" s="341">
        <v>2548130.61</v>
      </c>
      <c r="AC88" s="341">
        <v>-1104065.8899999999</v>
      </c>
      <c r="AD88" s="341">
        <f t="shared" si="3"/>
        <v>1917981.7712500002</v>
      </c>
      <c r="AE88" s="341">
        <f t="shared" si="3"/>
        <v>-1047253.3716666667</v>
      </c>
    </row>
    <row r="89" spans="1:31">
      <c r="A89" s="1209">
        <v>80</v>
      </c>
      <c r="B89" s="113" t="s">
        <v>3062</v>
      </c>
      <c r="C89" s="113" t="s">
        <v>3023</v>
      </c>
      <c r="D89" s="341">
        <v>553326.53</v>
      </c>
      <c r="E89" s="341">
        <v>160811.9</v>
      </c>
      <c r="F89" s="341">
        <v>553326.53</v>
      </c>
      <c r="G89" s="341">
        <v>162250.55000000002</v>
      </c>
      <c r="H89" s="341">
        <v>553326.53</v>
      </c>
      <c r="I89" s="341">
        <v>163689.20000000001</v>
      </c>
      <c r="J89" s="341">
        <v>553326.53</v>
      </c>
      <c r="K89" s="341">
        <v>165127.85</v>
      </c>
      <c r="L89" s="341">
        <v>553326.53</v>
      </c>
      <c r="M89" s="341">
        <v>166566.5</v>
      </c>
      <c r="N89" s="341">
        <v>553326.53</v>
      </c>
      <c r="O89" s="341">
        <v>168005.15</v>
      </c>
      <c r="P89" s="341">
        <v>553326.53</v>
      </c>
      <c r="Q89" s="341">
        <v>169443.80000000002</v>
      </c>
      <c r="R89" s="341">
        <v>553326.53</v>
      </c>
      <c r="S89" s="341">
        <v>170882.45</v>
      </c>
      <c r="T89" s="341">
        <v>553326.53</v>
      </c>
      <c r="U89" s="341">
        <v>172321.1</v>
      </c>
      <c r="V89" s="341">
        <v>550713.39</v>
      </c>
      <c r="W89" s="341">
        <v>171696.61000000002</v>
      </c>
      <c r="X89" s="341">
        <v>550713.39</v>
      </c>
      <c r="Y89" s="341">
        <v>173128.47</v>
      </c>
      <c r="Z89" s="341">
        <v>550713.39</v>
      </c>
      <c r="AA89" s="341">
        <v>174560.33000000002</v>
      </c>
      <c r="AB89" s="341">
        <v>550713.39</v>
      </c>
      <c r="AC89" s="341">
        <v>175992.19</v>
      </c>
      <c r="AD89" s="341">
        <f t="shared" si="3"/>
        <v>552564.36416666664</v>
      </c>
      <c r="AE89" s="341">
        <f t="shared" si="3"/>
        <v>168839.50458333336</v>
      </c>
    </row>
    <row r="90" spans="1:31">
      <c r="A90" s="1209">
        <v>81</v>
      </c>
      <c r="B90" s="113" t="s">
        <v>3063</v>
      </c>
      <c r="C90" s="113" t="s">
        <v>3023</v>
      </c>
      <c r="D90" s="341">
        <v>194717.30000000002</v>
      </c>
      <c r="E90" s="341">
        <v>131068.86</v>
      </c>
      <c r="F90" s="341">
        <v>194717.30000000002</v>
      </c>
      <c r="G90" s="341">
        <v>131808.79</v>
      </c>
      <c r="H90" s="341">
        <v>194717.30000000002</v>
      </c>
      <c r="I90" s="341">
        <v>132548.72</v>
      </c>
      <c r="J90" s="341">
        <v>194717.30000000002</v>
      </c>
      <c r="K90" s="341">
        <v>133288.65</v>
      </c>
      <c r="L90" s="341">
        <v>194717.30000000002</v>
      </c>
      <c r="M90" s="341">
        <v>134028.58000000002</v>
      </c>
      <c r="N90" s="341">
        <v>194717.30000000002</v>
      </c>
      <c r="O90" s="341">
        <v>134768.51</v>
      </c>
      <c r="P90" s="341">
        <v>194717.30000000002</v>
      </c>
      <c r="Q90" s="341">
        <v>135508.44</v>
      </c>
      <c r="R90" s="341">
        <v>194717.30000000002</v>
      </c>
      <c r="S90" s="341">
        <v>136248.37</v>
      </c>
      <c r="T90" s="341">
        <v>194717.30000000002</v>
      </c>
      <c r="U90" s="341">
        <v>136988.29999999999</v>
      </c>
      <c r="V90" s="341">
        <v>194717.30000000002</v>
      </c>
      <c r="W90" s="341">
        <v>137728.23000000001</v>
      </c>
      <c r="X90" s="341">
        <v>194717.30000000002</v>
      </c>
      <c r="Y90" s="341">
        <v>138468.16</v>
      </c>
      <c r="Z90" s="341">
        <v>194717.30000000002</v>
      </c>
      <c r="AA90" s="341">
        <v>139208.09</v>
      </c>
      <c r="AB90" s="341">
        <v>194717.30000000002</v>
      </c>
      <c r="AC90" s="341">
        <v>139948.01999999999</v>
      </c>
      <c r="AD90" s="341">
        <f t="shared" si="3"/>
        <v>194717.30000000002</v>
      </c>
      <c r="AE90" s="341">
        <f t="shared" si="3"/>
        <v>135508.43999999997</v>
      </c>
    </row>
    <row r="91" spans="1:31">
      <c r="A91" s="1209">
        <v>82</v>
      </c>
      <c r="B91" s="113" t="s">
        <v>3064</v>
      </c>
      <c r="C91" s="113" t="s">
        <v>3023</v>
      </c>
      <c r="D91" s="341">
        <v>924622.43</v>
      </c>
      <c r="E91" s="341">
        <v>371133.73</v>
      </c>
      <c r="F91" s="341">
        <v>924622.43</v>
      </c>
      <c r="G91" s="341">
        <v>378353.49</v>
      </c>
      <c r="H91" s="341">
        <v>924622.43</v>
      </c>
      <c r="I91" s="341">
        <v>385573.25</v>
      </c>
      <c r="J91" s="341">
        <v>924622.43</v>
      </c>
      <c r="K91" s="341">
        <v>392793.01</v>
      </c>
      <c r="L91" s="341">
        <v>918728.71</v>
      </c>
      <c r="M91" s="341">
        <v>394119.05</v>
      </c>
      <c r="N91" s="341">
        <v>918728.71</v>
      </c>
      <c r="O91" s="341">
        <v>401292.79000000004</v>
      </c>
      <c r="P91" s="341">
        <v>918728.71</v>
      </c>
      <c r="Q91" s="341">
        <v>408466.53</v>
      </c>
      <c r="R91" s="341">
        <v>918728.71</v>
      </c>
      <c r="S91" s="341">
        <v>415640.27</v>
      </c>
      <c r="T91" s="341">
        <v>918728.71</v>
      </c>
      <c r="U91" s="341">
        <v>422814.01</v>
      </c>
      <c r="V91" s="341">
        <v>918728.71</v>
      </c>
      <c r="W91" s="341">
        <v>429987.75</v>
      </c>
      <c r="X91" s="341">
        <v>918728.71</v>
      </c>
      <c r="Y91" s="341">
        <v>437161.49</v>
      </c>
      <c r="Z91" s="341">
        <v>918826.45000000007</v>
      </c>
      <c r="AA91" s="341">
        <v>444432.97000000003</v>
      </c>
      <c r="AB91" s="341">
        <v>918826.45000000007</v>
      </c>
      <c r="AC91" s="341">
        <v>451607.47000000003</v>
      </c>
      <c r="AD91" s="341">
        <f t="shared" si="3"/>
        <v>920459.92916666658</v>
      </c>
      <c r="AE91" s="341">
        <f t="shared" si="3"/>
        <v>410167.10083333333</v>
      </c>
    </row>
    <row r="92" spans="1:31">
      <c r="A92" s="1209">
        <v>83</v>
      </c>
      <c r="B92" s="113" t="s">
        <v>3065</v>
      </c>
      <c r="C92" s="113" t="s">
        <v>3023</v>
      </c>
      <c r="D92" s="341">
        <v>3235888.5</v>
      </c>
      <c r="E92" s="341">
        <v>2491002.61</v>
      </c>
      <c r="F92" s="341">
        <v>3238369.62</v>
      </c>
      <c r="G92" s="341">
        <v>2491353.16</v>
      </c>
      <c r="H92" s="341">
        <v>3238369.62</v>
      </c>
      <c r="I92" s="341">
        <v>2491703.98</v>
      </c>
      <c r="J92" s="341">
        <v>3238369.62</v>
      </c>
      <c r="K92" s="341">
        <v>2492054.7999999998</v>
      </c>
      <c r="L92" s="341">
        <v>3238369.62</v>
      </c>
      <c r="M92" s="341">
        <v>2492405.62</v>
      </c>
      <c r="N92" s="341">
        <v>3238369.62</v>
      </c>
      <c r="O92" s="341">
        <v>2492756.44</v>
      </c>
      <c r="P92" s="341">
        <v>3238369.62</v>
      </c>
      <c r="Q92" s="341">
        <v>2493107.2599999998</v>
      </c>
      <c r="R92" s="341">
        <v>3238369.62</v>
      </c>
      <c r="S92" s="341">
        <v>2493458.08</v>
      </c>
      <c r="T92" s="341">
        <v>3238369.62</v>
      </c>
      <c r="U92" s="341">
        <v>2493808.9</v>
      </c>
      <c r="V92" s="341">
        <v>3238369.62</v>
      </c>
      <c r="W92" s="341">
        <v>2494159.7200000002</v>
      </c>
      <c r="X92" s="341">
        <v>3238369.62</v>
      </c>
      <c r="Y92" s="341">
        <v>2494510.54</v>
      </c>
      <c r="Z92" s="341">
        <v>3238369.62</v>
      </c>
      <c r="AA92" s="341">
        <v>2494675.2999999998</v>
      </c>
      <c r="AB92" s="341">
        <v>3238371.54</v>
      </c>
      <c r="AC92" s="341">
        <v>2495026.12</v>
      </c>
      <c r="AD92" s="341">
        <f t="shared" si="3"/>
        <v>3238266.3200000008</v>
      </c>
      <c r="AE92" s="341">
        <f t="shared" si="3"/>
        <v>2493084.0137499999</v>
      </c>
    </row>
    <row r="93" spans="1:31">
      <c r="A93" s="1209">
        <v>84</v>
      </c>
      <c r="B93" s="113" t="s">
        <v>3066</v>
      </c>
      <c r="C93" s="113" t="s">
        <v>3023</v>
      </c>
      <c r="D93" s="341">
        <v>321462.03000000003</v>
      </c>
      <c r="E93" s="341">
        <v>248756.87</v>
      </c>
      <c r="F93" s="341">
        <v>321462.03000000003</v>
      </c>
      <c r="G93" s="341">
        <v>251216.05000000002</v>
      </c>
      <c r="H93" s="341">
        <v>321462.03000000003</v>
      </c>
      <c r="I93" s="341">
        <v>253675.23</v>
      </c>
      <c r="J93" s="341">
        <v>321462.03000000003</v>
      </c>
      <c r="K93" s="341">
        <v>256134.41</v>
      </c>
      <c r="L93" s="341">
        <v>321462.03000000003</v>
      </c>
      <c r="M93" s="341">
        <v>258593.59</v>
      </c>
      <c r="N93" s="341">
        <v>321462.03000000003</v>
      </c>
      <c r="O93" s="341">
        <v>261052.77000000002</v>
      </c>
      <c r="P93" s="341">
        <v>321462.03000000003</v>
      </c>
      <c r="Q93" s="341">
        <v>263511.95</v>
      </c>
      <c r="R93" s="341">
        <v>321462.03000000003</v>
      </c>
      <c r="S93" s="341">
        <v>265971.13</v>
      </c>
      <c r="T93" s="341">
        <v>321462.03000000003</v>
      </c>
      <c r="U93" s="341">
        <v>268430.31</v>
      </c>
      <c r="V93" s="341">
        <v>321462.03000000003</v>
      </c>
      <c r="W93" s="341">
        <v>270889.49</v>
      </c>
      <c r="X93" s="341">
        <v>321462.03000000003</v>
      </c>
      <c r="Y93" s="341">
        <v>273348.67</v>
      </c>
      <c r="Z93" s="341">
        <v>321462.03000000003</v>
      </c>
      <c r="AA93" s="341">
        <v>275807.84999999998</v>
      </c>
      <c r="AB93" s="341">
        <v>321462.03000000003</v>
      </c>
      <c r="AC93" s="341">
        <v>278267.03000000003</v>
      </c>
      <c r="AD93" s="341">
        <f t="shared" si="3"/>
        <v>321462.03000000009</v>
      </c>
      <c r="AE93" s="341">
        <f t="shared" si="3"/>
        <v>263511.95</v>
      </c>
    </row>
    <row r="94" spans="1:31">
      <c r="A94" s="1209">
        <v>85</v>
      </c>
      <c r="B94" s="113" t="s">
        <v>3067</v>
      </c>
      <c r="C94" s="113" t="s">
        <v>3023</v>
      </c>
      <c r="D94" s="341">
        <v>14274.33</v>
      </c>
      <c r="E94" s="341">
        <v>1140.51</v>
      </c>
      <c r="F94" s="341">
        <v>14274.33</v>
      </c>
      <c r="G94" s="341">
        <v>1265.53</v>
      </c>
      <c r="H94" s="341">
        <v>14274.33</v>
      </c>
      <c r="I94" s="341">
        <v>1390.55</v>
      </c>
      <c r="J94" s="341">
        <v>14274.33</v>
      </c>
      <c r="K94" s="341">
        <v>1515.57</v>
      </c>
      <c r="L94" s="341">
        <v>14274.33</v>
      </c>
      <c r="M94" s="341">
        <v>1640.5900000000001</v>
      </c>
      <c r="N94" s="341">
        <v>14274.33</v>
      </c>
      <c r="O94" s="341">
        <v>1765.6100000000001</v>
      </c>
      <c r="P94" s="341">
        <v>14274.33</v>
      </c>
      <c r="Q94" s="341">
        <v>1890.63</v>
      </c>
      <c r="R94" s="341">
        <v>14274.33</v>
      </c>
      <c r="S94" s="341">
        <v>2015.65</v>
      </c>
      <c r="T94" s="341">
        <v>14274.33</v>
      </c>
      <c r="U94" s="341">
        <v>2140.67</v>
      </c>
      <c r="V94" s="341">
        <v>14274.33</v>
      </c>
      <c r="W94" s="341">
        <v>2265.69</v>
      </c>
      <c r="X94" s="341">
        <v>14274.33</v>
      </c>
      <c r="Y94" s="341">
        <v>2390.71</v>
      </c>
      <c r="Z94" s="341">
        <v>14274.33</v>
      </c>
      <c r="AA94" s="341">
        <v>2515.73</v>
      </c>
      <c r="AB94" s="341">
        <v>14274.33</v>
      </c>
      <c r="AC94" s="341">
        <v>2640.75</v>
      </c>
      <c r="AD94" s="341">
        <f t="shared" si="3"/>
        <v>14274.329999999996</v>
      </c>
      <c r="AE94" s="341">
        <f t="shared" si="3"/>
        <v>1890.63</v>
      </c>
    </row>
    <row r="95" spans="1:31">
      <c r="A95" s="1209">
        <v>86</v>
      </c>
      <c r="B95" s="673" t="s">
        <v>1495</v>
      </c>
      <c r="C95" s="673" t="s">
        <v>1734</v>
      </c>
      <c r="D95" s="716">
        <f t="shared" ref="D95:AE95" si="4">SUBTOTAL(9,D50:D94)</f>
        <v>764082473.55999994</v>
      </c>
      <c r="E95" s="716">
        <f t="shared" si="4"/>
        <v>366495933.66000003</v>
      </c>
      <c r="F95" s="716">
        <f t="shared" si="4"/>
        <v>770933408.75999975</v>
      </c>
      <c r="G95" s="716">
        <f t="shared" si="4"/>
        <v>367979438.53000003</v>
      </c>
      <c r="H95" s="716">
        <f t="shared" si="4"/>
        <v>772856110.62999976</v>
      </c>
      <c r="I95" s="716">
        <f t="shared" si="4"/>
        <v>369320252.10000002</v>
      </c>
      <c r="J95" s="716">
        <f t="shared" si="4"/>
        <v>775452635.98999977</v>
      </c>
      <c r="K95" s="716">
        <f t="shared" si="4"/>
        <v>370605827.06999987</v>
      </c>
      <c r="L95" s="716">
        <f t="shared" si="4"/>
        <v>776061203.30999982</v>
      </c>
      <c r="M95" s="716">
        <f t="shared" si="4"/>
        <v>371293722.25</v>
      </c>
      <c r="N95" s="716">
        <f t="shared" si="4"/>
        <v>777413116.25999975</v>
      </c>
      <c r="O95" s="716">
        <f t="shared" si="4"/>
        <v>372276096.76999986</v>
      </c>
      <c r="P95" s="716">
        <f t="shared" si="4"/>
        <v>782046447.21999991</v>
      </c>
      <c r="Q95" s="716">
        <f t="shared" si="4"/>
        <v>373743267.87999994</v>
      </c>
      <c r="R95" s="716">
        <f t="shared" si="4"/>
        <v>785429747.46999979</v>
      </c>
      <c r="S95" s="716">
        <f t="shared" si="4"/>
        <v>374953304.48999995</v>
      </c>
      <c r="T95" s="716">
        <f t="shared" si="4"/>
        <v>788459533.62999976</v>
      </c>
      <c r="U95" s="716">
        <f t="shared" si="4"/>
        <v>376292738.1400001</v>
      </c>
      <c r="V95" s="716">
        <f t="shared" si="4"/>
        <v>794413484.21999991</v>
      </c>
      <c r="W95" s="716">
        <f t="shared" si="4"/>
        <v>378001783.85000008</v>
      </c>
      <c r="X95" s="716">
        <f t="shared" si="4"/>
        <v>798362517.88</v>
      </c>
      <c r="Y95" s="716">
        <f t="shared" si="4"/>
        <v>379704978.33000004</v>
      </c>
      <c r="Z95" s="716">
        <f t="shared" si="4"/>
        <v>808516297.46999991</v>
      </c>
      <c r="AA95" s="716">
        <f t="shared" si="4"/>
        <v>381398996.17000008</v>
      </c>
      <c r="AB95" s="716">
        <f t="shared" si="4"/>
        <v>847341438.25999999</v>
      </c>
      <c r="AC95" s="716">
        <f>SUBTOTAL(9,AC50:AC94)</f>
        <v>381941033.71999991</v>
      </c>
      <c r="AD95" s="716">
        <f t="shared" si="4"/>
        <v>786304704.89583325</v>
      </c>
      <c r="AE95" s="716">
        <f t="shared" si="4"/>
        <v>374149074.10583341</v>
      </c>
    </row>
    <row r="96" spans="1:31">
      <c r="A96" s="1209">
        <v>87</v>
      </c>
      <c r="B96" s="11" t="s">
        <v>3068</v>
      </c>
      <c r="C96" s="557"/>
      <c r="D96" s="717"/>
      <c r="E96" s="717"/>
      <c r="F96" s="717"/>
      <c r="G96" s="717"/>
      <c r="H96" s="717"/>
      <c r="I96" s="717"/>
      <c r="J96" s="717"/>
      <c r="K96" s="717"/>
      <c r="L96" s="717"/>
      <c r="M96" s="717"/>
      <c r="N96" s="717"/>
      <c r="O96" s="717"/>
      <c r="P96" s="717"/>
      <c r="Q96" s="717"/>
      <c r="R96" s="717"/>
      <c r="S96" s="717"/>
      <c r="T96" s="717"/>
      <c r="U96" s="717"/>
      <c r="V96" s="717"/>
      <c r="W96" s="717"/>
      <c r="X96" s="717"/>
      <c r="Y96" s="717"/>
      <c r="Z96" s="717"/>
      <c r="AA96" s="717"/>
      <c r="AB96" s="717"/>
      <c r="AC96" s="717"/>
      <c r="AD96" s="717"/>
      <c r="AE96" s="717"/>
    </row>
    <row r="97" spans="1:31">
      <c r="A97" s="1209">
        <v>88</v>
      </c>
      <c r="B97" s="113" t="s">
        <v>3069</v>
      </c>
      <c r="C97" s="113" t="s">
        <v>3070</v>
      </c>
      <c r="D97" s="341">
        <v>152066.08000000002</v>
      </c>
      <c r="E97" s="341">
        <v>0</v>
      </c>
      <c r="F97" s="341">
        <v>152066.07999999999</v>
      </c>
      <c r="G97" s="341">
        <v>0</v>
      </c>
      <c r="H97" s="341">
        <v>152066.07999999999</v>
      </c>
      <c r="I97" s="341">
        <v>0</v>
      </c>
      <c r="J97" s="341">
        <v>152066.07999999999</v>
      </c>
      <c r="K97" s="341">
        <v>0</v>
      </c>
      <c r="L97" s="341">
        <v>152066.07999999999</v>
      </c>
      <c r="M97" s="341">
        <v>0</v>
      </c>
      <c r="N97" s="341">
        <v>152066.07999999999</v>
      </c>
      <c r="O97" s="341">
        <v>0</v>
      </c>
      <c r="P97" s="341">
        <v>152066.07999999999</v>
      </c>
      <c r="Q97" s="341">
        <v>0</v>
      </c>
      <c r="R97" s="341">
        <v>152066.07999999999</v>
      </c>
      <c r="S97" s="341">
        <v>0</v>
      </c>
      <c r="T97" s="341">
        <v>152066.07999999999</v>
      </c>
      <c r="U97" s="341">
        <v>0</v>
      </c>
      <c r="V97" s="341">
        <v>152066.07999999999</v>
      </c>
      <c r="W97" s="341">
        <v>0</v>
      </c>
      <c r="X97" s="341">
        <v>152066.07999999999</v>
      </c>
      <c r="Y97" s="341">
        <v>0</v>
      </c>
      <c r="Z97" s="341">
        <v>152066.07999999999</v>
      </c>
      <c r="AA97" s="341">
        <v>0</v>
      </c>
      <c r="AB97" s="341">
        <v>152066.07999999999</v>
      </c>
      <c r="AC97" s="341">
        <v>0</v>
      </c>
      <c r="AD97" s="341">
        <f t="shared" ref="AD97:AE151" si="5">+(D97+AB97+(+F97+H97+J97+L97+N97+P97+R97+T97+V97+X97+Z97)*2)/24</f>
        <v>152066.08000000002</v>
      </c>
      <c r="AE97" s="341">
        <f t="shared" si="5"/>
        <v>0</v>
      </c>
    </row>
    <row r="98" spans="1:31">
      <c r="A98" s="1209">
        <v>89</v>
      </c>
      <c r="B98" s="113" t="s">
        <v>3071</v>
      </c>
      <c r="C98" s="370" t="s">
        <v>3070</v>
      </c>
      <c r="D98" s="341">
        <v>0</v>
      </c>
      <c r="E98" s="341">
        <v>0</v>
      </c>
      <c r="F98" s="341">
        <v>0</v>
      </c>
      <c r="G98" s="341">
        <v>0</v>
      </c>
      <c r="H98" s="341">
        <v>0</v>
      </c>
      <c r="I98" s="341">
        <v>0</v>
      </c>
      <c r="J98" s="341">
        <v>0</v>
      </c>
      <c r="K98" s="341">
        <v>0</v>
      </c>
      <c r="L98" s="341">
        <v>0</v>
      </c>
      <c r="M98" s="341">
        <v>0</v>
      </c>
      <c r="N98" s="341">
        <v>0</v>
      </c>
      <c r="O98" s="341">
        <v>0</v>
      </c>
      <c r="P98" s="341">
        <v>0</v>
      </c>
      <c r="Q98" s="341">
        <v>0</v>
      </c>
      <c r="R98" s="341">
        <v>0</v>
      </c>
      <c r="S98" s="341">
        <v>0</v>
      </c>
      <c r="T98" s="341">
        <v>0</v>
      </c>
      <c r="U98" s="341">
        <v>0</v>
      </c>
      <c r="V98" s="341">
        <v>0</v>
      </c>
      <c r="W98" s="341">
        <v>0</v>
      </c>
      <c r="X98" s="341">
        <v>0</v>
      </c>
      <c r="Y98" s="341">
        <v>0</v>
      </c>
      <c r="Z98" s="341">
        <v>0</v>
      </c>
      <c r="AA98" s="341">
        <v>0</v>
      </c>
      <c r="AB98" s="341">
        <v>28320.170000000002</v>
      </c>
      <c r="AC98" s="341">
        <v>0</v>
      </c>
      <c r="AD98" s="341">
        <f t="shared" si="5"/>
        <v>1180.0070833333334</v>
      </c>
      <c r="AE98" s="341">
        <f t="shared" si="5"/>
        <v>0</v>
      </c>
    </row>
    <row r="99" spans="1:31">
      <c r="A99" s="1209">
        <v>90</v>
      </c>
      <c r="B99" s="113" t="s">
        <v>3072</v>
      </c>
      <c r="C99" s="370" t="s">
        <v>3070</v>
      </c>
      <c r="D99" s="341">
        <v>0</v>
      </c>
      <c r="E99" s="341">
        <v>0</v>
      </c>
      <c r="F99" s="341">
        <v>0</v>
      </c>
      <c r="G99" s="341">
        <v>0</v>
      </c>
      <c r="H99" s="341">
        <v>0</v>
      </c>
      <c r="I99" s="341">
        <v>0</v>
      </c>
      <c r="J99" s="341">
        <v>0</v>
      </c>
      <c r="K99" s="341">
        <v>0</v>
      </c>
      <c r="L99" s="341">
        <v>0</v>
      </c>
      <c r="M99" s="341">
        <v>0</v>
      </c>
      <c r="N99" s="341">
        <v>0</v>
      </c>
      <c r="O99" s="341">
        <v>0</v>
      </c>
      <c r="P99" s="341">
        <v>0</v>
      </c>
      <c r="Q99" s="341">
        <v>0</v>
      </c>
      <c r="R99" s="341">
        <v>0</v>
      </c>
      <c r="S99" s="341">
        <v>0</v>
      </c>
      <c r="T99" s="341">
        <v>0</v>
      </c>
      <c r="U99" s="341">
        <v>0</v>
      </c>
      <c r="V99" s="341">
        <v>0</v>
      </c>
      <c r="W99" s="341">
        <v>0</v>
      </c>
      <c r="X99" s="341">
        <v>0</v>
      </c>
      <c r="Y99" s="341">
        <v>0</v>
      </c>
      <c r="Z99" s="341">
        <v>0</v>
      </c>
      <c r="AA99" s="341">
        <v>0</v>
      </c>
      <c r="AB99" s="341">
        <v>0</v>
      </c>
      <c r="AC99" s="341">
        <v>0</v>
      </c>
      <c r="AD99" s="341">
        <f t="shared" si="5"/>
        <v>0</v>
      </c>
      <c r="AE99" s="341">
        <f t="shared" si="5"/>
        <v>0</v>
      </c>
    </row>
    <row r="100" spans="1:31">
      <c r="A100" s="1209">
        <v>91</v>
      </c>
      <c r="B100" s="113" t="s">
        <v>3073</v>
      </c>
      <c r="C100" s="370" t="s">
        <v>3070</v>
      </c>
      <c r="D100" s="341">
        <v>2073631.63</v>
      </c>
      <c r="E100" s="341">
        <v>873927.44000000006</v>
      </c>
      <c r="F100" s="341">
        <v>2073631.6300000001</v>
      </c>
      <c r="G100" s="341">
        <v>891207.70000000007</v>
      </c>
      <c r="H100" s="341">
        <v>2073631.6300000001</v>
      </c>
      <c r="I100" s="341">
        <v>908487.96</v>
      </c>
      <c r="J100" s="341">
        <v>2073631.6300000001</v>
      </c>
      <c r="K100" s="341">
        <v>925768.22</v>
      </c>
      <c r="L100" s="341">
        <v>2073631.6300000001</v>
      </c>
      <c r="M100" s="341">
        <v>943048.48</v>
      </c>
      <c r="N100" s="341">
        <v>2073631.6300000001</v>
      </c>
      <c r="O100" s="341">
        <v>960328.74</v>
      </c>
      <c r="P100" s="341">
        <v>2073631.6300000001</v>
      </c>
      <c r="Q100" s="341">
        <v>977609</v>
      </c>
      <c r="R100" s="341">
        <v>2073631.6300000001</v>
      </c>
      <c r="S100" s="341">
        <v>994889.26</v>
      </c>
      <c r="T100" s="341">
        <v>2073631.6300000001</v>
      </c>
      <c r="U100" s="341">
        <v>1012169.52</v>
      </c>
      <c r="V100" s="341">
        <v>2073631.6300000001</v>
      </c>
      <c r="W100" s="341">
        <v>1029449.78</v>
      </c>
      <c r="X100" s="341">
        <v>2073631.6300000001</v>
      </c>
      <c r="Y100" s="341">
        <v>1046730.04</v>
      </c>
      <c r="Z100" s="341">
        <v>2073631.6300000001</v>
      </c>
      <c r="AA100" s="341">
        <v>1064010.3</v>
      </c>
      <c r="AB100" s="341">
        <v>2073631.6300000001</v>
      </c>
      <c r="AC100" s="341">
        <v>1081290.56</v>
      </c>
      <c r="AD100" s="341">
        <f t="shared" si="5"/>
        <v>2073631.63</v>
      </c>
      <c r="AE100" s="341">
        <f t="shared" si="5"/>
        <v>977609</v>
      </c>
    </row>
    <row r="101" spans="1:31">
      <c r="A101" s="1209">
        <v>92</v>
      </c>
      <c r="B101" s="113" t="s">
        <v>3074</v>
      </c>
      <c r="C101" s="370" t="s">
        <v>3070</v>
      </c>
      <c r="D101" s="341">
        <v>14664.05</v>
      </c>
      <c r="E101" s="341">
        <v>4266.1400000000003</v>
      </c>
      <c r="F101" s="341">
        <v>14664.050000000001</v>
      </c>
      <c r="G101" s="341">
        <v>4388.34</v>
      </c>
      <c r="H101" s="341">
        <v>14664.050000000001</v>
      </c>
      <c r="I101" s="341">
        <v>4510.54</v>
      </c>
      <c r="J101" s="341">
        <v>14664.050000000001</v>
      </c>
      <c r="K101" s="341">
        <v>4632.74</v>
      </c>
      <c r="L101" s="341">
        <v>14664.050000000001</v>
      </c>
      <c r="M101" s="341">
        <v>4754.9400000000005</v>
      </c>
      <c r="N101" s="341">
        <v>14664.050000000001</v>
      </c>
      <c r="O101" s="341">
        <v>4877.1400000000003</v>
      </c>
      <c r="P101" s="341">
        <v>14664.050000000001</v>
      </c>
      <c r="Q101" s="341">
        <v>4999.34</v>
      </c>
      <c r="R101" s="341">
        <v>14664.050000000001</v>
      </c>
      <c r="S101" s="341">
        <v>5121.54</v>
      </c>
      <c r="T101" s="341">
        <v>14664.050000000001</v>
      </c>
      <c r="U101" s="341">
        <v>5243.74</v>
      </c>
      <c r="V101" s="341">
        <v>14664.050000000001</v>
      </c>
      <c r="W101" s="341">
        <v>5365.9400000000005</v>
      </c>
      <c r="X101" s="341">
        <v>14664.050000000001</v>
      </c>
      <c r="Y101" s="341">
        <v>5488.1399999999994</v>
      </c>
      <c r="Z101" s="341">
        <v>14664.050000000001</v>
      </c>
      <c r="AA101" s="341">
        <v>5610.34</v>
      </c>
      <c r="AB101" s="341">
        <v>14664.050000000001</v>
      </c>
      <c r="AC101" s="341">
        <v>5732.54</v>
      </c>
      <c r="AD101" s="341">
        <f t="shared" si="5"/>
        <v>14664.049999999997</v>
      </c>
      <c r="AE101" s="341">
        <f t="shared" si="5"/>
        <v>4999.34</v>
      </c>
    </row>
    <row r="102" spans="1:31">
      <c r="A102" s="1209">
        <v>93</v>
      </c>
      <c r="B102" s="113" t="s">
        <v>3075</v>
      </c>
      <c r="C102" s="370" t="s">
        <v>3070</v>
      </c>
      <c r="D102" s="341">
        <v>430112.44</v>
      </c>
      <c r="E102" s="341">
        <v>86022.48000000001</v>
      </c>
      <c r="F102" s="341">
        <v>430112.44</v>
      </c>
      <c r="G102" s="341">
        <v>89606.75</v>
      </c>
      <c r="H102" s="341">
        <v>430112.44</v>
      </c>
      <c r="I102" s="341">
        <v>93191.01999999999</v>
      </c>
      <c r="J102" s="341">
        <v>430112.44</v>
      </c>
      <c r="K102" s="341">
        <v>96775.290000000008</v>
      </c>
      <c r="L102" s="341">
        <v>430112.44</v>
      </c>
      <c r="M102" s="341">
        <v>100359.56000000001</v>
      </c>
      <c r="N102" s="341">
        <v>430112.44</v>
      </c>
      <c r="O102" s="341">
        <v>103943.83</v>
      </c>
      <c r="P102" s="341">
        <v>430112.44</v>
      </c>
      <c r="Q102" s="341">
        <v>107528.1</v>
      </c>
      <c r="R102" s="341">
        <v>430112.44</v>
      </c>
      <c r="S102" s="341">
        <v>111112.37000000001</v>
      </c>
      <c r="T102" s="341">
        <v>430112.44</v>
      </c>
      <c r="U102" s="341">
        <v>114696.64</v>
      </c>
      <c r="V102" s="341">
        <v>430112.44</v>
      </c>
      <c r="W102" s="341">
        <v>118280.91</v>
      </c>
      <c r="X102" s="341">
        <v>430112.44</v>
      </c>
      <c r="Y102" s="341">
        <v>121865.18</v>
      </c>
      <c r="Z102" s="341">
        <v>430112.44</v>
      </c>
      <c r="AA102" s="341">
        <v>125449.45</v>
      </c>
      <c r="AB102" s="341">
        <v>430112.44</v>
      </c>
      <c r="AC102" s="341">
        <v>129033.72</v>
      </c>
      <c r="AD102" s="341">
        <f t="shared" si="5"/>
        <v>430112.44000000012</v>
      </c>
      <c r="AE102" s="341">
        <f t="shared" si="5"/>
        <v>107528.10000000002</v>
      </c>
    </row>
    <row r="103" spans="1:31">
      <c r="A103" s="1209">
        <v>94</v>
      </c>
      <c r="B103" s="113" t="s">
        <v>3076</v>
      </c>
      <c r="C103" s="370" t="s">
        <v>3070</v>
      </c>
      <c r="D103" s="341">
        <v>50760.55</v>
      </c>
      <c r="E103" s="341">
        <v>1122.49</v>
      </c>
      <c r="F103" s="341">
        <v>50760.55</v>
      </c>
      <c r="G103" s="341">
        <v>1545.4900000000002</v>
      </c>
      <c r="H103" s="341">
        <v>50760.55</v>
      </c>
      <c r="I103" s="341">
        <v>1968.49</v>
      </c>
      <c r="J103" s="341">
        <v>50760.55</v>
      </c>
      <c r="K103" s="341">
        <v>2391.4899999999998</v>
      </c>
      <c r="L103" s="341">
        <v>50760.55</v>
      </c>
      <c r="M103" s="341">
        <v>2814.4900000000002</v>
      </c>
      <c r="N103" s="341">
        <v>50760.55</v>
      </c>
      <c r="O103" s="341">
        <v>3237.4900000000002</v>
      </c>
      <c r="P103" s="341">
        <v>50760.55</v>
      </c>
      <c r="Q103" s="341">
        <v>3660.49</v>
      </c>
      <c r="R103" s="341">
        <v>50760.55</v>
      </c>
      <c r="S103" s="341">
        <v>4083.49</v>
      </c>
      <c r="T103" s="341">
        <v>50760.55</v>
      </c>
      <c r="U103" s="341">
        <v>4506.49</v>
      </c>
      <c r="V103" s="341">
        <v>50760.55</v>
      </c>
      <c r="W103" s="341">
        <v>4929.49</v>
      </c>
      <c r="X103" s="341">
        <v>50760.55</v>
      </c>
      <c r="Y103" s="341">
        <v>5352.49</v>
      </c>
      <c r="Z103" s="341">
        <v>50760.55</v>
      </c>
      <c r="AA103" s="341">
        <v>5775.4900000000007</v>
      </c>
      <c r="AB103" s="341">
        <v>50760.55</v>
      </c>
      <c r="AC103" s="341">
        <v>6198.4900000000007</v>
      </c>
      <c r="AD103" s="341">
        <f t="shared" si="5"/>
        <v>50760.549999999996</v>
      </c>
      <c r="AE103" s="341">
        <f t="shared" si="5"/>
        <v>3660.4899999999993</v>
      </c>
    </row>
    <row r="104" spans="1:31">
      <c r="A104" s="1209">
        <v>95</v>
      </c>
      <c r="B104" s="113" t="s">
        <v>3077</v>
      </c>
      <c r="C104" s="370" t="s">
        <v>3070</v>
      </c>
      <c r="D104" s="341">
        <v>0</v>
      </c>
      <c r="E104" s="341">
        <v>0</v>
      </c>
      <c r="F104" s="341">
        <v>0</v>
      </c>
      <c r="G104" s="341">
        <v>0</v>
      </c>
      <c r="H104" s="341">
        <v>0</v>
      </c>
      <c r="I104" s="341">
        <v>0</v>
      </c>
      <c r="J104" s="341">
        <v>0</v>
      </c>
      <c r="K104" s="341">
        <v>0</v>
      </c>
      <c r="L104" s="341">
        <v>0</v>
      </c>
      <c r="M104" s="341">
        <v>0</v>
      </c>
      <c r="N104" s="341">
        <v>0</v>
      </c>
      <c r="O104" s="341">
        <v>0</v>
      </c>
      <c r="P104" s="341">
        <v>0</v>
      </c>
      <c r="Q104" s="341">
        <v>0</v>
      </c>
      <c r="R104" s="341">
        <v>0</v>
      </c>
      <c r="S104" s="341">
        <v>0</v>
      </c>
      <c r="T104" s="341">
        <v>0</v>
      </c>
      <c r="U104" s="341">
        <v>0</v>
      </c>
      <c r="V104" s="341">
        <v>0</v>
      </c>
      <c r="W104" s="341">
        <v>0</v>
      </c>
      <c r="X104" s="341">
        <v>0</v>
      </c>
      <c r="Y104" s="341">
        <v>0</v>
      </c>
      <c r="Z104" s="341">
        <v>0</v>
      </c>
      <c r="AA104" s="341">
        <v>0</v>
      </c>
      <c r="AB104" s="341">
        <v>0</v>
      </c>
      <c r="AC104" s="341">
        <v>0</v>
      </c>
      <c r="AD104" s="341">
        <f t="shared" si="5"/>
        <v>0</v>
      </c>
      <c r="AE104" s="341">
        <f t="shared" si="5"/>
        <v>0</v>
      </c>
    </row>
    <row r="105" spans="1:31">
      <c r="A105" s="1209">
        <v>96</v>
      </c>
      <c r="B105" s="113" t="s">
        <v>3078</v>
      </c>
      <c r="C105" s="370" t="s">
        <v>3070</v>
      </c>
      <c r="D105" s="341">
        <v>1191253.08</v>
      </c>
      <c r="E105" s="341">
        <v>12565.44</v>
      </c>
      <c r="F105" s="341">
        <v>1191253.08</v>
      </c>
      <c r="G105" s="341">
        <v>20834.72</v>
      </c>
      <c r="H105" s="341">
        <v>1191253.08</v>
      </c>
      <c r="I105" s="341">
        <v>29104</v>
      </c>
      <c r="J105" s="341">
        <v>1191253.08</v>
      </c>
      <c r="K105" s="341">
        <v>37373.279999999999</v>
      </c>
      <c r="L105" s="341">
        <v>1191253.08</v>
      </c>
      <c r="M105" s="341">
        <v>45642.559999999998</v>
      </c>
      <c r="N105" s="341">
        <v>1191253.08</v>
      </c>
      <c r="O105" s="341">
        <v>53911.839999999997</v>
      </c>
      <c r="P105" s="341">
        <v>1191253.08</v>
      </c>
      <c r="Q105" s="341">
        <v>62181.120000000003</v>
      </c>
      <c r="R105" s="341">
        <v>1191253.08</v>
      </c>
      <c r="S105" s="341">
        <v>70450.399999999994</v>
      </c>
      <c r="T105" s="341">
        <v>1191253.08</v>
      </c>
      <c r="U105" s="341">
        <v>78719.680000000008</v>
      </c>
      <c r="V105" s="341">
        <v>1191253.08</v>
      </c>
      <c r="W105" s="341">
        <v>86988.959999999992</v>
      </c>
      <c r="X105" s="341">
        <v>1191253.08</v>
      </c>
      <c r="Y105" s="341">
        <v>95258.239999999991</v>
      </c>
      <c r="Z105" s="341">
        <v>1191253.08</v>
      </c>
      <c r="AA105" s="341">
        <v>103527.52</v>
      </c>
      <c r="AB105" s="341">
        <v>1191253.08</v>
      </c>
      <c r="AC105" s="341">
        <v>111796.8</v>
      </c>
      <c r="AD105" s="341">
        <f t="shared" si="5"/>
        <v>1191253.08</v>
      </c>
      <c r="AE105" s="341">
        <f t="shared" si="5"/>
        <v>62181.119999999995</v>
      </c>
    </row>
    <row r="106" spans="1:31">
      <c r="A106" s="1209">
        <v>97</v>
      </c>
      <c r="B106" s="113" t="s">
        <v>3079</v>
      </c>
      <c r="C106" s="370" t="s">
        <v>3070</v>
      </c>
      <c r="D106" s="341">
        <v>0</v>
      </c>
      <c r="E106" s="341">
        <v>0</v>
      </c>
      <c r="F106" s="341">
        <v>0</v>
      </c>
      <c r="G106" s="341">
        <v>0</v>
      </c>
      <c r="H106" s="341">
        <v>488059.23</v>
      </c>
      <c r="I106" s="341">
        <v>0</v>
      </c>
      <c r="J106" s="341">
        <v>488059.23</v>
      </c>
      <c r="K106" s="341">
        <v>3387.94</v>
      </c>
      <c r="L106" s="341">
        <v>488059.23</v>
      </c>
      <c r="M106" s="341">
        <v>6775.88</v>
      </c>
      <c r="N106" s="341">
        <v>488059.23</v>
      </c>
      <c r="O106" s="341">
        <v>10163.82</v>
      </c>
      <c r="P106" s="341">
        <v>871426.89</v>
      </c>
      <c r="Q106" s="341">
        <v>13551.76</v>
      </c>
      <c r="R106" s="341">
        <v>871426.89</v>
      </c>
      <c r="S106" s="341">
        <v>19600.91</v>
      </c>
      <c r="T106" s="341">
        <v>871426.89</v>
      </c>
      <c r="U106" s="341">
        <v>25650.06</v>
      </c>
      <c r="V106" s="341">
        <v>871426.89</v>
      </c>
      <c r="W106" s="341">
        <v>31699.21</v>
      </c>
      <c r="X106" s="341">
        <v>871426.89</v>
      </c>
      <c r="Y106" s="341">
        <v>37748.36</v>
      </c>
      <c r="Z106" s="341">
        <v>871426.89</v>
      </c>
      <c r="AA106" s="341">
        <v>43797.51</v>
      </c>
      <c r="AB106" s="341">
        <v>871426.89</v>
      </c>
      <c r="AC106" s="341">
        <v>49846.66</v>
      </c>
      <c r="AD106" s="341">
        <f t="shared" si="5"/>
        <v>634709.30874999997</v>
      </c>
      <c r="AE106" s="341">
        <f t="shared" si="5"/>
        <v>18108.23166666667</v>
      </c>
    </row>
    <row r="107" spans="1:31">
      <c r="A107" s="1209">
        <v>98</v>
      </c>
      <c r="B107" s="113" t="s">
        <v>3080</v>
      </c>
      <c r="C107" s="370" t="s">
        <v>3070</v>
      </c>
      <c r="D107" s="341">
        <v>4188146.9299999997</v>
      </c>
      <c r="E107" s="341">
        <v>2347708.79</v>
      </c>
      <c r="F107" s="341">
        <v>4188146.93</v>
      </c>
      <c r="G107" s="341">
        <v>2374547.83</v>
      </c>
      <c r="H107" s="341">
        <v>4188146.93</v>
      </c>
      <c r="I107" s="341">
        <v>2401386.87</v>
      </c>
      <c r="J107" s="341">
        <v>4188146.93</v>
      </c>
      <c r="K107" s="341">
        <v>2428225.91</v>
      </c>
      <c r="L107" s="341">
        <v>4188146.93</v>
      </c>
      <c r="M107" s="341">
        <v>2455064.9500000002</v>
      </c>
      <c r="N107" s="341">
        <v>4188146.93</v>
      </c>
      <c r="O107" s="341">
        <v>2481903.9900000002</v>
      </c>
      <c r="P107" s="341">
        <v>4188146.93</v>
      </c>
      <c r="Q107" s="341">
        <v>2508743.0300000003</v>
      </c>
      <c r="R107" s="341">
        <v>4188146.93</v>
      </c>
      <c r="S107" s="341">
        <v>2535582.0699999998</v>
      </c>
      <c r="T107" s="341">
        <v>4188146.93</v>
      </c>
      <c r="U107" s="341">
        <v>2562421.1100000003</v>
      </c>
      <c r="V107" s="341">
        <v>4188146.93</v>
      </c>
      <c r="W107" s="341">
        <v>2589260.15</v>
      </c>
      <c r="X107" s="341">
        <v>4188146.93</v>
      </c>
      <c r="Y107" s="341">
        <v>2616099.19</v>
      </c>
      <c r="Z107" s="341">
        <v>4188146.93</v>
      </c>
      <c r="AA107" s="341">
        <v>2642938.23</v>
      </c>
      <c r="AB107" s="341">
        <v>4188146.93</v>
      </c>
      <c r="AC107" s="341">
        <v>2669777.27</v>
      </c>
      <c r="AD107" s="341">
        <f t="shared" si="5"/>
        <v>4188146.93</v>
      </c>
      <c r="AE107" s="341">
        <f t="shared" si="5"/>
        <v>2508743.0300000003</v>
      </c>
    </row>
    <row r="108" spans="1:31">
      <c r="A108" s="1209">
        <v>99</v>
      </c>
      <c r="B108" s="113" t="s">
        <v>3081</v>
      </c>
      <c r="C108" s="370" t="s">
        <v>3070</v>
      </c>
      <c r="D108" s="341">
        <v>695173.16999999993</v>
      </c>
      <c r="E108" s="341">
        <v>435903.48</v>
      </c>
      <c r="F108" s="341">
        <v>695173.17</v>
      </c>
      <c r="G108" s="341">
        <v>440039.76</v>
      </c>
      <c r="H108" s="341">
        <v>695173.17</v>
      </c>
      <c r="I108" s="341">
        <v>444176.04</v>
      </c>
      <c r="J108" s="341">
        <v>695173.17</v>
      </c>
      <c r="K108" s="341">
        <v>448312.32000000001</v>
      </c>
      <c r="L108" s="341">
        <v>695173.17</v>
      </c>
      <c r="M108" s="341">
        <v>452448.6</v>
      </c>
      <c r="N108" s="341">
        <v>695173.17</v>
      </c>
      <c r="O108" s="341">
        <v>456584.88</v>
      </c>
      <c r="P108" s="341">
        <v>695173.17</v>
      </c>
      <c r="Q108" s="341">
        <v>460721.16</v>
      </c>
      <c r="R108" s="341">
        <v>695173.17</v>
      </c>
      <c r="S108" s="341">
        <v>464857.44</v>
      </c>
      <c r="T108" s="341">
        <v>695173.17</v>
      </c>
      <c r="U108" s="341">
        <v>468993.72</v>
      </c>
      <c r="V108" s="341">
        <v>695173.17</v>
      </c>
      <c r="W108" s="341">
        <v>473130</v>
      </c>
      <c r="X108" s="341">
        <v>695173.17</v>
      </c>
      <c r="Y108" s="341">
        <v>477266.28</v>
      </c>
      <c r="Z108" s="341">
        <v>695173.17</v>
      </c>
      <c r="AA108" s="341">
        <v>481402.56</v>
      </c>
      <c r="AB108" s="341">
        <v>695173.17</v>
      </c>
      <c r="AC108" s="341">
        <v>485538.84</v>
      </c>
      <c r="AD108" s="341">
        <f t="shared" si="5"/>
        <v>695173.17</v>
      </c>
      <c r="AE108" s="341">
        <f t="shared" si="5"/>
        <v>460721.16</v>
      </c>
    </row>
    <row r="109" spans="1:31">
      <c r="A109" s="1209">
        <v>100</v>
      </c>
      <c r="B109" s="113" t="s">
        <v>3082</v>
      </c>
      <c r="C109" s="370" t="s">
        <v>3070</v>
      </c>
      <c r="D109" s="341">
        <v>2037970.8599999999</v>
      </c>
      <c r="E109" s="341">
        <v>1202448.78</v>
      </c>
      <c r="F109" s="341">
        <v>2037970.8599999999</v>
      </c>
      <c r="G109" s="341">
        <v>1214574.71</v>
      </c>
      <c r="H109" s="341">
        <v>2037970.8599999999</v>
      </c>
      <c r="I109" s="341">
        <v>1226700.6399999999</v>
      </c>
      <c r="J109" s="341">
        <v>2037970.8599999999</v>
      </c>
      <c r="K109" s="341">
        <v>1238826.57</v>
      </c>
      <c r="L109" s="341">
        <v>2037970.8599999999</v>
      </c>
      <c r="M109" s="341">
        <v>1250952.5</v>
      </c>
      <c r="N109" s="341">
        <v>2037970.8599999999</v>
      </c>
      <c r="O109" s="341">
        <v>1263078.43</v>
      </c>
      <c r="P109" s="341">
        <v>2037970.8599999999</v>
      </c>
      <c r="Q109" s="341">
        <v>1275204.3600000001</v>
      </c>
      <c r="R109" s="341">
        <v>2037970.8599999999</v>
      </c>
      <c r="S109" s="341">
        <v>1287330.29</v>
      </c>
      <c r="T109" s="341">
        <v>2037970.8599999999</v>
      </c>
      <c r="U109" s="341">
        <v>1299456.22</v>
      </c>
      <c r="V109" s="341">
        <v>2037970.8599999999</v>
      </c>
      <c r="W109" s="341">
        <v>1311582.1499999999</v>
      </c>
      <c r="X109" s="341">
        <v>2037970.8599999999</v>
      </c>
      <c r="Y109" s="341">
        <v>1323708.08</v>
      </c>
      <c r="Z109" s="341">
        <v>2037970.8599999999</v>
      </c>
      <c r="AA109" s="341">
        <v>1335834.01</v>
      </c>
      <c r="AB109" s="341">
        <v>2037970.8599999999</v>
      </c>
      <c r="AC109" s="341">
        <v>1347959.94</v>
      </c>
      <c r="AD109" s="341">
        <f t="shared" si="5"/>
        <v>2037970.8599999996</v>
      </c>
      <c r="AE109" s="341">
        <f t="shared" si="5"/>
        <v>1275204.3600000001</v>
      </c>
    </row>
    <row r="110" spans="1:31">
      <c r="A110" s="1209">
        <v>101</v>
      </c>
      <c r="B110" s="113" t="s">
        <v>3083</v>
      </c>
      <c r="C110" s="370" t="s">
        <v>3070</v>
      </c>
      <c r="D110" s="341">
        <v>17063587.219999999</v>
      </c>
      <c r="E110" s="341">
        <v>9000975.5700000003</v>
      </c>
      <c r="F110" s="341">
        <v>17063587.219999999</v>
      </c>
      <c r="G110" s="341">
        <v>9095820.6799999997</v>
      </c>
      <c r="H110" s="341">
        <v>17063587.219999999</v>
      </c>
      <c r="I110" s="341">
        <v>9190665.7899999991</v>
      </c>
      <c r="J110" s="341">
        <v>17063587.219999999</v>
      </c>
      <c r="K110" s="341">
        <v>9285510.8999999985</v>
      </c>
      <c r="L110" s="341">
        <v>17063587.219999999</v>
      </c>
      <c r="M110" s="341">
        <v>9380356.0099999998</v>
      </c>
      <c r="N110" s="341">
        <v>17063587.219999999</v>
      </c>
      <c r="O110" s="341">
        <v>9475201.120000001</v>
      </c>
      <c r="P110" s="341">
        <v>17063587.219999999</v>
      </c>
      <c r="Q110" s="341">
        <v>9570046.2300000004</v>
      </c>
      <c r="R110" s="341">
        <v>17063587.219999999</v>
      </c>
      <c r="S110" s="341">
        <v>9664891.3399999999</v>
      </c>
      <c r="T110" s="341">
        <v>17063587.219999999</v>
      </c>
      <c r="U110" s="341">
        <v>9759736.4499999993</v>
      </c>
      <c r="V110" s="341">
        <v>17063587.219999999</v>
      </c>
      <c r="W110" s="341">
        <v>9854581.5600000005</v>
      </c>
      <c r="X110" s="341">
        <v>17063587.219999999</v>
      </c>
      <c r="Y110" s="341">
        <v>9949426.6699999999</v>
      </c>
      <c r="Z110" s="341">
        <v>17063587.219999999</v>
      </c>
      <c r="AA110" s="341">
        <v>10044271.779999999</v>
      </c>
      <c r="AB110" s="341">
        <v>17063587.219999999</v>
      </c>
      <c r="AC110" s="341">
        <v>10139116.890000001</v>
      </c>
      <c r="AD110" s="341">
        <f t="shared" si="5"/>
        <v>17063587.219999999</v>
      </c>
      <c r="AE110" s="341">
        <f t="shared" si="5"/>
        <v>9570046.2300000023</v>
      </c>
    </row>
    <row r="111" spans="1:31">
      <c r="A111" s="1209">
        <v>102</v>
      </c>
      <c r="B111" s="113" t="s">
        <v>3084</v>
      </c>
      <c r="C111" s="370" t="s">
        <v>3070</v>
      </c>
      <c r="D111" s="341">
        <v>541240.59</v>
      </c>
      <c r="E111" s="341">
        <v>261306.47</v>
      </c>
      <c r="F111" s="341">
        <v>541240.59</v>
      </c>
      <c r="G111" s="341">
        <v>264314.87</v>
      </c>
      <c r="H111" s="341">
        <v>541240.59</v>
      </c>
      <c r="I111" s="341">
        <v>267323.27</v>
      </c>
      <c r="J111" s="341">
        <v>541240.59</v>
      </c>
      <c r="K111" s="341">
        <v>270331.67</v>
      </c>
      <c r="L111" s="341">
        <v>541240.59</v>
      </c>
      <c r="M111" s="341">
        <v>273340.07</v>
      </c>
      <c r="N111" s="341">
        <v>541240.59</v>
      </c>
      <c r="O111" s="341">
        <v>276348.46999999997</v>
      </c>
      <c r="P111" s="341">
        <v>541240.59</v>
      </c>
      <c r="Q111" s="341">
        <v>279356.87</v>
      </c>
      <c r="R111" s="341">
        <v>541240.59</v>
      </c>
      <c r="S111" s="341">
        <v>282365.27</v>
      </c>
      <c r="T111" s="341">
        <v>541240.59</v>
      </c>
      <c r="U111" s="341">
        <v>285373.67</v>
      </c>
      <c r="V111" s="341">
        <v>541240.59</v>
      </c>
      <c r="W111" s="341">
        <v>288382.07</v>
      </c>
      <c r="X111" s="341">
        <v>541240.59</v>
      </c>
      <c r="Y111" s="341">
        <v>291390.46999999997</v>
      </c>
      <c r="Z111" s="341">
        <v>541240.59</v>
      </c>
      <c r="AA111" s="341">
        <v>294398.87</v>
      </c>
      <c r="AB111" s="341">
        <v>541240.59</v>
      </c>
      <c r="AC111" s="341">
        <v>297407.27</v>
      </c>
      <c r="AD111" s="341">
        <f t="shared" si="5"/>
        <v>541240.59</v>
      </c>
      <c r="AE111" s="341">
        <f t="shared" si="5"/>
        <v>279356.87000000005</v>
      </c>
    </row>
    <row r="112" spans="1:31">
      <c r="A112" s="1209">
        <v>103</v>
      </c>
      <c r="B112" s="113" t="s">
        <v>3085</v>
      </c>
      <c r="C112" s="113" t="s">
        <v>3070</v>
      </c>
      <c r="D112" s="341">
        <v>133873.49</v>
      </c>
      <c r="E112" s="341">
        <v>17854.990000000002</v>
      </c>
      <c r="F112" s="341">
        <v>133873.49</v>
      </c>
      <c r="G112" s="341">
        <v>18599.100000000002</v>
      </c>
      <c r="H112" s="341">
        <v>133873.49</v>
      </c>
      <c r="I112" s="341">
        <v>19343.21</v>
      </c>
      <c r="J112" s="341">
        <v>133873.49</v>
      </c>
      <c r="K112" s="341">
        <v>20087.32</v>
      </c>
      <c r="L112" s="341">
        <v>133873.49</v>
      </c>
      <c r="M112" s="341">
        <v>20831.43</v>
      </c>
      <c r="N112" s="341">
        <v>133873.49</v>
      </c>
      <c r="O112" s="341">
        <v>21575.54</v>
      </c>
      <c r="P112" s="341">
        <v>133873.49</v>
      </c>
      <c r="Q112" s="341">
        <v>22319.65</v>
      </c>
      <c r="R112" s="341">
        <v>133873.49</v>
      </c>
      <c r="S112" s="341">
        <v>23063.760000000002</v>
      </c>
      <c r="T112" s="341">
        <v>133873.49</v>
      </c>
      <c r="U112" s="341">
        <v>23807.87</v>
      </c>
      <c r="V112" s="341">
        <v>133873.49</v>
      </c>
      <c r="W112" s="341">
        <v>24551.98</v>
      </c>
      <c r="X112" s="341">
        <v>133873.49</v>
      </c>
      <c r="Y112" s="341">
        <v>25296.09</v>
      </c>
      <c r="Z112" s="341">
        <v>133873.49</v>
      </c>
      <c r="AA112" s="341">
        <v>26040.2</v>
      </c>
      <c r="AB112" s="341">
        <v>133873.49</v>
      </c>
      <c r="AC112" s="341">
        <v>26784.31</v>
      </c>
      <c r="AD112" s="341">
        <f t="shared" si="5"/>
        <v>133873.49</v>
      </c>
      <c r="AE112" s="341">
        <f t="shared" si="5"/>
        <v>22319.650000000005</v>
      </c>
    </row>
    <row r="113" spans="1:31">
      <c r="A113" s="1209">
        <v>104</v>
      </c>
      <c r="B113" s="113" t="s">
        <v>3086</v>
      </c>
      <c r="C113" s="113" t="s">
        <v>3070</v>
      </c>
      <c r="D113" s="341">
        <v>55564.55</v>
      </c>
      <c r="E113" s="341">
        <v>4012.76</v>
      </c>
      <c r="F113" s="341">
        <v>55564.55</v>
      </c>
      <c r="G113" s="341">
        <v>4321.6099999999997</v>
      </c>
      <c r="H113" s="341">
        <v>55564.55</v>
      </c>
      <c r="I113" s="341">
        <v>4630.46</v>
      </c>
      <c r="J113" s="341">
        <v>55564.55</v>
      </c>
      <c r="K113" s="341">
        <v>4939.3099999999995</v>
      </c>
      <c r="L113" s="341">
        <v>55564.55</v>
      </c>
      <c r="M113" s="341">
        <v>5248.16</v>
      </c>
      <c r="N113" s="341">
        <v>55564.55</v>
      </c>
      <c r="O113" s="341">
        <v>5557.01</v>
      </c>
      <c r="P113" s="341">
        <v>55564.55</v>
      </c>
      <c r="Q113" s="341">
        <v>5865.86</v>
      </c>
      <c r="R113" s="341">
        <v>55564.55</v>
      </c>
      <c r="S113" s="341">
        <v>6174.71</v>
      </c>
      <c r="T113" s="341">
        <v>55564.55</v>
      </c>
      <c r="U113" s="341">
        <v>6483.5599999999995</v>
      </c>
      <c r="V113" s="341">
        <v>55564.55</v>
      </c>
      <c r="W113" s="341">
        <v>6792.4100000000008</v>
      </c>
      <c r="X113" s="341">
        <v>55564.55</v>
      </c>
      <c r="Y113" s="341">
        <v>7101.26</v>
      </c>
      <c r="Z113" s="341">
        <v>55564.55</v>
      </c>
      <c r="AA113" s="341">
        <v>7410.1100000000006</v>
      </c>
      <c r="AB113" s="341">
        <v>55564.55</v>
      </c>
      <c r="AC113" s="341">
        <v>7718.9600000000009</v>
      </c>
      <c r="AD113" s="341">
        <f t="shared" si="5"/>
        <v>55564.55000000001</v>
      </c>
      <c r="AE113" s="341">
        <f t="shared" si="5"/>
        <v>5865.8600000000006</v>
      </c>
    </row>
    <row r="114" spans="1:31">
      <c r="A114" s="1209">
        <v>105</v>
      </c>
      <c r="B114" s="113" t="s">
        <v>3087</v>
      </c>
      <c r="C114" s="113" t="s">
        <v>3070</v>
      </c>
      <c r="D114" s="341">
        <v>7720.22</v>
      </c>
      <c r="E114" s="341">
        <v>7720.2199999999993</v>
      </c>
      <c r="F114" s="341">
        <v>7720.2199999999993</v>
      </c>
      <c r="G114" s="341">
        <v>7720.22</v>
      </c>
      <c r="H114" s="341">
        <v>7720.2199999999993</v>
      </c>
      <c r="I114" s="341">
        <v>7720.22</v>
      </c>
      <c r="J114" s="341">
        <v>7720.2199999999993</v>
      </c>
      <c r="K114" s="341">
        <v>7720.22</v>
      </c>
      <c r="L114" s="341">
        <v>7720.2199999999993</v>
      </c>
      <c r="M114" s="341">
        <v>7720.22</v>
      </c>
      <c r="N114" s="341">
        <v>7720.2199999999993</v>
      </c>
      <c r="O114" s="341">
        <v>7720.22</v>
      </c>
      <c r="P114" s="341">
        <v>7720.2199999999993</v>
      </c>
      <c r="Q114" s="341">
        <v>7720.22</v>
      </c>
      <c r="R114" s="341">
        <v>7720.2199999999993</v>
      </c>
      <c r="S114" s="341">
        <v>7720.22</v>
      </c>
      <c r="T114" s="341">
        <v>7720.2199999999993</v>
      </c>
      <c r="U114" s="341">
        <v>7720.22</v>
      </c>
      <c r="V114" s="341">
        <v>7720.2199999999993</v>
      </c>
      <c r="W114" s="341">
        <v>7720.22</v>
      </c>
      <c r="X114" s="341">
        <v>7720.2199999999993</v>
      </c>
      <c r="Y114" s="341">
        <v>7720.22</v>
      </c>
      <c r="Z114" s="341">
        <v>7720.2199999999993</v>
      </c>
      <c r="AA114" s="341">
        <v>7720.22</v>
      </c>
      <c r="AB114" s="341">
        <v>7720.2199999999993</v>
      </c>
      <c r="AC114" s="341">
        <v>7720.22</v>
      </c>
      <c r="AD114" s="341">
        <f t="shared" si="5"/>
        <v>7720.22</v>
      </c>
      <c r="AE114" s="341">
        <f t="shared" si="5"/>
        <v>7720.22</v>
      </c>
    </row>
    <row r="115" spans="1:31">
      <c r="A115" s="1209">
        <v>106</v>
      </c>
      <c r="B115" s="113" t="s">
        <v>3088</v>
      </c>
      <c r="C115" s="113" t="s">
        <v>3070</v>
      </c>
      <c r="D115" s="341">
        <v>30627.77</v>
      </c>
      <c r="E115" s="341">
        <v>26373.87</v>
      </c>
      <c r="F115" s="341">
        <v>30627.77</v>
      </c>
      <c r="G115" s="341">
        <v>27224.639999999999</v>
      </c>
      <c r="H115" s="341">
        <v>30627.77</v>
      </c>
      <c r="I115" s="341">
        <v>28075.41</v>
      </c>
      <c r="J115" s="341">
        <v>30627.77</v>
      </c>
      <c r="K115" s="341">
        <v>28926.18</v>
      </c>
      <c r="L115" s="341">
        <v>30627.77</v>
      </c>
      <c r="M115" s="341">
        <v>29776.95</v>
      </c>
      <c r="N115" s="341">
        <v>30627.77</v>
      </c>
      <c r="O115" s="341">
        <v>30627.72</v>
      </c>
      <c r="P115" s="341">
        <v>30627.77</v>
      </c>
      <c r="Q115" s="341">
        <v>30627.77</v>
      </c>
      <c r="R115" s="341">
        <v>30627.77</v>
      </c>
      <c r="S115" s="341">
        <v>30627.77</v>
      </c>
      <c r="T115" s="341">
        <v>30627.77</v>
      </c>
      <c r="U115" s="341">
        <v>30627.77</v>
      </c>
      <c r="V115" s="341">
        <v>30627.77</v>
      </c>
      <c r="W115" s="341">
        <v>30627.77</v>
      </c>
      <c r="X115" s="341">
        <v>30627.77</v>
      </c>
      <c r="Y115" s="341">
        <v>30627.77</v>
      </c>
      <c r="Z115" s="341">
        <v>30627.77</v>
      </c>
      <c r="AA115" s="341">
        <v>30627.77</v>
      </c>
      <c r="AB115" s="341">
        <v>30627.77</v>
      </c>
      <c r="AC115" s="341">
        <v>30627.77</v>
      </c>
      <c r="AD115" s="341">
        <f t="shared" si="5"/>
        <v>30627.770000000004</v>
      </c>
      <c r="AE115" s="341">
        <f t="shared" si="5"/>
        <v>29741.528333333335</v>
      </c>
    </row>
    <row r="116" spans="1:31">
      <c r="A116" s="1209">
        <v>107</v>
      </c>
      <c r="B116" s="113" t="s">
        <v>3089</v>
      </c>
      <c r="C116" s="113" t="s">
        <v>3070</v>
      </c>
      <c r="D116" s="341">
        <v>0</v>
      </c>
      <c r="E116" s="341">
        <v>0</v>
      </c>
      <c r="F116" s="341">
        <v>0</v>
      </c>
      <c r="G116" s="341">
        <v>0</v>
      </c>
      <c r="H116" s="341">
        <v>0</v>
      </c>
      <c r="I116" s="341">
        <v>0</v>
      </c>
      <c r="J116" s="341">
        <v>0</v>
      </c>
      <c r="K116" s="341">
        <v>0</v>
      </c>
      <c r="L116" s="341">
        <v>0</v>
      </c>
      <c r="M116" s="341">
        <v>0</v>
      </c>
      <c r="N116" s="341">
        <v>0</v>
      </c>
      <c r="O116" s="341">
        <v>0</v>
      </c>
      <c r="P116" s="341">
        <v>0</v>
      </c>
      <c r="Q116" s="341">
        <v>0</v>
      </c>
      <c r="R116" s="341">
        <v>0</v>
      </c>
      <c r="S116" s="341">
        <v>0</v>
      </c>
      <c r="T116" s="341">
        <v>0</v>
      </c>
      <c r="U116" s="341">
        <v>0</v>
      </c>
      <c r="V116" s="341">
        <v>0</v>
      </c>
      <c r="W116" s="341">
        <v>0</v>
      </c>
      <c r="X116" s="341">
        <v>0</v>
      </c>
      <c r="Y116" s="341">
        <v>0</v>
      </c>
      <c r="Z116" s="341">
        <v>28320.170000000002</v>
      </c>
      <c r="AA116" s="341">
        <v>0</v>
      </c>
      <c r="AB116" s="341">
        <v>0</v>
      </c>
      <c r="AC116" s="341">
        <v>0</v>
      </c>
      <c r="AD116" s="341">
        <f t="shared" si="5"/>
        <v>2360.0141666666668</v>
      </c>
      <c r="AE116" s="341">
        <f t="shared" si="5"/>
        <v>0</v>
      </c>
    </row>
    <row r="117" spans="1:31">
      <c r="A117" s="1209">
        <v>108</v>
      </c>
      <c r="B117" s="113" t="s">
        <v>3090</v>
      </c>
      <c r="C117" s="113" t="s">
        <v>3070</v>
      </c>
      <c r="D117" s="341">
        <v>14271.5</v>
      </c>
      <c r="E117" s="341">
        <v>14271.5</v>
      </c>
      <c r="F117" s="341">
        <v>14271.5</v>
      </c>
      <c r="G117" s="341">
        <v>14271.5</v>
      </c>
      <c r="H117" s="341">
        <v>14271.5</v>
      </c>
      <c r="I117" s="341">
        <v>14271.5</v>
      </c>
      <c r="J117" s="341">
        <v>14271.5</v>
      </c>
      <c r="K117" s="341">
        <v>14271.5</v>
      </c>
      <c r="L117" s="341">
        <v>14271.5</v>
      </c>
      <c r="M117" s="341">
        <v>14271.5</v>
      </c>
      <c r="N117" s="341">
        <v>14271.5</v>
      </c>
      <c r="O117" s="341">
        <v>14271.5</v>
      </c>
      <c r="P117" s="341">
        <v>14271.5</v>
      </c>
      <c r="Q117" s="341">
        <v>14271.5</v>
      </c>
      <c r="R117" s="341">
        <v>14271.5</v>
      </c>
      <c r="S117" s="341">
        <v>14271.5</v>
      </c>
      <c r="T117" s="341">
        <v>14271.5</v>
      </c>
      <c r="U117" s="341">
        <v>14271.5</v>
      </c>
      <c r="V117" s="341">
        <v>14271.5</v>
      </c>
      <c r="W117" s="341">
        <v>14271.5</v>
      </c>
      <c r="X117" s="341">
        <v>14271.5</v>
      </c>
      <c r="Y117" s="341">
        <v>14271.5</v>
      </c>
      <c r="Z117" s="341">
        <v>14271.5</v>
      </c>
      <c r="AA117" s="341">
        <v>14271.5</v>
      </c>
      <c r="AB117" s="341">
        <v>14271.5</v>
      </c>
      <c r="AC117" s="341">
        <v>14271.5</v>
      </c>
      <c r="AD117" s="341">
        <f t="shared" si="5"/>
        <v>14271.5</v>
      </c>
      <c r="AE117" s="341">
        <f t="shared" si="5"/>
        <v>14271.5</v>
      </c>
    </row>
    <row r="118" spans="1:31">
      <c r="A118" s="1209">
        <v>109</v>
      </c>
      <c r="B118" s="113" t="s">
        <v>3091</v>
      </c>
      <c r="C118" s="113" t="s">
        <v>3070</v>
      </c>
      <c r="D118" s="341">
        <v>116864.94</v>
      </c>
      <c r="E118" s="341">
        <v>64277.909999999996</v>
      </c>
      <c r="F118" s="341">
        <v>116864.94</v>
      </c>
      <c r="G118" s="341">
        <v>66225.66</v>
      </c>
      <c r="H118" s="341">
        <v>116864.94</v>
      </c>
      <c r="I118" s="341">
        <v>68173.41</v>
      </c>
      <c r="J118" s="341">
        <v>116864.94</v>
      </c>
      <c r="K118" s="341">
        <v>70121.16</v>
      </c>
      <c r="L118" s="341">
        <v>116864.94</v>
      </c>
      <c r="M118" s="341">
        <v>72068.91</v>
      </c>
      <c r="N118" s="341">
        <v>116864.94</v>
      </c>
      <c r="O118" s="341">
        <v>74016.66</v>
      </c>
      <c r="P118" s="341">
        <v>116864.94</v>
      </c>
      <c r="Q118" s="341">
        <v>75964.41</v>
      </c>
      <c r="R118" s="341">
        <v>116864.94</v>
      </c>
      <c r="S118" s="341">
        <v>77912.160000000003</v>
      </c>
      <c r="T118" s="341">
        <v>116864.94</v>
      </c>
      <c r="U118" s="341">
        <v>79859.91</v>
      </c>
      <c r="V118" s="341">
        <v>116864.94</v>
      </c>
      <c r="W118" s="341">
        <v>81807.66</v>
      </c>
      <c r="X118" s="341">
        <v>116864.94</v>
      </c>
      <c r="Y118" s="341">
        <v>83755.41</v>
      </c>
      <c r="Z118" s="341">
        <v>116864.94</v>
      </c>
      <c r="AA118" s="341">
        <v>85703.16</v>
      </c>
      <c r="AB118" s="341">
        <v>116864.94</v>
      </c>
      <c r="AC118" s="341">
        <v>87650.91</v>
      </c>
      <c r="AD118" s="341">
        <f t="shared" si="5"/>
        <v>116864.93999999996</v>
      </c>
      <c r="AE118" s="341">
        <f t="shared" si="5"/>
        <v>75964.410000000018</v>
      </c>
    </row>
    <row r="119" spans="1:31">
      <c r="A119" s="1209">
        <v>110</v>
      </c>
      <c r="B119" s="113" t="s">
        <v>3092</v>
      </c>
      <c r="C119" s="113" t="s">
        <v>3070</v>
      </c>
      <c r="D119" s="341">
        <v>102398.32</v>
      </c>
      <c r="E119" s="341">
        <v>40938.949999999997</v>
      </c>
      <c r="F119" s="341">
        <v>102398.32</v>
      </c>
      <c r="G119" s="341">
        <v>42645.590000000004</v>
      </c>
      <c r="H119" s="341">
        <v>102398.32</v>
      </c>
      <c r="I119" s="341">
        <v>44352.229999999996</v>
      </c>
      <c r="J119" s="341">
        <v>102398.32</v>
      </c>
      <c r="K119" s="341">
        <v>46058.87</v>
      </c>
      <c r="L119" s="341">
        <v>102398.32</v>
      </c>
      <c r="M119" s="341">
        <v>47765.51</v>
      </c>
      <c r="N119" s="341">
        <v>102398.32</v>
      </c>
      <c r="O119" s="341">
        <v>49472.149999999994</v>
      </c>
      <c r="P119" s="341">
        <v>102398.32</v>
      </c>
      <c r="Q119" s="341">
        <v>51178.79</v>
      </c>
      <c r="R119" s="341">
        <v>102398.32</v>
      </c>
      <c r="S119" s="341">
        <v>52885.43</v>
      </c>
      <c r="T119" s="341">
        <v>102398.32</v>
      </c>
      <c r="U119" s="341">
        <v>54592.070000000007</v>
      </c>
      <c r="V119" s="341">
        <v>102398.32</v>
      </c>
      <c r="W119" s="341">
        <v>56298.71</v>
      </c>
      <c r="X119" s="341">
        <v>102398.32</v>
      </c>
      <c r="Y119" s="341">
        <v>58005.35</v>
      </c>
      <c r="Z119" s="341">
        <v>102398.32</v>
      </c>
      <c r="AA119" s="341">
        <v>59711.990000000005</v>
      </c>
      <c r="AB119" s="341">
        <v>102398.32</v>
      </c>
      <c r="AC119" s="341">
        <v>61418.630000000005</v>
      </c>
      <c r="AD119" s="341">
        <f t="shared" si="5"/>
        <v>102398.32000000002</v>
      </c>
      <c r="AE119" s="341">
        <f t="shared" si="5"/>
        <v>51178.790000000008</v>
      </c>
    </row>
    <row r="120" spans="1:31">
      <c r="A120" s="1209">
        <v>111</v>
      </c>
      <c r="B120" s="113" t="s">
        <v>3093</v>
      </c>
      <c r="C120" s="113" t="s">
        <v>3070</v>
      </c>
      <c r="D120" s="341">
        <v>637921.69999999995</v>
      </c>
      <c r="E120" s="341">
        <v>0</v>
      </c>
      <c r="F120" s="341">
        <v>637921.69999999995</v>
      </c>
      <c r="G120" s="341">
        <v>0</v>
      </c>
      <c r="H120" s="341">
        <v>637921.69999999995</v>
      </c>
      <c r="I120" s="341">
        <v>0</v>
      </c>
      <c r="J120" s="341">
        <v>637921.69999999995</v>
      </c>
      <c r="K120" s="341">
        <v>0</v>
      </c>
      <c r="L120" s="341">
        <v>637921.69999999995</v>
      </c>
      <c r="M120" s="341">
        <v>0</v>
      </c>
      <c r="N120" s="341">
        <v>637921.69999999995</v>
      </c>
      <c r="O120" s="341">
        <v>0</v>
      </c>
      <c r="P120" s="341">
        <v>637921.69999999995</v>
      </c>
      <c r="Q120" s="341">
        <v>0</v>
      </c>
      <c r="R120" s="341">
        <v>637921.69999999995</v>
      </c>
      <c r="S120" s="341">
        <v>0</v>
      </c>
      <c r="T120" s="341">
        <v>637921.69999999995</v>
      </c>
      <c r="U120" s="341">
        <v>0</v>
      </c>
      <c r="V120" s="341">
        <v>637921.69999999995</v>
      </c>
      <c r="W120" s="341">
        <v>0</v>
      </c>
      <c r="X120" s="341">
        <v>637921.69999999995</v>
      </c>
      <c r="Y120" s="341">
        <v>0</v>
      </c>
      <c r="Z120" s="341">
        <v>637921.69999999995</v>
      </c>
      <c r="AA120" s="341">
        <v>0</v>
      </c>
      <c r="AB120" s="341">
        <v>896076.42999999993</v>
      </c>
      <c r="AC120" s="341">
        <v>0</v>
      </c>
      <c r="AD120" s="341">
        <f t="shared" si="5"/>
        <v>648678.14708333334</v>
      </c>
      <c r="AE120" s="341">
        <f t="shared" si="5"/>
        <v>0</v>
      </c>
    </row>
    <row r="121" spans="1:31">
      <c r="A121" s="1209">
        <v>112</v>
      </c>
      <c r="B121" s="113" t="s">
        <v>3094</v>
      </c>
      <c r="C121" s="113" t="s">
        <v>3070</v>
      </c>
      <c r="D121" s="341">
        <v>14573.87</v>
      </c>
      <c r="E121" s="341">
        <v>0</v>
      </c>
      <c r="F121" s="341">
        <v>14986.830000000002</v>
      </c>
      <c r="G121" s="341">
        <v>242.9</v>
      </c>
      <c r="H121" s="341">
        <v>15865.33</v>
      </c>
      <c r="I121" s="341">
        <v>492.68</v>
      </c>
      <c r="J121" s="341">
        <v>15978.82</v>
      </c>
      <c r="K121" s="341">
        <v>757.1</v>
      </c>
      <c r="L121" s="341">
        <v>15978.82</v>
      </c>
      <c r="M121" s="341">
        <v>1023.4100000000001</v>
      </c>
      <c r="N121" s="341">
        <v>16038.01</v>
      </c>
      <c r="O121" s="341">
        <v>1289.72</v>
      </c>
      <c r="P121" s="341">
        <v>16038.01</v>
      </c>
      <c r="Q121" s="341">
        <v>1557.02</v>
      </c>
      <c r="R121" s="341">
        <v>16038.01</v>
      </c>
      <c r="S121" s="341">
        <v>1824.3200000000002</v>
      </c>
      <c r="T121" s="341">
        <v>16038.01</v>
      </c>
      <c r="U121" s="341">
        <v>2091.62</v>
      </c>
      <c r="V121" s="341">
        <v>16038.01</v>
      </c>
      <c r="W121" s="341">
        <v>2358.92</v>
      </c>
      <c r="X121" s="341">
        <v>16038.01</v>
      </c>
      <c r="Y121" s="341">
        <v>2626.2200000000003</v>
      </c>
      <c r="Z121" s="341">
        <v>16038.01</v>
      </c>
      <c r="AA121" s="341">
        <v>2893.52</v>
      </c>
      <c r="AB121" s="341">
        <v>16039.150000000001</v>
      </c>
      <c r="AC121" s="341">
        <v>3160.82</v>
      </c>
      <c r="AD121" s="341">
        <f t="shared" si="5"/>
        <v>15865.198333333334</v>
      </c>
      <c r="AE121" s="341">
        <f t="shared" si="5"/>
        <v>1561.4866666666667</v>
      </c>
    </row>
    <row r="122" spans="1:31">
      <c r="A122" s="1209">
        <v>113</v>
      </c>
      <c r="B122" s="113" t="s">
        <v>3095</v>
      </c>
      <c r="C122" s="113" t="s">
        <v>3070</v>
      </c>
      <c r="D122" s="341">
        <v>0</v>
      </c>
      <c r="E122" s="341">
        <v>0</v>
      </c>
      <c r="F122" s="341">
        <v>0</v>
      </c>
      <c r="G122" s="341">
        <v>0</v>
      </c>
      <c r="H122" s="341">
        <v>0</v>
      </c>
      <c r="I122" s="341">
        <v>0</v>
      </c>
      <c r="J122" s="341">
        <v>0</v>
      </c>
      <c r="K122" s="341">
        <v>0</v>
      </c>
      <c r="L122" s="341">
        <v>0</v>
      </c>
      <c r="M122" s="341">
        <v>0</v>
      </c>
      <c r="N122" s="341">
        <v>0</v>
      </c>
      <c r="O122" s="341">
        <v>0</v>
      </c>
      <c r="P122" s="341">
        <v>0</v>
      </c>
      <c r="Q122" s="341">
        <v>0</v>
      </c>
      <c r="R122" s="341">
        <v>0</v>
      </c>
      <c r="S122" s="341">
        <v>0</v>
      </c>
      <c r="T122" s="341">
        <v>0</v>
      </c>
      <c r="U122" s="341">
        <v>0</v>
      </c>
      <c r="V122" s="341">
        <v>0</v>
      </c>
      <c r="W122" s="341">
        <v>0</v>
      </c>
      <c r="X122" s="341">
        <v>0</v>
      </c>
      <c r="Y122" s="341">
        <v>0</v>
      </c>
      <c r="Z122" s="341">
        <v>0</v>
      </c>
      <c r="AA122" s="341">
        <v>0</v>
      </c>
      <c r="AB122" s="341">
        <v>1184110.1499999999</v>
      </c>
      <c r="AC122" s="341">
        <v>0</v>
      </c>
      <c r="AD122" s="341">
        <f t="shared" si="5"/>
        <v>49337.922916666663</v>
      </c>
      <c r="AE122" s="341">
        <f t="shared" si="5"/>
        <v>0</v>
      </c>
    </row>
    <row r="123" spans="1:31">
      <c r="A123" s="1209">
        <v>114</v>
      </c>
      <c r="B123" s="113" t="s">
        <v>3096</v>
      </c>
      <c r="C123" s="113" t="s">
        <v>3070</v>
      </c>
      <c r="D123" s="341">
        <v>131168.49</v>
      </c>
      <c r="E123" s="341">
        <v>131168.49</v>
      </c>
      <c r="F123" s="341">
        <v>131168.49</v>
      </c>
      <c r="G123" s="341">
        <v>131168.49</v>
      </c>
      <c r="H123" s="341">
        <v>131168.49</v>
      </c>
      <c r="I123" s="341">
        <v>131168.49</v>
      </c>
      <c r="J123" s="341">
        <v>131168.49</v>
      </c>
      <c r="K123" s="341">
        <v>131168.49</v>
      </c>
      <c r="L123" s="341">
        <v>131168.49</v>
      </c>
      <c r="M123" s="341">
        <v>131168.49</v>
      </c>
      <c r="N123" s="341">
        <v>131168.49</v>
      </c>
      <c r="O123" s="341">
        <v>131168.49</v>
      </c>
      <c r="P123" s="341">
        <v>131168.49</v>
      </c>
      <c r="Q123" s="341">
        <v>131168.49</v>
      </c>
      <c r="R123" s="341">
        <v>131168.49</v>
      </c>
      <c r="S123" s="341">
        <v>131168.49</v>
      </c>
      <c r="T123" s="341">
        <v>131168.49</v>
      </c>
      <c r="U123" s="341">
        <v>131168.49</v>
      </c>
      <c r="V123" s="341">
        <v>131168.49</v>
      </c>
      <c r="W123" s="341">
        <v>131168.49</v>
      </c>
      <c r="X123" s="341">
        <v>131168.49</v>
      </c>
      <c r="Y123" s="341">
        <v>131168.49</v>
      </c>
      <c r="Z123" s="341">
        <v>131168.49</v>
      </c>
      <c r="AA123" s="341">
        <v>131168.49</v>
      </c>
      <c r="AB123" s="341">
        <v>131168.49</v>
      </c>
      <c r="AC123" s="341">
        <v>131168.49</v>
      </c>
      <c r="AD123" s="341">
        <f t="shared" si="5"/>
        <v>131168.49</v>
      </c>
      <c r="AE123" s="341">
        <f t="shared" si="5"/>
        <v>131168.49</v>
      </c>
    </row>
    <row r="124" spans="1:31">
      <c r="A124" s="1209">
        <v>115</v>
      </c>
      <c r="B124" s="113" t="s">
        <v>3097</v>
      </c>
      <c r="C124" s="113" t="s">
        <v>3070</v>
      </c>
      <c r="D124" s="341">
        <v>3004957.37</v>
      </c>
      <c r="E124" s="341">
        <v>2659555.21</v>
      </c>
      <c r="F124" s="341">
        <v>3004957.3699999996</v>
      </c>
      <c r="G124" s="341">
        <v>2695339.24</v>
      </c>
      <c r="H124" s="341">
        <v>3004957.3699999996</v>
      </c>
      <c r="I124" s="341">
        <v>2731123.27</v>
      </c>
      <c r="J124" s="341">
        <v>3004957.3699999996</v>
      </c>
      <c r="K124" s="341">
        <v>2766907.3</v>
      </c>
      <c r="L124" s="341">
        <v>3004957.3699999996</v>
      </c>
      <c r="M124" s="341">
        <v>2802691.33</v>
      </c>
      <c r="N124" s="341">
        <v>3004957.3699999996</v>
      </c>
      <c r="O124" s="341">
        <v>2838475.36</v>
      </c>
      <c r="P124" s="341">
        <v>3004957.3699999996</v>
      </c>
      <c r="Q124" s="341">
        <v>2874259.39</v>
      </c>
      <c r="R124" s="341">
        <v>3004957.3699999996</v>
      </c>
      <c r="S124" s="341">
        <v>2910043.42</v>
      </c>
      <c r="T124" s="341">
        <v>3004957.3699999996</v>
      </c>
      <c r="U124" s="341">
        <v>2945827.4499999997</v>
      </c>
      <c r="V124" s="341">
        <v>3004957.3699999996</v>
      </c>
      <c r="W124" s="341">
        <v>2981611.48</v>
      </c>
      <c r="X124" s="341">
        <v>3004957.3699999996</v>
      </c>
      <c r="Y124" s="341">
        <v>3004957.37</v>
      </c>
      <c r="Z124" s="341">
        <v>3004957.3699999996</v>
      </c>
      <c r="AA124" s="341">
        <v>3004957.37</v>
      </c>
      <c r="AB124" s="341">
        <v>3004957.3699999996</v>
      </c>
      <c r="AC124" s="341">
        <v>3004957.37</v>
      </c>
      <c r="AD124" s="341">
        <f t="shared" si="5"/>
        <v>3004957.3700000006</v>
      </c>
      <c r="AE124" s="341">
        <f t="shared" si="5"/>
        <v>2865704.1058333335</v>
      </c>
    </row>
    <row r="125" spans="1:31">
      <c r="A125" s="1209">
        <v>116</v>
      </c>
      <c r="B125" s="113" t="s">
        <v>3098</v>
      </c>
      <c r="C125" s="113" t="s">
        <v>3070</v>
      </c>
      <c r="D125" s="341">
        <v>585144.89</v>
      </c>
      <c r="E125" s="341">
        <v>437028.16000000003</v>
      </c>
      <c r="F125" s="341">
        <v>585144.89</v>
      </c>
      <c r="G125" s="341">
        <v>443996.26</v>
      </c>
      <c r="H125" s="341">
        <v>585144.89</v>
      </c>
      <c r="I125" s="341">
        <v>450964.36</v>
      </c>
      <c r="J125" s="341">
        <v>585144.89</v>
      </c>
      <c r="K125" s="341">
        <v>457932.46</v>
      </c>
      <c r="L125" s="341">
        <v>585144.89</v>
      </c>
      <c r="M125" s="341">
        <v>464900.56</v>
      </c>
      <c r="N125" s="341">
        <v>585144.89</v>
      </c>
      <c r="O125" s="341">
        <v>471868.66000000003</v>
      </c>
      <c r="P125" s="341">
        <v>585144.89</v>
      </c>
      <c r="Q125" s="341">
        <v>478836.76</v>
      </c>
      <c r="R125" s="341">
        <v>585144.89</v>
      </c>
      <c r="S125" s="341">
        <v>485804.86</v>
      </c>
      <c r="T125" s="341">
        <v>585144.89</v>
      </c>
      <c r="U125" s="341">
        <v>492772.95999999996</v>
      </c>
      <c r="V125" s="341">
        <v>585144.89</v>
      </c>
      <c r="W125" s="341">
        <v>499741.06</v>
      </c>
      <c r="X125" s="341">
        <v>585144.89</v>
      </c>
      <c r="Y125" s="341">
        <v>506709.16</v>
      </c>
      <c r="Z125" s="341">
        <v>585144.89</v>
      </c>
      <c r="AA125" s="341">
        <v>513677.26</v>
      </c>
      <c r="AB125" s="341">
        <v>585144.89</v>
      </c>
      <c r="AC125" s="341">
        <v>520645.36</v>
      </c>
      <c r="AD125" s="341">
        <f t="shared" si="5"/>
        <v>585144.8899999999</v>
      </c>
      <c r="AE125" s="341">
        <f t="shared" si="5"/>
        <v>478836.76</v>
      </c>
    </row>
    <row r="126" spans="1:31">
      <c r="A126" s="1209">
        <v>117</v>
      </c>
      <c r="B126" s="113" t="s">
        <v>3099</v>
      </c>
      <c r="C126" s="113" t="s">
        <v>3070</v>
      </c>
      <c r="D126" s="341">
        <v>20560.650000000001</v>
      </c>
      <c r="E126" s="341">
        <v>14912.01</v>
      </c>
      <c r="F126" s="341">
        <v>20560.650000000001</v>
      </c>
      <c r="G126" s="341">
        <v>15156.85</v>
      </c>
      <c r="H126" s="341">
        <v>20560.650000000001</v>
      </c>
      <c r="I126" s="341">
        <v>15401.69</v>
      </c>
      <c r="J126" s="341">
        <v>20560.650000000001</v>
      </c>
      <c r="K126" s="341">
        <v>15646.53</v>
      </c>
      <c r="L126" s="341">
        <v>20560.650000000001</v>
      </c>
      <c r="M126" s="341">
        <v>15891.37</v>
      </c>
      <c r="N126" s="341">
        <v>20560.650000000001</v>
      </c>
      <c r="O126" s="341">
        <v>16136.210000000001</v>
      </c>
      <c r="P126" s="341">
        <v>20560.650000000001</v>
      </c>
      <c r="Q126" s="341">
        <v>16381.05</v>
      </c>
      <c r="R126" s="341">
        <v>20560.650000000001</v>
      </c>
      <c r="S126" s="341">
        <v>16625.89</v>
      </c>
      <c r="T126" s="341">
        <v>20560.650000000001</v>
      </c>
      <c r="U126" s="341">
        <v>16870.73</v>
      </c>
      <c r="V126" s="341">
        <v>20560.650000000001</v>
      </c>
      <c r="W126" s="341">
        <v>17115.57</v>
      </c>
      <c r="X126" s="341">
        <v>20560.650000000001</v>
      </c>
      <c r="Y126" s="341">
        <v>17360.41</v>
      </c>
      <c r="Z126" s="341">
        <v>20560.650000000001</v>
      </c>
      <c r="AA126" s="341">
        <v>17605.25</v>
      </c>
      <c r="AB126" s="341">
        <v>20560.650000000001</v>
      </c>
      <c r="AC126" s="341">
        <v>17850.09</v>
      </c>
      <c r="AD126" s="341">
        <f t="shared" si="5"/>
        <v>20560.649999999998</v>
      </c>
      <c r="AE126" s="341">
        <f t="shared" si="5"/>
        <v>16381.050000000001</v>
      </c>
    </row>
    <row r="127" spans="1:31">
      <c r="A127" s="1209">
        <v>118</v>
      </c>
      <c r="B127" s="113" t="s">
        <v>3100</v>
      </c>
      <c r="C127" s="113" t="s">
        <v>3070</v>
      </c>
      <c r="D127" s="341">
        <v>2316740.37</v>
      </c>
      <c r="E127" s="341">
        <v>922893.85000000009</v>
      </c>
      <c r="F127" s="341">
        <v>2316740.37</v>
      </c>
      <c r="G127" s="341">
        <v>950482.37</v>
      </c>
      <c r="H127" s="341">
        <v>2316740.37</v>
      </c>
      <c r="I127" s="341">
        <v>978070.89</v>
      </c>
      <c r="J127" s="341">
        <v>2316740.37</v>
      </c>
      <c r="K127" s="341">
        <v>1005659.4099999999</v>
      </c>
      <c r="L127" s="341">
        <v>2316740.37</v>
      </c>
      <c r="M127" s="341">
        <v>1033247.93</v>
      </c>
      <c r="N127" s="341">
        <v>2316740.37</v>
      </c>
      <c r="O127" s="341">
        <v>1060836.45</v>
      </c>
      <c r="P127" s="341">
        <v>2316740.37</v>
      </c>
      <c r="Q127" s="341">
        <v>1088424.97</v>
      </c>
      <c r="R127" s="341">
        <v>2316740.37</v>
      </c>
      <c r="S127" s="341">
        <v>1116013.49</v>
      </c>
      <c r="T127" s="341">
        <v>2316740.37</v>
      </c>
      <c r="U127" s="341">
        <v>1143602.01</v>
      </c>
      <c r="V127" s="341">
        <v>2316740.37</v>
      </c>
      <c r="W127" s="341">
        <v>1171190.53</v>
      </c>
      <c r="X127" s="341">
        <v>2316740.37</v>
      </c>
      <c r="Y127" s="341">
        <v>1198779.05</v>
      </c>
      <c r="Z127" s="341">
        <v>2316740.37</v>
      </c>
      <c r="AA127" s="341">
        <v>1226367.57</v>
      </c>
      <c r="AB127" s="341">
        <v>2316740.37</v>
      </c>
      <c r="AC127" s="341">
        <v>1253956.0899999999</v>
      </c>
      <c r="AD127" s="341">
        <f t="shared" si="5"/>
        <v>2316740.3700000006</v>
      </c>
      <c r="AE127" s="341">
        <f t="shared" si="5"/>
        <v>1088424.97</v>
      </c>
    </row>
    <row r="128" spans="1:31">
      <c r="A128" s="1209">
        <v>119</v>
      </c>
      <c r="B128" s="113" t="s">
        <v>3101</v>
      </c>
      <c r="C128" s="113" t="s">
        <v>3070</v>
      </c>
      <c r="D128" s="341">
        <v>654150.74</v>
      </c>
      <c r="E128" s="341">
        <v>187425.21</v>
      </c>
      <c r="F128" s="341">
        <v>654150.74</v>
      </c>
      <c r="G128" s="341">
        <v>195215.06</v>
      </c>
      <c r="H128" s="341">
        <v>654150.74</v>
      </c>
      <c r="I128" s="341">
        <v>203004.91</v>
      </c>
      <c r="J128" s="341">
        <v>654150.74</v>
      </c>
      <c r="K128" s="341">
        <v>210794.76</v>
      </c>
      <c r="L128" s="341">
        <v>654150.74</v>
      </c>
      <c r="M128" s="341">
        <v>218584.61000000002</v>
      </c>
      <c r="N128" s="341">
        <v>654150.74</v>
      </c>
      <c r="O128" s="341">
        <v>226374.46000000002</v>
      </c>
      <c r="P128" s="341">
        <v>654150.74</v>
      </c>
      <c r="Q128" s="341">
        <v>234164.31</v>
      </c>
      <c r="R128" s="341">
        <v>654150.74</v>
      </c>
      <c r="S128" s="341">
        <v>241954.16</v>
      </c>
      <c r="T128" s="341">
        <v>654150.74</v>
      </c>
      <c r="U128" s="341">
        <v>249744.01</v>
      </c>
      <c r="V128" s="341">
        <v>654150.74</v>
      </c>
      <c r="W128" s="341">
        <v>257533.86000000002</v>
      </c>
      <c r="X128" s="341">
        <v>654150.74</v>
      </c>
      <c r="Y128" s="341">
        <v>265323.71000000002</v>
      </c>
      <c r="Z128" s="341">
        <v>654150.74</v>
      </c>
      <c r="AA128" s="341">
        <v>273113.56</v>
      </c>
      <c r="AB128" s="341">
        <v>654150.74</v>
      </c>
      <c r="AC128" s="341">
        <v>280903.41000000003</v>
      </c>
      <c r="AD128" s="341">
        <f t="shared" si="5"/>
        <v>654150.74000000011</v>
      </c>
      <c r="AE128" s="341">
        <f t="shared" si="5"/>
        <v>234164.31000000003</v>
      </c>
    </row>
    <row r="129" spans="1:31">
      <c r="A129" s="1209">
        <v>120</v>
      </c>
      <c r="B129" s="113" t="s">
        <v>3102</v>
      </c>
      <c r="C129" s="113" t="s">
        <v>3070</v>
      </c>
      <c r="D129" s="341">
        <v>123571.06</v>
      </c>
      <c r="E129" s="341">
        <v>17658.36</v>
      </c>
      <c r="F129" s="341">
        <v>123571.06</v>
      </c>
      <c r="G129" s="341">
        <v>19129.89</v>
      </c>
      <c r="H129" s="341">
        <v>123571.06</v>
      </c>
      <c r="I129" s="341">
        <v>20601.420000000002</v>
      </c>
      <c r="J129" s="341">
        <v>123571.06</v>
      </c>
      <c r="K129" s="341">
        <v>22072.95</v>
      </c>
      <c r="L129" s="341">
        <v>123571.06</v>
      </c>
      <c r="M129" s="341">
        <v>23544.480000000003</v>
      </c>
      <c r="N129" s="341">
        <v>123571.06</v>
      </c>
      <c r="O129" s="341">
        <v>25016.010000000002</v>
      </c>
      <c r="P129" s="341">
        <v>123571.06</v>
      </c>
      <c r="Q129" s="341">
        <v>26487.54</v>
      </c>
      <c r="R129" s="341">
        <v>123571.06</v>
      </c>
      <c r="S129" s="341">
        <v>27959.07</v>
      </c>
      <c r="T129" s="341">
        <v>123571.06</v>
      </c>
      <c r="U129" s="341">
        <v>29430.600000000002</v>
      </c>
      <c r="V129" s="341">
        <v>123571.06</v>
      </c>
      <c r="W129" s="341">
        <v>30902.129999999997</v>
      </c>
      <c r="X129" s="341">
        <v>123571.06</v>
      </c>
      <c r="Y129" s="341">
        <v>32373.66</v>
      </c>
      <c r="Z129" s="341">
        <v>123571.06</v>
      </c>
      <c r="AA129" s="341">
        <v>33845.19</v>
      </c>
      <c r="AB129" s="341">
        <v>123571.06</v>
      </c>
      <c r="AC129" s="341">
        <v>35316.720000000001</v>
      </c>
      <c r="AD129" s="341">
        <f t="shared" si="5"/>
        <v>123571.06000000004</v>
      </c>
      <c r="AE129" s="341">
        <f t="shared" si="5"/>
        <v>26487.540000000005</v>
      </c>
    </row>
    <row r="130" spans="1:31">
      <c r="A130" s="1209">
        <v>121</v>
      </c>
      <c r="B130" s="113" t="s">
        <v>3103</v>
      </c>
      <c r="C130" s="113" t="s">
        <v>3070</v>
      </c>
      <c r="D130" s="341">
        <v>220234.71</v>
      </c>
      <c r="E130" s="341">
        <v>0</v>
      </c>
      <c r="F130" s="341">
        <v>232409.99000000002</v>
      </c>
      <c r="G130" s="341">
        <v>2622.63</v>
      </c>
      <c r="H130" s="341">
        <v>239249.93</v>
      </c>
      <c r="I130" s="341">
        <v>5390.25</v>
      </c>
      <c r="J130" s="341">
        <v>248419.93</v>
      </c>
      <c r="K130" s="341">
        <v>8239.32</v>
      </c>
      <c r="L130" s="341">
        <v>251680.66999999998</v>
      </c>
      <c r="M130" s="341">
        <v>11197.59</v>
      </c>
      <c r="N130" s="341">
        <v>257323.21000000002</v>
      </c>
      <c r="O130" s="341">
        <v>14194.69</v>
      </c>
      <c r="P130" s="341">
        <v>262479.83</v>
      </c>
      <c r="Q130" s="341">
        <v>17258.98</v>
      </c>
      <c r="R130" s="341">
        <v>266972.26</v>
      </c>
      <c r="S130" s="341">
        <v>20384.68</v>
      </c>
      <c r="T130" s="341">
        <v>242235.03000000003</v>
      </c>
      <c r="U130" s="341">
        <v>23563.870000000003</v>
      </c>
      <c r="V130" s="341">
        <v>242235.03000000003</v>
      </c>
      <c r="W130" s="341">
        <v>26448.49</v>
      </c>
      <c r="X130" s="341">
        <v>242235.03000000003</v>
      </c>
      <c r="Y130" s="341">
        <v>29333.11</v>
      </c>
      <c r="Z130" s="341">
        <v>242235.03000000003</v>
      </c>
      <c r="AA130" s="341">
        <v>32217.73</v>
      </c>
      <c r="AB130" s="341">
        <v>224742.11000000002</v>
      </c>
      <c r="AC130" s="341">
        <v>35102.35</v>
      </c>
      <c r="AD130" s="341">
        <f t="shared" si="5"/>
        <v>245830.36250000005</v>
      </c>
      <c r="AE130" s="341">
        <f t="shared" si="5"/>
        <v>17366.876250000001</v>
      </c>
    </row>
    <row r="131" spans="1:31">
      <c r="A131" s="1209">
        <v>122</v>
      </c>
      <c r="B131" s="113" t="s">
        <v>3104</v>
      </c>
      <c r="C131" s="113" t="s">
        <v>3070</v>
      </c>
      <c r="D131" s="341">
        <v>0</v>
      </c>
      <c r="E131" s="341">
        <v>0</v>
      </c>
      <c r="F131" s="341">
        <v>0</v>
      </c>
      <c r="G131" s="341">
        <v>0</v>
      </c>
      <c r="H131" s="341">
        <v>0</v>
      </c>
      <c r="I131" s="341">
        <v>0</v>
      </c>
      <c r="J131" s="341">
        <v>0</v>
      </c>
      <c r="K131" s="341">
        <v>0</v>
      </c>
      <c r="L131" s="341">
        <v>0</v>
      </c>
      <c r="M131" s="341">
        <v>0</v>
      </c>
      <c r="N131" s="341">
        <v>0</v>
      </c>
      <c r="O131" s="341">
        <v>0</v>
      </c>
      <c r="P131" s="341">
        <v>0</v>
      </c>
      <c r="Q131" s="341">
        <v>0</v>
      </c>
      <c r="R131" s="341">
        <v>0</v>
      </c>
      <c r="S131" s="341">
        <v>0</v>
      </c>
      <c r="T131" s="341">
        <v>0</v>
      </c>
      <c r="U131" s="341">
        <v>0</v>
      </c>
      <c r="V131" s="341">
        <v>0</v>
      </c>
      <c r="W131" s="341">
        <v>0</v>
      </c>
      <c r="X131" s="341">
        <v>0</v>
      </c>
      <c r="Y131" s="341">
        <v>0</v>
      </c>
      <c r="Z131" s="341">
        <v>34613.14</v>
      </c>
      <c r="AA131" s="341">
        <v>0</v>
      </c>
      <c r="AB131" s="341">
        <v>321784.21999999997</v>
      </c>
      <c r="AC131" s="341">
        <v>412.18000000000006</v>
      </c>
      <c r="AD131" s="341">
        <f t="shared" si="5"/>
        <v>16292.104166666666</v>
      </c>
      <c r="AE131" s="341">
        <f t="shared" si="5"/>
        <v>17.174166666666668</v>
      </c>
    </row>
    <row r="132" spans="1:31">
      <c r="A132" s="1209">
        <v>123</v>
      </c>
      <c r="B132" s="113" t="s">
        <v>3105</v>
      </c>
      <c r="C132" s="113" t="s">
        <v>3070</v>
      </c>
      <c r="D132" s="341">
        <v>166354.96000000002</v>
      </c>
      <c r="E132" s="341">
        <v>1746.8600000000001</v>
      </c>
      <c r="F132" s="341">
        <v>166354.96000000002</v>
      </c>
      <c r="G132" s="341">
        <v>3479.7200000000003</v>
      </c>
      <c r="H132" s="341">
        <v>166354.96000000002</v>
      </c>
      <c r="I132" s="341">
        <v>5212.58</v>
      </c>
      <c r="J132" s="341">
        <v>166354.96000000002</v>
      </c>
      <c r="K132" s="341">
        <v>6945.4400000000005</v>
      </c>
      <c r="L132" s="341">
        <v>166354.96000000002</v>
      </c>
      <c r="M132" s="341">
        <v>8678.2999999999993</v>
      </c>
      <c r="N132" s="341">
        <v>166354.96000000002</v>
      </c>
      <c r="O132" s="341">
        <v>10411.16</v>
      </c>
      <c r="P132" s="341">
        <v>166354.96000000002</v>
      </c>
      <c r="Q132" s="341">
        <v>12144.02</v>
      </c>
      <c r="R132" s="341">
        <v>166354.96000000002</v>
      </c>
      <c r="S132" s="341">
        <v>13876.880000000001</v>
      </c>
      <c r="T132" s="341">
        <v>166354.96000000002</v>
      </c>
      <c r="U132" s="341">
        <v>15609.74</v>
      </c>
      <c r="V132" s="341">
        <v>166354.96000000002</v>
      </c>
      <c r="W132" s="341">
        <v>17342.599999999999</v>
      </c>
      <c r="X132" s="341">
        <v>166354.96000000002</v>
      </c>
      <c r="Y132" s="341">
        <v>19075.46</v>
      </c>
      <c r="Z132" s="341">
        <v>166354.96000000002</v>
      </c>
      <c r="AA132" s="341">
        <v>20808.32</v>
      </c>
      <c r="AB132" s="341">
        <v>166354.96000000002</v>
      </c>
      <c r="AC132" s="341">
        <v>22541.18</v>
      </c>
      <c r="AD132" s="341">
        <f t="shared" si="5"/>
        <v>166354.96</v>
      </c>
      <c r="AE132" s="341">
        <f t="shared" si="5"/>
        <v>12144.019999999999</v>
      </c>
    </row>
    <row r="133" spans="1:31">
      <c r="A133" s="1209">
        <v>124</v>
      </c>
      <c r="B133" s="113" t="s">
        <v>3106</v>
      </c>
      <c r="C133" s="113" t="s">
        <v>3070</v>
      </c>
      <c r="D133" s="341">
        <v>2784867.69</v>
      </c>
      <c r="E133" s="341">
        <v>1482032.63</v>
      </c>
      <c r="F133" s="341">
        <v>2784867.69</v>
      </c>
      <c r="G133" s="341">
        <v>1503708.18</v>
      </c>
      <c r="H133" s="341">
        <v>2784417.6799999997</v>
      </c>
      <c r="I133" s="341">
        <v>1525383.73</v>
      </c>
      <c r="J133" s="341">
        <v>2785863.19</v>
      </c>
      <c r="K133" s="341">
        <v>1547055.78</v>
      </c>
      <c r="L133" s="341">
        <v>2785863.19</v>
      </c>
      <c r="M133" s="341">
        <v>1568739.08</v>
      </c>
      <c r="N133" s="341">
        <v>2786185.14</v>
      </c>
      <c r="O133" s="341">
        <v>1590422.38</v>
      </c>
      <c r="P133" s="341">
        <v>2786185.14</v>
      </c>
      <c r="Q133" s="341">
        <v>1612108.19</v>
      </c>
      <c r="R133" s="341">
        <v>2786185.14</v>
      </c>
      <c r="S133" s="341">
        <v>1633794</v>
      </c>
      <c r="T133" s="341">
        <v>2786185.14</v>
      </c>
      <c r="U133" s="341">
        <v>1655479.81</v>
      </c>
      <c r="V133" s="341">
        <v>2786185.14</v>
      </c>
      <c r="W133" s="341">
        <v>1677165.62</v>
      </c>
      <c r="X133" s="341">
        <v>2786185.14</v>
      </c>
      <c r="Y133" s="341">
        <v>1698851.43</v>
      </c>
      <c r="Z133" s="341">
        <v>2786185.14</v>
      </c>
      <c r="AA133" s="341">
        <v>1720537.24</v>
      </c>
      <c r="AB133" s="341">
        <v>2786186.5700000003</v>
      </c>
      <c r="AC133" s="341">
        <v>1742223.0499999998</v>
      </c>
      <c r="AD133" s="341">
        <f t="shared" si="5"/>
        <v>2785819.5716666668</v>
      </c>
      <c r="AE133" s="341">
        <f t="shared" si="5"/>
        <v>1612114.4399999997</v>
      </c>
    </row>
    <row r="134" spans="1:31">
      <c r="A134" s="1209">
        <v>125</v>
      </c>
      <c r="B134" s="113" t="s">
        <v>3107</v>
      </c>
      <c r="C134" s="113" t="s">
        <v>3070</v>
      </c>
      <c r="D134" s="341">
        <v>94899.760000000009</v>
      </c>
      <c r="E134" s="341">
        <v>0</v>
      </c>
      <c r="F134" s="341">
        <v>94899.760000000009</v>
      </c>
      <c r="G134" s="341">
        <v>0</v>
      </c>
      <c r="H134" s="341">
        <v>94899.760000000009</v>
      </c>
      <c r="I134" s="341">
        <v>0</v>
      </c>
      <c r="J134" s="341">
        <v>94899.760000000009</v>
      </c>
      <c r="K134" s="341">
        <v>0</v>
      </c>
      <c r="L134" s="341">
        <v>94899.760000000009</v>
      </c>
      <c r="M134" s="341">
        <v>0</v>
      </c>
      <c r="N134" s="341">
        <v>94899.760000000009</v>
      </c>
      <c r="O134" s="341">
        <v>0</v>
      </c>
      <c r="P134" s="341">
        <v>94899.760000000009</v>
      </c>
      <c r="Q134" s="341">
        <v>0</v>
      </c>
      <c r="R134" s="341">
        <v>94899.760000000009</v>
      </c>
      <c r="S134" s="341">
        <v>0</v>
      </c>
      <c r="T134" s="341">
        <v>94899.760000000009</v>
      </c>
      <c r="U134" s="341">
        <v>0</v>
      </c>
      <c r="V134" s="341">
        <v>94899.760000000009</v>
      </c>
      <c r="W134" s="341">
        <v>0</v>
      </c>
      <c r="X134" s="341">
        <v>94899.760000000009</v>
      </c>
      <c r="Y134" s="341">
        <v>0</v>
      </c>
      <c r="Z134" s="341">
        <v>94899.760000000009</v>
      </c>
      <c r="AA134" s="341">
        <v>0</v>
      </c>
      <c r="AB134" s="341">
        <v>94899.760000000009</v>
      </c>
      <c r="AC134" s="341">
        <v>0</v>
      </c>
      <c r="AD134" s="341">
        <f t="shared" si="5"/>
        <v>94899.760000000009</v>
      </c>
      <c r="AE134" s="341">
        <f t="shared" si="5"/>
        <v>0</v>
      </c>
    </row>
    <row r="135" spans="1:31">
      <c r="A135" s="1209">
        <v>126</v>
      </c>
      <c r="B135" s="113" t="s">
        <v>3108</v>
      </c>
      <c r="C135" s="113" t="s">
        <v>3070</v>
      </c>
      <c r="D135" s="341">
        <v>421631.54</v>
      </c>
      <c r="E135" s="341">
        <v>418122.34</v>
      </c>
      <c r="F135" s="341">
        <v>421631.54000000004</v>
      </c>
      <c r="G135" s="341">
        <v>418551</v>
      </c>
      <c r="H135" s="341">
        <v>421631.54000000004</v>
      </c>
      <c r="I135" s="341">
        <v>418979.66</v>
      </c>
      <c r="J135" s="341">
        <v>421631.54000000004</v>
      </c>
      <c r="K135" s="341">
        <v>419408.32</v>
      </c>
      <c r="L135" s="341">
        <v>421631.54000000004</v>
      </c>
      <c r="M135" s="341">
        <v>419836.98000000004</v>
      </c>
      <c r="N135" s="341">
        <v>421631.54000000004</v>
      </c>
      <c r="O135" s="341">
        <v>420265.64</v>
      </c>
      <c r="P135" s="341">
        <v>421631.54000000004</v>
      </c>
      <c r="Q135" s="341">
        <v>420694.30000000005</v>
      </c>
      <c r="R135" s="341">
        <v>421631.54000000004</v>
      </c>
      <c r="S135" s="341">
        <v>421122.96</v>
      </c>
      <c r="T135" s="341">
        <v>446469.2</v>
      </c>
      <c r="U135" s="341">
        <v>421551.62</v>
      </c>
      <c r="V135" s="341">
        <v>446469.2</v>
      </c>
      <c r="W135" s="341">
        <v>422005.53</v>
      </c>
      <c r="X135" s="341">
        <v>446469.2</v>
      </c>
      <c r="Y135" s="341">
        <v>422459.44</v>
      </c>
      <c r="Z135" s="341">
        <v>446469.2</v>
      </c>
      <c r="AA135" s="341">
        <v>422913.35</v>
      </c>
      <c r="AB135" s="341">
        <v>446493.06</v>
      </c>
      <c r="AC135" s="341">
        <v>423367.26</v>
      </c>
      <c r="AD135" s="341">
        <f t="shared" si="5"/>
        <v>430946.65666666673</v>
      </c>
      <c r="AE135" s="341">
        <f t="shared" si="5"/>
        <v>420711.13333333336</v>
      </c>
    </row>
    <row r="136" spans="1:31">
      <c r="A136" s="1209">
        <v>127</v>
      </c>
      <c r="B136" s="113" t="s">
        <v>3109</v>
      </c>
      <c r="C136" s="113" t="s">
        <v>3070</v>
      </c>
      <c r="D136" s="341">
        <v>954713.11</v>
      </c>
      <c r="E136" s="341">
        <v>696776.96</v>
      </c>
      <c r="F136" s="341">
        <v>954713.1100000001</v>
      </c>
      <c r="G136" s="341">
        <v>696776.96</v>
      </c>
      <c r="H136" s="341">
        <v>954713.1100000001</v>
      </c>
      <c r="I136" s="341">
        <v>696776.96</v>
      </c>
      <c r="J136" s="341">
        <v>954713.1100000001</v>
      </c>
      <c r="K136" s="341">
        <v>696776.96</v>
      </c>
      <c r="L136" s="341">
        <v>954713.1100000001</v>
      </c>
      <c r="M136" s="341">
        <v>696776.96</v>
      </c>
      <c r="N136" s="341">
        <v>954713.1100000001</v>
      </c>
      <c r="O136" s="341">
        <v>696776.96</v>
      </c>
      <c r="P136" s="341">
        <v>954713.1100000001</v>
      </c>
      <c r="Q136" s="341">
        <v>696776.96</v>
      </c>
      <c r="R136" s="341">
        <v>954713.1100000001</v>
      </c>
      <c r="S136" s="341">
        <v>696776.96</v>
      </c>
      <c r="T136" s="341">
        <v>954713.1100000001</v>
      </c>
      <c r="U136" s="341">
        <v>696776.96</v>
      </c>
      <c r="V136" s="341">
        <v>954713.1100000001</v>
      </c>
      <c r="W136" s="341">
        <v>696776.96</v>
      </c>
      <c r="X136" s="341">
        <v>954713.1100000001</v>
      </c>
      <c r="Y136" s="341">
        <v>696776.96</v>
      </c>
      <c r="Z136" s="341">
        <v>954713.1100000001</v>
      </c>
      <c r="AA136" s="341">
        <v>696776.96</v>
      </c>
      <c r="AB136" s="341">
        <v>954713.1100000001</v>
      </c>
      <c r="AC136" s="341">
        <v>696776.96</v>
      </c>
      <c r="AD136" s="341">
        <f t="shared" si="5"/>
        <v>954713.11</v>
      </c>
      <c r="AE136" s="341">
        <f t="shared" si="5"/>
        <v>696776.96</v>
      </c>
    </row>
    <row r="137" spans="1:31">
      <c r="A137" s="1209">
        <v>128</v>
      </c>
      <c r="B137" s="113" t="s">
        <v>3110</v>
      </c>
      <c r="C137" s="113" t="s">
        <v>3070</v>
      </c>
      <c r="D137" s="341">
        <v>5977291.5</v>
      </c>
      <c r="E137" s="341">
        <v>5615225.46</v>
      </c>
      <c r="F137" s="341">
        <v>5977291.5</v>
      </c>
      <c r="G137" s="341">
        <v>5621401.9899999993</v>
      </c>
      <c r="H137" s="341">
        <v>5977291.5</v>
      </c>
      <c r="I137" s="341">
        <v>5627578.5199999996</v>
      </c>
      <c r="J137" s="341">
        <v>5977291.5</v>
      </c>
      <c r="K137" s="341">
        <v>5633755.0499999998</v>
      </c>
      <c r="L137" s="341">
        <v>5977291.5</v>
      </c>
      <c r="M137" s="341">
        <v>5639931.5800000001</v>
      </c>
      <c r="N137" s="341">
        <v>5977291.5</v>
      </c>
      <c r="O137" s="341">
        <v>5646108.1100000003</v>
      </c>
      <c r="P137" s="341">
        <v>5977291.5</v>
      </c>
      <c r="Q137" s="341">
        <v>5652284.6399999997</v>
      </c>
      <c r="R137" s="341">
        <v>5977291.5</v>
      </c>
      <c r="S137" s="341">
        <v>5658461.1699999999</v>
      </c>
      <c r="T137" s="341">
        <v>5977291.5</v>
      </c>
      <c r="U137" s="341">
        <v>5664637.7000000002</v>
      </c>
      <c r="V137" s="341">
        <v>6052144.8399999999</v>
      </c>
      <c r="W137" s="341">
        <v>5670814.2300000004</v>
      </c>
      <c r="X137" s="341">
        <v>6055196.2599999998</v>
      </c>
      <c r="Y137" s="341">
        <v>5677068.1100000003</v>
      </c>
      <c r="Z137" s="341">
        <v>6137604.7299999995</v>
      </c>
      <c r="AA137" s="341">
        <v>5683325.1499999994</v>
      </c>
      <c r="AB137" s="341">
        <v>6100579.4300000006</v>
      </c>
      <c r="AC137" s="341">
        <v>5689667.3399999999</v>
      </c>
      <c r="AD137" s="341">
        <f t="shared" si="5"/>
        <v>6008517.7745833332</v>
      </c>
      <c r="AE137" s="341">
        <f t="shared" si="5"/>
        <v>5652317.7208333341</v>
      </c>
    </row>
    <row r="138" spans="1:31">
      <c r="A138" s="1209">
        <v>129</v>
      </c>
      <c r="B138" s="113" t="s">
        <v>3111</v>
      </c>
      <c r="C138" s="113" t="s">
        <v>3070</v>
      </c>
      <c r="D138" s="341">
        <v>3494588.6599999997</v>
      </c>
      <c r="E138" s="341">
        <v>1587246.5799999998</v>
      </c>
      <c r="F138" s="341">
        <v>3418149.83</v>
      </c>
      <c r="G138" s="341">
        <v>1558101.1800000002</v>
      </c>
      <c r="H138" s="341">
        <v>3400790.4699999997</v>
      </c>
      <c r="I138" s="341">
        <v>1587000.78</v>
      </c>
      <c r="J138" s="341">
        <v>3397968.3699999996</v>
      </c>
      <c r="K138" s="341">
        <v>1630202.71</v>
      </c>
      <c r="L138" s="341">
        <v>3386612.26</v>
      </c>
      <c r="M138" s="341">
        <v>1664832.4400000002</v>
      </c>
      <c r="N138" s="341">
        <v>3386612.26</v>
      </c>
      <c r="O138" s="341">
        <v>1710664.59</v>
      </c>
      <c r="P138" s="341">
        <v>3386612.26</v>
      </c>
      <c r="Q138" s="341">
        <v>1756496.74</v>
      </c>
      <c r="R138" s="341">
        <v>3386612.26</v>
      </c>
      <c r="S138" s="341">
        <v>1802328.89</v>
      </c>
      <c r="T138" s="341">
        <v>3386612.26</v>
      </c>
      <c r="U138" s="341">
        <v>1848161.04</v>
      </c>
      <c r="V138" s="341">
        <v>3423203.54</v>
      </c>
      <c r="W138" s="341">
        <v>1893993.19</v>
      </c>
      <c r="X138" s="341">
        <v>3423203.54</v>
      </c>
      <c r="Y138" s="341">
        <v>1940320.54</v>
      </c>
      <c r="Z138" s="341">
        <v>3423203.54</v>
      </c>
      <c r="AA138" s="341">
        <v>1986647.8900000001</v>
      </c>
      <c r="AB138" s="341">
        <v>3657078.37</v>
      </c>
      <c r="AC138" s="341">
        <v>2032975.24</v>
      </c>
      <c r="AD138" s="341">
        <f t="shared" si="5"/>
        <v>3416284.5087499991</v>
      </c>
      <c r="AE138" s="341">
        <f t="shared" si="5"/>
        <v>1765738.4083333334</v>
      </c>
    </row>
    <row r="139" spans="1:31">
      <c r="A139" s="1209">
        <v>130</v>
      </c>
      <c r="B139" s="113" t="s">
        <v>3112</v>
      </c>
      <c r="C139" s="113" t="s">
        <v>3070</v>
      </c>
      <c r="D139" s="341">
        <v>158310.35</v>
      </c>
      <c r="E139" s="341">
        <v>-165817.89000000001</v>
      </c>
      <c r="F139" s="341">
        <v>158310.35</v>
      </c>
      <c r="G139" s="341">
        <v>-163526.35</v>
      </c>
      <c r="H139" s="341">
        <v>158310.35</v>
      </c>
      <c r="I139" s="341">
        <v>-161234.81</v>
      </c>
      <c r="J139" s="341">
        <v>158310.35</v>
      </c>
      <c r="K139" s="341">
        <v>-158943.27000000002</v>
      </c>
      <c r="L139" s="341">
        <v>158310.35</v>
      </c>
      <c r="M139" s="341">
        <v>-156651.73000000001</v>
      </c>
      <c r="N139" s="341">
        <v>158310.35</v>
      </c>
      <c r="O139" s="341">
        <v>-154360.19</v>
      </c>
      <c r="P139" s="341">
        <v>158310.35</v>
      </c>
      <c r="Q139" s="341">
        <v>-152068.65</v>
      </c>
      <c r="R139" s="341">
        <v>158310.35</v>
      </c>
      <c r="S139" s="341">
        <v>-149777.11000000002</v>
      </c>
      <c r="T139" s="341">
        <v>158310.35</v>
      </c>
      <c r="U139" s="341">
        <v>-147485.57</v>
      </c>
      <c r="V139" s="341">
        <v>158310.35</v>
      </c>
      <c r="W139" s="341">
        <v>-145194.03</v>
      </c>
      <c r="X139" s="341">
        <v>158310.35</v>
      </c>
      <c r="Y139" s="341">
        <v>-142902.49</v>
      </c>
      <c r="Z139" s="341">
        <v>158310.35</v>
      </c>
      <c r="AA139" s="341">
        <v>-140610.95000000001</v>
      </c>
      <c r="AB139" s="341">
        <v>158310.35</v>
      </c>
      <c r="AC139" s="341">
        <v>-138319.41</v>
      </c>
      <c r="AD139" s="341">
        <f t="shared" si="5"/>
        <v>158310.35000000003</v>
      </c>
      <c r="AE139" s="341">
        <f t="shared" si="5"/>
        <v>-152068.65000000002</v>
      </c>
    </row>
    <row r="140" spans="1:31">
      <c r="A140" s="1209">
        <v>131</v>
      </c>
      <c r="B140" s="113" t="s">
        <v>3113</v>
      </c>
      <c r="C140" s="113" t="s">
        <v>3070</v>
      </c>
      <c r="D140" s="341">
        <v>1283046.32</v>
      </c>
      <c r="E140" s="341">
        <v>124230.09</v>
      </c>
      <c r="F140" s="341">
        <v>1283046.32</v>
      </c>
      <c r="G140" s="341">
        <v>129554.73</v>
      </c>
      <c r="H140" s="341">
        <v>1283046.32</v>
      </c>
      <c r="I140" s="341">
        <v>134879.37</v>
      </c>
      <c r="J140" s="341">
        <v>1283046.33</v>
      </c>
      <c r="K140" s="341">
        <v>140204.01</v>
      </c>
      <c r="L140" s="341">
        <v>1283046.33</v>
      </c>
      <c r="M140" s="341">
        <v>145528.65000000002</v>
      </c>
      <c r="N140" s="341">
        <v>1283046.33</v>
      </c>
      <c r="O140" s="341">
        <v>150853.29</v>
      </c>
      <c r="P140" s="341">
        <v>1283046.33</v>
      </c>
      <c r="Q140" s="341">
        <v>156177.93</v>
      </c>
      <c r="R140" s="341">
        <v>1283046.33</v>
      </c>
      <c r="S140" s="341">
        <v>161502.57</v>
      </c>
      <c r="T140" s="341">
        <v>1289738.7</v>
      </c>
      <c r="U140" s="341">
        <v>166827.21000000002</v>
      </c>
      <c r="V140" s="341">
        <v>1323988.3600000001</v>
      </c>
      <c r="W140" s="341">
        <v>172179.63</v>
      </c>
      <c r="X140" s="341">
        <v>1325188.03</v>
      </c>
      <c r="Y140" s="341">
        <v>177674.18</v>
      </c>
      <c r="Z140" s="341">
        <v>1325188.03</v>
      </c>
      <c r="AA140" s="341">
        <v>183173.71</v>
      </c>
      <c r="AB140" s="341">
        <v>1325227.26</v>
      </c>
      <c r="AC140" s="341">
        <v>188673.24</v>
      </c>
      <c r="AD140" s="341">
        <f t="shared" si="5"/>
        <v>1295797.0166666666</v>
      </c>
      <c r="AE140" s="341">
        <f t="shared" si="5"/>
        <v>156250.57875000002</v>
      </c>
    </row>
    <row r="141" spans="1:31">
      <c r="A141" s="1209">
        <v>132</v>
      </c>
      <c r="B141" s="113" t="s">
        <v>3114</v>
      </c>
      <c r="C141" s="113" t="s">
        <v>3070</v>
      </c>
      <c r="D141" s="341">
        <v>2994409.6100000003</v>
      </c>
      <c r="E141" s="341">
        <v>2994409.61</v>
      </c>
      <c r="F141" s="341">
        <v>2994409.6100000003</v>
      </c>
      <c r="G141" s="341">
        <v>2994409.61</v>
      </c>
      <c r="H141" s="341">
        <v>2994409.6100000003</v>
      </c>
      <c r="I141" s="341">
        <v>2994409.61</v>
      </c>
      <c r="J141" s="341">
        <v>2994409.6100000003</v>
      </c>
      <c r="K141" s="341">
        <v>2994409.61</v>
      </c>
      <c r="L141" s="341">
        <v>2994409.6100000003</v>
      </c>
      <c r="M141" s="341">
        <v>2994409.61</v>
      </c>
      <c r="N141" s="341">
        <v>2994409.6100000003</v>
      </c>
      <c r="O141" s="341">
        <v>2994409.61</v>
      </c>
      <c r="P141" s="341">
        <v>2994409.6100000003</v>
      </c>
      <c r="Q141" s="341">
        <v>2994409.61</v>
      </c>
      <c r="R141" s="341">
        <v>2994409.6100000003</v>
      </c>
      <c r="S141" s="341">
        <v>2994409.61</v>
      </c>
      <c r="T141" s="341">
        <v>2994409.6100000003</v>
      </c>
      <c r="U141" s="341">
        <v>2994409.61</v>
      </c>
      <c r="V141" s="341">
        <v>2994409.6100000003</v>
      </c>
      <c r="W141" s="341">
        <v>2994409.61</v>
      </c>
      <c r="X141" s="341">
        <v>2994409.6100000003</v>
      </c>
      <c r="Y141" s="341">
        <v>2994409.61</v>
      </c>
      <c r="Z141" s="341">
        <v>2994409.6100000003</v>
      </c>
      <c r="AA141" s="341">
        <v>2994409.61</v>
      </c>
      <c r="AB141" s="341">
        <v>2994409.6100000003</v>
      </c>
      <c r="AC141" s="341">
        <v>2994409.61</v>
      </c>
      <c r="AD141" s="341">
        <f t="shared" si="5"/>
        <v>2994409.61</v>
      </c>
      <c r="AE141" s="341">
        <f t="shared" si="5"/>
        <v>2994409.61</v>
      </c>
    </row>
    <row r="142" spans="1:31">
      <c r="A142" s="1209">
        <v>133</v>
      </c>
      <c r="B142" s="113" t="s">
        <v>3115</v>
      </c>
      <c r="C142" s="113" t="s">
        <v>3070</v>
      </c>
      <c r="D142" s="341">
        <v>7723.92</v>
      </c>
      <c r="E142" s="341">
        <v>6310</v>
      </c>
      <c r="F142" s="341">
        <v>7723.92</v>
      </c>
      <c r="G142" s="341">
        <v>6330.2800000000007</v>
      </c>
      <c r="H142" s="341">
        <v>7723.92</v>
      </c>
      <c r="I142" s="341">
        <v>6350.56</v>
      </c>
      <c r="J142" s="341">
        <v>7723.92</v>
      </c>
      <c r="K142" s="341">
        <v>6370.84</v>
      </c>
      <c r="L142" s="341">
        <v>7723.92</v>
      </c>
      <c r="M142" s="341">
        <v>6391.12</v>
      </c>
      <c r="N142" s="341">
        <v>7723.92</v>
      </c>
      <c r="O142" s="341">
        <v>6411.4000000000005</v>
      </c>
      <c r="P142" s="341">
        <v>7723.92</v>
      </c>
      <c r="Q142" s="341">
        <v>6431.68</v>
      </c>
      <c r="R142" s="341">
        <v>7723.92</v>
      </c>
      <c r="S142" s="341">
        <v>6451.96</v>
      </c>
      <c r="T142" s="341">
        <v>7723.92</v>
      </c>
      <c r="U142" s="341">
        <v>6472.24</v>
      </c>
      <c r="V142" s="341">
        <v>7723.92</v>
      </c>
      <c r="W142" s="341">
        <v>6492.52</v>
      </c>
      <c r="X142" s="341">
        <v>7723.92</v>
      </c>
      <c r="Y142" s="341">
        <v>6512.7999999999993</v>
      </c>
      <c r="Z142" s="341">
        <v>7723.92</v>
      </c>
      <c r="AA142" s="341">
        <v>6533.08</v>
      </c>
      <c r="AB142" s="341">
        <v>7723.92</v>
      </c>
      <c r="AC142" s="341">
        <v>6553.3600000000006</v>
      </c>
      <c r="AD142" s="341">
        <f t="shared" si="5"/>
        <v>7723.9199999999992</v>
      </c>
      <c r="AE142" s="341">
        <f t="shared" si="5"/>
        <v>6431.68</v>
      </c>
    </row>
    <row r="143" spans="1:31">
      <c r="A143" s="1209">
        <v>134</v>
      </c>
      <c r="B143" s="113" t="s">
        <v>3116</v>
      </c>
      <c r="C143" s="113" t="s">
        <v>3070</v>
      </c>
      <c r="D143" s="341">
        <v>2137291.48</v>
      </c>
      <c r="E143" s="341">
        <v>686482.22</v>
      </c>
      <c r="F143" s="341">
        <v>2137798.16</v>
      </c>
      <c r="G143" s="341">
        <v>697435.84000000008</v>
      </c>
      <c r="H143" s="341">
        <v>2096856.07</v>
      </c>
      <c r="I143" s="341">
        <v>668265.48</v>
      </c>
      <c r="J143" s="341">
        <v>2180113.7200000002</v>
      </c>
      <c r="K143" s="341">
        <v>673124.95</v>
      </c>
      <c r="L143" s="341">
        <v>2189481.73</v>
      </c>
      <c r="M143" s="341">
        <v>684298.03</v>
      </c>
      <c r="N143" s="341">
        <v>2196131.7799999998</v>
      </c>
      <c r="O143" s="341">
        <v>695519.12</v>
      </c>
      <c r="P143" s="341">
        <v>2158437.2999999998</v>
      </c>
      <c r="Q143" s="341">
        <v>685684.96</v>
      </c>
      <c r="R143" s="341">
        <v>2158740.7800000003</v>
      </c>
      <c r="S143" s="341">
        <v>696746.95</v>
      </c>
      <c r="T143" s="341">
        <v>2109322.4900000002</v>
      </c>
      <c r="U143" s="341">
        <v>666872.21</v>
      </c>
      <c r="V143" s="341">
        <v>2109322.4900000002</v>
      </c>
      <c r="W143" s="341">
        <v>677682.49</v>
      </c>
      <c r="X143" s="341">
        <v>2075654.68</v>
      </c>
      <c r="Y143" s="341">
        <v>666175.64</v>
      </c>
      <c r="Z143" s="341">
        <v>2075654.68</v>
      </c>
      <c r="AA143" s="341">
        <v>676813.37000000011</v>
      </c>
      <c r="AB143" s="341">
        <v>2075750.4000000001</v>
      </c>
      <c r="AC143" s="341">
        <v>687451.10000000009</v>
      </c>
      <c r="AD143" s="341">
        <f t="shared" si="5"/>
        <v>2132836.2350000003</v>
      </c>
      <c r="AE143" s="341">
        <f t="shared" si="5"/>
        <v>681298.80833333335</v>
      </c>
    </row>
    <row r="144" spans="1:31">
      <c r="A144" s="1209">
        <v>135</v>
      </c>
      <c r="B144" s="113" t="s">
        <v>3117</v>
      </c>
      <c r="C144" s="113" t="s">
        <v>3070</v>
      </c>
      <c r="D144" s="341">
        <v>52364.869999999995</v>
      </c>
      <c r="E144" s="341">
        <v>20678.79</v>
      </c>
      <c r="F144" s="341">
        <v>52364.87</v>
      </c>
      <c r="G144" s="341">
        <v>20911.810000000001</v>
      </c>
      <c r="H144" s="341">
        <v>52364.87</v>
      </c>
      <c r="I144" s="341">
        <v>21144.83</v>
      </c>
      <c r="J144" s="341">
        <v>52364.87</v>
      </c>
      <c r="K144" s="341">
        <v>41377.850000000006</v>
      </c>
      <c r="L144" s="341">
        <v>52364.87</v>
      </c>
      <c r="M144" s="341">
        <v>41610.870000000003</v>
      </c>
      <c r="N144" s="341">
        <v>52364.87</v>
      </c>
      <c r="O144" s="341">
        <v>41843.89</v>
      </c>
      <c r="P144" s="341">
        <v>52364.87</v>
      </c>
      <c r="Q144" s="341">
        <v>42076.91</v>
      </c>
      <c r="R144" s="341">
        <v>52364.87</v>
      </c>
      <c r="S144" s="341">
        <v>42309.93</v>
      </c>
      <c r="T144" s="341">
        <v>52364.87</v>
      </c>
      <c r="U144" s="341">
        <v>42542.95</v>
      </c>
      <c r="V144" s="341">
        <v>52364.87</v>
      </c>
      <c r="W144" s="341">
        <v>42775.97</v>
      </c>
      <c r="X144" s="341">
        <v>52364.87</v>
      </c>
      <c r="Y144" s="341">
        <v>43008.990000000005</v>
      </c>
      <c r="Z144" s="341">
        <v>52364.87</v>
      </c>
      <c r="AA144" s="341">
        <v>43242.01</v>
      </c>
      <c r="AB144" s="341">
        <v>52364.87</v>
      </c>
      <c r="AC144" s="341">
        <v>43475.03</v>
      </c>
      <c r="AD144" s="341">
        <f t="shared" si="5"/>
        <v>52364.87</v>
      </c>
      <c r="AE144" s="341">
        <f t="shared" si="5"/>
        <v>37910.243333333332</v>
      </c>
    </row>
    <row r="145" spans="1:31">
      <c r="A145" s="1209">
        <v>136</v>
      </c>
      <c r="B145" s="113" t="s">
        <v>3118</v>
      </c>
      <c r="C145" s="113" t="s">
        <v>3070</v>
      </c>
      <c r="D145" s="341">
        <v>2695786.5</v>
      </c>
      <c r="E145" s="341">
        <v>620578.67000000004</v>
      </c>
      <c r="F145" s="341">
        <v>2695786.5</v>
      </c>
      <c r="G145" s="341">
        <v>628576.17000000004</v>
      </c>
      <c r="H145" s="341">
        <v>2695786.5</v>
      </c>
      <c r="I145" s="341">
        <v>636573.67000000004</v>
      </c>
      <c r="J145" s="341">
        <v>2686964.36</v>
      </c>
      <c r="K145" s="341">
        <v>635749.04</v>
      </c>
      <c r="L145" s="341">
        <v>2686964.36</v>
      </c>
      <c r="M145" s="341">
        <v>643720.37000000011</v>
      </c>
      <c r="N145" s="341">
        <v>2699452.67</v>
      </c>
      <c r="O145" s="341">
        <v>651691.69999999995</v>
      </c>
      <c r="P145" s="341">
        <v>2699452.67</v>
      </c>
      <c r="Q145" s="341">
        <v>659700.07999999996</v>
      </c>
      <c r="R145" s="341">
        <v>2699452.67</v>
      </c>
      <c r="S145" s="341">
        <v>667708.46000000008</v>
      </c>
      <c r="T145" s="341">
        <v>2719445.8200000003</v>
      </c>
      <c r="U145" s="341">
        <v>675716.84000000008</v>
      </c>
      <c r="V145" s="341">
        <v>2728608.7600000002</v>
      </c>
      <c r="W145" s="341">
        <v>683784.53</v>
      </c>
      <c r="X145" s="341">
        <v>2768733.75</v>
      </c>
      <c r="Y145" s="341">
        <v>692420.9</v>
      </c>
      <c r="Z145" s="341">
        <v>2849236.49</v>
      </c>
      <c r="AA145" s="341">
        <v>700634.80999999994</v>
      </c>
      <c r="AB145" s="341">
        <v>2931284.7700000005</v>
      </c>
      <c r="AC145" s="341">
        <v>711612.54</v>
      </c>
      <c r="AD145" s="341">
        <f t="shared" si="5"/>
        <v>2728618.3487499999</v>
      </c>
      <c r="AE145" s="341">
        <f t="shared" si="5"/>
        <v>661864.34791666677</v>
      </c>
    </row>
    <row r="146" spans="1:31">
      <c r="A146" s="1209">
        <v>137</v>
      </c>
      <c r="B146" s="113" t="s">
        <v>3119</v>
      </c>
      <c r="C146" s="113" t="s">
        <v>3070</v>
      </c>
      <c r="D146" s="341">
        <v>84472.540000000008</v>
      </c>
      <c r="E146" s="341">
        <v>40564.979999999996</v>
      </c>
      <c r="F146" s="341">
        <v>84472.540000000008</v>
      </c>
      <c r="G146" s="341">
        <v>40888.79</v>
      </c>
      <c r="H146" s="341">
        <v>84472.540000000008</v>
      </c>
      <c r="I146" s="341">
        <v>41212.600000000006</v>
      </c>
      <c r="J146" s="341">
        <v>84472.540000000008</v>
      </c>
      <c r="K146" s="341">
        <v>41536.410000000003</v>
      </c>
      <c r="L146" s="341">
        <v>84472.540000000008</v>
      </c>
      <c r="M146" s="341">
        <v>41860.22</v>
      </c>
      <c r="N146" s="341">
        <v>84472.540000000008</v>
      </c>
      <c r="O146" s="341">
        <v>42184.03</v>
      </c>
      <c r="P146" s="341">
        <v>84472.540000000008</v>
      </c>
      <c r="Q146" s="341">
        <v>42507.839999999997</v>
      </c>
      <c r="R146" s="341">
        <v>84472.540000000008</v>
      </c>
      <c r="S146" s="341">
        <v>42831.65</v>
      </c>
      <c r="T146" s="341">
        <v>84472.540000000008</v>
      </c>
      <c r="U146" s="341">
        <v>43155.46</v>
      </c>
      <c r="V146" s="341">
        <v>84472.540000000008</v>
      </c>
      <c r="W146" s="341">
        <v>43479.270000000004</v>
      </c>
      <c r="X146" s="341">
        <v>84472.540000000008</v>
      </c>
      <c r="Y146" s="341">
        <v>43803.08</v>
      </c>
      <c r="Z146" s="341">
        <v>84472.540000000008</v>
      </c>
      <c r="AA146" s="341">
        <v>44126.89</v>
      </c>
      <c r="AB146" s="341">
        <v>84472.540000000008</v>
      </c>
      <c r="AC146" s="341">
        <v>44450.700000000004</v>
      </c>
      <c r="AD146" s="341">
        <f t="shared" si="5"/>
        <v>84472.540000000023</v>
      </c>
      <c r="AE146" s="341">
        <f t="shared" si="5"/>
        <v>42507.840000000004</v>
      </c>
    </row>
    <row r="147" spans="1:31">
      <c r="A147" s="1209">
        <v>138</v>
      </c>
      <c r="B147" s="113" t="s">
        <v>3120</v>
      </c>
      <c r="C147" s="113" t="s">
        <v>3070</v>
      </c>
      <c r="D147" s="341">
        <v>-94673.540000000008</v>
      </c>
      <c r="E147" s="341">
        <v>-51325.86</v>
      </c>
      <c r="F147" s="341">
        <v>-94673.540000000008</v>
      </c>
      <c r="G147" s="341">
        <v>-51734.53</v>
      </c>
      <c r="H147" s="341">
        <v>-94673.540000000008</v>
      </c>
      <c r="I147" s="341">
        <v>-52143.199999999997</v>
      </c>
      <c r="J147" s="341">
        <v>-94673.540000000008</v>
      </c>
      <c r="K147" s="341">
        <v>-52551.869999999995</v>
      </c>
      <c r="L147" s="341">
        <v>-94673.540000000008</v>
      </c>
      <c r="M147" s="341">
        <v>-52960.539999999994</v>
      </c>
      <c r="N147" s="341">
        <v>-94673.540000000008</v>
      </c>
      <c r="O147" s="341">
        <v>-53369.210000000006</v>
      </c>
      <c r="P147" s="341">
        <v>-94673.540000000008</v>
      </c>
      <c r="Q147" s="341">
        <v>-53777.880000000005</v>
      </c>
      <c r="R147" s="341">
        <v>-94673.540000000008</v>
      </c>
      <c r="S147" s="341">
        <v>-54186.55</v>
      </c>
      <c r="T147" s="341">
        <v>-94673.540000000008</v>
      </c>
      <c r="U147" s="341">
        <v>-54595.22</v>
      </c>
      <c r="V147" s="341">
        <v>-94673.540000000008</v>
      </c>
      <c r="W147" s="341">
        <v>-55003.89</v>
      </c>
      <c r="X147" s="341">
        <v>-94673.540000000008</v>
      </c>
      <c r="Y147" s="341">
        <v>-53612.56</v>
      </c>
      <c r="Z147" s="341">
        <v>-94673.540000000008</v>
      </c>
      <c r="AA147" s="341">
        <v>-54021.23</v>
      </c>
      <c r="AB147" s="341">
        <v>-94673.540000000008</v>
      </c>
      <c r="AC147" s="341">
        <v>-54429.9</v>
      </c>
      <c r="AD147" s="341">
        <f t="shared" si="5"/>
        <v>-94673.540000000023</v>
      </c>
      <c r="AE147" s="341">
        <f t="shared" si="5"/>
        <v>-53402.879999999997</v>
      </c>
    </row>
    <row r="148" spans="1:31">
      <c r="A148" s="1209">
        <v>139</v>
      </c>
      <c r="B148" s="113" t="s">
        <v>3121</v>
      </c>
      <c r="C148" s="113" t="s">
        <v>3070</v>
      </c>
      <c r="D148" s="341">
        <v>0</v>
      </c>
      <c r="E148" s="341">
        <v>1.0000000000005116E-2</v>
      </c>
      <c r="F148" s="341">
        <v>0</v>
      </c>
      <c r="G148" s="341">
        <v>1.0000000000005116E-2</v>
      </c>
      <c r="H148" s="341">
        <v>0</v>
      </c>
      <c r="I148" s="341">
        <v>1.0000000000005116E-2</v>
      </c>
      <c r="J148" s="341">
        <v>0</v>
      </c>
      <c r="K148" s="341">
        <v>1.0000000000005116E-2</v>
      </c>
      <c r="L148" s="341">
        <v>0</v>
      </c>
      <c r="M148" s="341">
        <v>1.0000000000005116E-2</v>
      </c>
      <c r="N148" s="341">
        <v>0</v>
      </c>
      <c r="O148" s="341">
        <v>1.0000000000005116E-2</v>
      </c>
      <c r="P148" s="341">
        <v>0</v>
      </c>
      <c r="Q148" s="341">
        <v>1.0000000000005116E-2</v>
      </c>
      <c r="R148" s="341">
        <v>0</v>
      </c>
      <c r="S148" s="341">
        <v>1.0000000000005116E-2</v>
      </c>
      <c r="T148" s="341">
        <v>0</v>
      </c>
      <c r="U148" s="341">
        <v>1.0000000000005116E-2</v>
      </c>
      <c r="V148" s="341">
        <v>0</v>
      </c>
      <c r="W148" s="341">
        <v>1.0000000000005116E-2</v>
      </c>
      <c r="X148" s="341">
        <v>0</v>
      </c>
      <c r="Y148" s="341">
        <v>1.0000000000005116E-2</v>
      </c>
      <c r="Z148" s="341">
        <v>0</v>
      </c>
      <c r="AA148" s="341">
        <v>1.0000000000005116E-2</v>
      </c>
      <c r="AB148" s="341">
        <v>0</v>
      </c>
      <c r="AC148" s="341">
        <v>1.0000000000005116E-2</v>
      </c>
      <c r="AD148" s="341">
        <f t="shared" si="5"/>
        <v>0</v>
      </c>
      <c r="AE148" s="341">
        <f t="shared" si="5"/>
        <v>1.0000000000005116E-2</v>
      </c>
    </row>
    <row r="149" spans="1:31">
      <c r="A149" s="1209">
        <v>140</v>
      </c>
      <c r="B149" s="113" t="s">
        <v>3122</v>
      </c>
      <c r="C149" s="113" t="s">
        <v>3070</v>
      </c>
      <c r="D149" s="341">
        <v>19861.97</v>
      </c>
      <c r="E149" s="341">
        <v>7016.21</v>
      </c>
      <c r="F149" s="341">
        <v>19861.97</v>
      </c>
      <c r="G149" s="341">
        <v>7171.3</v>
      </c>
      <c r="H149" s="341">
        <v>19861.97</v>
      </c>
      <c r="I149" s="341">
        <v>7326.39</v>
      </c>
      <c r="J149" s="341">
        <v>19861.97</v>
      </c>
      <c r="K149" s="341">
        <v>7481.48</v>
      </c>
      <c r="L149" s="341">
        <v>19861.97</v>
      </c>
      <c r="M149" s="341">
        <v>7636.57</v>
      </c>
      <c r="N149" s="341">
        <v>19861.97</v>
      </c>
      <c r="O149" s="341">
        <v>7791.66</v>
      </c>
      <c r="P149" s="341">
        <v>19861.97</v>
      </c>
      <c r="Q149" s="341">
        <v>7946.75</v>
      </c>
      <c r="R149" s="341">
        <v>19861.97</v>
      </c>
      <c r="S149" s="341">
        <v>8101.84</v>
      </c>
      <c r="T149" s="341">
        <v>19861.97</v>
      </c>
      <c r="U149" s="341">
        <v>8256.93</v>
      </c>
      <c r="V149" s="341">
        <v>19861.97</v>
      </c>
      <c r="W149" s="341">
        <v>8412.02</v>
      </c>
      <c r="X149" s="341">
        <v>19861.97</v>
      </c>
      <c r="Y149" s="341">
        <v>8567.11</v>
      </c>
      <c r="Z149" s="341">
        <v>16175.64</v>
      </c>
      <c r="AA149" s="341">
        <v>5035.87</v>
      </c>
      <c r="AB149" s="341">
        <v>16175.64</v>
      </c>
      <c r="AC149" s="341">
        <v>5162.17</v>
      </c>
      <c r="AD149" s="341">
        <f t="shared" si="5"/>
        <v>19401.178750000003</v>
      </c>
      <c r="AE149" s="341">
        <f t="shared" si="5"/>
        <v>7484.7591666666658</v>
      </c>
    </row>
    <row r="150" spans="1:31">
      <c r="A150" s="1209">
        <v>141</v>
      </c>
      <c r="B150" s="113" t="s">
        <v>3123</v>
      </c>
      <c r="C150" s="113" t="s">
        <v>3070</v>
      </c>
      <c r="D150" s="341">
        <v>1168410.55</v>
      </c>
      <c r="E150" s="341">
        <v>662268.55000000005</v>
      </c>
      <c r="F150" s="341">
        <v>1168410.55</v>
      </c>
      <c r="G150" s="341">
        <v>662395.13</v>
      </c>
      <c r="H150" s="341">
        <v>1171599.3999999999</v>
      </c>
      <c r="I150" s="341">
        <v>662521.71</v>
      </c>
      <c r="J150" s="341">
        <v>1171599.3999999999</v>
      </c>
      <c r="K150" s="341">
        <v>662648.63</v>
      </c>
      <c r="L150" s="341">
        <v>1171599.3999999999</v>
      </c>
      <c r="M150" s="341">
        <v>662775.55000000005</v>
      </c>
      <c r="N150" s="341">
        <v>1171599.3999999999</v>
      </c>
      <c r="O150" s="341">
        <v>662902.47</v>
      </c>
      <c r="P150" s="341">
        <v>1166792.28</v>
      </c>
      <c r="Q150" s="341">
        <v>663029.39</v>
      </c>
      <c r="R150" s="341">
        <v>1170326.81</v>
      </c>
      <c r="S150" s="341">
        <v>663155.79</v>
      </c>
      <c r="T150" s="341">
        <v>1170326.81</v>
      </c>
      <c r="U150" s="341">
        <v>663282.58000000007</v>
      </c>
      <c r="V150" s="341">
        <v>1170326.81</v>
      </c>
      <c r="W150" s="341">
        <v>663409.37</v>
      </c>
      <c r="X150" s="341">
        <v>1170326.81</v>
      </c>
      <c r="Y150" s="341">
        <v>663536.16</v>
      </c>
      <c r="Z150" s="341">
        <v>1170326.81</v>
      </c>
      <c r="AA150" s="341">
        <v>663662.94999999995</v>
      </c>
      <c r="AB150" s="341">
        <v>1248306.3900000001</v>
      </c>
      <c r="AC150" s="341">
        <v>663789.74</v>
      </c>
      <c r="AD150" s="341">
        <f t="shared" si="5"/>
        <v>1173466.0791666668</v>
      </c>
      <c r="AE150" s="341">
        <f t="shared" si="5"/>
        <v>663029.07291666663</v>
      </c>
    </row>
    <row r="151" spans="1:31">
      <c r="A151" s="1209">
        <v>142</v>
      </c>
      <c r="B151" s="113" t="s">
        <v>3124</v>
      </c>
      <c r="C151" s="113" t="s">
        <v>3070</v>
      </c>
      <c r="D151" s="341">
        <v>134305.54</v>
      </c>
      <c r="E151" s="341">
        <v>-21675.370000000003</v>
      </c>
      <c r="F151" s="341">
        <v>134305.54</v>
      </c>
      <c r="G151" s="341">
        <v>-20647.93</v>
      </c>
      <c r="H151" s="341">
        <v>134305.54</v>
      </c>
      <c r="I151" s="341">
        <v>-19620.489999999998</v>
      </c>
      <c r="J151" s="341">
        <v>134305.54</v>
      </c>
      <c r="K151" s="341">
        <v>-18593.05</v>
      </c>
      <c r="L151" s="341">
        <v>134305.54</v>
      </c>
      <c r="M151" s="341">
        <v>-17565.61</v>
      </c>
      <c r="N151" s="341">
        <v>134305.54</v>
      </c>
      <c r="O151" s="341">
        <v>-16538.170000000002</v>
      </c>
      <c r="P151" s="341">
        <v>134305.54</v>
      </c>
      <c r="Q151" s="341">
        <v>-15510.730000000001</v>
      </c>
      <c r="R151" s="341">
        <v>134305.54</v>
      </c>
      <c r="S151" s="341">
        <v>-14483.29</v>
      </c>
      <c r="T151" s="341">
        <v>134305.54</v>
      </c>
      <c r="U151" s="341">
        <v>-13455.85</v>
      </c>
      <c r="V151" s="341">
        <v>134305.54</v>
      </c>
      <c r="W151" s="341">
        <v>-12428.41</v>
      </c>
      <c r="X151" s="341">
        <v>134305.54</v>
      </c>
      <c r="Y151" s="341">
        <v>-11400.970000000001</v>
      </c>
      <c r="Z151" s="341">
        <v>134305.54</v>
      </c>
      <c r="AA151" s="341">
        <v>-10373.530000000001</v>
      </c>
      <c r="AB151" s="341">
        <v>134305.54</v>
      </c>
      <c r="AC151" s="341">
        <v>-9346.09</v>
      </c>
      <c r="AD151" s="341">
        <f t="shared" si="5"/>
        <v>134305.54</v>
      </c>
      <c r="AE151" s="341">
        <f t="shared" si="5"/>
        <v>-15510.730000000001</v>
      </c>
    </row>
    <row r="152" spans="1:31">
      <c r="A152" s="1209">
        <v>143</v>
      </c>
      <c r="B152" s="113" t="s">
        <v>3125</v>
      </c>
      <c r="C152" s="113" t="s">
        <v>3070</v>
      </c>
      <c r="D152" s="341">
        <v>59484.530000000006</v>
      </c>
      <c r="E152" s="341">
        <v>24258.129999999997</v>
      </c>
      <c r="F152" s="341">
        <v>59484.53</v>
      </c>
      <c r="G152" s="341">
        <v>24779.120000000003</v>
      </c>
      <c r="H152" s="341">
        <v>59484.53</v>
      </c>
      <c r="I152" s="341">
        <v>25300.11</v>
      </c>
      <c r="J152" s="341">
        <v>59484.53</v>
      </c>
      <c r="K152" s="341">
        <v>25821.100000000002</v>
      </c>
      <c r="L152" s="341">
        <v>59484.53</v>
      </c>
      <c r="M152" s="341">
        <v>26342.090000000004</v>
      </c>
      <c r="N152" s="341">
        <v>59484.53</v>
      </c>
      <c r="O152" s="341">
        <v>26863.08</v>
      </c>
      <c r="P152" s="341">
        <v>59484.53</v>
      </c>
      <c r="Q152" s="341">
        <v>27384.070000000003</v>
      </c>
      <c r="R152" s="341">
        <v>59484.53</v>
      </c>
      <c r="S152" s="341">
        <v>27905.06</v>
      </c>
      <c r="T152" s="341">
        <v>59484.53</v>
      </c>
      <c r="U152" s="341">
        <v>28426.050000000003</v>
      </c>
      <c r="V152" s="341">
        <v>59484.53</v>
      </c>
      <c r="W152" s="341">
        <v>28947.040000000001</v>
      </c>
      <c r="X152" s="341">
        <v>59484.53</v>
      </c>
      <c r="Y152" s="341">
        <v>29468.030000000002</v>
      </c>
      <c r="Z152" s="341">
        <v>59484.53</v>
      </c>
      <c r="AA152" s="341">
        <v>29989.020000000004</v>
      </c>
      <c r="AB152" s="341">
        <v>59484.53</v>
      </c>
      <c r="AC152" s="341">
        <v>30510.010000000002</v>
      </c>
      <c r="AD152" s="341">
        <f t="shared" ref="AD152:AE156" si="6">+(D152+AB152+(+F152+H152+J152+L152+N152+P152+R152+T152+V152+X152+Z152)*2)/24</f>
        <v>59484.530000000021</v>
      </c>
      <c r="AE152" s="341">
        <f t="shared" si="6"/>
        <v>27384.070000000003</v>
      </c>
    </row>
    <row r="153" spans="1:31">
      <c r="A153" s="1209">
        <v>144</v>
      </c>
      <c r="B153" s="113" t="s">
        <v>3126</v>
      </c>
      <c r="C153" s="113" t="s">
        <v>3070</v>
      </c>
      <c r="D153" s="341">
        <v>21564736.030000001</v>
      </c>
      <c r="E153" s="341">
        <v>-7585645.2999999998</v>
      </c>
      <c r="F153" s="341">
        <v>21721628.489999998</v>
      </c>
      <c r="G153" s="341">
        <v>-7464214.1200000001</v>
      </c>
      <c r="H153" s="341">
        <v>21732101.050000001</v>
      </c>
      <c r="I153" s="341">
        <v>-7342522.7200000007</v>
      </c>
      <c r="J153" s="341">
        <v>21846118.82</v>
      </c>
      <c r="K153" s="341">
        <v>-7218939.3900000006</v>
      </c>
      <c r="L153" s="341">
        <v>21363214.800000001</v>
      </c>
      <c r="M153" s="341">
        <v>-9034905.9800000004</v>
      </c>
      <c r="N153" s="341">
        <v>21367527.119999997</v>
      </c>
      <c r="O153" s="341">
        <v>-8914741.0199999996</v>
      </c>
      <c r="P153" s="341">
        <v>21372813.530000001</v>
      </c>
      <c r="Q153" s="341">
        <v>-8858643.5599999987</v>
      </c>
      <c r="R153" s="341">
        <v>21378432.75</v>
      </c>
      <c r="S153" s="341">
        <v>-8736898.4600000009</v>
      </c>
      <c r="T153" s="341">
        <v>21385290.25</v>
      </c>
      <c r="U153" s="341">
        <v>-8614751.4000000004</v>
      </c>
      <c r="V153" s="341">
        <v>21504220.390000001</v>
      </c>
      <c r="W153" s="341">
        <v>-8492333.8900000006</v>
      </c>
      <c r="X153" s="341">
        <v>21439271.370000001</v>
      </c>
      <c r="Y153" s="341">
        <v>-8373577.5499999998</v>
      </c>
      <c r="Z153" s="341">
        <v>21416789.640000001</v>
      </c>
      <c r="AA153" s="341">
        <v>-8250480.4000000004</v>
      </c>
      <c r="AB153" s="341">
        <v>21414212.109999999</v>
      </c>
      <c r="AC153" s="341">
        <v>-8147300.5700000003</v>
      </c>
      <c r="AD153" s="341">
        <f t="shared" si="6"/>
        <v>21501406.856666666</v>
      </c>
      <c r="AE153" s="341">
        <f t="shared" si="6"/>
        <v>-8264040.1187500013</v>
      </c>
    </row>
    <row r="154" spans="1:31">
      <c r="A154" s="1209">
        <v>145</v>
      </c>
      <c r="B154" s="113" t="s">
        <v>3127</v>
      </c>
      <c r="C154" s="113" t="s">
        <v>3070</v>
      </c>
      <c r="D154" s="341">
        <v>43437209.129999995</v>
      </c>
      <c r="E154" s="341">
        <v>11331238.5</v>
      </c>
      <c r="F154" s="341">
        <v>43189838.799999997</v>
      </c>
      <c r="G154" s="341">
        <v>11163329.119999999</v>
      </c>
      <c r="H154" s="341">
        <v>43326282.239999995</v>
      </c>
      <c r="I154" s="341">
        <v>11136226.41</v>
      </c>
      <c r="J154" s="341">
        <v>43815654.25</v>
      </c>
      <c r="K154" s="341">
        <v>11118667.32</v>
      </c>
      <c r="L154" s="341">
        <v>44222929.890000001</v>
      </c>
      <c r="M154" s="341">
        <v>11153731.030000001</v>
      </c>
      <c r="N154" s="341">
        <v>44567394.710000001</v>
      </c>
      <c r="O154" s="341">
        <v>11137450.050000001</v>
      </c>
      <c r="P154" s="341">
        <v>44235372.890000001</v>
      </c>
      <c r="Q154" s="341">
        <v>11075502.59</v>
      </c>
      <c r="R154" s="341">
        <v>44535599.969999999</v>
      </c>
      <c r="S154" s="341">
        <v>11124612.59</v>
      </c>
      <c r="T154" s="341">
        <v>44831658.710000001</v>
      </c>
      <c r="U154" s="341">
        <v>11130389.890000001</v>
      </c>
      <c r="V154" s="341">
        <v>44823958.490000002</v>
      </c>
      <c r="W154" s="341">
        <v>11131505.34</v>
      </c>
      <c r="X154" s="341">
        <v>45086236.200000003</v>
      </c>
      <c r="Y154" s="341">
        <v>11135100.57</v>
      </c>
      <c r="Z154" s="341">
        <v>45322524.25</v>
      </c>
      <c r="AA154" s="341">
        <v>11220388.699999999</v>
      </c>
      <c r="AB154" s="341">
        <v>45369583.629999995</v>
      </c>
      <c r="AC154" s="341">
        <v>11216719.15</v>
      </c>
      <c r="AD154" s="341">
        <f t="shared" si="6"/>
        <v>44363403.898333333</v>
      </c>
      <c r="AE154" s="341">
        <f t="shared" si="6"/>
        <v>11150073.536250003</v>
      </c>
    </row>
    <row r="155" spans="1:31">
      <c r="A155" s="1209">
        <v>146</v>
      </c>
      <c r="B155" s="113" t="s">
        <v>3128</v>
      </c>
      <c r="C155" s="113" t="s">
        <v>3070</v>
      </c>
      <c r="D155" s="341">
        <v>0</v>
      </c>
      <c r="E155" s="341">
        <v>0</v>
      </c>
      <c r="F155" s="341">
        <v>151758.70000000001</v>
      </c>
      <c r="G155" s="341">
        <v>0</v>
      </c>
      <c r="H155" s="341">
        <v>1146068.9100000001</v>
      </c>
      <c r="I155" s="341">
        <v>204.87</v>
      </c>
      <c r="J155" s="341">
        <v>1751479.2000000002</v>
      </c>
      <c r="K155" s="341">
        <v>1752.06</v>
      </c>
      <c r="L155" s="341">
        <v>1715228.58</v>
      </c>
      <c r="M155" s="341">
        <v>4116.5599999999995</v>
      </c>
      <c r="N155" s="341">
        <v>2159572.58</v>
      </c>
      <c r="O155" s="341">
        <v>6432.12</v>
      </c>
      <c r="P155" s="341">
        <v>2039667.02</v>
      </c>
      <c r="Q155" s="341">
        <v>9779.4500000000007</v>
      </c>
      <c r="R155" s="341">
        <v>2375360.5100000002</v>
      </c>
      <c r="S155" s="341">
        <v>12940.93</v>
      </c>
      <c r="T155" s="341">
        <v>2751861.33</v>
      </c>
      <c r="U155" s="341">
        <v>16622.739999999998</v>
      </c>
      <c r="V155" s="341">
        <v>2940177.19</v>
      </c>
      <c r="W155" s="341">
        <v>20888.120000000003</v>
      </c>
      <c r="X155" s="341">
        <v>3194734.8600000003</v>
      </c>
      <c r="Y155" s="341">
        <v>25445.4</v>
      </c>
      <c r="Z155" s="341">
        <v>3397164.45</v>
      </c>
      <c r="AA155" s="341">
        <v>30397.239999999998</v>
      </c>
      <c r="AB155" s="341">
        <v>3475907.67</v>
      </c>
      <c r="AC155" s="341">
        <v>-28372.51</v>
      </c>
      <c r="AD155" s="341">
        <f t="shared" si="6"/>
        <v>2113418.9304166664</v>
      </c>
      <c r="AE155" s="341">
        <f t="shared" si="6"/>
        <v>9532.7695833333328</v>
      </c>
    </row>
    <row r="156" spans="1:31">
      <c r="A156" s="1209">
        <v>147</v>
      </c>
      <c r="B156" s="113" t="s">
        <v>3129</v>
      </c>
      <c r="C156" s="113" t="s">
        <v>3070</v>
      </c>
      <c r="D156" s="341">
        <v>11519764.66</v>
      </c>
      <c r="E156" s="341">
        <v>3690670.4400000004</v>
      </c>
      <c r="F156" s="341">
        <v>11532783</v>
      </c>
      <c r="G156" s="341">
        <v>3694875.1100000003</v>
      </c>
      <c r="H156" s="341">
        <v>11575455.33</v>
      </c>
      <c r="I156" s="341">
        <v>3705905.61</v>
      </c>
      <c r="J156" s="341">
        <v>11620051.57</v>
      </c>
      <c r="K156" s="341">
        <v>3713202.42</v>
      </c>
      <c r="L156" s="341">
        <v>11692112.23</v>
      </c>
      <c r="M156" s="341">
        <v>3733045.41</v>
      </c>
      <c r="N156" s="341">
        <v>11741517.09</v>
      </c>
      <c r="O156" s="341">
        <v>3751770.02</v>
      </c>
      <c r="P156" s="341">
        <v>11782582.6</v>
      </c>
      <c r="Q156" s="341">
        <v>3723126.6799999997</v>
      </c>
      <c r="R156" s="341">
        <v>11820094.82</v>
      </c>
      <c r="S156" s="341">
        <v>3737299.17</v>
      </c>
      <c r="T156" s="341">
        <v>11838044.100000001</v>
      </c>
      <c r="U156" s="341">
        <v>3729427.71</v>
      </c>
      <c r="V156" s="341">
        <v>11785395.77</v>
      </c>
      <c r="W156" s="341">
        <v>3671184.0199999996</v>
      </c>
      <c r="X156" s="341">
        <v>11821299.07</v>
      </c>
      <c r="Y156" s="341">
        <v>3693969.1199999996</v>
      </c>
      <c r="Z156" s="341">
        <v>11857354.57</v>
      </c>
      <c r="AA156" s="341">
        <v>3716823.63</v>
      </c>
      <c r="AB156" s="341">
        <v>11893201.190000001</v>
      </c>
      <c r="AC156" s="341">
        <v>3696691.71</v>
      </c>
      <c r="AD156" s="341">
        <f t="shared" si="6"/>
        <v>11731097.75625</v>
      </c>
      <c r="AE156" s="341">
        <f t="shared" si="6"/>
        <v>3713692.4979166673</v>
      </c>
    </row>
    <row r="157" spans="1:31">
      <c r="A157" s="1209">
        <v>148</v>
      </c>
      <c r="B157" s="673" t="s">
        <v>1485</v>
      </c>
      <c r="C157" s="673" t="s">
        <v>1734</v>
      </c>
      <c r="D157" s="716">
        <f t="shared" ref="D157:AE157" si="7">SUM(D97:D156)</f>
        <v>137725802.91999999</v>
      </c>
      <c r="E157" s="716">
        <f t="shared" si="7"/>
        <v>40957731.18</v>
      </c>
      <c r="F157" s="716">
        <f t="shared" si="7"/>
        <v>137736758.17999998</v>
      </c>
      <c r="G157" s="716">
        <f t="shared" si="7"/>
        <v>41203795.979999997</v>
      </c>
      <c r="H157" s="716">
        <f t="shared" si="7"/>
        <v>139360871.77999997</v>
      </c>
      <c r="I157" s="716">
        <f t="shared" si="7"/>
        <v>41616031.259999998</v>
      </c>
      <c r="J157" s="716">
        <f t="shared" si="7"/>
        <v>140696610.50999999</v>
      </c>
      <c r="K157" s="716">
        <f t="shared" si="7"/>
        <v>42100301.620000012</v>
      </c>
      <c r="L157" s="716">
        <f t="shared" si="7"/>
        <v>140658064.80999997</v>
      </c>
      <c r="M157" s="716">
        <f t="shared" si="7"/>
        <v>40697668.060000002</v>
      </c>
      <c r="N157" s="716">
        <f t="shared" si="7"/>
        <v>141525752.84999999</v>
      </c>
      <c r="O157" s="716">
        <f t="shared" si="7"/>
        <v>41189943.299999997</v>
      </c>
      <c r="P157" s="716">
        <f t="shared" si="7"/>
        <v>141466200.06999999</v>
      </c>
      <c r="Q157" s="716">
        <f t="shared" si="7"/>
        <v>41504350.149999999</v>
      </c>
      <c r="R157" s="716">
        <f t="shared" si="7"/>
        <v>142153582.52000001</v>
      </c>
      <c r="S157" s="716">
        <f t="shared" si="7"/>
        <v>42061710.280000009</v>
      </c>
      <c r="T157" s="716">
        <f t="shared" si="7"/>
        <v>142828316.52000001</v>
      </c>
      <c r="U157" s="716">
        <f t="shared" si="7"/>
        <v>42513733.20000001</v>
      </c>
      <c r="V157" s="716">
        <f t="shared" si="7"/>
        <v>143230071.19</v>
      </c>
      <c r="W157" s="716">
        <f t="shared" si="7"/>
        <v>42952078.850000009</v>
      </c>
      <c r="X157" s="716">
        <f t="shared" si="7"/>
        <v>143728569.12</v>
      </c>
      <c r="Y157" s="716">
        <f t="shared" si="7"/>
        <v>43438891.889999986</v>
      </c>
      <c r="Z157" s="716">
        <f t="shared" si="7"/>
        <v>144403018.72</v>
      </c>
      <c r="AA157" s="716">
        <f t="shared" si="7"/>
        <v>44005100.650000006</v>
      </c>
      <c r="AB157" s="716">
        <f t="shared" si="7"/>
        <v>146631072.21999997</v>
      </c>
      <c r="AC157" s="716">
        <f t="shared" si="7"/>
        <v>44362645.080000006</v>
      </c>
      <c r="AD157" s="716">
        <f t="shared" si="7"/>
        <v>141663854.48666665</v>
      </c>
      <c r="AE157" s="716">
        <f t="shared" si="7"/>
        <v>42161982.780833341</v>
      </c>
    </row>
    <row r="158" spans="1:31">
      <c r="A158" s="1209">
        <v>149</v>
      </c>
      <c r="B158" s="730" t="s">
        <v>3130</v>
      </c>
      <c r="C158" s="557"/>
      <c r="D158" s="717"/>
      <c r="E158" s="717"/>
      <c r="F158" s="717"/>
      <c r="G158" s="717"/>
      <c r="H158" s="717"/>
      <c r="I158" s="717"/>
      <c r="J158" s="717"/>
      <c r="K158" s="717"/>
      <c r="L158" s="717"/>
      <c r="M158" s="717"/>
      <c r="N158" s="717"/>
      <c r="O158" s="717"/>
      <c r="P158" s="717"/>
      <c r="Q158" s="717"/>
      <c r="R158" s="717"/>
      <c r="S158" s="717"/>
      <c r="T158" s="717"/>
      <c r="U158" s="717"/>
      <c r="V158" s="717"/>
      <c r="W158" s="717"/>
      <c r="X158" s="717"/>
      <c r="Y158" s="717"/>
      <c r="Z158" s="717"/>
      <c r="AA158" s="717"/>
      <c r="AB158" s="717"/>
      <c r="AC158" s="717"/>
      <c r="AD158" s="717"/>
      <c r="AE158" s="717"/>
    </row>
    <row r="159" spans="1:31">
      <c r="A159" s="1209">
        <v>150</v>
      </c>
      <c r="B159" s="113" t="s">
        <v>3131</v>
      </c>
      <c r="D159" s="341">
        <v>86636.74</v>
      </c>
      <c r="E159" s="341">
        <v>32361.68</v>
      </c>
      <c r="F159" s="341">
        <v>86636.74</v>
      </c>
      <c r="G159" s="341">
        <v>32431.63</v>
      </c>
      <c r="H159" s="341">
        <v>86636.74</v>
      </c>
      <c r="I159" s="341">
        <v>32501.57</v>
      </c>
      <c r="J159" s="341">
        <v>86636.74</v>
      </c>
      <c r="K159" s="341">
        <v>32571.52</v>
      </c>
      <c r="L159" s="341">
        <v>86636.74</v>
      </c>
      <c r="M159" s="341">
        <v>32641.46</v>
      </c>
      <c r="N159" s="341">
        <v>86636.74</v>
      </c>
      <c r="O159" s="341">
        <v>32711.41</v>
      </c>
      <c r="P159" s="341">
        <v>86636.74</v>
      </c>
      <c r="Q159" s="341">
        <v>32781.35</v>
      </c>
      <c r="R159" s="341">
        <v>86636.74</v>
      </c>
      <c r="S159" s="341">
        <v>32851.29</v>
      </c>
      <c r="T159" s="341">
        <v>86636.74</v>
      </c>
      <c r="U159" s="341">
        <v>32921.24</v>
      </c>
      <c r="V159" s="341">
        <v>86636.74</v>
      </c>
      <c r="W159" s="341">
        <v>32991.18</v>
      </c>
      <c r="X159" s="341">
        <v>86636.74</v>
      </c>
      <c r="Y159" s="341">
        <v>33061.129999999997</v>
      </c>
      <c r="Z159" s="341">
        <v>86636.74</v>
      </c>
      <c r="AA159" s="341">
        <v>33131.07</v>
      </c>
      <c r="AB159" s="341">
        <v>86636.74</v>
      </c>
      <c r="AC159" s="341">
        <v>33201.020000000004</v>
      </c>
      <c r="AD159" s="341">
        <f t="shared" ref="AD159:AE163" si="8">+(D159+AB159+(+F159+H159+J159+L159+N159+P159+R159+T159+V159+X159+Z159)*2)/24</f>
        <v>86636.74</v>
      </c>
      <c r="AE159" s="341">
        <f t="shared" si="8"/>
        <v>32781.350000000006</v>
      </c>
    </row>
    <row r="160" spans="1:31">
      <c r="A160" s="1209">
        <v>151</v>
      </c>
      <c r="B160" s="113" t="s">
        <v>3132</v>
      </c>
      <c r="D160" s="341">
        <v>0</v>
      </c>
      <c r="E160" s="341">
        <v>0</v>
      </c>
      <c r="F160" s="341">
        <v>0</v>
      </c>
      <c r="G160" s="341">
        <v>0</v>
      </c>
      <c r="H160" s="341">
        <v>0</v>
      </c>
      <c r="I160" s="341">
        <v>0</v>
      </c>
      <c r="J160" s="341">
        <v>0</v>
      </c>
      <c r="K160" s="341">
        <v>0</v>
      </c>
      <c r="L160" s="341">
        <v>0</v>
      </c>
      <c r="M160" s="341">
        <v>0</v>
      </c>
      <c r="N160" s="341">
        <v>0</v>
      </c>
      <c r="O160" s="341">
        <v>0</v>
      </c>
      <c r="P160" s="341">
        <v>0</v>
      </c>
      <c r="Q160" s="341">
        <v>0</v>
      </c>
      <c r="R160" s="341">
        <v>0</v>
      </c>
      <c r="S160" s="341">
        <v>0</v>
      </c>
      <c r="T160" s="341">
        <v>0</v>
      </c>
      <c r="U160" s="341">
        <v>0</v>
      </c>
      <c r="V160" s="341">
        <v>0</v>
      </c>
      <c r="W160" s="341">
        <v>0</v>
      </c>
      <c r="X160" s="341">
        <v>0</v>
      </c>
      <c r="Y160" s="341">
        <v>0</v>
      </c>
      <c r="Z160" s="341">
        <v>0</v>
      </c>
      <c r="AA160" s="341">
        <v>0</v>
      </c>
      <c r="AB160" s="341">
        <v>0</v>
      </c>
      <c r="AC160" s="341">
        <v>0</v>
      </c>
      <c r="AD160" s="341">
        <f t="shared" si="8"/>
        <v>0</v>
      </c>
      <c r="AE160" s="341">
        <f t="shared" si="8"/>
        <v>0</v>
      </c>
    </row>
    <row r="161" spans="1:31">
      <c r="A161" s="1209">
        <v>152</v>
      </c>
      <c r="B161" s="113" t="s">
        <v>3133</v>
      </c>
      <c r="D161" s="341">
        <v>26251194.289999999</v>
      </c>
      <c r="E161" s="341">
        <v>4656844.2300000004</v>
      </c>
      <c r="F161" s="341">
        <v>26251194.289999999</v>
      </c>
      <c r="G161" s="341">
        <v>4687153.68</v>
      </c>
      <c r="H161" s="341">
        <v>26251194.289999999</v>
      </c>
      <c r="I161" s="341">
        <v>4717463.1500000004</v>
      </c>
      <c r="J161" s="341">
        <v>26251194.289999999</v>
      </c>
      <c r="K161" s="341">
        <v>4747772.59</v>
      </c>
      <c r="L161" s="341">
        <v>26251194.289999999</v>
      </c>
      <c r="M161" s="341">
        <v>4778082.08</v>
      </c>
      <c r="N161" s="341">
        <v>26251194.289999999</v>
      </c>
      <c r="O161" s="341">
        <v>4808391.5600000005</v>
      </c>
      <c r="P161" s="341">
        <v>26251194.289999999</v>
      </c>
      <c r="Q161" s="341">
        <v>4838701.05</v>
      </c>
      <c r="R161" s="341">
        <v>26251194.289999999</v>
      </c>
      <c r="S161" s="341">
        <v>4869010.47</v>
      </c>
      <c r="T161" s="341">
        <v>26251194.289999999</v>
      </c>
      <c r="U161" s="341">
        <v>4899319.91</v>
      </c>
      <c r="V161" s="341">
        <v>26251194.289999999</v>
      </c>
      <c r="W161" s="341">
        <v>4929629.38</v>
      </c>
      <c r="X161" s="341">
        <v>26251194.289999999</v>
      </c>
      <c r="Y161" s="341">
        <v>4959938.91</v>
      </c>
      <c r="Z161" s="341">
        <v>26251194.289999999</v>
      </c>
      <c r="AA161" s="341">
        <v>4990248.37</v>
      </c>
      <c r="AB161" s="341">
        <v>26251194.289999999</v>
      </c>
      <c r="AC161" s="341">
        <v>5020557.8</v>
      </c>
      <c r="AD161" s="341">
        <f t="shared" si="8"/>
        <v>26251194.289999995</v>
      </c>
      <c r="AE161" s="341">
        <f t="shared" si="8"/>
        <v>4838701.0137499999</v>
      </c>
    </row>
    <row r="162" spans="1:31">
      <c r="A162" s="1209">
        <v>153</v>
      </c>
      <c r="B162" s="113" t="s">
        <v>3134</v>
      </c>
      <c r="D162" s="341">
        <v>0</v>
      </c>
      <c r="E162" s="341">
        <v>0</v>
      </c>
      <c r="F162" s="341">
        <v>0</v>
      </c>
      <c r="G162" s="341">
        <v>0</v>
      </c>
      <c r="H162" s="341">
        <v>0</v>
      </c>
      <c r="I162" s="341">
        <v>0</v>
      </c>
      <c r="J162" s="341">
        <v>0</v>
      </c>
      <c r="K162" s="341">
        <v>0</v>
      </c>
      <c r="L162" s="341">
        <v>0</v>
      </c>
      <c r="M162" s="341">
        <v>0</v>
      </c>
      <c r="N162" s="341">
        <v>0</v>
      </c>
      <c r="O162" s="341">
        <v>0</v>
      </c>
      <c r="P162" s="341">
        <v>0</v>
      </c>
      <c r="Q162" s="341">
        <v>0</v>
      </c>
      <c r="R162" s="341">
        <v>0</v>
      </c>
      <c r="S162" s="341">
        <v>0</v>
      </c>
      <c r="T162" s="341">
        <v>0</v>
      </c>
      <c r="U162" s="341">
        <v>0</v>
      </c>
      <c r="V162" s="341">
        <v>0</v>
      </c>
      <c r="W162" s="341">
        <v>0</v>
      </c>
      <c r="X162" s="341">
        <v>0</v>
      </c>
      <c r="Y162" s="341">
        <v>0</v>
      </c>
      <c r="Z162" s="341">
        <v>0</v>
      </c>
      <c r="AA162" s="341">
        <v>0</v>
      </c>
      <c r="AB162" s="341">
        <v>-165.83000000000175</v>
      </c>
      <c r="AC162" s="341">
        <v>-136.43000000000029</v>
      </c>
      <c r="AD162" s="341">
        <f t="shared" si="8"/>
        <v>-6.9095833333334058</v>
      </c>
      <c r="AE162" s="341">
        <f t="shared" si="8"/>
        <v>-5.6845833333333458</v>
      </c>
    </row>
    <row r="163" spans="1:31">
      <c r="A163" s="1209">
        <v>154</v>
      </c>
      <c r="B163" s="113" t="s">
        <v>3135</v>
      </c>
      <c r="D163" s="341">
        <v>0</v>
      </c>
      <c r="E163" s="341">
        <v>0</v>
      </c>
      <c r="F163" s="341">
        <v>0</v>
      </c>
      <c r="G163" s="341">
        <v>0</v>
      </c>
      <c r="H163" s="341">
        <v>0</v>
      </c>
      <c r="I163" s="341">
        <v>0</v>
      </c>
      <c r="J163" s="341">
        <v>0</v>
      </c>
      <c r="K163" s="341">
        <v>0</v>
      </c>
      <c r="L163" s="341">
        <v>0</v>
      </c>
      <c r="M163" s="341">
        <v>0</v>
      </c>
      <c r="N163" s="341">
        <v>0</v>
      </c>
      <c r="O163" s="341">
        <v>0</v>
      </c>
      <c r="P163" s="341">
        <v>0</v>
      </c>
      <c r="Q163" s="341">
        <v>0</v>
      </c>
      <c r="R163" s="341">
        <v>0</v>
      </c>
      <c r="S163" s="341">
        <v>0</v>
      </c>
      <c r="T163" s="341">
        <v>0</v>
      </c>
      <c r="U163" s="341">
        <v>0</v>
      </c>
      <c r="V163" s="341">
        <v>0</v>
      </c>
      <c r="W163" s="341">
        <v>0</v>
      </c>
      <c r="X163" s="341">
        <v>0</v>
      </c>
      <c r="Y163" s="341">
        <v>0</v>
      </c>
      <c r="Z163" s="341">
        <v>0</v>
      </c>
      <c r="AA163" s="341">
        <v>0</v>
      </c>
      <c r="AB163" s="341">
        <v>2860834.2899999991</v>
      </c>
      <c r="AC163" s="341">
        <v>14576.64000000013</v>
      </c>
      <c r="AD163" s="341">
        <f t="shared" si="8"/>
        <v>119201.42874999996</v>
      </c>
      <c r="AE163" s="341">
        <f t="shared" si="8"/>
        <v>607.36000000000547</v>
      </c>
    </row>
    <row r="164" spans="1:31">
      <c r="A164" s="1209">
        <v>155</v>
      </c>
      <c r="B164" s="673" t="s">
        <v>3136</v>
      </c>
      <c r="C164" s="673"/>
      <c r="D164" s="1362">
        <f>SUM(D159:D163)</f>
        <v>26337831.029999997</v>
      </c>
      <c r="E164" s="716">
        <f t="shared" ref="E164:AE164" si="9">SUM(E159:E163)</f>
        <v>4689205.91</v>
      </c>
      <c r="F164" s="716">
        <f t="shared" si="9"/>
        <v>26337831.029999997</v>
      </c>
      <c r="G164" s="716">
        <f t="shared" si="9"/>
        <v>4719585.3099999996</v>
      </c>
      <c r="H164" s="716">
        <f t="shared" si="9"/>
        <v>26337831.029999997</v>
      </c>
      <c r="I164" s="716">
        <f t="shared" si="9"/>
        <v>4749964.7200000007</v>
      </c>
      <c r="J164" s="716">
        <f t="shared" si="9"/>
        <v>26337831.029999997</v>
      </c>
      <c r="K164" s="716">
        <f t="shared" si="9"/>
        <v>4780344.1099999994</v>
      </c>
      <c r="L164" s="716">
        <f t="shared" si="9"/>
        <v>26337831.029999997</v>
      </c>
      <c r="M164" s="716">
        <f t="shared" si="9"/>
        <v>4810723.54</v>
      </c>
      <c r="N164" s="716">
        <f t="shared" si="9"/>
        <v>26337831.029999997</v>
      </c>
      <c r="O164" s="716">
        <f t="shared" si="9"/>
        <v>4841102.9700000007</v>
      </c>
      <c r="P164" s="716">
        <f t="shared" si="9"/>
        <v>26337831.029999997</v>
      </c>
      <c r="Q164" s="716">
        <f t="shared" si="9"/>
        <v>4871482.3999999994</v>
      </c>
      <c r="R164" s="716">
        <f t="shared" si="9"/>
        <v>26337831.029999997</v>
      </c>
      <c r="S164" s="716">
        <f t="shared" si="9"/>
        <v>4901861.76</v>
      </c>
      <c r="T164" s="716">
        <f t="shared" si="9"/>
        <v>26337831.029999997</v>
      </c>
      <c r="U164" s="716">
        <f t="shared" si="9"/>
        <v>4932241.1500000004</v>
      </c>
      <c r="V164" s="716">
        <f t="shared" si="9"/>
        <v>26337831.029999997</v>
      </c>
      <c r="W164" s="716">
        <f t="shared" si="9"/>
        <v>4962620.5599999996</v>
      </c>
      <c r="X164" s="716">
        <f t="shared" si="9"/>
        <v>26337831.029999997</v>
      </c>
      <c r="Y164" s="716">
        <f t="shared" si="9"/>
        <v>4993000.04</v>
      </c>
      <c r="Z164" s="716">
        <f t="shared" si="9"/>
        <v>26337831.029999997</v>
      </c>
      <c r="AA164" s="716">
        <f t="shared" si="9"/>
        <v>5023379.4400000004</v>
      </c>
      <c r="AB164" s="716">
        <f t="shared" si="9"/>
        <v>29198499.489999998</v>
      </c>
      <c r="AC164" s="716">
        <f t="shared" si="9"/>
        <v>5068199.0299999993</v>
      </c>
      <c r="AD164" s="716">
        <f t="shared" si="9"/>
        <v>26457025.549166661</v>
      </c>
      <c r="AE164" s="716">
        <f t="shared" si="9"/>
        <v>4872084.0391666666</v>
      </c>
    </row>
    <row r="165" spans="1:31">
      <c r="A165" s="1209">
        <v>156</v>
      </c>
      <c r="D165" s="341"/>
      <c r="E165" s="341"/>
      <c r="F165" s="341"/>
      <c r="G165" s="341"/>
      <c r="H165" s="341"/>
      <c r="I165" s="341"/>
      <c r="J165" s="341"/>
      <c r="K165" s="341"/>
      <c r="L165" s="341"/>
      <c r="M165" s="341"/>
      <c r="N165" s="341"/>
      <c r="O165" s="341"/>
      <c r="P165" s="341"/>
      <c r="Q165" s="341"/>
      <c r="R165" s="341"/>
      <c r="S165" s="341"/>
      <c r="T165" s="341"/>
      <c r="U165" s="341"/>
      <c r="V165" s="341"/>
      <c r="W165" s="341"/>
      <c r="X165" s="341"/>
      <c r="Y165" s="341"/>
      <c r="Z165" s="341"/>
      <c r="AA165" s="341"/>
      <c r="AB165" s="341"/>
      <c r="AC165" s="341"/>
      <c r="AD165" s="341"/>
      <c r="AE165" s="341"/>
    </row>
    <row r="166" spans="1:31" ht="15.75" thickBot="1">
      <c r="A166" s="1209">
        <v>157</v>
      </c>
      <c r="B166" s="729" t="s">
        <v>388</v>
      </c>
      <c r="C166" s="558"/>
      <c r="D166" s="718">
        <f t="shared" ref="D166:AE166" si="10">SUM(D164,D157,D95,D48)</f>
        <v>1148216101.98</v>
      </c>
      <c r="E166" s="718">
        <f t="shared" si="10"/>
        <v>512376596.41999996</v>
      </c>
      <c r="F166" s="718">
        <f t="shared" si="10"/>
        <v>1156047050.4499998</v>
      </c>
      <c r="G166" s="718">
        <f t="shared" si="10"/>
        <v>514586064.54000008</v>
      </c>
      <c r="H166" s="718">
        <f t="shared" si="10"/>
        <v>1159870502.6399996</v>
      </c>
      <c r="I166" s="718">
        <f t="shared" si="10"/>
        <v>516727353.73000002</v>
      </c>
      <c r="J166" s="718">
        <f t="shared" si="10"/>
        <v>1165544970.6899998</v>
      </c>
      <c r="K166" s="718">
        <f t="shared" si="10"/>
        <v>518904563.20999992</v>
      </c>
      <c r="L166" s="718">
        <f t="shared" si="10"/>
        <v>1167159832.8199999</v>
      </c>
      <c r="M166" s="718">
        <f t="shared" si="10"/>
        <v>518701079.29000002</v>
      </c>
      <c r="N166" s="718">
        <f t="shared" si="10"/>
        <v>1170184607.8899999</v>
      </c>
      <c r="O166" s="718">
        <f t="shared" si="10"/>
        <v>520704032.38999987</v>
      </c>
      <c r="P166" s="718">
        <f t="shared" si="10"/>
        <v>1174533000.25</v>
      </c>
      <c r="Q166" s="718">
        <f t="shared" si="10"/>
        <v>522991917.83999991</v>
      </c>
      <c r="R166" s="718">
        <f t="shared" si="10"/>
        <v>1180168149.7499998</v>
      </c>
      <c r="S166" s="718">
        <f t="shared" si="10"/>
        <v>525329137.50999999</v>
      </c>
      <c r="T166" s="718">
        <f t="shared" si="10"/>
        <v>1189878549.6899998</v>
      </c>
      <c r="U166" s="718">
        <f t="shared" si="10"/>
        <v>527636213.82000011</v>
      </c>
      <c r="V166" s="718">
        <f t="shared" si="10"/>
        <v>1197036451.3399999</v>
      </c>
      <c r="W166" s="718">
        <f t="shared" si="10"/>
        <v>530264443.50000012</v>
      </c>
      <c r="X166" s="718">
        <f t="shared" si="10"/>
        <v>1204318155.96</v>
      </c>
      <c r="Y166" s="718">
        <f t="shared" si="10"/>
        <v>532996241.05000007</v>
      </c>
      <c r="Z166" s="718">
        <f t="shared" si="10"/>
        <v>1215886255.22</v>
      </c>
      <c r="AA166" s="718">
        <f t="shared" si="10"/>
        <v>535779487.28000009</v>
      </c>
      <c r="AB166" s="718">
        <f t="shared" si="10"/>
        <v>1261132622.96</v>
      </c>
      <c r="AC166" s="718">
        <f t="shared" si="10"/>
        <v>536333501.57999992</v>
      </c>
      <c r="AD166" s="718">
        <f t="shared" si="10"/>
        <v>1182108490.7641666</v>
      </c>
      <c r="AE166" s="718">
        <f t="shared" si="10"/>
        <v>524081298.59666669</v>
      </c>
    </row>
    <row r="167" spans="1:31" ht="15.75" thickTop="1">
      <c r="A167" s="1209">
        <v>158</v>
      </c>
      <c r="E167" s="271"/>
      <c r="G167" s="271"/>
      <c r="I167" s="271"/>
      <c r="K167" s="271"/>
      <c r="M167" s="271"/>
      <c r="O167" s="271"/>
      <c r="Q167" s="271"/>
      <c r="S167" s="271"/>
    </row>
    <row r="168" spans="1:31">
      <c r="A168" s="1209">
        <v>159</v>
      </c>
      <c r="E168" s="271"/>
      <c r="G168" s="271"/>
      <c r="H168" s="271"/>
      <c r="I168" s="271"/>
      <c r="J168" s="271"/>
      <c r="K168" s="271"/>
      <c r="L168" s="271"/>
      <c r="M168" s="271"/>
      <c r="N168" s="271"/>
      <c r="O168" s="271"/>
      <c r="P168" s="271"/>
      <c r="Q168" s="271"/>
      <c r="R168" s="271"/>
      <c r="S168" s="271"/>
      <c r="W168" s="18"/>
      <c r="X168" s="18"/>
      <c r="Y168" s="18"/>
      <c r="AB168" s="559"/>
      <c r="AC168" s="559"/>
      <c r="AD168" s="271"/>
    </row>
    <row r="169" spans="1:31">
      <c r="A169" s="1209">
        <v>160</v>
      </c>
      <c r="B169" s="560" t="s">
        <v>3137</v>
      </c>
      <c r="C169" s="338"/>
      <c r="W169" s="18"/>
      <c r="Z169" s="12"/>
      <c r="AA169" s="12"/>
      <c r="AB169" s="559"/>
      <c r="AC169" s="559"/>
      <c r="AD169" s="271"/>
      <c r="AE169" s="271"/>
    </row>
    <row r="170" spans="1:31">
      <c r="A170" s="1209">
        <v>161</v>
      </c>
    </row>
    <row r="171" spans="1:31">
      <c r="A171" s="1209">
        <v>162</v>
      </c>
      <c r="P171" s="271"/>
    </row>
    <row r="172" spans="1:31">
      <c r="A172" s="1209">
        <v>163</v>
      </c>
      <c r="B172" s="12" t="s">
        <v>3138</v>
      </c>
      <c r="E172" s="341">
        <f>D95</f>
        <v>764082473.55999994</v>
      </c>
      <c r="G172" s="341">
        <f>F95</f>
        <v>770933408.75999975</v>
      </c>
      <c r="H172" s="271"/>
      <c r="I172" s="341">
        <f>H95</f>
        <v>772856110.62999976</v>
      </c>
      <c r="J172" s="271"/>
      <c r="K172" s="341">
        <f>J95</f>
        <v>775452635.98999977</v>
      </c>
      <c r="L172" s="271"/>
      <c r="M172" s="341">
        <f>L95</f>
        <v>776061203.30999982</v>
      </c>
      <c r="N172" s="271"/>
      <c r="O172" s="341">
        <f>N95</f>
        <v>777413116.25999975</v>
      </c>
      <c r="P172" s="271"/>
      <c r="Q172" s="341">
        <f>P95</f>
        <v>782046447.21999991</v>
      </c>
      <c r="R172" s="271"/>
      <c r="S172" s="341">
        <f>R95</f>
        <v>785429747.46999979</v>
      </c>
      <c r="T172" s="271"/>
      <c r="U172" s="341">
        <f>T95</f>
        <v>788459533.62999976</v>
      </c>
      <c r="V172" s="271"/>
      <c r="W172" s="341">
        <f>V95</f>
        <v>794413484.21999991</v>
      </c>
      <c r="X172" s="271"/>
      <c r="Y172" s="341">
        <f>X95</f>
        <v>798362517.88</v>
      </c>
      <c r="AA172" s="341">
        <f>Z95</f>
        <v>808516297.46999991</v>
      </c>
      <c r="AC172" s="341">
        <f>AB95</f>
        <v>847341438.25999999</v>
      </c>
    </row>
    <row r="173" spans="1:31">
      <c r="A173" s="1209">
        <v>164</v>
      </c>
      <c r="B173" s="12" t="s">
        <v>3139</v>
      </c>
      <c r="D173" s="117">
        <v>0.75170000000000003</v>
      </c>
      <c r="E173" s="341">
        <f>+D173*SUM(D97:D152)</f>
        <v>46007116.783269994</v>
      </c>
      <c r="F173" s="117">
        <f>+'State Allocators'!C14</f>
        <v>0.74890000000000001</v>
      </c>
      <c r="G173" s="341">
        <f>+F173*SUM(F97:F152)</f>
        <v>45788307.068390988</v>
      </c>
      <c r="H173" s="622">
        <f>+F173</f>
        <v>0.74890000000000001</v>
      </c>
      <c r="I173" s="341">
        <f>+H173*SUM(H97:H152)</f>
        <v>46117984.12682499</v>
      </c>
      <c r="J173" s="117">
        <f>+H173</f>
        <v>0.74890000000000001</v>
      </c>
      <c r="K173" s="341">
        <f>+J173*SUM(J97:J152)</f>
        <v>46179650.365162984</v>
      </c>
      <c r="L173" s="117">
        <f>+J173</f>
        <v>0.74890000000000001</v>
      </c>
      <c r="M173" s="341">
        <f>+L173*SUM(L97:L152)</f>
        <v>46180603.445258982</v>
      </c>
      <c r="N173" s="117">
        <f>+L173</f>
        <v>0.74890000000000001</v>
      </c>
      <c r="O173" s="341">
        <f>+N173*SUM(N97:N152)</f>
        <v>46199447.297014996</v>
      </c>
      <c r="P173" s="117">
        <f>+N173</f>
        <v>0.74890000000000001</v>
      </c>
      <c r="Q173" s="341">
        <f>+P173*SUM(P97:P152)</f>
        <v>46458583.682066992</v>
      </c>
      <c r="R173" s="117">
        <f>+P173</f>
        <v>0.74890000000000001</v>
      </c>
      <c r="S173" s="341">
        <f>+R173*SUM(R97:R152)</f>
        <v>46464822.34858299</v>
      </c>
      <c r="T173" s="117">
        <f>+R173</f>
        <v>0.74890000000000001</v>
      </c>
      <c r="U173" s="341">
        <f>+T173*SUM(T97:T152)</f>
        <v>46447872.989157006</v>
      </c>
      <c r="V173" s="117">
        <f>+T173</f>
        <v>0.74890000000000001</v>
      </c>
      <c r="W173" s="341">
        <f>+V173*SUM(V97:V152)</f>
        <v>46563845.561214998</v>
      </c>
      <c r="X173" s="117">
        <f>+V173</f>
        <v>0.74890000000000001</v>
      </c>
      <c r="Y173" s="341">
        <f>+X173*SUM(X97:X152)</f>
        <v>46571864.984618001</v>
      </c>
      <c r="Z173" s="117">
        <f>+X173</f>
        <v>0.74890000000000001</v>
      </c>
      <c r="AA173" s="341">
        <f>+Z173*SUM(Z97:Z152)</f>
        <v>46738239.253109001</v>
      </c>
      <c r="AB173" s="179">
        <f>+Z173</f>
        <v>0.74890000000000001</v>
      </c>
      <c r="AC173" s="341">
        <f>+AB173*SUM(AB97:AB152)</f>
        <v>48287699.730617993</v>
      </c>
      <c r="AD173" s="271"/>
    </row>
    <row r="174" spans="1:31">
      <c r="A174" s="1209">
        <v>165</v>
      </c>
      <c r="B174" s="12" t="s">
        <v>3140</v>
      </c>
      <c r="D174" s="117">
        <v>0.74299999999999999</v>
      </c>
      <c r="E174" s="341">
        <f>+D174*SUM(D153:D156)</f>
        <v>56855630.396259993</v>
      </c>
      <c r="F174" s="117">
        <f>+'State Allocators'!C13</f>
        <v>0.74060000000000004</v>
      </c>
      <c r="G174" s="341">
        <f>+F174*SUM(F153:F156)</f>
        <v>56727004.257993996</v>
      </c>
      <c r="H174" s="117">
        <f>+F174</f>
        <v>0.74060000000000004</v>
      </c>
      <c r="I174" s="341">
        <f>+H174*SUM(H153:H156)</f>
        <v>57603799.516717993</v>
      </c>
      <c r="J174" s="117">
        <f>+H174</f>
        <v>0.74060000000000004</v>
      </c>
      <c r="K174" s="341">
        <f>+J174*SUM(J153:J156)</f>
        <v>58532064.823904008</v>
      </c>
      <c r="L174" s="117">
        <f>+J174</f>
        <v>0.74060000000000004</v>
      </c>
      <c r="M174" s="341">
        <f>+L174*SUM(L153:L156)</f>
        <v>58502575.361300007</v>
      </c>
      <c r="N174" s="117">
        <f>+L174</f>
        <v>0.74060000000000004</v>
      </c>
      <c r="O174" s="341">
        <f>+N174*SUM(N153:N156)</f>
        <v>59126550.116900004</v>
      </c>
      <c r="P174" s="117">
        <f>+N174</f>
        <v>0.74060000000000004</v>
      </c>
      <c r="Q174" s="341">
        <f>+P174*SUM(P153:P156)</f>
        <v>58826180.931223996</v>
      </c>
      <c r="R174" s="117">
        <f>+P174</f>
        <v>0.74060000000000004</v>
      </c>
      <c r="S174" s="341">
        <f>+R174*SUM(R153:R156)</f>
        <v>59329086.849830009</v>
      </c>
      <c r="T174" s="117">
        <f>+R174</f>
        <v>0.74060000000000004</v>
      </c>
      <c r="U174" s="341">
        <f>+T174*SUM(T153:T156)</f>
        <v>59845556.361234017</v>
      </c>
      <c r="V174" s="117">
        <f>+T174</f>
        <v>0.74060000000000004</v>
      </c>
      <c r="W174" s="341">
        <f>+V174*SUM(V153:V156)</f>
        <v>60028408.612704009</v>
      </c>
      <c r="X174" s="117">
        <f>+V174</f>
        <v>0.74060000000000004</v>
      </c>
      <c r="Y174" s="341">
        <f>+X174*SUM(X153:X156)</f>
        <v>60389665.634900004</v>
      </c>
      <c r="Z174" s="117">
        <f>+X174</f>
        <v>0.74060000000000004</v>
      </c>
      <c r="AA174" s="341">
        <f>+Z174*SUM(Z153:Z156)</f>
        <v>60724632.653145999</v>
      </c>
      <c r="AB174" s="179">
        <f>+Z174</f>
        <v>0.74060000000000004</v>
      </c>
      <c r="AC174" s="341">
        <f>+AB174*SUM(AB153:AB156)</f>
        <v>60842441.146760002</v>
      </c>
    </row>
    <row r="175" spans="1:31">
      <c r="A175" s="1209">
        <v>166</v>
      </c>
      <c r="E175" s="341"/>
      <c r="F175" s="341"/>
      <c r="G175" s="341"/>
      <c r="H175" s="341"/>
      <c r="I175" s="341"/>
      <c r="J175" s="341"/>
      <c r="K175" s="341"/>
      <c r="L175" s="341"/>
      <c r="M175" s="341"/>
      <c r="N175" s="341"/>
      <c r="O175" s="341"/>
      <c r="P175" s="341"/>
      <c r="Q175" s="341"/>
      <c r="R175" s="341"/>
      <c r="S175" s="341"/>
      <c r="T175" s="341"/>
      <c r="U175" s="341"/>
      <c r="V175" s="341"/>
      <c r="W175" s="341"/>
      <c r="X175" s="341"/>
      <c r="Y175" s="341"/>
      <c r="Z175" s="341"/>
      <c r="AA175" s="341"/>
      <c r="AB175" s="341"/>
      <c r="AC175" s="341"/>
      <c r="AD175" s="341"/>
      <c r="AE175" s="341"/>
    </row>
    <row r="176" spans="1:31" ht="30">
      <c r="A176" s="1209">
        <v>167</v>
      </c>
      <c r="B176" s="12" t="s">
        <v>3141</v>
      </c>
      <c r="E176" s="1361">
        <f>SUM(E172:E174)</f>
        <v>866945220.73952997</v>
      </c>
      <c r="F176" s="341"/>
      <c r="G176" s="341">
        <f>SUM(G172:G174)</f>
        <v>873448720.08638477</v>
      </c>
      <c r="H176" s="341"/>
      <c r="I176" s="341">
        <f>SUM(I172:I174)</f>
        <v>876577894.27354276</v>
      </c>
      <c r="J176" s="341"/>
      <c r="K176" s="341">
        <f>SUM(K172:K175)</f>
        <v>880164351.17906678</v>
      </c>
      <c r="L176" s="341"/>
      <c r="M176" s="341">
        <f>SUM(M172:M175)</f>
        <v>880744382.11655879</v>
      </c>
      <c r="N176" s="341"/>
      <c r="O176" s="341">
        <f>SUM(O172:O175)</f>
        <v>882739113.67391467</v>
      </c>
      <c r="P176" s="341"/>
      <c r="Q176" s="341">
        <f>SUM(Q172:Q175)</f>
        <v>887331211.83329093</v>
      </c>
      <c r="R176" s="341"/>
      <c r="S176" s="341">
        <f>SUM(S172:S175)</f>
        <v>891223656.6684128</v>
      </c>
      <c r="T176" s="341"/>
      <c r="U176" s="341">
        <f>SUM(U172:U175)</f>
        <v>894752962.98039079</v>
      </c>
      <c r="V176" s="341"/>
      <c r="W176" s="341">
        <f>SUM(W172:W175)</f>
        <v>901005738.39391899</v>
      </c>
      <c r="X176" s="341"/>
      <c r="Y176" s="341">
        <f>SUM(Y172:Y175)</f>
        <v>905324048.49951792</v>
      </c>
      <c r="Z176" s="341"/>
      <c r="AA176" s="341">
        <f>SUM(AA172:AA174)</f>
        <v>915979169.37625492</v>
      </c>
      <c r="AB176" s="341"/>
      <c r="AC176" s="341">
        <f>SUM(AC172:AC174)</f>
        <v>956471579.13737798</v>
      </c>
      <c r="AD176" s="727" t="s">
        <v>3142</v>
      </c>
      <c r="AE176" s="341">
        <f>+(E176+AC176+(+G176+I176+K176+M176+O176+Q176+S176+U176+W176+Y176+AA176)*2)/24</f>
        <v>891749970.75164235</v>
      </c>
    </row>
    <row r="177" spans="1:32">
      <c r="A177" s="1209">
        <v>168</v>
      </c>
      <c r="E177" s="341"/>
      <c r="F177" s="341"/>
      <c r="G177" s="341"/>
      <c r="H177" s="341"/>
      <c r="I177" s="341"/>
      <c r="J177" s="720"/>
      <c r="K177" s="720"/>
      <c r="L177" s="720"/>
      <c r="M177" s="720"/>
      <c r="N177" s="720"/>
      <c r="O177" s="720"/>
      <c r="P177" s="720"/>
      <c r="Q177" s="720"/>
      <c r="R177" s="720"/>
      <c r="S177" s="720"/>
      <c r="T177" s="720"/>
      <c r="U177" s="720"/>
      <c r="V177" s="720"/>
      <c r="W177" s="720"/>
      <c r="X177" s="720"/>
      <c r="Y177" s="720"/>
      <c r="Z177" s="341"/>
      <c r="AA177" s="341"/>
      <c r="AB177" s="341"/>
      <c r="AC177" s="341"/>
      <c r="AD177" s="728"/>
      <c r="AE177" s="341"/>
    </row>
    <row r="178" spans="1:32">
      <c r="A178" s="1209">
        <v>169</v>
      </c>
      <c r="B178" s="12" t="s">
        <v>3138</v>
      </c>
      <c r="E178" s="341">
        <f>E95</f>
        <v>366495933.66000003</v>
      </c>
      <c r="F178" s="341"/>
      <c r="G178" s="341">
        <f>G95</f>
        <v>367979438.53000003</v>
      </c>
      <c r="H178" s="341"/>
      <c r="I178" s="341">
        <f>I95</f>
        <v>369320252.10000002</v>
      </c>
      <c r="J178" s="341"/>
      <c r="K178" s="341">
        <f>K95</f>
        <v>370605827.06999987</v>
      </c>
      <c r="L178" s="341"/>
      <c r="M178" s="341">
        <f>M95</f>
        <v>371293722.25</v>
      </c>
      <c r="N178" s="341"/>
      <c r="O178" s="341">
        <f>O95</f>
        <v>372276096.76999986</v>
      </c>
      <c r="P178" s="341"/>
      <c r="Q178" s="341">
        <f>Q95</f>
        <v>373743267.87999994</v>
      </c>
      <c r="R178" s="341"/>
      <c r="S178" s="341">
        <f>S95</f>
        <v>374953304.48999995</v>
      </c>
      <c r="T178" s="341"/>
      <c r="U178" s="341">
        <f>U95</f>
        <v>376292738.1400001</v>
      </c>
      <c r="V178" s="341"/>
      <c r="W178" s="341">
        <f>W95</f>
        <v>378001783.85000008</v>
      </c>
      <c r="X178" s="341"/>
      <c r="Y178" s="341">
        <f>Y95</f>
        <v>379704978.33000004</v>
      </c>
      <c r="Z178" s="341"/>
      <c r="AA178" s="341">
        <f>AA95</f>
        <v>381398996.17000008</v>
      </c>
      <c r="AB178" s="341"/>
      <c r="AC178" s="341">
        <f>AC95</f>
        <v>381941033.71999991</v>
      </c>
      <c r="AD178" s="728"/>
      <c r="AE178" s="341"/>
    </row>
    <row r="179" spans="1:32">
      <c r="A179" s="1209">
        <v>170</v>
      </c>
      <c r="B179" s="12" t="s">
        <v>3139</v>
      </c>
      <c r="D179" s="345"/>
      <c r="E179" s="341">
        <f>+D173*SUM(E97:E152)</f>
        <v>25198087.149818003</v>
      </c>
      <c r="F179" s="341"/>
      <c r="G179" s="341">
        <f>+F173*SUM(G97:G152)</f>
        <v>25320163.616042998</v>
      </c>
      <c r="H179" s="341"/>
      <c r="I179" s="341">
        <f>+H173*SUM(I97:I152)</f>
        <v>25549634.978701003</v>
      </c>
      <c r="J179" s="341"/>
      <c r="K179" s="341">
        <f>+J173*SUM(K97:K152)</f>
        <v>25826280.226369008</v>
      </c>
      <c r="L179" s="341"/>
      <c r="M179" s="341">
        <f>+L173*SUM(M97:M152)</f>
        <v>26092934.930856004</v>
      </c>
      <c r="N179" s="341"/>
      <c r="O179" s="341">
        <f>+N173*SUM(O97:O152)</f>
        <v>26368044.162156995</v>
      </c>
      <c r="P179" s="341"/>
      <c r="Q179" s="341">
        <f>+P173*SUM(Q97:Q152)</f>
        <v>26626828.699010998</v>
      </c>
      <c r="R179" s="341"/>
      <c r="S179" s="341">
        <f>+R173*SUM(S97:S152)</f>
        <v>26903300.905845009</v>
      </c>
      <c r="T179" s="341"/>
      <c r="U179" s="341">
        <f>+T173*SUM(U97:U152)</f>
        <v>27149155.946314003</v>
      </c>
      <c r="V179" s="341"/>
      <c r="W179" s="341">
        <f>+V173*SUM(W97:W152)</f>
        <v>27425343.526214011</v>
      </c>
      <c r="X179" s="341"/>
      <c r="Y179" s="341">
        <f>+X173*SUM(Y97:Y152)</f>
        <v>27677812.012714997</v>
      </c>
      <c r="Z179" s="341"/>
      <c r="AA179" s="341">
        <f>+Z173*SUM(AA97:AA152)</f>
        <v>27924961.841372002</v>
      </c>
      <c r="AB179" s="341"/>
      <c r="AC179" s="341">
        <f>+AB173*SUM(AC97:AC152)</f>
        <v>28177293.076970004</v>
      </c>
      <c r="AD179" s="728"/>
      <c r="AE179" s="341"/>
    </row>
    <row r="180" spans="1:32">
      <c r="A180" s="1209">
        <v>171</v>
      </c>
      <c r="B180" s="12" t="s">
        <v>3140</v>
      </c>
      <c r="E180" s="341">
        <f>+D174*SUM(E153:E156)</f>
        <v>5525143.8845200008</v>
      </c>
      <c r="F180" s="341"/>
      <c r="G180" s="341">
        <f>+F174*SUM(G153:G156)</f>
        <v>5475989.0754659995</v>
      </c>
      <c r="H180" s="341"/>
      <c r="I180" s="341">
        <f>+H174*SUM(I153:I156)</f>
        <v>5554362.3743019998</v>
      </c>
      <c r="J180" s="341"/>
      <c r="K180" s="341">
        <f>+J174*SUM(K153:K156)</f>
        <v>5639433.7928460008</v>
      </c>
      <c r="L180" s="341"/>
      <c r="M180" s="341">
        <f>+L174*SUM(M153:M156)</f>
        <v>4336943.9870120017</v>
      </c>
      <c r="N180" s="341"/>
      <c r="O180" s="341">
        <f>+N174*SUM(O153:O156)</f>
        <v>4429462.8125020014</v>
      </c>
      <c r="P180" s="341"/>
      <c r="Q180" s="341">
        <f>+P174*SUM(Q153:Q156)</f>
        <v>4406396.0774960006</v>
      </c>
      <c r="R180" s="341"/>
      <c r="S180" s="341">
        <f>+R174*SUM(S153:S156)</f>
        <v>4545768.9027379993</v>
      </c>
      <c r="T180" s="341"/>
      <c r="U180" s="341">
        <f>+T174*SUM(U153:U156)</f>
        <v>4637406.8289640006</v>
      </c>
      <c r="V180" s="341"/>
      <c r="W180" s="341">
        <f>+V174*SUM(W153:W156)</f>
        <v>4688919.0027539991</v>
      </c>
      <c r="X180" s="341"/>
      <c r="Y180" s="341">
        <f>+X174*SUM(Y153:Y156)</f>
        <v>4799782.3421240002</v>
      </c>
      <c r="Z180" s="341"/>
      <c r="AA180" s="341">
        <f>+Z174*SUM(AA153:AA156)</f>
        <v>4974705.8633019999</v>
      </c>
      <c r="AB180" s="341"/>
      <c r="AC180" s="341">
        <f>+AB174*SUM(AC153:AC156)</f>
        <v>4989968.5998680005</v>
      </c>
      <c r="AD180" s="728"/>
      <c r="AE180" s="341"/>
    </row>
    <row r="181" spans="1:32">
      <c r="A181" s="1209">
        <v>172</v>
      </c>
      <c r="E181" s="341"/>
      <c r="F181" s="341"/>
      <c r="G181" s="341"/>
      <c r="H181" s="341"/>
      <c r="I181" s="341"/>
      <c r="J181" s="341"/>
      <c r="K181" s="341"/>
      <c r="L181" s="341"/>
      <c r="M181" s="341"/>
      <c r="N181" s="341"/>
      <c r="O181" s="341"/>
      <c r="P181" s="341"/>
      <c r="Q181" s="341"/>
      <c r="R181" s="341"/>
      <c r="S181" s="341"/>
      <c r="T181" s="341"/>
      <c r="U181" s="341"/>
      <c r="V181" s="341"/>
      <c r="W181" s="341"/>
      <c r="X181" s="341"/>
      <c r="Y181" s="341"/>
      <c r="Z181" s="341"/>
      <c r="AA181" s="341"/>
      <c r="AB181" s="341"/>
      <c r="AC181" s="341"/>
      <c r="AD181" s="728"/>
      <c r="AE181" s="341"/>
    </row>
    <row r="182" spans="1:32" ht="30">
      <c r="A182" s="1209">
        <v>173</v>
      </c>
      <c r="B182" s="12" t="s">
        <v>3143</v>
      </c>
      <c r="E182" s="341">
        <f>SUM(E178:E180)</f>
        <v>397219164.69433802</v>
      </c>
      <c r="F182" s="341"/>
      <c r="G182" s="341">
        <f>SUM(G178:G180)</f>
        <v>398775591.22150898</v>
      </c>
      <c r="H182" s="341"/>
      <c r="I182" s="341">
        <f>SUM(I178:I180)</f>
        <v>400424249.45300305</v>
      </c>
      <c r="J182" s="341"/>
      <c r="K182" s="341">
        <f>SUM(K178:K181)</f>
        <v>402071541.08921492</v>
      </c>
      <c r="L182" s="341"/>
      <c r="M182" s="341">
        <f>SUM(M178:M181)</f>
        <v>401723601.16786802</v>
      </c>
      <c r="N182" s="341"/>
      <c r="O182" s="341">
        <f>SUM(O178:O181)</f>
        <v>403073603.74465889</v>
      </c>
      <c r="P182" s="341"/>
      <c r="Q182" s="341">
        <f>SUM(Q178:Q181)</f>
        <v>404776492.65650696</v>
      </c>
      <c r="R182" s="341"/>
      <c r="S182" s="341">
        <f>SUM(S178:S181)</f>
        <v>406402374.29858291</v>
      </c>
      <c r="T182" s="341"/>
      <c r="U182" s="341">
        <f>SUM(U178:U181)</f>
        <v>408079300.91527808</v>
      </c>
      <c r="V182" s="341"/>
      <c r="W182" s="341">
        <f>SUM(W178:W181)</f>
        <v>410116046.37896806</v>
      </c>
      <c r="X182" s="341"/>
      <c r="Y182" s="341">
        <f>SUM(Y178:Y181)</f>
        <v>412182572.68483901</v>
      </c>
      <c r="Z182" s="341"/>
      <c r="AA182" s="341">
        <f>SUM(AA178:AA180)</f>
        <v>414298663.87467408</v>
      </c>
      <c r="AB182" s="341"/>
      <c r="AC182" s="341">
        <f>SUM(AC178:AC180)</f>
        <v>415108295.39683789</v>
      </c>
      <c r="AD182" s="727" t="s">
        <v>3144</v>
      </c>
      <c r="AE182" s="341">
        <f>+(E182+AC182+(+G182+I182+K182+M182+O182+Q182+S182+U182+W182+Y182+AA182)*2)/24</f>
        <v>405673980.62755752</v>
      </c>
    </row>
    <row r="183" spans="1:32">
      <c r="A183" s="1209">
        <v>174</v>
      </c>
      <c r="E183" s="341"/>
      <c r="F183" s="341"/>
      <c r="G183" s="341"/>
      <c r="H183" s="341"/>
      <c r="I183" s="341"/>
      <c r="J183" s="720"/>
      <c r="K183" s="720"/>
      <c r="L183" s="720"/>
      <c r="M183" s="720"/>
      <c r="N183" s="341"/>
      <c r="O183" s="341"/>
      <c r="P183" s="341"/>
      <c r="Q183" s="341"/>
      <c r="R183" s="341"/>
      <c r="S183" s="341"/>
      <c r="T183" s="720"/>
      <c r="U183" s="720"/>
      <c r="V183" s="720"/>
      <c r="W183" s="720"/>
      <c r="X183" s="720"/>
      <c r="Y183" s="720"/>
      <c r="Z183" s="341"/>
      <c r="AA183" s="341"/>
      <c r="AB183" s="341"/>
      <c r="AC183" s="341"/>
      <c r="AD183" s="341"/>
      <c r="AE183" s="341"/>
    </row>
    <row r="184" spans="1:32">
      <c r="A184" s="1209">
        <v>175</v>
      </c>
      <c r="B184" s="721" t="s">
        <v>3145</v>
      </c>
      <c r="E184" s="341">
        <v>394211590.76999998</v>
      </c>
      <c r="F184" s="341"/>
      <c r="G184" s="341">
        <v>395792440.50999999</v>
      </c>
      <c r="H184" s="341"/>
      <c r="I184" s="341">
        <v>397605102.68000001</v>
      </c>
      <c r="J184" s="341"/>
      <c r="K184" s="341">
        <v>399059346.44</v>
      </c>
      <c r="L184" s="341"/>
      <c r="M184" s="341">
        <v>400262970.42000002</v>
      </c>
      <c r="N184" s="341"/>
      <c r="O184" s="341">
        <v>401801802.37</v>
      </c>
      <c r="P184" s="341"/>
      <c r="Q184" s="341">
        <v>403323982.02999997</v>
      </c>
      <c r="R184" s="341"/>
      <c r="S184" s="341">
        <v>404992253.13999999</v>
      </c>
      <c r="T184" s="341"/>
      <c r="U184" s="341">
        <v>406912525.54000002</v>
      </c>
      <c r="V184" s="341"/>
      <c r="W184" s="341">
        <v>408972760.48000002</v>
      </c>
      <c r="X184" s="341"/>
      <c r="Y184" s="341">
        <v>411244807.10000002</v>
      </c>
      <c r="Z184" s="341"/>
      <c r="AA184" s="341">
        <v>413023909.31999999</v>
      </c>
      <c r="AB184" s="341"/>
      <c r="AC184" s="341">
        <v>415169294.62</v>
      </c>
      <c r="AD184" s="341"/>
      <c r="AE184" s="341">
        <f>+(E184+AC184+(+G184+I184+K184+M184+O184+Q184+S184+U184+W184+Y184+AA184)*2)/24</f>
        <v>403973528.56041664</v>
      </c>
    </row>
    <row r="185" spans="1:32">
      <c r="A185" s="1209">
        <v>176</v>
      </c>
      <c r="B185" s="722" t="s">
        <v>3146</v>
      </c>
      <c r="D185" s="623"/>
      <c r="E185" s="719">
        <f>+E184-E182</f>
        <v>-3007573.9243380427</v>
      </c>
      <c r="F185" s="719"/>
      <c r="G185" s="719">
        <f>+G184-G182</f>
        <v>-2983150.7115089893</v>
      </c>
      <c r="H185" s="719"/>
      <c r="I185" s="719">
        <f t="shared" ref="I185:AC185" si="11">+I184-I182</f>
        <v>-2819146.7730030417</v>
      </c>
      <c r="J185" s="719"/>
      <c r="K185" s="719">
        <f t="shared" si="11"/>
        <v>-3012194.6492149234</v>
      </c>
      <c r="L185" s="719"/>
      <c r="M185" s="719">
        <f t="shared" si="11"/>
        <v>-1460630.7478680015</v>
      </c>
      <c r="N185" s="719"/>
      <c r="O185" s="719">
        <f t="shared" si="11"/>
        <v>-1271801.3746588826</v>
      </c>
      <c r="P185" s="719"/>
      <c r="Q185" s="719">
        <f t="shared" si="11"/>
        <v>-1452510.6265069842</v>
      </c>
      <c r="R185" s="719"/>
      <c r="S185" s="719">
        <f t="shared" si="11"/>
        <v>-1410121.1585829258</v>
      </c>
      <c r="T185" s="719"/>
      <c r="U185" s="719">
        <f t="shared" si="11"/>
        <v>-1166775.3752780557</v>
      </c>
      <c r="V185" s="719"/>
      <c r="W185" s="719">
        <f t="shared" si="11"/>
        <v>-1143285.8989680409</v>
      </c>
      <c r="X185" s="719"/>
      <c r="Y185" s="719">
        <f t="shared" si="11"/>
        <v>-937765.5848389864</v>
      </c>
      <c r="Z185" s="719"/>
      <c r="AA185" s="719">
        <f t="shared" si="11"/>
        <v>-1274754.554674089</v>
      </c>
      <c r="AB185" s="719"/>
      <c r="AC185" s="719">
        <f t="shared" si="11"/>
        <v>60999.22316211462</v>
      </c>
      <c r="AD185" s="719"/>
      <c r="AE185" s="719">
        <f>+(E185+AC185+(+G185+I185+K185+M185+O185+Q185+S185+U185+W185+Y185+AA185)*2)/24</f>
        <v>-1700452.067140907</v>
      </c>
    </row>
    <row r="186" spans="1:32">
      <c r="A186" s="1209">
        <v>177</v>
      </c>
      <c r="H186" s="723" t="s">
        <v>3147</v>
      </c>
      <c r="J186" s="723" t="s">
        <v>3147</v>
      </c>
      <c r="L186" s="723" t="s">
        <v>3147</v>
      </c>
      <c r="N186" s="723" t="s">
        <v>3147</v>
      </c>
      <c r="P186" s="723" t="s">
        <v>3147</v>
      </c>
      <c r="R186" s="723" t="s">
        <v>3147</v>
      </c>
      <c r="T186" s="723" t="s">
        <v>3147</v>
      </c>
      <c r="V186" s="723" t="s">
        <v>3147</v>
      </c>
      <c r="X186" s="723" t="s">
        <v>3147</v>
      </c>
      <c r="Z186" s="723" t="s">
        <v>3147</v>
      </c>
      <c r="AB186" s="723" t="s">
        <v>3147</v>
      </c>
      <c r="AD186" s="723" t="s">
        <v>3147</v>
      </c>
      <c r="AE186" s="373">
        <f>+AE184-AE182</f>
        <v>-1700452.0671408772</v>
      </c>
      <c r="AF186" s="113" t="s">
        <v>322</v>
      </c>
    </row>
    <row r="187" spans="1:32" ht="18.75" customHeight="1">
      <c r="A187" s="1209">
        <v>178</v>
      </c>
      <c r="D187" s="724">
        <v>47.108199999999997</v>
      </c>
      <c r="F187" s="341"/>
      <c r="G187" s="341">
        <f>+' Working Capital (AMA)'!G24</f>
        <v>-343102902.42000002</v>
      </c>
      <c r="H187" s="341">
        <f>-267760309.28</f>
        <v>-267760309.28</v>
      </c>
      <c r="I187" s="341">
        <f>+' Working Capital (AMA)'!H24</f>
        <v>-344656144.30000001</v>
      </c>
      <c r="J187" s="341">
        <v>-269002393.47000003</v>
      </c>
      <c r="K187" s="341">
        <f>+' Working Capital (AMA)'!I24</f>
        <v>-346262533.31</v>
      </c>
      <c r="L187" s="341">
        <v>-270244633.99000001</v>
      </c>
      <c r="M187" s="341">
        <f>+' Working Capital (AMA)'!J24</f>
        <v>-347341216.80000001</v>
      </c>
      <c r="N187" s="341">
        <v>-270877004.88</v>
      </c>
      <c r="O187" s="341">
        <f>+' Working Capital (AMA)'!K24</f>
        <v>-348722827.23000002</v>
      </c>
      <c r="P187" s="341">
        <v>-271815817.23000002</v>
      </c>
      <c r="Q187" s="341">
        <f>+' Working Capital (AMA)'!L24</f>
        <v>-350113767.22000003</v>
      </c>
      <c r="R187" s="341">
        <v>-272866455.39999998</v>
      </c>
      <c r="S187" s="341">
        <f>+' Working Capital (AMA)'!M24</f>
        <v>-351786312.51999998</v>
      </c>
      <c r="T187" s="341">
        <v>-274066412.48000002</v>
      </c>
      <c r="U187" s="341">
        <f>+' Working Capital (AMA)'!N24</f>
        <v>-353632615.36000001</v>
      </c>
      <c r="V187" s="341">
        <v>-275470528.83999997</v>
      </c>
      <c r="W187" s="341">
        <f>+' Working Capital (AMA)'!O24</f>
        <v>-355573536.50999999</v>
      </c>
      <c r="X187" s="341">
        <v>-276983172.22000003</v>
      </c>
      <c r="Y187" s="341">
        <f>+' Working Capital (AMA)'!P24</f>
        <v>-357480153.54000002</v>
      </c>
      <c r="Z187" s="341">
        <v>-278469252.32999998</v>
      </c>
      <c r="AA187" s="341">
        <f>+' Working Capital (AMA)'!Q24</f>
        <v>-359513297.08999997</v>
      </c>
      <c r="AB187" s="341">
        <v>-280016513.57999998</v>
      </c>
      <c r="AC187" s="341">
        <f>+' Working Capital (AMA)'!R24</f>
        <v>-360812241.13</v>
      </c>
      <c r="AD187" s="341">
        <v>-280856269.42000002</v>
      </c>
      <c r="AE187" s="341"/>
    </row>
    <row r="188" spans="1:32">
      <c r="A188" s="1209">
        <v>179</v>
      </c>
      <c r="D188" s="451">
        <v>47.108400000000003</v>
      </c>
      <c r="F188" s="341"/>
      <c r="G188" s="341">
        <f>-G164</f>
        <v>-4719585.3099999996</v>
      </c>
      <c r="H188" s="341">
        <f>+G188</f>
        <v>-4719585.3099999996</v>
      </c>
      <c r="I188" s="341">
        <f>-I164</f>
        <v>-4749964.7200000007</v>
      </c>
      <c r="J188" s="341">
        <f>+I188</f>
        <v>-4749964.7200000007</v>
      </c>
      <c r="K188" s="341">
        <f>-K164</f>
        <v>-4780344.1099999994</v>
      </c>
      <c r="L188" s="341">
        <f>+K188</f>
        <v>-4780344.1099999994</v>
      </c>
      <c r="M188" s="341">
        <f>-M164</f>
        <v>-4810723.54</v>
      </c>
      <c r="N188" s="341">
        <f>+M188</f>
        <v>-4810723.54</v>
      </c>
      <c r="O188" s="341">
        <f>-O164</f>
        <v>-4841102.9700000007</v>
      </c>
      <c r="P188" s="341">
        <f>+O188</f>
        <v>-4841102.9700000007</v>
      </c>
      <c r="Q188" s="341">
        <f>-Q164</f>
        <v>-4871482.3999999994</v>
      </c>
      <c r="R188" s="341">
        <f>+Q188</f>
        <v>-4871482.3999999994</v>
      </c>
      <c r="S188" s="341">
        <f>-S164</f>
        <v>-4901861.76</v>
      </c>
      <c r="T188" s="341">
        <f>+S188</f>
        <v>-4901861.76</v>
      </c>
      <c r="U188" s="341">
        <f>-U164</f>
        <v>-4932241.1500000004</v>
      </c>
      <c r="V188" s="341">
        <f>+U188</f>
        <v>-4932241.1500000004</v>
      </c>
      <c r="W188" s="341">
        <f>-W164</f>
        <v>-4962620.5599999996</v>
      </c>
      <c r="X188" s="341">
        <f>+W188</f>
        <v>-4962620.5599999996</v>
      </c>
      <c r="Y188" s="341">
        <f>-Y164</f>
        <v>-4993000.04</v>
      </c>
      <c r="Z188" s="341">
        <f>+Y188</f>
        <v>-4993000.04</v>
      </c>
      <c r="AA188" s="341">
        <f>-AA164</f>
        <v>-5023379.4400000004</v>
      </c>
      <c r="AB188" s="341">
        <f>+AA188</f>
        <v>-5023379.4400000004</v>
      </c>
      <c r="AC188" s="341">
        <f>-AC164</f>
        <v>-5068199.0299999993</v>
      </c>
      <c r="AD188" s="341">
        <f>+AC188</f>
        <v>-5068199.0299999993</v>
      </c>
      <c r="AE188" s="341"/>
    </row>
    <row r="189" spans="1:32">
      <c r="A189" s="1209">
        <v>180</v>
      </c>
      <c r="D189" s="451">
        <v>47.108699999999999</v>
      </c>
      <c r="F189" s="341"/>
      <c r="G189" s="341">
        <f>+' Working Capital (AMA)'!G31</f>
        <v>-3066802.91</v>
      </c>
      <c r="H189" s="341">
        <v>-1857109.25</v>
      </c>
      <c r="I189" s="341">
        <f>+' Working Capital (AMA)'!H31</f>
        <v>-3068477.79</v>
      </c>
      <c r="J189" s="341">
        <v>-1853265.44</v>
      </c>
      <c r="K189" s="341">
        <f>+' Working Capital (AMA)'!I31</f>
        <v>-3083048.28</v>
      </c>
      <c r="L189" s="341">
        <v>-1861699.22</v>
      </c>
      <c r="M189" s="341">
        <f>+' Working Capital (AMA)'!J31</f>
        <v>-1159323.19</v>
      </c>
      <c r="N189" s="341">
        <v>-433258.11</v>
      </c>
      <c r="O189" s="341">
        <f>+' Working Capital (AMA)'!K31</f>
        <v>-1117791.93</v>
      </c>
      <c r="P189" s="341">
        <v>-389212.69</v>
      </c>
      <c r="Q189" s="341">
        <f>+' Working Capital (AMA)'!L31</f>
        <v>-1138745.76</v>
      </c>
      <c r="R189" s="341">
        <v>-403933.01</v>
      </c>
      <c r="S189" s="341">
        <f>+' Working Capital (AMA)'!M31</f>
        <v>-1160109.51</v>
      </c>
      <c r="T189" s="341">
        <v>-419055.28</v>
      </c>
      <c r="U189" s="341">
        <f>+' Working Capital (AMA)'!N31</f>
        <v>-1147859.24</v>
      </c>
      <c r="V189" s="341">
        <v>-400546</v>
      </c>
      <c r="W189" s="341">
        <f>+' Working Capital (AMA)'!O31</f>
        <v>-1116022.25</v>
      </c>
      <c r="X189" s="341">
        <v>-362430.55</v>
      </c>
      <c r="Y189" s="341">
        <f>+' Working Capital (AMA)'!P31</f>
        <v>-1135830.5</v>
      </c>
      <c r="Z189" s="341">
        <v>-375950.56</v>
      </c>
      <c r="AA189" s="341">
        <f>+' Working Capital (AMA)'!Q31</f>
        <v>-1158006.53</v>
      </c>
      <c r="AB189" s="341">
        <v>-391804.25</v>
      </c>
      <c r="AC189" s="341">
        <f>+' Working Capital (AMA)'!R31</f>
        <v>-952412.58</v>
      </c>
      <c r="AD189" s="341">
        <v>-227499.86</v>
      </c>
      <c r="AE189" s="341"/>
    </row>
    <row r="190" spans="1:32">
      <c r="A190" s="1209">
        <v>181</v>
      </c>
      <c r="D190" s="451">
        <v>47.108800000000002</v>
      </c>
      <c r="F190" s="341"/>
      <c r="G190" s="341">
        <f>+' Working Capital (AMA)'!G32</f>
        <v>-142729337.06</v>
      </c>
      <c r="H190" s="341">
        <v>-113549260.06999999</v>
      </c>
      <c r="I190" s="341">
        <f>+' Working Capital (AMA)'!H32</f>
        <v>-142989160.58000001</v>
      </c>
      <c r="J190" s="341">
        <v>-113740731.28</v>
      </c>
      <c r="K190" s="341">
        <f>+' Working Capital (AMA)'!I32</f>
        <v>-143215381.13999999</v>
      </c>
      <c r="L190" s="341">
        <v>-113915900.55</v>
      </c>
      <c r="M190" s="341">
        <f>+' Working Capital (AMA)'!J32</f>
        <v>-143526787.02000001</v>
      </c>
      <c r="N190" s="341">
        <v>-114140408.73999999</v>
      </c>
      <c r="O190" s="341">
        <f>+' Working Capital (AMA)'!K32</f>
        <v>-143859470.31999999</v>
      </c>
      <c r="P190" s="341">
        <v>-114374083.16</v>
      </c>
      <c r="Q190" s="341">
        <f>+' Working Capital (AMA)'!L32</f>
        <v>-144406051.34999999</v>
      </c>
      <c r="R190" s="341">
        <v>-114790431.23999999</v>
      </c>
      <c r="S190" s="341">
        <f>+' Working Capital (AMA)'!M32</f>
        <v>-144717228.87</v>
      </c>
      <c r="T190" s="341">
        <v>-114978286.94</v>
      </c>
      <c r="U190" s="341">
        <f>+' Working Capital (AMA)'!N32</f>
        <v>-144858065.99000001</v>
      </c>
      <c r="V190" s="341">
        <v>-115046483.45</v>
      </c>
      <c r="W190" s="341">
        <f>+' Working Capital (AMA)'!O32</f>
        <v>-145245081.83000001</v>
      </c>
      <c r="X190" s="341">
        <v>-115385566.61</v>
      </c>
      <c r="Y190" s="341">
        <f>+' Working Capital (AMA)'!P32</f>
        <v>-145730762.49000001</v>
      </c>
      <c r="Z190" s="341">
        <v>-115738730.75</v>
      </c>
      <c r="AA190" s="341">
        <f>+' Working Capital (AMA)'!Q32</f>
        <v>-146162343.5</v>
      </c>
      <c r="AB190" s="341">
        <v>-116095549.83</v>
      </c>
      <c r="AC190" s="341">
        <f>+' Working Capital (AMA)'!R32</f>
        <v>-145311809.69999999</v>
      </c>
      <c r="AD190" s="341">
        <v>-116033037.28</v>
      </c>
      <c r="AE190" s="341"/>
    </row>
    <row r="191" spans="1:32">
      <c r="A191" s="1209">
        <v>182</v>
      </c>
      <c r="D191" s="451">
        <v>47.111199999999997</v>
      </c>
      <c r="F191" s="341"/>
      <c r="G191" s="438">
        <f>+' Working Capital (AMA)'!G27</f>
        <v>-20967436.879999999</v>
      </c>
      <c r="H191" s="438">
        <v>-15671066.960000001</v>
      </c>
      <c r="I191" s="438">
        <f>+' Working Capital (AMA)'!H27</f>
        <v>-21263606.379999999</v>
      </c>
      <c r="J191" s="438">
        <v>-15890620.220000001</v>
      </c>
      <c r="K191" s="438">
        <f>+' Working Capital (AMA)'!I27</f>
        <v>-21563256.41</v>
      </c>
      <c r="L191" s="438">
        <v>-16112785.619999999</v>
      </c>
      <c r="M191" s="438">
        <f>+' Working Capital (AMA)'!J27</f>
        <v>-21863028.780000001</v>
      </c>
      <c r="N191" s="438">
        <v>-16335042.84</v>
      </c>
      <c r="O191" s="438">
        <f>+' Working Capital (AMA)'!K27</f>
        <v>-22162839.98</v>
      </c>
      <c r="P191" s="438">
        <v>-16557329.199999999</v>
      </c>
      <c r="Q191" s="438">
        <f>+' Working Capital (AMA)'!L27</f>
        <v>-22461871.149999999</v>
      </c>
      <c r="R191" s="438">
        <v>-16779030.140000001</v>
      </c>
      <c r="S191" s="438">
        <f>+' Working Capital (AMA)'!M27</f>
        <v>-22763624.890000001</v>
      </c>
      <c r="T191" s="438">
        <v>-17002774.379999999</v>
      </c>
      <c r="U191" s="438">
        <f>+' Working Capital (AMA)'!N27</f>
        <v>-23065432.120000001</v>
      </c>
      <c r="V191" s="438">
        <v>-17226558.760000002</v>
      </c>
      <c r="W191" s="438">
        <f>+' Working Capital (AMA)'!O27</f>
        <v>-23367182.390000001</v>
      </c>
      <c r="X191" s="438">
        <v>-17450359.68</v>
      </c>
      <c r="Y191" s="438">
        <f>+' Working Capital (AMA)'!P27</f>
        <v>-23656494.52</v>
      </c>
      <c r="Z191" s="438">
        <v>-17664825.780000001</v>
      </c>
      <c r="AA191" s="438">
        <f>+' Working Capital (AMA)'!Q27</f>
        <v>-23922460.760000002</v>
      </c>
      <c r="AB191" s="438">
        <v>-17861770.789999999</v>
      </c>
      <c r="AC191" s="438">
        <f>+' Working Capital (AMA)'!R27</f>
        <v>-24188839.18</v>
      </c>
      <c r="AD191" s="438">
        <v>-18059025.140000001</v>
      </c>
      <c r="AE191" s="341"/>
    </row>
    <row r="192" spans="1:32">
      <c r="A192" s="1209">
        <v>183</v>
      </c>
      <c r="D192" s="451" t="s">
        <v>3148</v>
      </c>
      <c r="F192" s="341"/>
      <c r="G192" s="341">
        <f>SUM(G187:G191)</f>
        <v>-514586064.58000004</v>
      </c>
      <c r="H192" s="341">
        <f>SUM(H187:H191)</f>
        <v>-403557330.86999995</v>
      </c>
      <c r="I192" s="341">
        <f t="shared" ref="I192:AD192" si="12">SUM(I187:I191)</f>
        <v>-516727353.7700001</v>
      </c>
      <c r="J192" s="341">
        <f t="shared" si="12"/>
        <v>-405236975.13000011</v>
      </c>
      <c r="K192" s="341">
        <f t="shared" si="12"/>
        <v>-518904563.25</v>
      </c>
      <c r="L192" s="341">
        <f t="shared" si="12"/>
        <v>-406915363.49000007</v>
      </c>
      <c r="M192" s="341">
        <f t="shared" si="12"/>
        <v>-518701079.33000004</v>
      </c>
      <c r="N192" s="341">
        <f t="shared" si="12"/>
        <v>-406596438.11000001</v>
      </c>
      <c r="O192" s="341">
        <f t="shared" si="12"/>
        <v>-520704032.43000007</v>
      </c>
      <c r="P192" s="341">
        <f t="shared" si="12"/>
        <v>-407977545.25000006</v>
      </c>
      <c r="Q192" s="341">
        <f t="shared" si="12"/>
        <v>-522991917.88</v>
      </c>
      <c r="R192" s="341">
        <f t="shared" si="12"/>
        <v>-409711332.18999994</v>
      </c>
      <c r="S192" s="341">
        <f t="shared" si="12"/>
        <v>-525329137.54999995</v>
      </c>
      <c r="T192" s="341">
        <f t="shared" si="12"/>
        <v>-411368390.83999997</v>
      </c>
      <c r="U192" s="341">
        <f t="shared" si="12"/>
        <v>-527636213.86000001</v>
      </c>
      <c r="V192" s="341">
        <f t="shared" si="12"/>
        <v>-413076358.19999993</v>
      </c>
      <c r="W192" s="341">
        <f t="shared" si="12"/>
        <v>-530264443.53999996</v>
      </c>
      <c r="X192" s="341">
        <f t="shared" si="12"/>
        <v>-415144149.62000006</v>
      </c>
      <c r="Y192" s="341">
        <f t="shared" si="12"/>
        <v>-532996241.09000003</v>
      </c>
      <c r="Z192" s="341">
        <f t="shared" si="12"/>
        <v>-417241759.46000004</v>
      </c>
      <c r="AA192" s="341">
        <f t="shared" si="12"/>
        <v>-535779487.31999993</v>
      </c>
      <c r="AB192" s="341">
        <f t="shared" si="12"/>
        <v>-419389017.88999999</v>
      </c>
      <c r="AC192" s="341">
        <f t="shared" si="12"/>
        <v>-536333501.61999995</v>
      </c>
      <c r="AD192" s="341">
        <f t="shared" si="12"/>
        <v>-420244030.73000002</v>
      </c>
      <c r="AE192" s="341"/>
    </row>
    <row r="193" spans="1:31">
      <c r="A193" s="1209">
        <v>184</v>
      </c>
      <c r="B193" s="722" t="s">
        <v>3149</v>
      </c>
      <c r="D193" s="725" t="s">
        <v>3150</v>
      </c>
      <c r="E193" s="623"/>
      <c r="F193" s="719">
        <v>3008123.01</v>
      </c>
      <c r="G193" s="719">
        <f>+' Working Capital (AMA)'!G23</f>
        <v>4188744.64</v>
      </c>
      <c r="H193" s="719">
        <v>3045305.05</v>
      </c>
      <c r="I193" s="719">
        <f>+' Working Capital (AMA)'!H23</f>
        <v>3999433.48</v>
      </c>
      <c r="J193" s="719">
        <v>2881907.73</v>
      </c>
      <c r="K193" s="719">
        <f>+' Working Capital (AMA)'!I23</f>
        <v>4220917.3099999996</v>
      </c>
      <c r="L193" s="719">
        <v>3075672.94</v>
      </c>
      <c r="M193" s="719">
        <f>+' Working Capital (AMA)'!J23</f>
        <v>2171725.64</v>
      </c>
      <c r="N193" s="719">
        <v>1522744.15</v>
      </c>
      <c r="O193" s="719">
        <f>+' Working Capital (AMA)'!K23</f>
        <v>2124432.2599999998</v>
      </c>
      <c r="P193" s="719">
        <v>1334639.9099999999</v>
      </c>
      <c r="Q193" s="719">
        <f>+' Working Capital (AMA)'!L23</f>
        <v>2435076.1800000002</v>
      </c>
      <c r="R193" s="719">
        <v>1515867.76</v>
      </c>
      <c r="S193" s="726">
        <f>+' Working Capital (AMA)'!M23</f>
        <v>2511885.7999999998</v>
      </c>
      <c r="T193" s="726">
        <v>1474275.94</v>
      </c>
      <c r="U193" s="726">
        <f>+' Working Capital (AMA)'!N23</f>
        <v>2379960.7599999998</v>
      </c>
      <c r="V193" s="726">
        <v>1231591.51</v>
      </c>
      <c r="W193" s="726">
        <f>+' Working Capital (AMA)'!O23</f>
        <v>2392018.02</v>
      </c>
      <c r="X193" s="726">
        <v>1208768.58</v>
      </c>
      <c r="Y193" s="726">
        <f>+' Working Capital (AMA)'!P23</f>
        <v>2216441.59</v>
      </c>
      <c r="Z193" s="726">
        <v>1003952.32</v>
      </c>
      <c r="AA193" s="726">
        <f>+' Working Capital (AMA)'!Q23</f>
        <v>2630635.06</v>
      </c>
      <c r="AB193" s="726">
        <v>1341729.1299999999</v>
      </c>
      <c r="AC193" s="726">
        <f>+' Working Capital (AMA)'!R23</f>
        <v>361121.20999999897</v>
      </c>
      <c r="AD193" s="719">
        <v>6537.08</v>
      </c>
      <c r="AE193" s="719">
        <f>+(F193+AD193+(+H193+J193+L193+N193+P193+R193+T193+V193+X193+Z193+AB193)*2)/24</f>
        <v>1761982.0887499999</v>
      </c>
    </row>
    <row r="194" spans="1:31">
      <c r="A194" s="1209">
        <v>185</v>
      </c>
      <c r="F194" s="341"/>
      <c r="G194" s="341">
        <f>+G188</f>
        <v>-4719585.3099999996</v>
      </c>
      <c r="H194" s="341">
        <f t="shared" ref="H194:AD194" si="13">+H188</f>
        <v>-4719585.3099999996</v>
      </c>
      <c r="I194" s="341">
        <f t="shared" si="13"/>
        <v>-4749964.7200000007</v>
      </c>
      <c r="J194" s="341">
        <f t="shared" si="13"/>
        <v>-4749964.7200000007</v>
      </c>
      <c r="K194" s="341">
        <f t="shared" si="13"/>
        <v>-4780344.1099999994</v>
      </c>
      <c r="L194" s="341">
        <f t="shared" si="13"/>
        <v>-4780344.1099999994</v>
      </c>
      <c r="M194" s="341">
        <f t="shared" si="13"/>
        <v>-4810723.54</v>
      </c>
      <c r="N194" s="341">
        <f t="shared" si="13"/>
        <v>-4810723.54</v>
      </c>
      <c r="O194" s="341">
        <f t="shared" si="13"/>
        <v>-4841102.9700000007</v>
      </c>
      <c r="P194" s="341">
        <f t="shared" si="13"/>
        <v>-4841102.9700000007</v>
      </c>
      <c r="Q194" s="341">
        <f t="shared" si="13"/>
        <v>-4871482.3999999994</v>
      </c>
      <c r="R194" s="341">
        <f t="shared" si="13"/>
        <v>-4871482.3999999994</v>
      </c>
      <c r="S194" s="341">
        <f t="shared" si="13"/>
        <v>-4901861.76</v>
      </c>
      <c r="T194" s="341">
        <f t="shared" si="13"/>
        <v>-4901861.76</v>
      </c>
      <c r="U194" s="341">
        <f t="shared" si="13"/>
        <v>-4932241.1500000004</v>
      </c>
      <c r="V194" s="341">
        <f t="shared" si="13"/>
        <v>-4932241.1500000004</v>
      </c>
      <c r="W194" s="341">
        <f t="shared" si="13"/>
        <v>-4962620.5599999996</v>
      </c>
      <c r="X194" s="341">
        <f t="shared" si="13"/>
        <v>-4962620.5599999996</v>
      </c>
      <c r="Y194" s="341">
        <f t="shared" si="13"/>
        <v>-4993000.04</v>
      </c>
      <c r="Z194" s="341">
        <f t="shared" si="13"/>
        <v>-4993000.04</v>
      </c>
      <c r="AA194" s="341">
        <f t="shared" si="13"/>
        <v>-5023379.4400000004</v>
      </c>
      <c r="AB194" s="341">
        <f t="shared" si="13"/>
        <v>-5023379.4400000004</v>
      </c>
      <c r="AC194" s="341">
        <f t="shared" si="13"/>
        <v>-5068199.0299999993</v>
      </c>
      <c r="AD194" s="341">
        <f t="shared" si="13"/>
        <v>-5068199.0299999993</v>
      </c>
      <c r="AE194" s="341"/>
    </row>
    <row r="195" spans="1:31">
      <c r="A195" s="1209">
        <v>186</v>
      </c>
      <c r="D195" s="451" t="s">
        <v>3151</v>
      </c>
      <c r="F195" s="341"/>
      <c r="G195" s="341">
        <f>+G192-G194+G193</f>
        <v>-505677734.63000005</v>
      </c>
      <c r="H195" s="341">
        <f t="shared" ref="H195:AD195" si="14">+H192-H194+H193</f>
        <v>-395792440.50999993</v>
      </c>
      <c r="I195" s="341">
        <f t="shared" si="14"/>
        <v>-507977955.57000005</v>
      </c>
      <c r="J195" s="341">
        <f t="shared" si="14"/>
        <v>-397605102.68000007</v>
      </c>
      <c r="K195" s="341">
        <f t="shared" si="14"/>
        <v>-509903301.82999998</v>
      </c>
      <c r="L195" s="341">
        <f t="shared" si="14"/>
        <v>-399059346.44000006</v>
      </c>
      <c r="M195" s="341">
        <f t="shared" si="14"/>
        <v>-511718630.15000004</v>
      </c>
      <c r="N195" s="341">
        <f t="shared" si="14"/>
        <v>-400262970.42000002</v>
      </c>
      <c r="O195" s="341">
        <f t="shared" si="14"/>
        <v>-513738497.20000005</v>
      </c>
      <c r="P195" s="341">
        <f t="shared" si="14"/>
        <v>-401801802.37</v>
      </c>
      <c r="Q195" s="341">
        <f t="shared" si="14"/>
        <v>-515685359.30000001</v>
      </c>
      <c r="R195" s="341">
        <f t="shared" si="14"/>
        <v>-403323982.02999997</v>
      </c>
      <c r="S195" s="341">
        <f t="shared" si="14"/>
        <v>-517915389.98999995</v>
      </c>
      <c r="T195" s="341">
        <f t="shared" si="14"/>
        <v>-404992253.13999999</v>
      </c>
      <c r="U195" s="341">
        <f t="shared" si="14"/>
        <v>-520324011.95000005</v>
      </c>
      <c r="V195" s="341">
        <f t="shared" si="14"/>
        <v>-406912525.53999996</v>
      </c>
      <c r="W195" s="341">
        <f t="shared" si="14"/>
        <v>-522909804.95999998</v>
      </c>
      <c r="X195" s="341">
        <f t="shared" si="14"/>
        <v>-408972760.48000008</v>
      </c>
      <c r="Y195" s="341">
        <f t="shared" si="14"/>
        <v>-525786799.46000004</v>
      </c>
      <c r="Z195" s="341">
        <f t="shared" si="14"/>
        <v>-411244807.10000002</v>
      </c>
      <c r="AA195" s="341">
        <f t="shared" si="14"/>
        <v>-528125472.81999993</v>
      </c>
      <c r="AB195" s="341">
        <f t="shared" si="14"/>
        <v>-413023909.31999999</v>
      </c>
      <c r="AC195" s="341">
        <f t="shared" si="14"/>
        <v>-530904181.38</v>
      </c>
      <c r="AD195" s="341">
        <f t="shared" si="14"/>
        <v>-415169294.62000006</v>
      </c>
      <c r="AE195" s="341"/>
    </row>
    <row r="196" spans="1:31">
      <c r="A196" s="1209">
        <v>187</v>
      </c>
    </row>
  </sheetData>
  <mergeCells count="6">
    <mergeCell ref="A6:AE6"/>
    <mergeCell ref="A1:AE1"/>
    <mergeCell ref="A2:AE2"/>
    <mergeCell ref="A3:AE3"/>
    <mergeCell ref="A4:AE4"/>
    <mergeCell ref="A5:AE5"/>
  </mergeCells>
  <phoneticPr fontId="124" type="noConversion"/>
  <printOptions horizontalCentered="1"/>
  <pageMargins left="0.7" right="0.7" top="0.75" bottom="0.75" header="0.3" footer="0.3"/>
  <pageSetup scale="23" fitToHeight="0" orientation="landscape" r:id="rId1"/>
  <headerFooter scaleWithDoc="0" alignWithMargins="0">
    <oddHeader>&amp;RPage &amp;P of &amp;N</oddHeader>
    <oddFooter>&amp;LElectronic Tab Name:&amp;A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2D287-4862-43C9-92C4-4BDD8725F678}">
  <sheetPr codeName="Sheet78">
    <tabColor theme="5"/>
  </sheetPr>
  <dimension ref="A1:M18"/>
  <sheetViews>
    <sheetView showGridLines="0" zoomScale="80" zoomScaleNormal="80" workbookViewId="0">
      <selection activeCell="B2" sqref="B2:M18"/>
    </sheetView>
  </sheetViews>
  <sheetFormatPr defaultColWidth="8.85546875" defaultRowHeight="15"/>
  <cols>
    <col min="1" max="16384" width="8.85546875" style="113"/>
  </cols>
  <sheetData>
    <row r="1" spans="1:13">
      <c r="A1" s="15" t="str">
        <f ca="1">MID(CELL("filename",A1),FIND("]",CELL("filename",A1))+1,255)</f>
        <v>Rate Design ---&gt;</v>
      </c>
    </row>
    <row r="2" spans="1:13">
      <c r="B2" s="1486" t="s">
        <v>3152</v>
      </c>
      <c r="C2" s="1486"/>
      <c r="D2" s="1486"/>
      <c r="E2" s="1486"/>
      <c r="F2" s="1486"/>
      <c r="G2" s="1486"/>
      <c r="H2" s="1486"/>
      <c r="I2" s="1486"/>
      <c r="J2" s="1486"/>
      <c r="K2" s="1486"/>
      <c r="L2" s="1486"/>
      <c r="M2" s="1486"/>
    </row>
    <row r="3" spans="1:13">
      <c r="B3" s="1486"/>
      <c r="C3" s="1486"/>
      <c r="D3" s="1486"/>
      <c r="E3" s="1486"/>
      <c r="F3" s="1486"/>
      <c r="G3" s="1486"/>
      <c r="H3" s="1486"/>
      <c r="I3" s="1486"/>
      <c r="J3" s="1486"/>
      <c r="K3" s="1486"/>
      <c r="L3" s="1486"/>
      <c r="M3" s="1486"/>
    </row>
    <row r="4" spans="1:13">
      <c r="B4" s="1486"/>
      <c r="C4" s="1486"/>
      <c r="D4" s="1486"/>
      <c r="E4" s="1486"/>
      <c r="F4" s="1486"/>
      <c r="G4" s="1486"/>
      <c r="H4" s="1486"/>
      <c r="I4" s="1486"/>
      <c r="J4" s="1486"/>
      <c r="K4" s="1486"/>
      <c r="L4" s="1486"/>
      <c r="M4" s="1486"/>
    </row>
    <row r="5" spans="1:13">
      <c r="B5" s="1486"/>
      <c r="C5" s="1486"/>
      <c r="D5" s="1486"/>
      <c r="E5" s="1486"/>
      <c r="F5" s="1486"/>
      <c r="G5" s="1486"/>
      <c r="H5" s="1486"/>
      <c r="I5" s="1486"/>
      <c r="J5" s="1486"/>
      <c r="K5" s="1486"/>
      <c r="L5" s="1486"/>
      <c r="M5" s="1486"/>
    </row>
    <row r="6" spans="1:13">
      <c r="B6" s="1486"/>
      <c r="C6" s="1486"/>
      <c r="D6" s="1486"/>
      <c r="E6" s="1486"/>
      <c r="F6" s="1486"/>
      <c r="G6" s="1486"/>
      <c r="H6" s="1486"/>
      <c r="I6" s="1486"/>
      <c r="J6" s="1486"/>
      <c r="K6" s="1486"/>
      <c r="L6" s="1486"/>
      <c r="M6" s="1486"/>
    </row>
    <row r="7" spans="1:13">
      <c r="B7" s="1486"/>
      <c r="C7" s="1486"/>
      <c r="D7" s="1486"/>
      <c r="E7" s="1486"/>
      <c r="F7" s="1486"/>
      <c r="G7" s="1486"/>
      <c r="H7" s="1486"/>
      <c r="I7" s="1486"/>
      <c r="J7" s="1486"/>
      <c r="K7" s="1486"/>
      <c r="L7" s="1486"/>
      <c r="M7" s="1486"/>
    </row>
    <row r="8" spans="1:13">
      <c r="B8" s="1486"/>
      <c r="C8" s="1486"/>
      <c r="D8" s="1486"/>
      <c r="E8" s="1486"/>
      <c r="F8" s="1486"/>
      <c r="G8" s="1486"/>
      <c r="H8" s="1486"/>
      <c r="I8" s="1486"/>
      <c r="J8" s="1486"/>
      <c r="K8" s="1486"/>
      <c r="L8" s="1486"/>
      <c r="M8" s="1486"/>
    </row>
    <row r="9" spans="1:13">
      <c r="B9" s="1486"/>
      <c r="C9" s="1486"/>
      <c r="D9" s="1486"/>
      <c r="E9" s="1486"/>
      <c r="F9" s="1486"/>
      <c r="G9" s="1486"/>
      <c r="H9" s="1486"/>
      <c r="I9" s="1486"/>
      <c r="J9" s="1486"/>
      <c r="K9" s="1486"/>
      <c r="L9" s="1486"/>
      <c r="M9" s="1486"/>
    </row>
    <row r="10" spans="1:13">
      <c r="B10" s="1486"/>
      <c r="C10" s="1486"/>
      <c r="D10" s="1486"/>
      <c r="E10" s="1486"/>
      <c r="F10" s="1486"/>
      <c r="G10" s="1486"/>
      <c r="H10" s="1486"/>
      <c r="I10" s="1486"/>
      <c r="J10" s="1486"/>
      <c r="K10" s="1486"/>
      <c r="L10" s="1486"/>
      <c r="M10" s="1486"/>
    </row>
    <row r="11" spans="1:13">
      <c r="B11" s="1486"/>
      <c r="C11" s="1486"/>
      <c r="D11" s="1486"/>
      <c r="E11" s="1486"/>
      <c r="F11" s="1486"/>
      <c r="G11" s="1486"/>
      <c r="H11" s="1486"/>
      <c r="I11" s="1486"/>
      <c r="J11" s="1486"/>
      <c r="K11" s="1486"/>
      <c r="L11" s="1486"/>
      <c r="M11" s="1486"/>
    </row>
    <row r="12" spans="1:13">
      <c r="B12" s="1486"/>
      <c r="C12" s="1486"/>
      <c r="D12" s="1486"/>
      <c r="E12" s="1486"/>
      <c r="F12" s="1486"/>
      <c r="G12" s="1486"/>
      <c r="H12" s="1486"/>
      <c r="I12" s="1486"/>
      <c r="J12" s="1486"/>
      <c r="K12" s="1486"/>
      <c r="L12" s="1486"/>
      <c r="M12" s="1486"/>
    </row>
    <row r="13" spans="1:13">
      <c r="B13" s="1486"/>
      <c r="C13" s="1486"/>
      <c r="D13" s="1486"/>
      <c r="E13" s="1486"/>
      <c r="F13" s="1486"/>
      <c r="G13" s="1486"/>
      <c r="H13" s="1486"/>
      <c r="I13" s="1486"/>
      <c r="J13" s="1486"/>
      <c r="K13" s="1486"/>
      <c r="L13" s="1486"/>
      <c r="M13" s="1486"/>
    </row>
    <row r="14" spans="1:13">
      <c r="B14" s="1486"/>
      <c r="C14" s="1486"/>
      <c r="D14" s="1486"/>
      <c r="E14" s="1486"/>
      <c r="F14" s="1486"/>
      <c r="G14" s="1486"/>
      <c r="H14" s="1486"/>
      <c r="I14" s="1486"/>
      <c r="J14" s="1486"/>
      <c r="K14" s="1486"/>
      <c r="L14" s="1486"/>
      <c r="M14" s="1486"/>
    </row>
    <row r="15" spans="1:13">
      <c r="B15" s="1486"/>
      <c r="C15" s="1486"/>
      <c r="D15" s="1486"/>
      <c r="E15" s="1486"/>
      <c r="F15" s="1486"/>
      <c r="G15" s="1486"/>
      <c r="H15" s="1486"/>
      <c r="I15" s="1486"/>
      <c r="J15" s="1486"/>
      <c r="K15" s="1486"/>
      <c r="L15" s="1486"/>
      <c r="M15" s="1486"/>
    </row>
    <row r="16" spans="1:13">
      <c r="B16" s="1486"/>
      <c r="C16" s="1486"/>
      <c r="D16" s="1486"/>
      <c r="E16" s="1486"/>
      <c r="F16" s="1486"/>
      <c r="G16" s="1486"/>
      <c r="H16" s="1486"/>
      <c r="I16" s="1486"/>
      <c r="J16" s="1486"/>
      <c r="K16" s="1486"/>
      <c r="L16" s="1486"/>
      <c r="M16" s="1486"/>
    </row>
    <row r="17" spans="2:13">
      <c r="B17" s="1486"/>
      <c r="C17" s="1486"/>
      <c r="D17" s="1486"/>
      <c r="E17" s="1486"/>
      <c r="F17" s="1486"/>
      <c r="G17" s="1486"/>
      <c r="H17" s="1486"/>
      <c r="I17" s="1486"/>
      <c r="J17" s="1486"/>
      <c r="K17" s="1486"/>
      <c r="L17" s="1486"/>
      <c r="M17" s="1486"/>
    </row>
    <row r="18" spans="2:13">
      <c r="B18" s="1486"/>
      <c r="C18" s="1486"/>
      <c r="D18" s="1486"/>
      <c r="E18" s="1486"/>
      <c r="F18" s="1486"/>
      <c r="G18" s="1486"/>
      <c r="H18" s="1486"/>
      <c r="I18" s="1486"/>
      <c r="J18" s="1486"/>
      <c r="K18" s="1486"/>
      <c r="L18" s="1486"/>
      <c r="M18" s="1486"/>
    </row>
  </sheetData>
  <mergeCells count="1">
    <mergeCell ref="B2:M1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992CB-5576-4CA0-A7E9-9C599FF2CBAC}">
  <sheetPr codeName="Sheet45">
    <tabColor theme="8"/>
  </sheetPr>
  <dimension ref="A1:M18"/>
  <sheetViews>
    <sheetView showGridLines="0" zoomScale="80" zoomScaleNormal="80" workbookViewId="0">
      <selection activeCell="B2" sqref="B2:M18"/>
    </sheetView>
  </sheetViews>
  <sheetFormatPr defaultColWidth="8.85546875" defaultRowHeight="15"/>
  <cols>
    <col min="1" max="16384" width="8.85546875" style="113"/>
  </cols>
  <sheetData>
    <row r="1" spans="1:13">
      <c r="A1" s="15" t="str">
        <f ca="1">MID(CELL("filename",A1),FIND("]",CELL("filename",A1))+1,255)</f>
        <v>Proof ---&gt;</v>
      </c>
    </row>
    <row r="2" spans="1:13">
      <c r="B2" s="1486" t="s">
        <v>72</v>
      </c>
      <c r="C2" s="1486"/>
      <c r="D2" s="1486"/>
      <c r="E2" s="1486"/>
      <c r="F2" s="1486"/>
      <c r="G2" s="1486"/>
      <c r="H2" s="1486"/>
      <c r="I2" s="1486"/>
      <c r="J2" s="1486"/>
      <c r="K2" s="1486"/>
      <c r="L2" s="1486"/>
      <c r="M2" s="1486"/>
    </row>
    <row r="3" spans="1:13">
      <c r="B3" s="1486"/>
      <c r="C3" s="1486"/>
      <c r="D3" s="1486"/>
      <c r="E3" s="1486"/>
      <c r="F3" s="1486"/>
      <c r="G3" s="1486"/>
      <c r="H3" s="1486"/>
      <c r="I3" s="1486"/>
      <c r="J3" s="1486"/>
      <c r="K3" s="1486"/>
      <c r="L3" s="1486"/>
      <c r="M3" s="1486"/>
    </row>
    <row r="4" spans="1:13">
      <c r="B4" s="1486"/>
      <c r="C4" s="1486"/>
      <c r="D4" s="1486"/>
      <c r="E4" s="1486"/>
      <c r="F4" s="1486"/>
      <c r="G4" s="1486"/>
      <c r="H4" s="1486"/>
      <c r="I4" s="1486"/>
      <c r="J4" s="1486"/>
      <c r="K4" s="1486"/>
      <c r="L4" s="1486"/>
      <c r="M4" s="1486"/>
    </row>
    <row r="5" spans="1:13">
      <c r="B5" s="1486"/>
      <c r="C5" s="1486"/>
      <c r="D5" s="1486"/>
      <c r="E5" s="1486"/>
      <c r="F5" s="1486"/>
      <c r="G5" s="1486"/>
      <c r="H5" s="1486"/>
      <c r="I5" s="1486"/>
      <c r="J5" s="1486"/>
      <c r="K5" s="1486"/>
      <c r="L5" s="1486"/>
      <c r="M5" s="1486"/>
    </row>
    <row r="6" spans="1:13">
      <c r="B6" s="1486"/>
      <c r="C6" s="1486"/>
      <c r="D6" s="1486"/>
      <c r="E6" s="1486"/>
      <c r="F6" s="1486"/>
      <c r="G6" s="1486"/>
      <c r="H6" s="1486"/>
      <c r="I6" s="1486"/>
      <c r="J6" s="1486"/>
      <c r="K6" s="1486"/>
      <c r="L6" s="1486"/>
      <c r="M6" s="1486"/>
    </row>
    <row r="7" spans="1:13">
      <c r="B7" s="1486"/>
      <c r="C7" s="1486"/>
      <c r="D7" s="1486"/>
      <c r="E7" s="1486"/>
      <c r="F7" s="1486"/>
      <c r="G7" s="1486"/>
      <c r="H7" s="1486"/>
      <c r="I7" s="1486"/>
      <c r="J7" s="1486"/>
      <c r="K7" s="1486"/>
      <c r="L7" s="1486"/>
      <c r="M7" s="1486"/>
    </row>
    <row r="8" spans="1:13">
      <c r="B8" s="1486"/>
      <c r="C8" s="1486"/>
      <c r="D8" s="1486"/>
      <c r="E8" s="1486"/>
      <c r="F8" s="1486"/>
      <c r="G8" s="1486"/>
      <c r="H8" s="1486"/>
      <c r="I8" s="1486"/>
      <c r="J8" s="1486"/>
      <c r="K8" s="1486"/>
      <c r="L8" s="1486"/>
      <c r="M8" s="1486"/>
    </row>
    <row r="9" spans="1:13">
      <c r="B9" s="1486"/>
      <c r="C9" s="1486"/>
      <c r="D9" s="1486"/>
      <c r="E9" s="1486"/>
      <c r="F9" s="1486"/>
      <c r="G9" s="1486"/>
      <c r="H9" s="1486"/>
      <c r="I9" s="1486"/>
      <c r="J9" s="1486"/>
      <c r="K9" s="1486"/>
      <c r="L9" s="1486"/>
      <c r="M9" s="1486"/>
    </row>
    <row r="10" spans="1:13">
      <c r="B10" s="1486"/>
      <c r="C10" s="1486"/>
      <c r="D10" s="1486"/>
      <c r="E10" s="1486"/>
      <c r="F10" s="1486"/>
      <c r="G10" s="1486"/>
      <c r="H10" s="1486"/>
      <c r="I10" s="1486"/>
      <c r="J10" s="1486"/>
      <c r="K10" s="1486"/>
      <c r="L10" s="1486"/>
      <c r="M10" s="1486"/>
    </row>
    <row r="11" spans="1:13">
      <c r="B11" s="1486"/>
      <c r="C11" s="1486"/>
      <c r="D11" s="1486"/>
      <c r="E11" s="1486"/>
      <c r="F11" s="1486"/>
      <c r="G11" s="1486"/>
      <c r="H11" s="1486"/>
      <c r="I11" s="1486"/>
      <c r="J11" s="1486"/>
      <c r="K11" s="1486"/>
      <c r="L11" s="1486"/>
      <c r="M11" s="1486"/>
    </row>
    <row r="12" spans="1:13">
      <c r="B12" s="1486"/>
      <c r="C12" s="1486"/>
      <c r="D12" s="1486"/>
      <c r="E12" s="1486"/>
      <c r="F12" s="1486"/>
      <c r="G12" s="1486"/>
      <c r="H12" s="1486"/>
      <c r="I12" s="1486"/>
      <c r="J12" s="1486"/>
      <c r="K12" s="1486"/>
      <c r="L12" s="1486"/>
      <c r="M12" s="1486"/>
    </row>
    <row r="13" spans="1:13">
      <c r="B13" s="1486"/>
      <c r="C13" s="1486"/>
      <c r="D13" s="1486"/>
      <c r="E13" s="1486"/>
      <c r="F13" s="1486"/>
      <c r="G13" s="1486"/>
      <c r="H13" s="1486"/>
      <c r="I13" s="1486"/>
      <c r="J13" s="1486"/>
      <c r="K13" s="1486"/>
      <c r="L13" s="1486"/>
      <c r="M13" s="1486"/>
    </row>
    <row r="14" spans="1:13">
      <c r="B14" s="1486"/>
      <c r="C14" s="1486"/>
      <c r="D14" s="1486"/>
      <c r="E14" s="1486"/>
      <c r="F14" s="1486"/>
      <c r="G14" s="1486"/>
      <c r="H14" s="1486"/>
      <c r="I14" s="1486"/>
      <c r="J14" s="1486"/>
      <c r="K14" s="1486"/>
      <c r="L14" s="1486"/>
      <c r="M14" s="1486"/>
    </row>
    <row r="15" spans="1:13">
      <c r="B15" s="1486"/>
      <c r="C15" s="1486"/>
      <c r="D15" s="1486"/>
      <c r="E15" s="1486"/>
      <c r="F15" s="1486"/>
      <c r="G15" s="1486"/>
      <c r="H15" s="1486"/>
      <c r="I15" s="1486"/>
      <c r="J15" s="1486"/>
      <c r="K15" s="1486"/>
      <c r="L15" s="1486"/>
      <c r="M15" s="1486"/>
    </row>
    <row r="16" spans="1:13">
      <c r="B16" s="1486"/>
      <c r="C16" s="1486"/>
      <c r="D16" s="1486"/>
      <c r="E16" s="1486"/>
      <c r="F16" s="1486"/>
      <c r="G16" s="1486"/>
      <c r="H16" s="1486"/>
      <c r="I16" s="1486"/>
      <c r="J16" s="1486"/>
      <c r="K16" s="1486"/>
      <c r="L16" s="1486"/>
      <c r="M16" s="1486"/>
    </row>
    <row r="17" spans="2:13">
      <c r="B17" s="1486"/>
      <c r="C17" s="1486"/>
      <c r="D17" s="1486"/>
      <c r="E17" s="1486"/>
      <c r="F17" s="1486"/>
      <c r="G17" s="1486"/>
      <c r="H17" s="1486"/>
      <c r="I17" s="1486"/>
      <c r="J17" s="1486"/>
      <c r="K17" s="1486"/>
      <c r="L17" s="1486"/>
      <c r="M17" s="1486"/>
    </row>
    <row r="18" spans="2:13">
      <c r="B18" s="1486"/>
      <c r="C18" s="1486"/>
      <c r="D18" s="1486"/>
      <c r="E18" s="1486"/>
      <c r="F18" s="1486"/>
      <c r="G18" s="1486"/>
      <c r="H18" s="1486"/>
      <c r="I18" s="1486"/>
      <c r="J18" s="1486"/>
      <c r="K18" s="1486"/>
      <c r="L18" s="1486"/>
      <c r="M18" s="1486"/>
    </row>
  </sheetData>
  <mergeCells count="1">
    <mergeCell ref="B2:M18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5C490-2955-41F2-B84B-4900E13ADE5B}">
  <sheetPr codeName="Sheet79">
    <tabColor theme="2"/>
    <pageSetUpPr fitToPage="1"/>
  </sheetPr>
  <dimension ref="A1:J44"/>
  <sheetViews>
    <sheetView topLeftCell="A7" zoomScale="80" zoomScaleNormal="80" workbookViewId="0">
      <selection activeCell="H40" sqref="H40"/>
    </sheetView>
  </sheetViews>
  <sheetFormatPr defaultColWidth="8.85546875" defaultRowHeight="15"/>
  <cols>
    <col min="1" max="1" width="4.7109375" style="1" customWidth="1"/>
    <col min="2" max="2" width="29.85546875" style="1" customWidth="1"/>
    <col min="3" max="6" width="16.85546875" style="1" customWidth="1"/>
    <col min="7" max="7" width="2.7109375" style="1" customWidth="1"/>
    <col min="8" max="16384" width="8.85546875" style="1"/>
  </cols>
  <sheetData>
    <row r="1" spans="1:10">
      <c r="A1" s="11" t="str">
        <f>Company</f>
        <v>Cascade Natural Gas Corp.</v>
      </c>
      <c r="F1" s="12"/>
      <c r="H1" s="1" t="s">
        <v>70</v>
      </c>
      <c r="J1" s="1" t="s">
        <v>70</v>
      </c>
    </row>
    <row r="2" spans="1:10">
      <c r="A2" s="11" t="str">
        <f>Title1</f>
        <v>Washington Jurisdiction</v>
      </c>
      <c r="F2" s="12"/>
    </row>
    <row r="3" spans="1:10">
      <c r="A3" s="11" t="str">
        <f>Title2</f>
        <v>Twelve-Months ended December 31, 2020</v>
      </c>
      <c r="F3" s="12" t="s">
        <v>3153</v>
      </c>
    </row>
    <row r="4" spans="1:10">
      <c r="A4" s="11"/>
      <c r="G4" s="12"/>
    </row>
    <row r="5" spans="1:10">
      <c r="B5" s="11"/>
      <c r="C5" s="1575" t="s">
        <v>712</v>
      </c>
      <c r="D5" s="1575"/>
      <c r="E5" s="1575"/>
      <c r="F5" s="1575"/>
    </row>
    <row r="6" spans="1:10" ht="30">
      <c r="A6" s="156" t="s">
        <v>8</v>
      </c>
      <c r="B6" s="155" t="s">
        <v>3154</v>
      </c>
      <c r="C6" s="1223" t="s">
        <v>3155</v>
      </c>
      <c r="D6" s="1223" t="s">
        <v>80</v>
      </c>
      <c r="E6" s="1223" t="s">
        <v>3156</v>
      </c>
      <c r="F6" s="1223" t="s">
        <v>3157</v>
      </c>
    </row>
    <row r="7" spans="1:10">
      <c r="A7" s="159"/>
      <c r="B7" s="160" t="s">
        <v>2</v>
      </c>
      <c r="C7" s="1210" t="s">
        <v>3</v>
      </c>
      <c r="D7" s="1210" t="s">
        <v>4</v>
      </c>
      <c r="E7" s="1210" t="s">
        <v>5</v>
      </c>
      <c r="F7" s="1210" t="s">
        <v>6</v>
      </c>
    </row>
    <row r="8" spans="1:10">
      <c r="A8" s="1225">
        <f>IF(ISBLANK(B8),"",MAX($A$7:A7)+1)</f>
        <v>1</v>
      </c>
      <c r="B8" s="169" t="s">
        <v>3158</v>
      </c>
    </row>
    <row r="9" spans="1:10">
      <c r="A9" s="1225">
        <f>IF(ISBLANK(B9),"",MAX($A$7:A8)+1)</f>
        <v>2</v>
      </c>
      <c r="B9" s="8" t="s">
        <v>124</v>
      </c>
      <c r="C9" s="104">
        <f>'Exh IDM-4, Class Rates'!E9</f>
        <v>11933100</v>
      </c>
      <c r="D9" s="104">
        <f>'Exh IDM-4, Class Rates'!G9</f>
        <v>11933100</v>
      </c>
      <c r="E9" s="104">
        <f>D9-C9</f>
        <v>0</v>
      </c>
      <c r="F9" s="163">
        <f>IFERROR(E9/C9,"")</f>
        <v>0</v>
      </c>
    </row>
    <row r="10" spans="1:10">
      <c r="A10" s="1250">
        <f>IF(ISBLANK(B10),"",MAX($A$7:A9)+1)</f>
        <v>3</v>
      </c>
      <c r="B10" s="8" t="s">
        <v>3159</v>
      </c>
      <c r="C10" s="102">
        <f>'Exh IDM-4, Class Rates'!E10</f>
        <v>40241173.68</v>
      </c>
      <c r="D10" s="102">
        <f>'Exh IDM-4, Class Rates'!G10</f>
        <v>43855452.130000003</v>
      </c>
      <c r="E10" s="102">
        <f>D10-C10</f>
        <v>3614278.450000003</v>
      </c>
      <c r="F10" s="163">
        <f>E10/C10</f>
        <v>8.9815433285841559E-2</v>
      </c>
    </row>
    <row r="11" spans="1:10">
      <c r="A11" s="1250">
        <f>IF(ISBLANK(B11),"",MAX($A$7:A10)+1)</f>
        <v>4</v>
      </c>
      <c r="B11" s="183" t="str">
        <f>"Total "&amp;RIGHT(B8,3)&amp;" Revenue"</f>
        <v>Total 503 Revenue</v>
      </c>
      <c r="C11" s="154">
        <f>SUM(C9:C10)</f>
        <v>52174273.68</v>
      </c>
      <c r="D11" s="154">
        <f>SUM(D9:D10)</f>
        <v>55788552.130000003</v>
      </c>
      <c r="E11" s="154">
        <f>ROUND(D11-C11,2)</f>
        <v>3614278.45</v>
      </c>
      <c r="F11" s="175">
        <f>E11/C11</f>
        <v>6.9273191461512645E-2</v>
      </c>
    </row>
    <row r="12" spans="1:10">
      <c r="A12" s="1250" t="str">
        <f>IF(ISBLANK(B12),"",MAX($A$7:A11)+1)</f>
        <v/>
      </c>
      <c r="F12" s="1280"/>
    </row>
    <row r="13" spans="1:10">
      <c r="A13" s="1250">
        <f>IF(ISBLANK(B13),"",MAX($A$7:A12)+1)</f>
        <v>5</v>
      </c>
      <c r="B13" s="169" t="s">
        <v>3160</v>
      </c>
      <c r="F13" s="1280"/>
    </row>
    <row r="14" spans="1:10">
      <c r="A14" s="1250">
        <f>IF(ISBLANK(B14),"",MAX($A$7:A13)+1)</f>
        <v>6</v>
      </c>
      <c r="B14" s="8" t="s">
        <v>124</v>
      </c>
      <c r="C14" s="104">
        <f>'Exh IDM-4, Class Rates'!E14</f>
        <v>4216836</v>
      </c>
      <c r="D14" s="104">
        <f>'Exh IDM-4, Class Rates'!G14</f>
        <v>4216836</v>
      </c>
      <c r="E14" s="104">
        <f>D14-C14</f>
        <v>0</v>
      </c>
      <c r="F14" s="163">
        <f>IFERROR(E14/C14,"")</f>
        <v>0</v>
      </c>
    </row>
    <row r="15" spans="1:10">
      <c r="A15" s="1250">
        <f>IF(ISBLANK(B15),"",MAX($A$7:A14)+1)</f>
        <v>7</v>
      </c>
      <c r="B15" s="8" t="s">
        <v>3159</v>
      </c>
      <c r="C15" s="102">
        <f>'Exh IDM-4, Class Rates'!E15</f>
        <v>23139283.800000001</v>
      </c>
      <c r="D15" s="102">
        <f>'Exh IDM-4, Class Rates'!G15</f>
        <v>25217548.600000001</v>
      </c>
      <c r="E15" s="102">
        <f>D15-C15</f>
        <v>2078264.8000000007</v>
      </c>
      <c r="F15" s="163">
        <f>E15/C15</f>
        <v>8.9815433267645073E-2</v>
      </c>
    </row>
    <row r="16" spans="1:10">
      <c r="A16" s="1250">
        <f>IF(ISBLANK(B16),"",MAX($A$7:A15)+1)</f>
        <v>8</v>
      </c>
      <c r="B16" s="183" t="str">
        <f>"Total "&amp;RIGHT(B13,3)&amp;" Revenue"</f>
        <v>Total 504 Revenue</v>
      </c>
      <c r="C16" s="154">
        <f>SUM(C14:C15)</f>
        <v>27356119.800000001</v>
      </c>
      <c r="D16" s="154">
        <f>SUM(D14:D15)</f>
        <v>29434384.600000001</v>
      </c>
      <c r="E16" s="154">
        <f>ROUND(D16-C16,2)</f>
        <v>2078264.8</v>
      </c>
      <c r="F16" s="175">
        <f>E16/C16</f>
        <v>7.5970744944610161E-2</v>
      </c>
    </row>
    <row r="17" spans="1:6">
      <c r="A17" s="1250" t="str">
        <f>IF(ISBLANK(B17),"",MAX($A$7:A16)+1)</f>
        <v/>
      </c>
      <c r="F17" s="1280"/>
    </row>
    <row r="18" spans="1:6">
      <c r="A18" s="1250">
        <f>IF(ISBLANK(B18),"",MAX($A$7:A17)+1)</f>
        <v>9</v>
      </c>
      <c r="B18" s="169" t="s">
        <v>3161</v>
      </c>
      <c r="F18" s="1280"/>
    </row>
    <row r="19" spans="1:6">
      <c r="A19" s="1250">
        <f>IF(ISBLANK(B19),"",MAX($A$7:A18)+1)</f>
        <v>10</v>
      </c>
      <c r="B19" s="8" t="s">
        <v>124</v>
      </c>
      <c r="C19" s="104">
        <f>'Exh IDM-4, Class Rates'!E19</f>
        <v>352080</v>
      </c>
      <c r="D19" s="104">
        <f>'Exh IDM-4, Class Rates'!G19</f>
        <v>352080</v>
      </c>
      <c r="E19" s="104">
        <f>D19-C19</f>
        <v>0</v>
      </c>
      <c r="F19" s="163">
        <f>IFERROR(E19/C19,"")</f>
        <v>0</v>
      </c>
    </row>
    <row r="20" spans="1:6">
      <c r="A20" s="1250">
        <f>IF(ISBLANK(B20),"",MAX($A$7:A19)+1)</f>
        <v>11</v>
      </c>
      <c r="B20" s="8" t="s">
        <v>3159</v>
      </c>
      <c r="C20" s="102">
        <f>SUM('Exh IDM-4, Class Rates'!E20:E22)</f>
        <v>1978351.17</v>
      </c>
      <c r="D20" s="102">
        <f>SUM('Exh IDM-4, Class Rates'!G20:G22)</f>
        <v>2156037.64</v>
      </c>
      <c r="E20" s="102">
        <f>D20-C20</f>
        <v>177686.4700000002</v>
      </c>
      <c r="F20" s="163">
        <f>E20/C20</f>
        <v>8.9815434536832106E-2</v>
      </c>
    </row>
    <row r="21" spans="1:6">
      <c r="A21" s="1250">
        <f>IF(ISBLANK(B21),"",MAX($A$7:A20)+1)</f>
        <v>12</v>
      </c>
      <c r="B21" s="183" t="str">
        <f>"Total "&amp;RIGHT(B18,3)&amp;" Revenue"</f>
        <v>Total 505 Revenue</v>
      </c>
      <c r="C21" s="154">
        <f>SUM(C19:C20)</f>
        <v>2330431.17</v>
      </c>
      <c r="D21" s="154">
        <f>SUM(D19:D20)</f>
        <v>2508117.64</v>
      </c>
      <c r="E21" s="154">
        <f>ROUND(D21-C21,2)</f>
        <v>177686.47</v>
      </c>
      <c r="F21" s="175">
        <f>E21/C21</f>
        <v>7.6246178083860763E-2</v>
      </c>
    </row>
    <row r="22" spans="1:6">
      <c r="A22" s="1250" t="str">
        <f>IF(ISBLANK(B22),"",MAX($A$7:A21)+1)</f>
        <v/>
      </c>
      <c r="F22" s="1280"/>
    </row>
    <row r="23" spans="1:6">
      <c r="A23" s="1250">
        <f>IF(ISBLANK(B23),"",MAX($A$7:A22)+1)</f>
        <v>13</v>
      </c>
      <c r="B23" s="169" t="s">
        <v>3162</v>
      </c>
      <c r="F23" s="1280"/>
    </row>
    <row r="24" spans="1:6">
      <c r="A24" s="1250">
        <f>IF(ISBLANK(B24),"",MAX($A$7:A23)+1)</f>
        <v>14</v>
      </c>
      <c r="B24" s="8" t="s">
        <v>124</v>
      </c>
      <c r="C24" s="104">
        <f>'Exh IDM-4, Class Rates'!E26</f>
        <v>139500</v>
      </c>
      <c r="D24" s="104">
        <f>'Exh IDM-4, Class Rates'!G26</f>
        <v>139500</v>
      </c>
      <c r="E24" s="104">
        <f>D24-C24</f>
        <v>0</v>
      </c>
      <c r="F24" s="163">
        <f>IFERROR(E24/C24,"")</f>
        <v>0</v>
      </c>
    </row>
    <row r="25" spans="1:6">
      <c r="A25" s="1250">
        <f>IF(ISBLANK(B25),"",MAX($A$7:A24)+1)</f>
        <v>15</v>
      </c>
      <c r="B25" s="8" t="s">
        <v>3159</v>
      </c>
      <c r="C25" s="102">
        <f>SUM('Exh IDM-4, Class Rates'!E27:E29)</f>
        <v>2403586.4900000002</v>
      </c>
      <c r="D25" s="102">
        <f>SUM('Exh IDM-4, Class Rates'!G27:G29)</f>
        <v>2619465.65</v>
      </c>
      <c r="E25" s="102">
        <f>D25-C25</f>
        <v>215879.15999999968</v>
      </c>
      <c r="F25" s="163">
        <f>E25/C25</f>
        <v>8.9815432437382214E-2</v>
      </c>
    </row>
    <row r="26" spans="1:6">
      <c r="A26" s="1250">
        <f>IF(ISBLANK(B26),"",MAX($A$7:A25)+1)</f>
        <v>16</v>
      </c>
      <c r="B26" s="183" t="str">
        <f>"Total "&amp;RIGHT(B23,3)&amp;" Revenue"</f>
        <v>Total 511 Revenue</v>
      </c>
      <c r="C26" s="154">
        <f>SUM(C24:C25)</f>
        <v>2543086.4900000002</v>
      </c>
      <c r="D26" s="154">
        <f>SUM(D24:D25)</f>
        <v>2758965.65</v>
      </c>
      <c r="E26" s="154">
        <f>ROUND(D26-C26,2)</f>
        <v>215879.16</v>
      </c>
      <c r="F26" s="175">
        <f>E26/C26</f>
        <v>8.4888642540820541E-2</v>
      </c>
    </row>
    <row r="27" spans="1:6">
      <c r="A27" s="1250" t="str">
        <f>IF(ISBLANK(B27),"",MAX($A$7:A26)+1)</f>
        <v/>
      </c>
      <c r="F27" s="1280"/>
    </row>
    <row r="28" spans="1:6">
      <c r="A28" s="1250">
        <f>IF(ISBLANK(B28),"",MAX($A$7:A27)+1)</f>
        <v>17</v>
      </c>
      <c r="B28" s="169" t="s">
        <v>3163</v>
      </c>
      <c r="F28" s="1280"/>
    </row>
    <row r="29" spans="1:6">
      <c r="A29" s="1250">
        <f>IF(ISBLANK(B29),"",MAX($A$7:A28)+1)</f>
        <v>18</v>
      </c>
      <c r="B29" s="8" t="s">
        <v>124</v>
      </c>
      <c r="C29" s="104">
        <f>'Exh IDM-4, Class Rates'!E33</f>
        <v>13692</v>
      </c>
      <c r="D29" s="104">
        <f>'Exh IDM-4, Class Rates'!G33</f>
        <v>13692</v>
      </c>
      <c r="E29" s="104">
        <f>D29-C29</f>
        <v>0</v>
      </c>
      <c r="F29" s="163">
        <f>IFERROR(E29/C29,"")</f>
        <v>0</v>
      </c>
    </row>
    <row r="30" spans="1:6">
      <c r="A30" s="1250">
        <f>IF(ISBLANK(B30),"",MAX($A$7:A29)+1)</f>
        <v>19</v>
      </c>
      <c r="B30" s="8" t="s">
        <v>3159</v>
      </c>
      <c r="C30" s="102">
        <f>SUM('Exh IDM-4, Class Rates'!E34:E35)</f>
        <v>123621.20999999999</v>
      </c>
      <c r="D30" s="102">
        <f>SUM('Exh IDM-4, Class Rates'!G34:G35)</f>
        <v>134724.29999999999</v>
      </c>
      <c r="E30" s="102">
        <f>D30-C30</f>
        <v>11103.089999999997</v>
      </c>
      <c r="F30" s="163">
        <f>E30/C30</f>
        <v>8.9815412743492778E-2</v>
      </c>
    </row>
    <row r="31" spans="1:6">
      <c r="A31" s="1250">
        <f>IF(ISBLANK(B31),"",MAX($A$7:A30)+1)</f>
        <v>20</v>
      </c>
      <c r="B31" s="183" t="str">
        <f>"Total "&amp;RIGHT(B28,3)&amp;" Revenue"</f>
        <v>Total 570 Revenue</v>
      </c>
      <c r="C31" s="154">
        <f>SUM(C29:C30)</f>
        <v>137313.21</v>
      </c>
      <c r="D31" s="154">
        <f>SUM(D29:D30)</f>
        <v>148416.29999999999</v>
      </c>
      <c r="E31" s="154">
        <f>ROUND(D31-C31,2)</f>
        <v>11103.09</v>
      </c>
      <c r="F31" s="175">
        <f>E31/C31</f>
        <v>8.0859591003662357E-2</v>
      </c>
    </row>
    <row r="32" spans="1:6">
      <c r="A32" s="1250" t="str">
        <f>IF(ISBLANK(B32),"",MAX($A$7:A31)+1)</f>
        <v/>
      </c>
      <c r="F32" s="1280"/>
    </row>
    <row r="33" spans="1:6">
      <c r="A33" s="1250">
        <f>IF(ISBLANK(B33),"",MAX($A$7:A32)+1)</f>
        <v>21</v>
      </c>
      <c r="B33" s="169" t="s">
        <v>3165</v>
      </c>
      <c r="F33" s="1280"/>
    </row>
    <row r="34" spans="1:6">
      <c r="A34" s="1250">
        <f>IF(ISBLANK(B34),"",MAX($A$7:A33)+1)</f>
        <v>22</v>
      </c>
      <c r="B34" s="8" t="s">
        <v>124</v>
      </c>
      <c r="C34" s="104">
        <f>'Exh IDM-4, Class Rates'!$E$39</f>
        <v>1485000</v>
      </c>
      <c r="D34" s="104">
        <f>'Exh IDM-4, Class Rates'!$G$39</f>
        <v>1485000</v>
      </c>
      <c r="E34" s="104">
        <f>D34-C34</f>
        <v>0</v>
      </c>
      <c r="F34" s="163">
        <f>IFERROR(E34/C34,"")</f>
        <v>0</v>
      </c>
    </row>
    <row r="35" spans="1:6">
      <c r="A35" s="1250">
        <f>IF(ISBLANK(B35),"",MAX($A$7:A34)+1)</f>
        <v>23</v>
      </c>
      <c r="B35" s="8" t="s">
        <v>3164</v>
      </c>
      <c r="C35" s="102">
        <f>'Exh IDM-4, Class Rates'!$E$40</f>
        <v>6111352.0899999999</v>
      </c>
      <c r="D35" s="102">
        <f>'Exh IDM-4, Class Rates'!$G$40</f>
        <v>6111352.0899999999</v>
      </c>
      <c r="E35" s="102">
        <f>D35-C35</f>
        <v>0</v>
      </c>
      <c r="F35" s="163">
        <f>IFERROR(E35/C35,"")</f>
        <v>0</v>
      </c>
    </row>
    <row r="36" spans="1:6">
      <c r="A36" s="1250">
        <f>IF(ISBLANK(B36),"",MAX($A$7:A35)+1)</f>
        <v>24</v>
      </c>
      <c r="B36" s="8" t="s">
        <v>3184</v>
      </c>
      <c r="C36" s="102">
        <f>'Exh IDM-4, Class Rates'!E41</f>
        <v>271700.90000000002</v>
      </c>
      <c r="D36" s="102">
        <f>'Exh IDM-4, Class Rates'!G41</f>
        <v>271700.90000000002</v>
      </c>
      <c r="E36" s="102">
        <f>D36-C36</f>
        <v>0</v>
      </c>
      <c r="F36" s="163">
        <f>IFERROR(E36/C36,"")</f>
        <v>0</v>
      </c>
    </row>
    <row r="37" spans="1:6">
      <c r="A37" s="1250">
        <f>IF(ISBLANK(B37),"",MAX($A$7:A36)+1)</f>
        <v>25</v>
      </c>
      <c r="B37" s="8" t="s">
        <v>3159</v>
      </c>
      <c r="C37" s="102">
        <f>SUM('Exh IDM-4, Class Rates'!E42:E45)</f>
        <v>12154793.27</v>
      </c>
      <c r="D37" s="102">
        <f>SUM('Exh IDM-4, Class Rates'!G42:G45)</f>
        <v>13246481.290000001</v>
      </c>
      <c r="E37" s="102">
        <f>D37-C37</f>
        <v>1091688.0200000014</v>
      </c>
      <c r="F37" s="163">
        <f>E37/C37</f>
        <v>8.981543295306095E-2</v>
      </c>
    </row>
    <row r="38" spans="1:6">
      <c r="A38" s="1250">
        <f>IF(ISBLANK(B38),"",MAX($A$7:A37)+1)</f>
        <v>26</v>
      </c>
      <c r="B38" s="183" t="str">
        <f>"Total "&amp;RIGHT(B33,3)&amp;" Revenue"</f>
        <v>Total 663 Revenue</v>
      </c>
      <c r="C38" s="154">
        <f>SUM(C34:C37)</f>
        <v>20022846.259999998</v>
      </c>
      <c r="D38" s="154">
        <f>SUM(D34:D37)</f>
        <v>21114534.280000001</v>
      </c>
      <c r="E38" s="154">
        <f>ROUND(D38-C38,2)</f>
        <v>1091688.02</v>
      </c>
      <c r="F38" s="175">
        <f>E38/C38</f>
        <v>5.4522119673908943E-2</v>
      </c>
    </row>
    <row r="39" spans="1:6">
      <c r="A39" s="1250" t="str">
        <f>IF(ISBLANK(B39),"",MAX($A$7:A38)+1)</f>
        <v/>
      </c>
      <c r="F39" s="1280"/>
    </row>
    <row r="40" spans="1:6" ht="15.75" thickBot="1">
      <c r="A40" s="1250">
        <f>IF(ISBLANK(B40),"",MAX($A$7:A39)+1)</f>
        <v>27</v>
      </c>
      <c r="B40" s="188" t="s">
        <v>1179</v>
      </c>
      <c r="C40" s="186">
        <f>SUM(C11,C16,C21,C26,C31, C38)</f>
        <v>104564070.60999998</v>
      </c>
      <c r="D40" s="186">
        <f>SUM(D11,D16,D21,D26,D31, D38)</f>
        <v>111752970.60000001</v>
      </c>
      <c r="E40" s="186">
        <f>SUM(E11,E16,E21,E26,E31, E38)</f>
        <v>7188899.9900000002</v>
      </c>
      <c r="F40" s="1251">
        <f>E40/C40</f>
        <v>6.8751148918187677E-2</v>
      </c>
    </row>
    <row r="41" spans="1:6" ht="15.75" thickTop="1">
      <c r="D41" s="39"/>
      <c r="E41" s="39"/>
    </row>
    <row r="42" spans="1:6">
      <c r="D42" s="83"/>
      <c r="E42" s="7"/>
    </row>
    <row r="44" spans="1:6">
      <c r="D44" s="7"/>
    </row>
  </sheetData>
  <mergeCells count="1">
    <mergeCell ref="C5:F5"/>
  </mergeCells>
  <printOptions horizontalCentered="1"/>
  <pageMargins left="0.7" right="0.7" top="0.5" bottom="0.5" header="0.3" footer="0.3"/>
  <pageSetup scale="90" fitToWidth="0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FBE7E-9737-4E71-A9D2-5437C3580D2D}">
  <sheetPr codeName="Sheet80">
    <tabColor theme="2"/>
    <pageSetUpPr fitToPage="1"/>
  </sheetPr>
  <dimension ref="A1:Z53"/>
  <sheetViews>
    <sheetView topLeftCell="A16" zoomScale="80" zoomScaleNormal="80" workbookViewId="0">
      <selection activeCell="I50" sqref="I50"/>
    </sheetView>
  </sheetViews>
  <sheetFormatPr defaultColWidth="8.85546875" defaultRowHeight="15"/>
  <cols>
    <col min="1" max="1" width="5.42578125" style="1" customWidth="1"/>
    <col min="2" max="2" width="33.5703125" style="1" bestFit="1" customWidth="1"/>
    <col min="3" max="4" width="13.28515625" style="1" customWidth="1"/>
    <col min="5" max="5" width="14.140625" style="1" bestFit="1" customWidth="1"/>
    <col min="6" max="6" width="13.28515625" style="1" customWidth="1"/>
    <col min="7" max="7" width="14.140625" style="1" bestFit="1" customWidth="1"/>
    <col min="8" max="9" width="13.28515625" style="1" customWidth="1"/>
    <col min="10" max="10" width="2.85546875" style="1" customWidth="1"/>
    <col min="11" max="11" width="9.28515625" style="1" bestFit="1" customWidth="1"/>
    <col min="12" max="12" width="16.140625" style="1" customWidth="1"/>
    <col min="13" max="13" width="30" style="1" customWidth="1"/>
    <col min="14" max="14" width="17.28515625" style="1" bestFit="1" customWidth="1"/>
    <col min="15" max="15" width="35.7109375" style="1" bestFit="1" customWidth="1"/>
    <col min="16" max="16" width="12.85546875" style="1" bestFit="1" customWidth="1"/>
    <col min="17" max="17" width="8.85546875" style="1"/>
    <col min="18" max="18" width="13" style="1" customWidth="1"/>
    <col min="19" max="19" width="14.5703125" style="1" bestFit="1" customWidth="1"/>
    <col min="20" max="20" width="13.42578125" style="1" bestFit="1" customWidth="1"/>
    <col min="21" max="22" width="11.85546875" style="1" bestFit="1" customWidth="1"/>
    <col min="23" max="23" width="13.28515625" style="1" bestFit="1" customWidth="1"/>
    <col min="24" max="24" width="11.85546875" style="1" bestFit="1" customWidth="1"/>
    <col min="25" max="25" width="14.5703125" style="1" bestFit="1" customWidth="1"/>
    <col min="26" max="26" width="12.85546875" style="1" bestFit="1" customWidth="1"/>
    <col min="27" max="16384" width="8.85546875" style="1"/>
  </cols>
  <sheetData>
    <row r="1" spans="1:26">
      <c r="A1" s="11" t="str">
        <f>Company</f>
        <v>Cascade Natural Gas Corp.</v>
      </c>
      <c r="G1" s="1" t="s">
        <v>70</v>
      </c>
      <c r="I1" s="12"/>
      <c r="J1" s="12"/>
    </row>
    <row r="2" spans="1:26">
      <c r="A2" s="11" t="str">
        <f>Title1</f>
        <v>Washington Jurisdiction</v>
      </c>
      <c r="I2" s="12"/>
      <c r="J2" s="12"/>
      <c r="O2" s="12"/>
      <c r="P2" s="177"/>
    </row>
    <row r="3" spans="1:26">
      <c r="A3" s="11" t="str">
        <f>Title2</f>
        <v>Twelve-Months ended December 31, 2020</v>
      </c>
      <c r="I3" s="12" t="s">
        <v>3166</v>
      </c>
      <c r="J3" s="12"/>
      <c r="O3" s="12"/>
      <c r="P3" s="177"/>
    </row>
    <row r="4" spans="1:26">
      <c r="L4" s="102"/>
      <c r="O4" s="12"/>
      <c r="P4" s="165"/>
      <c r="S4" s="83"/>
      <c r="T4" s="83"/>
      <c r="U4" s="83"/>
      <c r="V4" s="83"/>
      <c r="W4" s="83"/>
      <c r="X4" s="83"/>
      <c r="Y4" s="83"/>
    </row>
    <row r="5" spans="1:26">
      <c r="C5" s="1575" t="s">
        <v>3167</v>
      </c>
      <c r="D5" s="1575"/>
      <c r="E5" s="1576"/>
      <c r="F5" s="1575" t="s">
        <v>3168</v>
      </c>
      <c r="G5" s="1576"/>
      <c r="H5" s="1577" t="s">
        <v>1732</v>
      </c>
      <c r="I5" s="1575"/>
      <c r="J5" s="158"/>
      <c r="O5" s="12"/>
      <c r="P5" s="177"/>
      <c r="S5" s="177"/>
      <c r="T5" s="177"/>
      <c r="U5" s="177"/>
      <c r="V5" s="177"/>
      <c r="W5" s="177"/>
      <c r="X5" s="177"/>
      <c r="Y5" s="177"/>
      <c r="Z5" s="177"/>
    </row>
    <row r="6" spans="1:26" ht="45">
      <c r="A6" s="151" t="s">
        <v>8</v>
      </c>
      <c r="B6" s="151" t="s">
        <v>3154</v>
      </c>
      <c r="C6" s="151" t="s">
        <v>3169</v>
      </c>
      <c r="D6" s="151" t="s">
        <v>3170</v>
      </c>
      <c r="E6" s="151" t="s">
        <v>3171</v>
      </c>
      <c r="F6" s="151" t="s">
        <v>98</v>
      </c>
      <c r="G6" s="151" t="s">
        <v>3171</v>
      </c>
      <c r="H6" s="187" t="s">
        <v>3172</v>
      </c>
      <c r="I6" s="151" t="s">
        <v>3173</v>
      </c>
      <c r="J6" s="1225"/>
      <c r="K6" s="178" t="s">
        <v>3174</v>
      </c>
      <c r="L6" s="1" t="s">
        <v>326</v>
      </c>
      <c r="Q6" s="1" t="s">
        <v>3238</v>
      </c>
      <c r="R6" s="1" t="s">
        <v>3239</v>
      </c>
      <c r="S6" s="108"/>
      <c r="T6" s="108"/>
      <c r="U6" s="108"/>
      <c r="V6" s="108"/>
      <c r="W6" s="108"/>
      <c r="X6" s="108"/>
      <c r="Y6" s="108"/>
    </row>
    <row r="7" spans="1:26" s="2" customFormat="1">
      <c r="A7" s="1223"/>
      <c r="B7" s="1223" t="s">
        <v>2</v>
      </c>
      <c r="C7" s="1223" t="s">
        <v>3</v>
      </c>
      <c r="D7" s="1223" t="s">
        <v>4</v>
      </c>
      <c r="E7" s="1223" t="s">
        <v>5</v>
      </c>
      <c r="F7" s="1223" t="s">
        <v>6</v>
      </c>
      <c r="G7" s="1223" t="s">
        <v>273</v>
      </c>
      <c r="H7" s="1223" t="s">
        <v>274</v>
      </c>
      <c r="I7" s="1223" t="s">
        <v>275</v>
      </c>
      <c r="J7" s="1225"/>
      <c r="K7" s="1225"/>
      <c r="L7" s="1225"/>
      <c r="M7" s="1225"/>
      <c r="N7" s="1225"/>
      <c r="O7" s="1225"/>
      <c r="P7" s="1225"/>
      <c r="Q7" s="1225"/>
      <c r="R7" s="1225"/>
      <c r="S7" s="1225"/>
      <c r="T7" s="1225"/>
      <c r="U7" s="1225"/>
      <c r="V7" s="1225"/>
      <c r="W7" s="1225"/>
      <c r="X7" s="1225"/>
      <c r="Y7" s="1225"/>
      <c r="Z7" s="1225"/>
    </row>
    <row r="8" spans="1:26">
      <c r="A8" s="1225">
        <f>IF(ISBLANK(B8),"",MAX($A$7:A7)+1)</f>
        <v>1</v>
      </c>
      <c r="B8" s="169" t="s">
        <v>3158</v>
      </c>
      <c r="C8" s="6"/>
      <c r="I8" s="1225"/>
      <c r="J8" s="1225"/>
      <c r="L8" s="164"/>
      <c r="M8" s="164"/>
      <c r="N8" s="179"/>
    </row>
    <row r="9" spans="1:26">
      <c r="A9" s="1225">
        <f>IF(ISBLANK(B9),"",MAX($A$7:A8)+1)</f>
        <v>2</v>
      </c>
      <c r="B9" s="18" t="s">
        <v>124</v>
      </c>
      <c r="C9" s="102">
        <f>'Exh IDM-2, Proof of Revenue'!S7</f>
        <v>2386620</v>
      </c>
      <c r="D9" s="103">
        <f>'Exh IDM-2, Proof of Revenue'!P7</f>
        <v>5</v>
      </c>
      <c r="E9" s="104">
        <f>ROUND(C9*D9,2)</f>
        <v>11933100</v>
      </c>
      <c r="F9" s="189">
        <f>D9</f>
        <v>5</v>
      </c>
      <c r="G9" s="104">
        <f>ROUND(C9*F9,2)</f>
        <v>11933100</v>
      </c>
      <c r="H9" s="104">
        <f>G9-E9</f>
        <v>0</v>
      </c>
      <c r="I9" s="163">
        <f>H9/E9</f>
        <v>0</v>
      </c>
      <c r="J9" s="152"/>
      <c r="L9" s="6">
        <f>C9/12</f>
        <v>198885</v>
      </c>
      <c r="M9" s="9"/>
      <c r="N9" s="179"/>
    </row>
    <row r="10" spans="1:26">
      <c r="A10" s="1209">
        <f>IF(ISBLANK(B10),"",MAX($A$7:A9)+1)</f>
        <v>3</v>
      </c>
      <c r="B10" s="18" t="s">
        <v>3159</v>
      </c>
      <c r="C10" s="102">
        <f>'Exh IDM-2, Proof of Revenue'!S14</f>
        <v>128672934.97655511</v>
      </c>
      <c r="D10" s="105">
        <f>'Exh IDM-2, Proof of Revenue'!P8</f>
        <v>0.31274000000000002</v>
      </c>
      <c r="E10" s="104">
        <f>ROUND(C10*D10,2)</f>
        <v>40241173.68</v>
      </c>
      <c r="F10" s="190">
        <f>'Exh IDM-3, Revenue Distribution'!F10</f>
        <v>0.34082887860581407</v>
      </c>
      <c r="G10" s="104">
        <f>ROUND(C10*F10,2)</f>
        <v>43855452.130000003</v>
      </c>
      <c r="H10" s="104">
        <f>G10-E10</f>
        <v>3614278.450000003</v>
      </c>
      <c r="I10" s="163">
        <f>H10/E10</f>
        <v>8.9815433285841559E-2</v>
      </c>
      <c r="J10" s="152"/>
      <c r="K10" s="6">
        <f>+C10/C9</f>
        <v>53.914295102092126</v>
      </c>
      <c r="L10" s="180"/>
      <c r="Q10" s="9">
        <v>0.43833</v>
      </c>
      <c r="R10" s="9">
        <f>Q10+F10</f>
        <v>0.77915887860581412</v>
      </c>
    </row>
    <row r="11" spans="1:26">
      <c r="A11" s="1225">
        <f>IF(ISBLANK(B11),"",MAX($A$7:A10)+1)</f>
        <v>4</v>
      </c>
      <c r="B11" s="185" t="str">
        <f>"Total "&amp;RIGHT(B8,3)&amp;" Revenue"</f>
        <v>Total 503 Revenue</v>
      </c>
      <c r="C11" s="154"/>
      <c r="D11" s="154"/>
      <c r="E11" s="154">
        <f>SUM(E9:E10)</f>
        <v>52174273.68</v>
      </c>
      <c r="F11" s="154"/>
      <c r="G11" s="154">
        <f>SUM(G9:G10)</f>
        <v>55788552.130000003</v>
      </c>
      <c r="H11" s="154">
        <f>SUM(H9:H10)</f>
        <v>3614278.450000003</v>
      </c>
      <c r="I11" s="175">
        <f>H11/E11</f>
        <v>6.9273191461512701E-2</v>
      </c>
      <c r="J11" s="152"/>
      <c r="K11" s="6"/>
      <c r="L11" s="104"/>
      <c r="N11" s="108"/>
    </row>
    <row r="12" spans="1:26">
      <c r="A12" s="1225" t="str">
        <f>IF(ISBLANK(B12),"",MAX($A$7:A11)+1)</f>
        <v/>
      </c>
      <c r="I12" s="1280"/>
      <c r="J12" s="153"/>
      <c r="K12" s="6"/>
    </row>
    <row r="13" spans="1:26">
      <c r="A13" s="1225">
        <f>IF(ISBLANK(B13),"",MAX($A$7:A12)+1)</f>
        <v>5</v>
      </c>
      <c r="B13" s="169" t="s">
        <v>3175</v>
      </c>
      <c r="C13" s="6"/>
      <c r="I13" s="1280"/>
      <c r="J13" s="153"/>
      <c r="K13" s="6"/>
      <c r="M13" s="9"/>
    </row>
    <row r="14" spans="1:26">
      <c r="A14" s="1225">
        <f>IF(ISBLANK(B14),"",MAX($A$7:A13)+1)</f>
        <v>6</v>
      </c>
      <c r="B14" s="18" t="s">
        <v>124</v>
      </c>
      <c r="C14" s="102">
        <f>'Exh IDM-2, Proof of Revenue'!S39</f>
        <v>324372</v>
      </c>
      <c r="D14" s="103">
        <f>'Exh IDM-2, Proof of Revenue'!P39</f>
        <v>13</v>
      </c>
      <c r="E14" s="104">
        <f>ROUND(C14*D14,2)</f>
        <v>4216836</v>
      </c>
      <c r="F14" s="189">
        <f>D14</f>
        <v>13</v>
      </c>
      <c r="G14" s="104">
        <f>ROUND(C14*F14,2)</f>
        <v>4216836</v>
      </c>
      <c r="H14" s="104">
        <f>G14-E14</f>
        <v>0</v>
      </c>
      <c r="I14" s="163">
        <f>H14/E14</f>
        <v>0</v>
      </c>
      <c r="J14" s="152"/>
      <c r="K14" s="6"/>
      <c r="L14" s="6">
        <f>C14/12</f>
        <v>27031</v>
      </c>
    </row>
    <row r="15" spans="1:26">
      <c r="A15" s="1225">
        <f>IF(ISBLANK(B15),"",MAX($A$7:A14)+1)</f>
        <v>7</v>
      </c>
      <c r="B15" s="18" t="s">
        <v>3159</v>
      </c>
      <c r="C15" s="102">
        <f>'Exh IDM-2, Proof of Revenue'!S46</f>
        <v>88038975.020009622</v>
      </c>
      <c r="D15" s="105">
        <f>'Exh IDM-2, Proof of Revenue'!P40</f>
        <v>0.26283000000000001</v>
      </c>
      <c r="E15" s="104">
        <f>ROUND(C15*D15,2)</f>
        <v>23139283.800000001</v>
      </c>
      <c r="F15" s="190">
        <f>'Exh IDM-3, Revenue Distribution'!F14</f>
        <v>0.28643619032573514</v>
      </c>
      <c r="G15" s="104">
        <f>ROUND(C15*F15,2)</f>
        <v>25217548.600000001</v>
      </c>
      <c r="H15" s="104">
        <f>G15-E15</f>
        <v>2078264.8000000007</v>
      </c>
      <c r="I15" s="163">
        <f>H15/E15</f>
        <v>8.9815433267645073E-2</v>
      </c>
      <c r="J15" s="152"/>
      <c r="K15" s="6">
        <f>+C15/C14</f>
        <v>271.41360851124517</v>
      </c>
      <c r="L15" s="180"/>
      <c r="M15" s="164"/>
      <c r="Q15" s="9">
        <v>0.43558000000000002</v>
      </c>
      <c r="R15" s="9">
        <f>Q15+F15</f>
        <v>0.72201619032573516</v>
      </c>
    </row>
    <row r="16" spans="1:26">
      <c r="A16" s="1225">
        <f>IF(ISBLANK(B16),"",MAX($A$7:A15)+1)</f>
        <v>8</v>
      </c>
      <c r="B16" s="185" t="str">
        <f>"Total "&amp;RIGHT(B13,3)&amp;" Revenue"</f>
        <v>Total 504 Revenue</v>
      </c>
      <c r="C16" s="154"/>
      <c r="D16" s="154"/>
      <c r="E16" s="154">
        <f>SUM(E14:E15)</f>
        <v>27356119.800000001</v>
      </c>
      <c r="F16" s="154"/>
      <c r="G16" s="154">
        <f>SUM(G14:G15)</f>
        <v>29434384.600000001</v>
      </c>
      <c r="H16" s="154">
        <f>SUM(H14:H15)</f>
        <v>2078264.8000000007</v>
      </c>
      <c r="I16" s="175">
        <f>H16/E16</f>
        <v>7.5970744944610188E-2</v>
      </c>
      <c r="J16" s="152"/>
      <c r="L16" s="104"/>
      <c r="N16" s="108"/>
    </row>
    <row r="17" spans="1:18">
      <c r="A17" s="1225" t="str">
        <f>IF(ISBLANK(B17),"",MAX($A$7:A16)+1)</f>
        <v/>
      </c>
      <c r="B17" s="157"/>
      <c r="C17" s="104"/>
      <c r="D17" s="104"/>
      <c r="E17" s="104"/>
      <c r="F17" s="104"/>
      <c r="G17" s="104"/>
      <c r="H17" s="104"/>
      <c r="I17" s="163"/>
      <c r="J17" s="152"/>
    </row>
    <row r="18" spans="1:18">
      <c r="A18" s="1225">
        <f>IF(ISBLANK(B18),"",MAX($A$7:A17)+1)</f>
        <v>9</v>
      </c>
      <c r="B18" s="169" t="s">
        <v>3176</v>
      </c>
      <c r="C18" s="6"/>
      <c r="I18" s="1280"/>
      <c r="J18" s="153"/>
    </row>
    <row r="19" spans="1:18">
      <c r="A19" s="1225">
        <f>IF(ISBLANK(B19),"",MAX($A$7:A18)+1)</f>
        <v>10</v>
      </c>
      <c r="B19" s="18" t="s">
        <v>124</v>
      </c>
      <c r="C19" s="102">
        <f>'Exh IDM-2, Proof of Revenue'!S72</f>
        <v>5868</v>
      </c>
      <c r="D19" s="103">
        <f>'Exh IDM-2, Proof of Revenue'!P72</f>
        <v>60</v>
      </c>
      <c r="E19" s="104">
        <f>ROUND(C19*D19,2)</f>
        <v>352080</v>
      </c>
      <c r="F19" s="189">
        <f>D19</f>
        <v>60</v>
      </c>
      <c r="G19" s="104">
        <f>ROUND(C19*F19,2)</f>
        <v>352080</v>
      </c>
      <c r="H19" s="104">
        <f>G19-E19</f>
        <v>0</v>
      </c>
      <c r="I19" s="163">
        <f>H19/E19</f>
        <v>0</v>
      </c>
      <c r="J19" s="152"/>
      <c r="L19" s="6">
        <f>C19/12</f>
        <v>489</v>
      </c>
    </row>
    <row r="20" spans="1:18">
      <c r="A20" s="1225">
        <f>IF(ISBLANK(B20),"",MAX($A$7:A19)+1)</f>
        <v>11</v>
      </c>
      <c r="B20" s="18" t="s">
        <v>3177</v>
      </c>
      <c r="C20" s="102">
        <f>'Exh IDM-2, Proof of Revenue'!S74</f>
        <v>1719909.200436648</v>
      </c>
      <c r="D20" s="105">
        <f>'Exh IDM-2, Proof of Revenue'!P74</f>
        <v>0.20271</v>
      </c>
      <c r="E20" s="104">
        <f>ROUND(C20*D20,2)</f>
        <v>348642.79</v>
      </c>
      <c r="F20" s="190">
        <f>'Exh IDM-3, Revenue Distribution'!F18</f>
        <v>0.22091648459416013</v>
      </c>
      <c r="G20" s="104">
        <f>ROUND(C20*F20,2)</f>
        <v>379956.29</v>
      </c>
      <c r="H20" s="104">
        <f>G20-E20</f>
        <v>31313.5</v>
      </c>
      <c r="I20" s="163">
        <f>H20/E20</f>
        <v>8.9815423975926775E-2</v>
      </c>
      <c r="J20" s="152"/>
      <c r="L20" s="180"/>
      <c r="Q20" s="9">
        <v>0.42197000000000001</v>
      </c>
      <c r="R20" s="9">
        <f>Q20+F20</f>
        <v>0.6428864845941602</v>
      </c>
    </row>
    <row r="21" spans="1:18">
      <c r="A21" s="1225">
        <f>IF(ISBLANK(B21),"",MAX($A$7:A20)+1)</f>
        <v>12</v>
      </c>
      <c r="B21" s="18" t="s">
        <v>3178</v>
      </c>
      <c r="C21" s="102">
        <f>'Exh IDM-2, Proof of Revenue'!S76</f>
        <v>5465602.2251104452</v>
      </c>
      <c r="D21" s="105">
        <f>'Exh IDM-2, Proof of Revenue'!P76</f>
        <v>0.16594</v>
      </c>
      <c r="E21" s="104">
        <f>ROUND(C21*D21,2)</f>
        <v>906962.03</v>
      </c>
      <c r="F21" s="190">
        <f>'Exh IDM-3, Revenue Distribution'!F19</f>
        <v>0.18084397342058522</v>
      </c>
      <c r="G21" s="104">
        <f>ROUND(C21*F21,2)</f>
        <v>988421.22</v>
      </c>
      <c r="H21" s="104">
        <f>G21-E21</f>
        <v>81459.189999999944</v>
      </c>
      <c r="I21" s="163">
        <f>H21/E21</f>
        <v>8.9815435823702494E-2</v>
      </c>
      <c r="J21" s="152"/>
      <c r="L21" s="180"/>
      <c r="Q21" s="9">
        <f>Q20</f>
        <v>0.42197000000000001</v>
      </c>
      <c r="R21" s="9">
        <f>Q21+F21</f>
        <v>0.60281397342058529</v>
      </c>
    </row>
    <row r="22" spans="1:18">
      <c r="A22" s="1225">
        <f>IF(ISBLANK(B22),"",MAX($A$7:A21)+1)</f>
        <v>13</v>
      </c>
      <c r="B22" s="18" t="s">
        <v>3179</v>
      </c>
      <c r="C22" s="102">
        <f>'Exh IDM-2, Proof of Revenue'!S78</f>
        <v>4506461.8271522531</v>
      </c>
      <c r="D22" s="105">
        <f>'Exh IDM-2, Proof of Revenue'!P78</f>
        <v>0.16037999999999999</v>
      </c>
      <c r="E22" s="104">
        <f>ROUND(C22*D22,2)</f>
        <v>722746.35</v>
      </c>
      <c r="F22" s="190">
        <f>'Exh IDM-3, Revenue Distribution'!F20</f>
        <v>0.17478459994906928</v>
      </c>
      <c r="G22" s="104">
        <f>ROUND(C22*F22,2)</f>
        <v>787660.13</v>
      </c>
      <c r="H22" s="104">
        <f>G22-E22</f>
        <v>64913.780000000028</v>
      </c>
      <c r="I22" s="163">
        <f>H22/E22</f>
        <v>8.9815438016394036E-2</v>
      </c>
      <c r="J22" s="152"/>
      <c r="K22" s="6">
        <f>SUM(C20:C22)/C19</f>
        <v>1992.4971459951169</v>
      </c>
      <c r="L22" s="180"/>
      <c r="Q22" s="9">
        <f>Q21</f>
        <v>0.42197000000000001</v>
      </c>
      <c r="R22" s="9">
        <f>Q22+F22</f>
        <v>0.59675459994906932</v>
      </c>
    </row>
    <row r="23" spans="1:18">
      <c r="A23" s="1225">
        <f>IF(ISBLANK(B23),"",MAX($A$7:A22)+1)</f>
        <v>14</v>
      </c>
      <c r="B23" s="185" t="str">
        <f>"Total "&amp;RIGHT(B18,3)&amp;" Revenue"</f>
        <v>Total 505 Revenue</v>
      </c>
      <c r="C23" s="154"/>
      <c r="D23" s="154"/>
      <c r="E23" s="154">
        <f>SUM(E19:E22)</f>
        <v>2330431.17</v>
      </c>
      <c r="F23" s="154"/>
      <c r="G23" s="154">
        <f>SUM(G19:G22)</f>
        <v>2508117.64</v>
      </c>
      <c r="H23" s="154">
        <f>SUM(H19:H22)</f>
        <v>177686.46999999997</v>
      </c>
      <c r="I23" s="175">
        <f>H23/E23</f>
        <v>7.6246178083860749E-2</v>
      </c>
      <c r="J23" s="152"/>
      <c r="L23" s="104"/>
      <c r="N23" s="108"/>
    </row>
    <row r="24" spans="1:18">
      <c r="A24" s="1225" t="str">
        <f>IF(ISBLANK(B24),"",MAX($A$7:A23)+1)</f>
        <v/>
      </c>
      <c r="I24" s="1280"/>
      <c r="J24" s="153"/>
    </row>
    <row r="25" spans="1:18">
      <c r="A25" s="1225">
        <f>IF(ISBLANK(B25),"",MAX($A$7:A24)+1)</f>
        <v>15</v>
      </c>
      <c r="B25" s="169" t="s">
        <v>3180</v>
      </c>
      <c r="C25" s="83"/>
      <c r="I25" s="1280"/>
      <c r="J25" s="153"/>
    </row>
    <row r="26" spans="1:18">
      <c r="A26" s="1225">
        <f>IF(ISBLANK(B26),"",MAX($A$7:A25)+1)</f>
        <v>16</v>
      </c>
      <c r="B26" s="18" t="s">
        <v>124</v>
      </c>
      <c r="C26" s="102">
        <f>'Exh IDM-2, Proof of Revenue'!S102</f>
        <v>1116</v>
      </c>
      <c r="D26" s="103">
        <f>'Exh IDM-2, Proof of Revenue'!P102</f>
        <v>125</v>
      </c>
      <c r="E26" s="104">
        <f>ROUND(C26*D26,2)</f>
        <v>139500</v>
      </c>
      <c r="F26" s="189">
        <f>D26</f>
        <v>125</v>
      </c>
      <c r="G26" s="104">
        <f>ROUND(C26*F26,2)</f>
        <v>139500</v>
      </c>
      <c r="H26" s="104">
        <f>G26-E26</f>
        <v>0</v>
      </c>
      <c r="I26" s="163">
        <f>IFERROR(H26/E26,"")</f>
        <v>0</v>
      </c>
      <c r="J26" s="152"/>
      <c r="L26" s="6">
        <f>C26/12</f>
        <v>93</v>
      </c>
    </row>
    <row r="27" spans="1:18">
      <c r="A27" s="1225">
        <f>IF(ISBLANK(B27),"",MAX($A$7:A26)+1)</f>
        <v>17</v>
      </c>
      <c r="B27" s="18" t="s">
        <v>408</v>
      </c>
      <c r="C27" s="102">
        <f>'Exh IDM-2, Proof of Revenue'!S104</f>
        <v>9263106.6283577029</v>
      </c>
      <c r="D27" s="105">
        <f>'Exh IDM-2, Proof of Revenue'!P104</f>
        <v>0.16163</v>
      </c>
      <c r="E27" s="104">
        <f>ROUND(C27*D27,2)</f>
        <v>1497195.92</v>
      </c>
      <c r="F27" s="190">
        <f>'Exh IDM-3, Revenue Distribution'!F24</f>
        <v>0.17614686845299443</v>
      </c>
      <c r="G27" s="104">
        <f>ROUND(C27*F27,2)</f>
        <v>1631667.22</v>
      </c>
      <c r="H27" s="104">
        <f>G27-E27</f>
        <v>134471.30000000005</v>
      </c>
      <c r="I27" s="163">
        <f>H27/E27</f>
        <v>8.9815433106443451E-2</v>
      </c>
      <c r="J27" s="152"/>
      <c r="L27" s="180"/>
      <c r="Q27" s="9">
        <f>Q22</f>
        <v>0.42197000000000001</v>
      </c>
      <c r="R27" s="9">
        <f>Q27+F27</f>
        <v>0.5981168684529945</v>
      </c>
    </row>
    <row r="28" spans="1:18">
      <c r="A28" s="1225">
        <f>IF(ISBLANK(B28),"",MAX($A$7:A27)+1)</f>
        <v>18</v>
      </c>
      <c r="B28" s="18" t="s">
        <v>409</v>
      </c>
      <c r="C28" s="102">
        <f>'Exh IDM-2, Proof of Revenue'!S106</f>
        <v>6400516.3315191241</v>
      </c>
      <c r="D28" s="105">
        <f>'Exh IDM-2, Proof of Revenue'!P106</f>
        <v>0.12539</v>
      </c>
      <c r="E28" s="104">
        <f>ROUND(C28*D28,2)</f>
        <v>802560.74</v>
      </c>
      <c r="F28" s="190">
        <f>'Exh IDM-3, Revenue Distribution'!F25</f>
        <v>0.13665195708576525</v>
      </c>
      <c r="G28" s="104">
        <f>ROUND(C28*F28,2)</f>
        <v>874643.08</v>
      </c>
      <c r="H28" s="104">
        <f>G28-E28</f>
        <v>72082.339999999967</v>
      </c>
      <c r="I28" s="163">
        <f>H28/E28</f>
        <v>8.9815432536607717E-2</v>
      </c>
      <c r="J28" s="152"/>
      <c r="L28" s="180"/>
      <c r="Q28" s="9">
        <f>Q27</f>
        <v>0.42197000000000001</v>
      </c>
      <c r="R28" s="9">
        <f>Q28+F28</f>
        <v>0.55862195708576523</v>
      </c>
    </row>
    <row r="29" spans="1:18">
      <c r="A29" s="1225">
        <f>IF(ISBLANK(B29),"",MAX($A$7:A28)+1)</f>
        <v>19</v>
      </c>
      <c r="B29" s="18" t="s">
        <v>3181</v>
      </c>
      <c r="C29" s="102">
        <f>'Exh IDM-2, Proof of Revenue'!S108</f>
        <v>2905143.6487386376</v>
      </c>
      <c r="D29" s="105">
        <f>'Exh IDM-2, Proof of Revenue'!P108</f>
        <v>3.5740000000000001E-2</v>
      </c>
      <c r="E29" s="104">
        <f>ROUND(C29*D29,2)</f>
        <v>103829.83</v>
      </c>
      <c r="F29" s="190">
        <f>'Exh IDM-3, Revenue Distribution'!F26</f>
        <v>3.8950003183092954E-2</v>
      </c>
      <c r="G29" s="104">
        <f>ROUND(C29*F29,2)</f>
        <v>113155.35</v>
      </c>
      <c r="H29" s="104">
        <f>G29-E29</f>
        <v>9325.5200000000041</v>
      </c>
      <c r="I29" s="163">
        <f>H29/E29</f>
        <v>8.9815422022746297E-2</v>
      </c>
      <c r="J29" s="152"/>
      <c r="K29" s="6">
        <f>SUM(C27:C29)/C26</f>
        <v>16638.679756823894</v>
      </c>
      <c r="L29" s="180"/>
      <c r="Q29" s="9">
        <f>Q28</f>
        <v>0.42197000000000001</v>
      </c>
      <c r="R29" s="9">
        <f>Q29+F29</f>
        <v>0.46092000318309295</v>
      </c>
    </row>
    <row r="30" spans="1:18">
      <c r="A30" s="1225">
        <f>IF(ISBLANK(B30),"",MAX($A$7:A29)+1)</f>
        <v>20</v>
      </c>
      <c r="B30" s="185" t="str">
        <f>"Total "&amp;RIGHT(B25,3)&amp;" Revenue"</f>
        <v>Total 511 Revenue</v>
      </c>
      <c r="C30" s="154"/>
      <c r="D30" s="154"/>
      <c r="E30" s="154">
        <f>SUM(E26:E29)</f>
        <v>2543086.4900000002</v>
      </c>
      <c r="F30" s="154"/>
      <c r="G30" s="154">
        <f>SUM(G26:G29)</f>
        <v>2758965.65</v>
      </c>
      <c r="H30" s="154">
        <f>SUM(H26:H29)</f>
        <v>215879.16000000003</v>
      </c>
      <c r="I30" s="175">
        <f>H30/E30</f>
        <v>8.4888642540820555E-2</v>
      </c>
      <c r="J30" s="152"/>
      <c r="L30" s="104"/>
      <c r="N30" s="108"/>
    </row>
    <row r="31" spans="1:18">
      <c r="A31" s="1225" t="str">
        <f>IF(ISBLANK(B31),"",MAX($A$7:A30)+1)</f>
        <v/>
      </c>
      <c r="B31" s="157"/>
      <c r="C31" s="104"/>
      <c r="D31" s="104"/>
      <c r="E31" s="104"/>
      <c r="F31" s="104"/>
      <c r="G31" s="104"/>
      <c r="H31" s="104"/>
      <c r="I31" s="163"/>
      <c r="J31" s="152"/>
    </row>
    <row r="32" spans="1:18">
      <c r="A32" s="1225">
        <f>IF(ISBLANK(B32),"",MAX($A$7:A31)+1)</f>
        <v>21</v>
      </c>
      <c r="B32" s="169" t="s">
        <v>3182</v>
      </c>
      <c r="C32" s="6"/>
      <c r="I32" s="1280"/>
      <c r="J32" s="153"/>
    </row>
    <row r="33" spans="1:18">
      <c r="A33" s="1225">
        <f>IF(ISBLANK(B33),"",MAX($A$7:A32)+1)</f>
        <v>22</v>
      </c>
      <c r="B33" s="18" t="s">
        <v>124</v>
      </c>
      <c r="C33" s="102">
        <f>'Exh IDM-2, Proof of Revenue'!S228</f>
        <v>84</v>
      </c>
      <c r="D33" s="103">
        <f>'Exh IDM-2, Proof of Revenue'!P228</f>
        <v>163</v>
      </c>
      <c r="E33" s="104">
        <f>ROUND(C33*D33,2)</f>
        <v>13692</v>
      </c>
      <c r="F33" s="189">
        <f>D33</f>
        <v>163</v>
      </c>
      <c r="G33" s="104">
        <f>ROUND(C33*F33,2)</f>
        <v>13692</v>
      </c>
      <c r="H33" s="104">
        <f>G33-E33</f>
        <v>0</v>
      </c>
      <c r="I33" s="163">
        <f>H33/E33</f>
        <v>0</v>
      </c>
      <c r="J33" s="152"/>
      <c r="L33" s="6">
        <f>C33/12</f>
        <v>7</v>
      </c>
      <c r="M33" s="6">
        <f>L33+L26+L19</f>
        <v>589</v>
      </c>
    </row>
    <row r="34" spans="1:18">
      <c r="A34" s="1225">
        <f>IF(ISBLANK(B34),"",MAX($A$7:A33)+1)</f>
        <v>23</v>
      </c>
      <c r="B34" s="18" t="s">
        <v>463</v>
      </c>
      <c r="C34" s="102">
        <f>'Exh IDM-2, Proof of Revenue'!S230</f>
        <v>1088197.0819555386</v>
      </c>
      <c r="D34" s="105">
        <f>'Exh IDM-2, Proof of Revenue'!P230</f>
        <v>9.0410000000000004E-2</v>
      </c>
      <c r="E34" s="104">
        <f>ROUND(C34*D34,2)</f>
        <v>98383.9</v>
      </c>
      <c r="F34" s="190">
        <f>'Exh IDM-3, Revenue Distribution'!F30</f>
        <v>9.8530210927804257E-2</v>
      </c>
      <c r="G34" s="104">
        <f>ROUND(C34*F34,2)</f>
        <v>107220.29</v>
      </c>
      <c r="H34" s="104">
        <f>G34-E34</f>
        <v>8836.39</v>
      </c>
      <c r="I34" s="163">
        <f>H34/E34</f>
        <v>8.9815406789118951E-2</v>
      </c>
      <c r="J34" s="152"/>
      <c r="L34" s="165"/>
      <c r="Q34" s="9">
        <v>0.40839999999999999</v>
      </c>
      <c r="R34" s="9">
        <f>Q34+F34</f>
        <v>0.50693021092780421</v>
      </c>
    </row>
    <row r="35" spans="1:18">
      <c r="A35" s="1225">
        <f>IF(ISBLANK(B35),"",MAX($A$7:A34)+1)</f>
        <v>24</v>
      </c>
      <c r="B35" s="18" t="s">
        <v>464</v>
      </c>
      <c r="C35" s="102">
        <f>'Exh IDM-2, Proof of Revenue'!S232</f>
        <v>863404.25424245116</v>
      </c>
      <c r="D35" s="105">
        <f>'Exh IDM-2, Proof of Revenue'!P232</f>
        <v>2.9229999999999999E-2</v>
      </c>
      <c r="E35" s="104">
        <f>ROUND(C35*D35,2)</f>
        <v>25237.31</v>
      </c>
      <c r="F35" s="190">
        <f>'Exh IDM-3, Revenue Distribution'!F31</f>
        <v>3.1855305192986093E-2</v>
      </c>
      <c r="G35" s="104">
        <f>ROUND(C35*F35,2)</f>
        <v>27504.01</v>
      </c>
      <c r="H35" s="104">
        <f>G35-E35</f>
        <v>2266.6999999999971</v>
      </c>
      <c r="I35" s="163">
        <f>H35/E35</f>
        <v>8.9815435955733672E-2</v>
      </c>
      <c r="J35" s="152"/>
      <c r="K35" s="6">
        <f>SUM(C34:C35)/C33</f>
        <v>23233.349240452259</v>
      </c>
      <c r="L35" s="180"/>
      <c r="Q35" s="9">
        <f>Q34</f>
        <v>0.40839999999999999</v>
      </c>
      <c r="R35" s="9">
        <f>Q35+F35</f>
        <v>0.44025530519298606</v>
      </c>
    </row>
    <row r="36" spans="1:18">
      <c r="A36" s="1225">
        <f>IF(ISBLANK(B36),"",MAX($A$7:A35)+1)</f>
        <v>25</v>
      </c>
      <c r="B36" s="185" t="str">
        <f>"Total "&amp;RIGHT(B32,3)&amp;" Revenue"</f>
        <v>Total 570 Revenue</v>
      </c>
      <c r="C36" s="154"/>
      <c r="D36" s="154"/>
      <c r="E36" s="154">
        <f>SUM(E33:E35)</f>
        <v>137313.21</v>
      </c>
      <c r="F36" s="154"/>
      <c r="G36" s="154">
        <f>SUM(G33:G35)</f>
        <v>148416.29999999999</v>
      </c>
      <c r="H36" s="154">
        <f>G36-E36</f>
        <v>11103.089999999997</v>
      </c>
      <c r="I36" s="175">
        <f>H36/E36</f>
        <v>8.0859591003662343E-2</v>
      </c>
      <c r="J36" s="152"/>
      <c r="L36" s="104"/>
      <c r="N36" s="177"/>
    </row>
    <row r="37" spans="1:18">
      <c r="A37" s="1225" t="str">
        <f>IF(ISBLANK(B37),"",MAX($A$7:A36)+1)</f>
        <v/>
      </c>
      <c r="I37" s="1280"/>
      <c r="J37" s="153"/>
    </row>
    <row r="38" spans="1:18">
      <c r="A38" s="1225">
        <f>IF(ISBLANK(B38),"",MAX($A$7:A37)+1)</f>
        <v>26</v>
      </c>
      <c r="B38" s="169" t="s">
        <v>3183</v>
      </c>
      <c r="C38" s="6"/>
      <c r="I38" s="1280"/>
      <c r="J38" s="153"/>
    </row>
    <row r="39" spans="1:18">
      <c r="A39" s="1225">
        <f>IF(ISBLANK(B39),"",MAX($A$7:A38)+1)</f>
        <v>27</v>
      </c>
      <c r="B39" s="1" t="s">
        <v>124</v>
      </c>
      <c r="C39" s="102">
        <f>'Exh IDM-2, Proof of Revenue'!S262</f>
        <v>2376</v>
      </c>
      <c r="D39" s="106">
        <f>'Exh IDM-2, Proof of Revenue'!P262</f>
        <v>625</v>
      </c>
      <c r="E39" s="104">
        <f t="shared" ref="E39:E44" si="0">ROUND(C39*D39,2)</f>
        <v>1485000</v>
      </c>
      <c r="F39" s="189">
        <f>D39</f>
        <v>625</v>
      </c>
      <c r="G39" s="104">
        <f t="shared" ref="G39:G45" si="1">ROUND(C39*F39,2)</f>
        <v>1485000</v>
      </c>
      <c r="H39" s="104">
        <f t="shared" ref="H39:H46" si="2">G39-E39</f>
        <v>0</v>
      </c>
      <c r="I39" s="163">
        <f>H39/E39</f>
        <v>0</v>
      </c>
      <c r="J39" s="152"/>
      <c r="L39" s="6">
        <f>C39/12</f>
        <v>198</v>
      </c>
    </row>
    <row r="40" spans="1:18">
      <c r="A40" s="1225">
        <f>IF(ISBLANK(B40),"",MAX($A$7:A39)+1)</f>
        <v>28</v>
      </c>
      <c r="B40" s="1" t="s">
        <v>197</v>
      </c>
      <c r="C40" s="102">
        <f>'Exh IDM-2, Proof of Revenue'!S263</f>
        <v>30556760.449999999</v>
      </c>
      <c r="D40" s="107">
        <f>'Exh IDM-2, Proof of Revenue'!P263</f>
        <v>0.2</v>
      </c>
      <c r="E40" s="104">
        <f t="shared" si="0"/>
        <v>6111352.0899999999</v>
      </c>
      <c r="F40" s="190">
        <f>D40</f>
        <v>0.2</v>
      </c>
      <c r="G40" s="104">
        <f t="shared" si="1"/>
        <v>6111352.0899999999</v>
      </c>
      <c r="H40" s="104">
        <f t="shared" si="2"/>
        <v>0</v>
      </c>
      <c r="I40" s="163">
        <f>H40/E40</f>
        <v>0</v>
      </c>
      <c r="J40" s="152"/>
      <c r="L40" s="165"/>
    </row>
    <row r="41" spans="1:18">
      <c r="A41" s="1225">
        <f>IF(ISBLANK(B41),"",MAX($A$7:A40)+1)</f>
        <v>29</v>
      </c>
      <c r="B41" s="1" t="s">
        <v>3184</v>
      </c>
      <c r="C41" s="102">
        <f>'Exh IDM-2, Proof of Revenue'!S264</f>
        <v>679252242.35660779</v>
      </c>
      <c r="D41" s="107">
        <f>'Exh IDM-2, Proof of Revenue'!P264</f>
        <v>4.0000000000000002E-4</v>
      </c>
      <c r="E41" s="104">
        <f t="shared" si="0"/>
        <v>271700.90000000002</v>
      </c>
      <c r="F41" s="190">
        <f>D41</f>
        <v>4.0000000000000002E-4</v>
      </c>
      <c r="G41" s="104">
        <f t="shared" si="1"/>
        <v>271700.90000000002</v>
      </c>
      <c r="H41" s="104">
        <f t="shared" si="2"/>
        <v>0</v>
      </c>
      <c r="I41" s="163">
        <f t="shared" ref="I41:I46" si="3">H41/E41</f>
        <v>0</v>
      </c>
      <c r="J41" s="152"/>
      <c r="L41" s="165"/>
    </row>
    <row r="42" spans="1:18">
      <c r="A42" s="1225">
        <f>IF(ISBLANK(B42),"",MAX($A$7:A41)+1)</f>
        <v>30</v>
      </c>
      <c r="B42" s="18" t="s">
        <v>433</v>
      </c>
      <c r="C42" s="102">
        <f>'Exh IDM-2, Proof of Revenue'!S266</f>
        <v>98870371.993092954</v>
      </c>
      <c r="D42" s="107">
        <f>'Exh IDM-2, Proof of Revenue'!P266</f>
        <v>0.06</v>
      </c>
      <c r="E42" s="104">
        <f t="shared" si="0"/>
        <v>5932222.3200000003</v>
      </c>
      <c r="F42" s="190">
        <f>'Exh IDM-3, Revenue Distribution'!F38</f>
        <v>6.5388926017189458E-2</v>
      </c>
      <c r="G42" s="104">
        <f t="shared" si="1"/>
        <v>6465027.4400000004</v>
      </c>
      <c r="H42" s="104">
        <f>G42-E42</f>
        <v>532805.12000000011</v>
      </c>
      <c r="I42" s="163">
        <f>H42/E42</f>
        <v>8.9815433619824303E-2</v>
      </c>
      <c r="J42" s="152"/>
      <c r="L42" s="165"/>
      <c r="N42" s="9"/>
      <c r="O42" s="9"/>
      <c r="P42" s="181"/>
      <c r="Q42" s="9"/>
      <c r="R42" s="9"/>
    </row>
    <row r="43" spans="1:18">
      <c r="A43" s="1225">
        <f>IF(ISBLANK(B43),"",MAX($A$7:A42)+1)</f>
        <v>31</v>
      </c>
      <c r="B43" s="18" t="s">
        <v>434</v>
      </c>
      <c r="C43" s="102">
        <f>'Exh IDM-2, Proof of Revenue'!S268</f>
        <v>74558946.611349955</v>
      </c>
      <c r="D43" s="107">
        <f>'Exh IDM-2, Proof of Revenue'!P268</f>
        <v>2.3310000000000001E-2</v>
      </c>
      <c r="E43" s="104">
        <f t="shared" si="0"/>
        <v>1737969.05</v>
      </c>
      <c r="F43" s="190">
        <f>'Exh IDM-3, Revenue Distribution'!F39</f>
        <v>2.5403597706127164E-2</v>
      </c>
      <c r="G43" s="104">
        <f t="shared" si="1"/>
        <v>1894065.49</v>
      </c>
      <c r="H43" s="104">
        <f t="shared" si="2"/>
        <v>156096.43999999994</v>
      </c>
      <c r="I43" s="163">
        <f t="shared" si="3"/>
        <v>8.9815431408286545E-2</v>
      </c>
      <c r="J43" s="152"/>
      <c r="L43" s="165"/>
      <c r="N43" s="9"/>
      <c r="O43" s="9"/>
      <c r="P43" s="181"/>
      <c r="Q43" s="9"/>
      <c r="R43" s="9"/>
    </row>
    <row r="44" spans="1:18">
      <c r="A44" s="1225">
        <f>IF(ISBLANK(B44),"",MAX($A$7:A43)+1)</f>
        <v>32</v>
      </c>
      <c r="B44" s="18" t="s">
        <v>434</v>
      </c>
      <c r="C44" s="102">
        <f>'Exh IDM-2, Proof of Revenue'!S270</f>
        <v>40341807.040468045</v>
      </c>
      <c r="D44" s="107">
        <f>'Exh IDM-2, Proof of Revenue'!P270</f>
        <v>1.5049999999999999E-2</v>
      </c>
      <c r="E44" s="104">
        <f t="shared" si="0"/>
        <v>607144.19999999995</v>
      </c>
      <c r="F44" s="190">
        <f>'Exh IDM-3, Revenue Distribution'!F40</f>
        <v>1.6401722286073058E-2</v>
      </c>
      <c r="G44" s="104">
        <f t="shared" si="1"/>
        <v>661675.12</v>
      </c>
      <c r="H44" s="104">
        <f t="shared" si="2"/>
        <v>54530.920000000042</v>
      </c>
      <c r="I44" s="163">
        <f t="shared" si="3"/>
        <v>8.9815434290568943E-2</v>
      </c>
      <c r="J44" s="152"/>
      <c r="L44" s="165"/>
      <c r="N44" s="9"/>
      <c r="O44" s="9"/>
      <c r="P44" s="181"/>
      <c r="Q44" s="9"/>
      <c r="R44" s="9"/>
    </row>
    <row r="45" spans="1:18">
      <c r="A45" s="1225">
        <f>IF(ISBLANK(B45),"",MAX($A$7:A44)+1)</f>
        <v>33</v>
      </c>
      <c r="B45" s="18" t="s">
        <v>3185</v>
      </c>
      <c r="C45" s="102">
        <f>'Exh IDM-2, Proof of Revenue'!S272</f>
        <v>465481116.71169686</v>
      </c>
      <c r="D45" s="107">
        <f>'Exh IDM-2, Proof of Revenue'!P272</f>
        <v>8.3300000000000006E-3</v>
      </c>
      <c r="E45" s="104">
        <f>ROUND(C45*D45,2)</f>
        <v>3877457.7</v>
      </c>
      <c r="F45" s="190">
        <f>'Exh IDM-3, Revenue Distribution'!F41</f>
        <v>9.0781625520247461E-3</v>
      </c>
      <c r="G45" s="104">
        <f t="shared" si="1"/>
        <v>4225713.24</v>
      </c>
      <c r="H45" s="104">
        <f t="shared" si="2"/>
        <v>348255.54000000004</v>
      </c>
      <c r="I45" s="163">
        <f t="shared" si="3"/>
        <v>8.9815432415935842E-2</v>
      </c>
      <c r="J45" s="152"/>
      <c r="K45" s="6">
        <f>SUM(C42:C45)/C39</f>
        <v>285880.57338241069</v>
      </c>
      <c r="L45" s="165"/>
      <c r="M45" s="179"/>
      <c r="N45" s="9"/>
      <c r="O45" s="9"/>
      <c r="P45" s="181"/>
      <c r="Q45" s="9"/>
      <c r="R45" s="9"/>
    </row>
    <row r="46" spans="1:18">
      <c r="A46" s="1225">
        <f>IF(ISBLANK(B46),"",MAX($A$7:A45)+1)</f>
        <v>34</v>
      </c>
      <c r="B46" s="185" t="str">
        <f>"Total "&amp;RIGHT(B38,3)&amp;" Revenue"</f>
        <v>Total 663 Revenue</v>
      </c>
      <c r="C46" s="184"/>
      <c r="D46" s="154"/>
      <c r="E46" s="154">
        <f>SUM(E39:E45)</f>
        <v>20022846.260000002</v>
      </c>
      <c r="F46" s="154"/>
      <c r="G46" s="154">
        <f>SUM(G39:G45)</f>
        <v>21114534.280000001</v>
      </c>
      <c r="H46" s="154">
        <f t="shared" si="2"/>
        <v>1091688.0199999996</v>
      </c>
      <c r="I46" s="175">
        <f t="shared" si="3"/>
        <v>5.4522119673908909E-2</v>
      </c>
      <c r="J46" s="152"/>
      <c r="L46" s="104"/>
      <c r="N46" s="177"/>
    </row>
    <row r="47" spans="1:18">
      <c r="A47" s="1225" t="str">
        <f>IF(ISBLANK(B47),"",MAX($A$7:A46)+1)</f>
        <v/>
      </c>
      <c r="I47" s="153"/>
      <c r="J47" s="153"/>
    </row>
    <row r="48" spans="1:18" ht="15.75" thickBot="1">
      <c r="A48" s="1225">
        <f>IF(ISBLANK(B48),"",MAX($A$7:A47)+1)</f>
        <v>35</v>
      </c>
      <c r="B48" s="176" t="s">
        <v>294</v>
      </c>
      <c r="C48" s="176"/>
      <c r="D48" s="176"/>
      <c r="E48" s="186">
        <f>E36+E46+E30+E23+E16+E11</f>
        <v>104564070.61000001</v>
      </c>
      <c r="F48" s="176"/>
      <c r="G48" s="186">
        <f>G36+G46+G30+G23+G16+G11</f>
        <v>111752970.59999999</v>
      </c>
      <c r="H48" s="1464">
        <f>H36+H46+H30+H23+H16+H11</f>
        <v>7188899.990000003</v>
      </c>
      <c r="I48" s="1251">
        <f>H48/E48</f>
        <v>6.8751148918187677E-2</v>
      </c>
      <c r="J48" s="153"/>
      <c r="L48" s="6">
        <f>SUM(L9:L46)</f>
        <v>226703</v>
      </c>
    </row>
    <row r="49" spans="1:12" ht="15.75" thickTop="1">
      <c r="A49" s="1225" t="str">
        <f>IF(ISBLANK(B49),"",MAX($A$7:A48)+1)</f>
        <v/>
      </c>
      <c r="I49" s="153"/>
      <c r="J49" s="153"/>
    </row>
    <row r="50" spans="1:12">
      <c r="A50" s="1225">
        <f>IF(ISBLANK(B50),"",MAX($A$7:A49)+1)</f>
        <v>36</v>
      </c>
      <c r="B50" s="18" t="s">
        <v>3186</v>
      </c>
      <c r="C50" s="104"/>
      <c r="D50" s="104"/>
      <c r="E50" s="104"/>
      <c r="F50" s="104"/>
      <c r="G50" s="104"/>
      <c r="H50" s="104"/>
      <c r="I50" s="101"/>
      <c r="J50" s="101"/>
      <c r="L50" s="104"/>
    </row>
    <row r="51" spans="1:12">
      <c r="B51" s="157"/>
      <c r="C51" s="104"/>
      <c r="D51" s="104"/>
      <c r="E51" s="104"/>
      <c r="F51" s="104"/>
      <c r="G51" s="104"/>
      <c r="H51" s="104"/>
      <c r="I51" s="101"/>
      <c r="J51" s="101"/>
      <c r="L51" s="104"/>
    </row>
    <row r="53" spans="1:12">
      <c r="J53" s="182"/>
    </row>
  </sheetData>
  <mergeCells count="3">
    <mergeCell ref="C5:E5"/>
    <mergeCell ref="F5:G5"/>
    <mergeCell ref="H5:I5"/>
  </mergeCells>
  <printOptions horizontalCentered="1"/>
  <pageMargins left="0.45" right="0.45" top="0.5" bottom="0.5" header="0.3" footer="0.3"/>
  <pageSetup scale="71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43F2C-9571-40BC-951D-D41D348928D9}">
  <sheetPr codeName="Sheet82">
    <tabColor theme="2"/>
  </sheetPr>
  <dimension ref="A1:J33"/>
  <sheetViews>
    <sheetView zoomScale="80" zoomScaleNormal="80" workbookViewId="0">
      <selection activeCell="I6" sqref="I6"/>
    </sheetView>
  </sheetViews>
  <sheetFormatPr defaultColWidth="8.85546875" defaultRowHeight="15"/>
  <cols>
    <col min="1" max="1" width="6" style="1" customWidth="1"/>
    <col min="2" max="2" width="20.7109375" style="1" bestFit="1" customWidth="1"/>
    <col min="3" max="3" width="11.5703125" style="1" customWidth="1"/>
    <col min="4" max="4" width="14.42578125" style="1" bestFit="1" customWidth="1"/>
    <col min="5" max="5" width="16.140625" style="1" bestFit="1" customWidth="1"/>
    <col min="6" max="7" width="14.7109375" style="1" customWidth="1"/>
    <col min="8" max="8" width="6" style="1" customWidth="1"/>
    <col min="9" max="9" width="13.42578125" style="1" bestFit="1" customWidth="1"/>
    <col min="10" max="10" width="10.85546875" style="1" customWidth="1"/>
    <col min="11" max="11" width="8.85546875" style="1"/>
    <col min="12" max="12" width="10.5703125" style="1" bestFit="1" customWidth="1"/>
    <col min="13" max="16384" width="8.85546875" style="1"/>
  </cols>
  <sheetData>
    <row r="1" spans="1:10">
      <c r="A1" s="11" t="str">
        <f>Company</f>
        <v>Cascade Natural Gas Corp.</v>
      </c>
      <c r="G1" s="12" t="s">
        <v>3187</v>
      </c>
      <c r="J1" s="1" t="s">
        <v>70</v>
      </c>
    </row>
    <row r="2" spans="1:10">
      <c r="A2" s="11" t="str">
        <f>Title1</f>
        <v>Washington Jurisdiction</v>
      </c>
      <c r="G2" s="12" t="s">
        <v>3233</v>
      </c>
      <c r="H2" s="10"/>
    </row>
    <row r="3" spans="1:10">
      <c r="A3" s="11" t="str">
        <f>Title2</f>
        <v>Twelve-Months ended December 31, 2020</v>
      </c>
    </row>
    <row r="4" spans="1:10">
      <c r="A4" s="927"/>
    </row>
    <row r="5" spans="1:10" ht="30">
      <c r="A5" s="151" t="s">
        <v>8</v>
      </c>
      <c r="B5" s="1223" t="s">
        <v>2</v>
      </c>
      <c r="C5" s="1223" t="s">
        <v>3</v>
      </c>
      <c r="D5" s="1223" t="s">
        <v>4</v>
      </c>
      <c r="E5" s="1223" t="s">
        <v>5</v>
      </c>
      <c r="F5" s="1223" t="s">
        <v>6</v>
      </c>
      <c r="G5" s="1223" t="s">
        <v>273</v>
      </c>
    </row>
    <row r="6" spans="1:10">
      <c r="A6" s="1225">
        <f>MAX($A5:A$5)+1</f>
        <v>1</v>
      </c>
      <c r="B6" s="11" t="str">
        <f>'Exh IDM-4, Class Rates'!B8</f>
        <v>Residential - 503</v>
      </c>
      <c r="D6" s="1225"/>
      <c r="E6" s="1225"/>
    </row>
    <row r="7" spans="1:10" ht="17.25">
      <c r="A7" s="1225">
        <f>MAX($A$5:A6)+1</f>
        <v>2</v>
      </c>
      <c r="D7" s="145" t="s">
        <v>3188</v>
      </c>
      <c r="E7" s="145" t="s">
        <v>98</v>
      </c>
    </row>
    <row r="8" spans="1:10">
      <c r="A8" s="1225">
        <f>MAX($A$5:A7)+1</f>
        <v>3</v>
      </c>
      <c r="B8" s="1" t="s">
        <v>124</v>
      </c>
      <c r="D8" s="164">
        <f>'Exh IDM-4, Class Rates'!D9</f>
        <v>5</v>
      </c>
      <c r="E8" s="164">
        <f>'Exh IDM-4, Class Rates'!F9</f>
        <v>5</v>
      </c>
    </row>
    <row r="9" spans="1:10">
      <c r="A9" s="1225">
        <f>MAX($A$5:A8)+1</f>
        <v>4</v>
      </c>
      <c r="B9" s="1" t="s">
        <v>3159</v>
      </c>
      <c r="D9" s="9">
        <f>'Exh IDM-4, Class Rates'!D10</f>
        <v>0.31274000000000002</v>
      </c>
      <c r="E9" s="9">
        <f>'Exh IDM-4, Class Rates'!F10</f>
        <v>0.34082887860581407</v>
      </c>
    </row>
    <row r="10" spans="1:10">
      <c r="A10" s="1209">
        <f>MAX($A$5:A9)+1</f>
        <v>5</v>
      </c>
      <c r="B10" s="1" t="s">
        <v>3189</v>
      </c>
      <c r="D10" s="9">
        <f>'Exh PJA-4, Bill Impacts'!O20</f>
        <v>0.59895468200000002</v>
      </c>
      <c r="E10" s="9">
        <f>D10</f>
        <v>0.59895468200000002</v>
      </c>
    </row>
    <row r="11" spans="1:10">
      <c r="A11" s="1225">
        <f>MAX($A$5:A10)+1</f>
        <v>6</v>
      </c>
      <c r="D11" s="9"/>
      <c r="E11" s="9"/>
    </row>
    <row r="12" spans="1:10" ht="51.75">
      <c r="A12" s="1225">
        <f>MAX($A$5:A11)+1</f>
        <v>7</v>
      </c>
      <c r="B12" s="14" t="s">
        <v>3190</v>
      </c>
      <c r="C12" s="145" t="s">
        <v>3191</v>
      </c>
      <c r="D12" s="145" t="s">
        <v>3192</v>
      </c>
      <c r="E12" s="145" t="s">
        <v>3193</v>
      </c>
      <c r="F12" s="145" t="s">
        <v>3194</v>
      </c>
      <c r="G12" s="145" t="s">
        <v>3195</v>
      </c>
      <c r="I12" s="1" t="s">
        <v>401</v>
      </c>
      <c r="J12" s="1" t="s">
        <v>591</v>
      </c>
    </row>
    <row r="13" spans="1:10">
      <c r="A13" s="1225">
        <f>MAX($A$5:A12)+1</f>
        <v>8</v>
      </c>
      <c r="B13" s="18" t="s">
        <v>3196</v>
      </c>
      <c r="C13" s="111">
        <f>ROUND(I13/$J$13,0)</f>
        <v>105</v>
      </c>
      <c r="D13" s="36">
        <f>D$8+(D$9+D$10)*$C13</f>
        <v>100.72794161</v>
      </c>
      <c r="E13" s="36">
        <f>E$8+(E$9+E$10)*$C13</f>
        <v>103.67727386361047</v>
      </c>
      <c r="F13" s="36">
        <f>E13-D13</f>
        <v>2.9493322536104642</v>
      </c>
      <c r="G13" s="7">
        <f>F13/D13</f>
        <v>2.9280179922962533E-2</v>
      </c>
      <c r="I13" s="1281">
        <f>'Exh IDM-5, Decoupling Baseline'!C15</f>
        <v>20949779.125481114</v>
      </c>
      <c r="J13" s="1282">
        <f>'Exh IDM-5, Decoupling Baseline'!C12</f>
        <v>198885</v>
      </c>
    </row>
    <row r="14" spans="1:10">
      <c r="A14" s="1225">
        <f>MAX($A$5:A13)+1</f>
        <v>9</v>
      </c>
      <c r="B14" s="18" t="s">
        <v>329</v>
      </c>
      <c r="C14" s="111">
        <f>ROUND(I14/$J$13,0)</f>
        <v>86</v>
      </c>
      <c r="D14" s="36">
        <f t="shared" ref="D14:E24" si="0">D$8+(D$9+D$10)*$C14</f>
        <v>83.405742652000001</v>
      </c>
      <c r="E14" s="36">
        <f t="shared" si="0"/>
        <v>85.821386212100009</v>
      </c>
      <c r="F14" s="36">
        <f t="shared" ref="F14:F24" si="1">E14-D14</f>
        <v>2.4156435601000084</v>
      </c>
      <c r="G14" s="7">
        <f t="shared" ref="G14:G24" si="2">F14/D14</f>
        <v>2.8962556813131899E-2</v>
      </c>
      <c r="I14" s="1283">
        <f>'Exh IDM-5, Decoupling Baseline'!C16</f>
        <v>17042296.781877652</v>
      </c>
      <c r="J14" s="1284"/>
    </row>
    <row r="15" spans="1:10">
      <c r="A15" s="1225">
        <f>MAX($A$5:A14)+1</f>
        <v>10</v>
      </c>
      <c r="B15" s="18" t="s">
        <v>330</v>
      </c>
      <c r="C15" s="111">
        <f t="shared" ref="C15:C24" si="3">ROUND(I15/$J$13,0)</f>
        <v>73</v>
      </c>
      <c r="D15" s="36">
        <f t="shared" si="0"/>
        <v>71.553711786000008</v>
      </c>
      <c r="E15" s="36">
        <f t="shared" si="0"/>
        <v>73.604199924224417</v>
      </c>
      <c r="F15" s="36">
        <f t="shared" si="1"/>
        <v>2.0504881382244093</v>
      </c>
      <c r="G15" s="7">
        <f t="shared" si="2"/>
        <v>2.865662852483359E-2</v>
      </c>
      <c r="I15" s="1283">
        <f>'Exh IDM-5, Decoupling Baseline'!C17</f>
        <v>14454420.283188764</v>
      </c>
      <c r="J15" s="1284"/>
    </row>
    <row r="16" spans="1:10">
      <c r="A16" s="1225">
        <f>MAX($A$5:A15)+1</f>
        <v>11</v>
      </c>
      <c r="B16" s="18" t="s">
        <v>3197</v>
      </c>
      <c r="C16" s="111">
        <f t="shared" si="3"/>
        <v>47</v>
      </c>
      <c r="D16" s="36">
        <f t="shared" si="0"/>
        <v>47.849650054000001</v>
      </c>
      <c r="E16" s="36">
        <f t="shared" si="0"/>
        <v>49.169827348473262</v>
      </c>
      <c r="F16" s="36">
        <f t="shared" si="1"/>
        <v>1.320177294473261</v>
      </c>
      <c r="G16" s="7">
        <f t="shared" si="2"/>
        <v>2.7590113887633345E-2</v>
      </c>
      <c r="I16" s="1283">
        <f>'Exh IDM-5, Decoupling Baseline'!C18</f>
        <v>9423692.6078356951</v>
      </c>
      <c r="J16" s="1284"/>
    </row>
    <row r="17" spans="1:10">
      <c r="A17" s="1225">
        <f>MAX($A$5:A16)+1</f>
        <v>12</v>
      </c>
      <c r="B17" s="18" t="s">
        <v>503</v>
      </c>
      <c r="C17" s="111">
        <f t="shared" si="3"/>
        <v>30</v>
      </c>
      <c r="D17" s="36">
        <f t="shared" si="0"/>
        <v>32.350840460000001</v>
      </c>
      <c r="E17" s="36">
        <f t="shared" si="0"/>
        <v>33.19350681817442</v>
      </c>
      <c r="F17" s="36">
        <f t="shared" si="1"/>
        <v>0.84266635817441937</v>
      </c>
      <c r="G17" s="7">
        <f t="shared" si="2"/>
        <v>2.6047742382963097E-2</v>
      </c>
      <c r="I17" s="1283">
        <f>'Exh IDM-5, Decoupling Baseline'!C19</f>
        <v>6041098.2725353083</v>
      </c>
      <c r="J17" s="1284"/>
    </row>
    <row r="18" spans="1:10">
      <c r="A18" s="1225">
        <f>MAX($A$5:A17)+1</f>
        <v>13</v>
      </c>
      <c r="B18" s="18" t="s">
        <v>3198</v>
      </c>
      <c r="C18" s="111">
        <f t="shared" si="3"/>
        <v>19</v>
      </c>
      <c r="D18" s="36">
        <f t="shared" si="0"/>
        <v>22.322198958000001</v>
      </c>
      <c r="E18" s="36">
        <f t="shared" si="0"/>
        <v>22.855887651510468</v>
      </c>
      <c r="F18" s="36">
        <f t="shared" si="1"/>
        <v>0.53368869351046655</v>
      </c>
      <c r="G18" s="7">
        <f t="shared" si="2"/>
        <v>2.3908428310070191E-2</v>
      </c>
      <c r="I18" s="1283">
        <f>'Exh IDM-5, Decoupling Baseline'!C20</f>
        <v>3865257.005920711</v>
      </c>
      <c r="J18" s="1284"/>
    </row>
    <row r="19" spans="1:10">
      <c r="A19" s="1225">
        <f>MAX($A$5:A18)+1</f>
        <v>14</v>
      </c>
      <c r="B19" s="18" t="s">
        <v>3199</v>
      </c>
      <c r="C19" s="111">
        <f t="shared" si="3"/>
        <v>16</v>
      </c>
      <c r="D19" s="36">
        <f t="shared" si="0"/>
        <v>19.587114912000001</v>
      </c>
      <c r="E19" s="36">
        <f t="shared" si="0"/>
        <v>20.036536969693024</v>
      </c>
      <c r="F19" s="36">
        <f t="shared" si="1"/>
        <v>0.4494220576930239</v>
      </c>
      <c r="G19" s="7">
        <f t="shared" si="2"/>
        <v>2.2944780776146187E-2</v>
      </c>
      <c r="I19" s="1283">
        <f>'Exh IDM-5, Decoupling Baseline'!C21</f>
        <v>3164860.8704397986</v>
      </c>
      <c r="J19" s="1284"/>
    </row>
    <row r="20" spans="1:10">
      <c r="A20" s="1225">
        <f>MAX($A$5:A19)+1</f>
        <v>15</v>
      </c>
      <c r="B20" s="18" t="s">
        <v>3200</v>
      </c>
      <c r="C20" s="111">
        <f t="shared" si="3"/>
        <v>16</v>
      </c>
      <c r="D20" s="36">
        <f t="shared" si="0"/>
        <v>19.587114912000001</v>
      </c>
      <c r="E20" s="36">
        <f t="shared" si="0"/>
        <v>20.036536969693024</v>
      </c>
      <c r="F20" s="36">
        <f t="shared" si="1"/>
        <v>0.4494220576930239</v>
      </c>
      <c r="G20" s="7">
        <f t="shared" si="2"/>
        <v>2.2944780776146187E-2</v>
      </c>
      <c r="I20" s="1283">
        <f>'Exh IDM-5, Decoupling Baseline'!C22</f>
        <v>3169488.2621706687</v>
      </c>
      <c r="J20" s="1284"/>
    </row>
    <row r="21" spans="1:10">
      <c r="A21" s="1225">
        <f>MAX($A$5:A20)+1</f>
        <v>16</v>
      </c>
      <c r="B21" s="18" t="s">
        <v>3201</v>
      </c>
      <c r="C21" s="111">
        <f t="shared" si="3"/>
        <v>19</v>
      </c>
      <c r="D21" s="36">
        <f t="shared" si="0"/>
        <v>22.322198958000001</v>
      </c>
      <c r="E21" s="36">
        <f t="shared" si="0"/>
        <v>22.855887651510468</v>
      </c>
      <c r="F21" s="36">
        <f t="shared" si="1"/>
        <v>0.53368869351046655</v>
      </c>
      <c r="G21" s="7">
        <f t="shared" si="2"/>
        <v>2.3908428310070191E-2</v>
      </c>
      <c r="I21" s="1283">
        <f>'Exh IDM-5, Decoupling Baseline'!C23</f>
        <v>3838515.8868167466</v>
      </c>
      <c r="J21" s="1284"/>
    </row>
    <row r="22" spans="1:10">
      <c r="A22" s="1225">
        <f>MAX($A$5:A21)+1</f>
        <v>17</v>
      </c>
      <c r="B22" s="18" t="s">
        <v>337</v>
      </c>
      <c r="C22" s="111">
        <f t="shared" si="3"/>
        <v>44</v>
      </c>
      <c r="D22" s="36">
        <f t="shared" si="0"/>
        <v>45.114566008000004</v>
      </c>
      <c r="E22" s="36">
        <f t="shared" si="0"/>
        <v>46.350476666655815</v>
      </c>
      <c r="F22" s="36">
        <f t="shared" si="1"/>
        <v>1.2359106586558113</v>
      </c>
      <c r="G22" s="7">
        <f t="shared" si="2"/>
        <v>2.7394936226066136E-2</v>
      </c>
      <c r="I22" s="1283">
        <f>'Exh IDM-5, Decoupling Baseline'!C24</f>
        <v>8764598.5748998914</v>
      </c>
      <c r="J22" s="1284"/>
    </row>
    <row r="23" spans="1:10">
      <c r="A23" s="1225">
        <f>MAX($A$5:A22)+1</f>
        <v>18</v>
      </c>
      <c r="B23" s="18" t="s">
        <v>3202</v>
      </c>
      <c r="C23" s="111">
        <f t="shared" si="3"/>
        <v>83</v>
      </c>
      <c r="D23" s="36">
        <f t="shared" si="0"/>
        <v>80.670658606000003</v>
      </c>
      <c r="E23" s="36">
        <f t="shared" si="0"/>
        <v>83.002035530282569</v>
      </c>
      <c r="F23" s="36">
        <f t="shared" si="1"/>
        <v>2.3313769242825657</v>
      </c>
      <c r="G23" s="7">
        <f t="shared" si="2"/>
        <v>2.889993666308268E-2</v>
      </c>
      <c r="I23" s="1283">
        <f>'Exh IDM-5, Decoupling Baseline'!C25</f>
        <v>16528146.305388767</v>
      </c>
      <c r="J23" s="1284"/>
    </row>
    <row r="24" spans="1:10">
      <c r="A24" s="1225">
        <f>MAX($A$5:A23)+1</f>
        <v>19</v>
      </c>
      <c r="B24" s="18" t="s">
        <v>339</v>
      </c>
      <c r="C24" s="111">
        <f t="shared" si="3"/>
        <v>108</v>
      </c>
      <c r="D24" s="38">
        <f t="shared" si="0"/>
        <v>103.463025656</v>
      </c>
      <c r="E24" s="38">
        <f t="shared" si="0"/>
        <v>106.49662454542792</v>
      </c>
      <c r="F24" s="38">
        <f t="shared" si="1"/>
        <v>3.0335988894279211</v>
      </c>
      <c r="G24" s="7">
        <f t="shared" si="2"/>
        <v>2.9320608692753783E-2</v>
      </c>
      <c r="I24" s="1285">
        <f>'Exh IDM-5, Decoupling Baseline'!C26</f>
        <v>21430781</v>
      </c>
      <c r="J24" s="1286"/>
    </row>
    <row r="25" spans="1:10">
      <c r="A25" s="1225">
        <f>MAX($A$5:A24)+1</f>
        <v>20</v>
      </c>
      <c r="B25" s="1" t="s">
        <v>294</v>
      </c>
      <c r="C25" s="146">
        <f>SUM(C13:C24)</f>
        <v>646</v>
      </c>
      <c r="D25" s="147">
        <f>SUM(D13:D24)</f>
        <v>648.95476457200004</v>
      </c>
      <c r="E25" s="147">
        <f>SUM(E13:E24)</f>
        <v>667.10018015135574</v>
      </c>
      <c r="F25" s="147">
        <f>SUM(F13:F24)</f>
        <v>18.145415579355841</v>
      </c>
      <c r="G25" s="7"/>
      <c r="I25" s="6">
        <f>SUM(I13:I24)</f>
        <v>128672934.97655511</v>
      </c>
    </row>
    <row r="26" spans="1:10">
      <c r="A26" s="1225">
        <f>MAX($A$5:A25)+1</f>
        <v>21</v>
      </c>
      <c r="I26" s="6">
        <f>ROUND(I25/J13, 0)-C25</f>
        <v>1</v>
      </c>
      <c r="J26" s="1" t="s">
        <v>322</v>
      </c>
    </row>
    <row r="27" spans="1:10" ht="15.75" thickBot="1">
      <c r="A27" s="1225">
        <f>MAX($A$5:A26)+1</f>
        <v>22</v>
      </c>
      <c r="B27" s="1" t="s">
        <v>3203</v>
      </c>
      <c r="C27" s="148">
        <f>C25/12</f>
        <v>53.833333333333336</v>
      </c>
      <c r="D27" s="149">
        <f>D25/12</f>
        <v>54.079563714333339</v>
      </c>
      <c r="E27" s="149">
        <f>E25/12</f>
        <v>55.591681679279645</v>
      </c>
      <c r="F27" s="149">
        <f>F25/12</f>
        <v>1.5121179649463201</v>
      </c>
      <c r="G27" s="150">
        <f>F27/D27</f>
        <v>2.7960986758950975E-2</v>
      </c>
    </row>
    <row r="28" spans="1:10" ht="15.75" thickTop="1">
      <c r="A28" s="1225"/>
      <c r="C28" s="171"/>
      <c r="D28" s="32"/>
      <c r="E28" s="32"/>
      <c r="F28" s="32"/>
      <c r="G28" s="165"/>
    </row>
    <row r="29" spans="1:10">
      <c r="C29" s="111">
        <f>C27-'Exh PJA-4, Bill Impacts'!B36</f>
        <v>0</v>
      </c>
      <c r="D29" s="1313">
        <f>D27-'Exh PJA-4, Bill Impacts'!C36</f>
        <v>0</v>
      </c>
      <c r="E29" s="1313">
        <f>E27-'Exh PJA-4, Bill Impacts'!D36</f>
        <v>0</v>
      </c>
      <c r="F29" s="1313">
        <f>F27-'Exh PJA-4, Bill Impacts'!E36</f>
        <v>0</v>
      </c>
      <c r="G29" s="7">
        <f>G27-'Exh PJA-4, Bill Impacts'!F36</f>
        <v>0</v>
      </c>
      <c r="H29" s="1" t="s">
        <v>322</v>
      </c>
    </row>
    <row r="30" spans="1:10">
      <c r="D30" s="32"/>
    </row>
    <row r="31" spans="1:10">
      <c r="D31" s="32"/>
      <c r="E31" s="164"/>
    </row>
    <row r="32" spans="1:10">
      <c r="D32" s="37"/>
      <c r="E32" s="32"/>
    </row>
    <row r="33" spans="4:5">
      <c r="D33" s="6"/>
      <c r="E33" s="32"/>
    </row>
  </sheetData>
  <printOptions horizontalCentered="1"/>
  <pageMargins left="0.7" right="0.7" top="0.5" bottom="0.75" header="0.3" footer="0.3"/>
  <pageSetup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0897D-8CB7-44A7-954A-CC50512749E5}">
  <sheetPr codeName="Sheet83">
    <tabColor theme="2"/>
    <pageSetUpPr fitToPage="1"/>
  </sheetPr>
  <dimension ref="A1:T242"/>
  <sheetViews>
    <sheetView zoomScale="80" zoomScaleNormal="80" workbookViewId="0">
      <pane xSplit="1" ySplit="6" topLeftCell="B7" activePane="bottomRight" state="frozen"/>
      <selection activeCell="N6" sqref="N6"/>
      <selection pane="topRight" activeCell="N6" sqref="N6"/>
      <selection pane="bottomLeft" activeCell="N6" sqref="N6"/>
      <selection pane="bottomRight" activeCell="H202" sqref="H202"/>
    </sheetView>
  </sheetViews>
  <sheetFormatPr defaultColWidth="9.140625" defaultRowHeight="15"/>
  <cols>
    <col min="1" max="1" width="6.7109375" style="1" customWidth="1"/>
    <col min="2" max="2" width="13.28515625" style="1" customWidth="1"/>
    <col min="3" max="3" width="16" style="1" bestFit="1" customWidth="1"/>
    <col min="4" max="4" width="14.5703125" style="1" bestFit="1" customWidth="1"/>
    <col min="5" max="6" width="15.5703125" style="1" bestFit="1" customWidth="1"/>
    <col min="7" max="7" width="2.85546875" style="1" customWidth="1"/>
    <col min="8" max="8" width="22.7109375" style="1" bestFit="1" customWidth="1"/>
    <col min="9" max="9" width="10" style="161" bestFit="1" customWidth="1"/>
    <col min="10" max="10" width="10.42578125" style="1" customWidth="1"/>
    <col min="11" max="11" width="9.140625" style="1"/>
    <col min="12" max="13" width="10.5703125" style="1" bestFit="1" customWidth="1"/>
    <col min="14" max="14" width="17.85546875" style="1" customWidth="1"/>
    <col min="15" max="20" width="10" style="1" bestFit="1" customWidth="1"/>
    <col min="21" max="16384" width="9.140625" style="1"/>
  </cols>
  <sheetData>
    <row r="1" spans="1:20">
      <c r="A1" s="11" t="str">
        <f>Company</f>
        <v>Cascade Natural Gas Corp.</v>
      </c>
      <c r="G1" s="12"/>
    </row>
    <row r="2" spans="1:20">
      <c r="A2" s="11" t="str">
        <f>Title1</f>
        <v>Washington Jurisdiction</v>
      </c>
      <c r="G2" s="12"/>
    </row>
    <row r="3" spans="1:20">
      <c r="A3" s="11" t="str">
        <f>Title2</f>
        <v>Twelve-Months ended December 31, 2020</v>
      </c>
    </row>
    <row r="4" spans="1:20">
      <c r="A4" s="1225"/>
    </row>
    <row r="5" spans="1:20" ht="45">
      <c r="A5" s="151" t="s">
        <v>8</v>
      </c>
      <c r="B5" s="151" t="s">
        <v>3204</v>
      </c>
      <c r="C5" s="151" t="s">
        <v>3192</v>
      </c>
      <c r="D5" s="151" t="s">
        <v>3193</v>
      </c>
      <c r="E5" s="151" t="s">
        <v>3205</v>
      </c>
      <c r="F5" s="151" t="s">
        <v>3206</v>
      </c>
      <c r="G5" s="151"/>
      <c r="H5" s="151" t="s">
        <v>9</v>
      </c>
      <c r="I5" s="151" t="s">
        <v>3188</v>
      </c>
      <c r="J5" s="151" t="s">
        <v>98</v>
      </c>
    </row>
    <row r="6" spans="1:20">
      <c r="A6" s="1210"/>
      <c r="B6" s="1210" t="s">
        <v>2</v>
      </c>
      <c r="C6" s="1210" t="s">
        <v>3</v>
      </c>
      <c r="D6" s="1210" t="s">
        <v>4</v>
      </c>
      <c r="E6" s="1210" t="s">
        <v>5</v>
      </c>
      <c r="F6" s="1210" t="s">
        <v>6</v>
      </c>
      <c r="G6" s="1210"/>
      <c r="H6" s="1210" t="s">
        <v>273</v>
      </c>
      <c r="I6" s="1210" t="s">
        <v>274</v>
      </c>
      <c r="J6" s="1210" t="s">
        <v>275</v>
      </c>
    </row>
    <row r="7" spans="1:20">
      <c r="A7" s="1225">
        <f>IF(ISBLANK(B7),"",MAX($A$6:A6)+1)</f>
        <v>1</v>
      </c>
      <c r="B7" s="167" t="str">
        <f>'Class Revenue'!B8</f>
        <v>Residential - 503</v>
      </c>
      <c r="C7" s="1225"/>
      <c r="D7" s="1225"/>
      <c r="E7" s="1225"/>
      <c r="F7" s="1225"/>
      <c r="G7" s="1225"/>
      <c r="H7" s="1225"/>
      <c r="I7" s="1225"/>
      <c r="J7" s="1225"/>
    </row>
    <row r="8" spans="1:20" ht="14.45" customHeight="1">
      <c r="A8" s="1225">
        <f>IF(ISBLANK(B8),"",MAX($A$6:A7)+1)</f>
        <v>2</v>
      </c>
      <c r="B8" s="172">
        <v>0</v>
      </c>
      <c r="C8" s="162">
        <f t="shared" ref="C8:C34" si="0">I$8+(I$9+I$10)*$B8</f>
        <v>5</v>
      </c>
      <c r="D8" s="162">
        <f t="shared" ref="D8:D34" si="1">J$8+(J$9+J$10)*$B8</f>
        <v>5</v>
      </c>
      <c r="E8" s="162">
        <f t="shared" ref="E8:E34" si="2">D8-C8</f>
        <v>0</v>
      </c>
      <c r="F8" s="163">
        <f t="shared" ref="F8:F34" si="3">E8/C8</f>
        <v>0</v>
      </c>
      <c r="H8" s="1" t="s">
        <v>124</v>
      </c>
      <c r="I8" s="164">
        <f>'Exh IDM-4, Class Rates'!D9</f>
        <v>5</v>
      </c>
      <c r="J8" s="164">
        <f>'Exh IDM-4, Class Rates'!F9</f>
        <v>5</v>
      </c>
      <c r="N8" s="1578" t="s">
        <v>3207</v>
      </c>
      <c r="O8" s="1578"/>
      <c r="P8" s="1578"/>
      <c r="Q8" s="1578"/>
      <c r="R8" s="1578"/>
      <c r="S8" s="1578"/>
      <c r="T8" s="1578"/>
    </row>
    <row r="9" spans="1:20">
      <c r="A9" s="1225">
        <f>IF(ISBLANK(B9),"",MAX($A$6:A8)+1)</f>
        <v>3</v>
      </c>
      <c r="B9" s="172">
        <v>25</v>
      </c>
      <c r="C9" s="162">
        <f t="shared" si="0"/>
        <v>27.792367049999999</v>
      </c>
      <c r="D9" s="162">
        <f t="shared" si="1"/>
        <v>28.494589015145351</v>
      </c>
      <c r="E9" s="162">
        <f t="shared" si="2"/>
        <v>0.70222196514535185</v>
      </c>
      <c r="F9" s="163">
        <f t="shared" si="3"/>
        <v>2.5266720315042467E-2</v>
      </c>
      <c r="H9" s="1" t="s">
        <v>3159</v>
      </c>
      <c r="I9" s="9">
        <f>'Exh IDM-4, Class Rates'!D10</f>
        <v>0.31274000000000002</v>
      </c>
      <c r="J9" s="9">
        <f>'Exh IDM-4, Class Rates'!F10</f>
        <v>0.34082887860581407</v>
      </c>
      <c r="O9" s="1">
        <v>503</v>
      </c>
      <c r="P9" s="1">
        <v>504</v>
      </c>
      <c r="Q9" s="1">
        <v>505</v>
      </c>
      <c r="R9" s="1">
        <v>511</v>
      </c>
      <c r="S9" s="1">
        <v>570</v>
      </c>
      <c r="T9" s="1">
        <v>663</v>
      </c>
    </row>
    <row r="10" spans="1:20">
      <c r="A10" s="1209">
        <f>IF(ISBLANK(B10),"",MAX($A$6:A9)+1)</f>
        <v>4</v>
      </c>
      <c r="B10" s="172">
        <v>30</v>
      </c>
      <c r="C10" s="162">
        <f t="shared" si="0"/>
        <v>32.350840460000001</v>
      </c>
      <c r="D10" s="162">
        <f t="shared" si="1"/>
        <v>33.19350681817442</v>
      </c>
      <c r="E10" s="162">
        <f t="shared" si="2"/>
        <v>0.84266635817441937</v>
      </c>
      <c r="F10" s="163">
        <f t="shared" si="3"/>
        <v>2.6047742382963097E-2</v>
      </c>
      <c r="H10" s="1" t="str">
        <f>'Exh PJA-3, RES Monthly Impact'!B10</f>
        <v>Pass-Thru Rates</v>
      </c>
      <c r="I10" s="9">
        <f>'Exh PJA-3, RES Monthly Impact'!D10</f>
        <v>0.59895468200000002</v>
      </c>
      <c r="J10" s="9">
        <f>I10</f>
        <v>0.59895468200000002</v>
      </c>
      <c r="N10" s="1" t="s">
        <v>3208</v>
      </c>
      <c r="O10" s="1287">
        <v>-7.1794930000000003E-3</v>
      </c>
      <c r="P10" s="1287">
        <v>-5.5199999999999997E-3</v>
      </c>
      <c r="Q10" s="1287">
        <v>-3.49E-3</v>
      </c>
      <c r="R10" s="1287">
        <v>-2.8700000000000002E-3</v>
      </c>
      <c r="S10" s="1287">
        <v>-1.06E-3</v>
      </c>
      <c r="T10" s="1287">
        <v>-6.3000000000000003E-4</v>
      </c>
    </row>
    <row r="11" spans="1:20">
      <c r="A11" s="1225">
        <f>IF(ISBLANK(B11),"",MAX($A$6:A10)+1)</f>
        <v>5</v>
      </c>
      <c r="B11" s="172">
        <v>35</v>
      </c>
      <c r="C11" s="162">
        <f t="shared" si="0"/>
        <v>36.909313870000005</v>
      </c>
      <c r="D11" s="162">
        <f t="shared" si="1"/>
        <v>37.892424621203489</v>
      </c>
      <c r="E11" s="162">
        <f t="shared" si="2"/>
        <v>0.98311075120348335</v>
      </c>
      <c r="F11" s="163">
        <f t="shared" si="3"/>
        <v>2.6635844672326964E-2</v>
      </c>
      <c r="N11" s="1" t="s">
        <v>3209</v>
      </c>
      <c r="O11" s="1287">
        <v>-3.7550000000000001E-3</v>
      </c>
      <c r="P11" s="1287">
        <v>-2.8700000000000002E-3</v>
      </c>
      <c r="Q11" s="1287">
        <v>-1.82E-3</v>
      </c>
      <c r="R11" s="1287">
        <v>-1.5E-3</v>
      </c>
      <c r="S11" s="1287">
        <v>-5.5000000000000003E-4</v>
      </c>
      <c r="T11" s="1287">
        <v>-3.2000000000000003E-4</v>
      </c>
    </row>
    <row r="12" spans="1:20">
      <c r="A12" s="1225">
        <f>IF(ISBLANK(B12),"",MAX($A$6:A11)+1)</f>
        <v>6</v>
      </c>
      <c r="B12" s="172">
        <v>40</v>
      </c>
      <c r="C12" s="162">
        <f t="shared" si="0"/>
        <v>41.467787280000003</v>
      </c>
      <c r="D12" s="162">
        <f t="shared" si="1"/>
        <v>42.591342424232565</v>
      </c>
      <c r="E12" s="162">
        <f t="shared" si="2"/>
        <v>1.1235551442325615</v>
      </c>
      <c r="F12" s="163">
        <f t="shared" si="3"/>
        <v>2.7094649074136987E-2</v>
      </c>
      <c r="N12" s="1" t="s">
        <v>3210</v>
      </c>
      <c r="O12" s="1287">
        <v>0</v>
      </c>
      <c r="P12" s="1287">
        <v>0</v>
      </c>
      <c r="Q12" s="1287">
        <v>0</v>
      </c>
      <c r="R12" s="1287">
        <v>0</v>
      </c>
      <c r="S12" s="1287">
        <v>0</v>
      </c>
      <c r="T12" s="1287">
        <v>0</v>
      </c>
    </row>
    <row r="13" spans="1:20">
      <c r="A13" s="1225">
        <f>IF(ISBLANK(B13),"",MAX($A$6:A12)+1)</f>
        <v>7</v>
      </c>
      <c r="B13" s="172">
        <v>45</v>
      </c>
      <c r="C13" s="162">
        <f t="shared" si="0"/>
        <v>46.026260690000001</v>
      </c>
      <c r="D13" s="162">
        <f t="shared" si="1"/>
        <v>47.290260227261633</v>
      </c>
      <c r="E13" s="162">
        <f t="shared" si="2"/>
        <v>1.2639995372616326</v>
      </c>
      <c r="F13" s="163">
        <f t="shared" si="3"/>
        <v>2.7462572851073654E-2</v>
      </c>
      <c r="N13" s="1" t="s">
        <v>3211</v>
      </c>
      <c r="O13" s="1287">
        <v>0.14931</v>
      </c>
      <c r="P13" s="1287">
        <v>0.14931</v>
      </c>
      <c r="Q13" s="1287">
        <v>0.14931</v>
      </c>
      <c r="R13" s="1287">
        <v>0.14931</v>
      </c>
      <c r="S13" s="1287">
        <v>0.14931</v>
      </c>
      <c r="T13" s="1287">
        <v>0</v>
      </c>
    </row>
    <row r="14" spans="1:20">
      <c r="A14" s="1225">
        <f>IF(ISBLANK(B14),"",MAX($A$6:A13)+1)</f>
        <v>8</v>
      </c>
      <c r="B14" s="172">
        <v>50</v>
      </c>
      <c r="C14" s="162">
        <f t="shared" si="0"/>
        <v>50.584734099999999</v>
      </c>
      <c r="D14" s="162">
        <f t="shared" si="1"/>
        <v>51.989178030290702</v>
      </c>
      <c r="E14" s="162">
        <f t="shared" si="2"/>
        <v>1.4044439302907037</v>
      </c>
      <c r="F14" s="163">
        <f t="shared" si="3"/>
        <v>2.7764185287883204E-2</v>
      </c>
      <c r="N14" s="1" t="s">
        <v>3212</v>
      </c>
      <c r="O14" s="1287">
        <v>3.3300000000000001E-3</v>
      </c>
      <c r="P14" s="1287">
        <v>2.6900000000000001E-3</v>
      </c>
      <c r="Q14" s="1287">
        <v>1.67E-3</v>
      </c>
      <c r="R14" s="1287">
        <v>1.41E-3</v>
      </c>
      <c r="S14" s="1287">
        <v>5.0000000000000001E-4</v>
      </c>
      <c r="T14" s="1287">
        <v>2.9999999999999997E-4</v>
      </c>
    </row>
    <row r="15" spans="1:20">
      <c r="A15" s="1225">
        <f>IF(ISBLANK(B15),"",MAX($A$6:A14)+1)</f>
        <v>9</v>
      </c>
      <c r="B15" s="172">
        <v>60</v>
      </c>
      <c r="C15" s="162">
        <f t="shared" si="0"/>
        <v>59.701680920000001</v>
      </c>
      <c r="D15" s="162">
        <f t="shared" si="1"/>
        <v>61.38701363634884</v>
      </c>
      <c r="E15" s="162">
        <f t="shared" si="2"/>
        <v>1.6853327163488387</v>
      </c>
      <c r="F15" s="163">
        <f t="shared" si="3"/>
        <v>2.8229233924036031E-2</v>
      </c>
      <c r="N15" s="1" t="s">
        <v>3213</v>
      </c>
      <c r="O15" s="1287">
        <v>-9.1000000000000004E-3</v>
      </c>
      <c r="P15" s="1287">
        <v>-2.4140000000000002E-2</v>
      </c>
      <c r="Q15" s="1287">
        <v>-1.417E-2</v>
      </c>
      <c r="R15" s="1287">
        <v>-1.908E-2</v>
      </c>
      <c r="S15" s="1287">
        <v>1.1990000000000001E-2</v>
      </c>
      <c r="T15" s="1287">
        <v>0</v>
      </c>
    </row>
    <row r="16" spans="1:20">
      <c r="A16" s="1225">
        <f>IF(ISBLANK(B16),"",MAX($A$6:A15)+1)</f>
        <v>10</v>
      </c>
      <c r="B16" s="172">
        <v>70</v>
      </c>
      <c r="C16" s="162">
        <f t="shared" si="0"/>
        <v>68.818627740000011</v>
      </c>
      <c r="D16" s="162">
        <f t="shared" si="1"/>
        <v>70.784849242406978</v>
      </c>
      <c r="E16" s="162">
        <f t="shared" si="2"/>
        <v>1.9662215024069667</v>
      </c>
      <c r="F16" s="163">
        <f t="shared" si="3"/>
        <v>2.8571065233027361E-2</v>
      </c>
      <c r="N16" s="1" t="s">
        <v>3214</v>
      </c>
      <c r="O16" s="1287">
        <v>5.4099999999999999E-3</v>
      </c>
      <c r="P16" s="1287">
        <v>3.5100000000000001E-3</v>
      </c>
      <c r="Q16" s="1287">
        <v>2.7100000000000002E-3</v>
      </c>
      <c r="R16" s="1287">
        <v>1.5399999999999999E-3</v>
      </c>
      <c r="S16" s="1287">
        <v>1.8E-3</v>
      </c>
      <c r="T16" s="1287">
        <v>5.1999999999999995E-4</v>
      </c>
    </row>
    <row r="17" spans="1:20">
      <c r="A17" s="1225">
        <f>IF(ISBLANK(B17),"",MAX($A$6:A16)+1)</f>
        <v>11</v>
      </c>
      <c r="B17" s="172">
        <v>80</v>
      </c>
      <c r="C17" s="162">
        <f t="shared" si="0"/>
        <v>77.935574560000006</v>
      </c>
      <c r="D17" s="162">
        <f t="shared" si="1"/>
        <v>80.182684848465129</v>
      </c>
      <c r="E17" s="162">
        <f t="shared" si="2"/>
        <v>2.2471102884651231</v>
      </c>
      <c r="F17" s="163">
        <f t="shared" si="3"/>
        <v>2.8832921309063394E-2</v>
      </c>
      <c r="N17" s="1" t="s">
        <v>3215</v>
      </c>
      <c r="O17" s="1287">
        <v>0.43465917500000001</v>
      </c>
      <c r="P17" s="1287">
        <v>0.43203999999999998</v>
      </c>
      <c r="Q17" s="1287">
        <v>0.41911999999999999</v>
      </c>
      <c r="R17" s="1287">
        <v>0.41911999999999999</v>
      </c>
      <c r="S17" s="1287">
        <v>0.40623999999999999</v>
      </c>
      <c r="T17" s="1287">
        <v>0</v>
      </c>
    </row>
    <row r="18" spans="1:20">
      <c r="A18" s="1225">
        <f>IF(ISBLANK(B18),"",MAX($A$6:A17)+1)</f>
        <v>12</v>
      </c>
      <c r="B18" s="172">
        <v>90</v>
      </c>
      <c r="C18" s="162">
        <f t="shared" si="0"/>
        <v>87.052521380000002</v>
      </c>
      <c r="D18" s="162">
        <f t="shared" si="1"/>
        <v>89.580520454523267</v>
      </c>
      <c r="E18" s="162">
        <f t="shared" si="2"/>
        <v>2.5279990745232652</v>
      </c>
      <c r="F18" s="163">
        <f t="shared" si="3"/>
        <v>2.9039929394900486E-2</v>
      </c>
      <c r="N18" s="1" t="s">
        <v>3216</v>
      </c>
      <c r="O18" s="1287">
        <v>0</v>
      </c>
      <c r="P18" s="1287">
        <v>0</v>
      </c>
      <c r="Q18" s="1287">
        <v>0</v>
      </c>
      <c r="R18" s="1287">
        <v>0</v>
      </c>
      <c r="S18" s="1287">
        <v>0</v>
      </c>
      <c r="T18" s="1287">
        <v>0</v>
      </c>
    </row>
    <row r="19" spans="1:20">
      <c r="A19" s="1225">
        <f>IF(ISBLANK(B19),"",MAX($A$6:A18)+1)</f>
        <v>13</v>
      </c>
      <c r="B19" s="172">
        <v>100</v>
      </c>
      <c r="C19" s="162">
        <f t="shared" si="0"/>
        <v>96.169468199999997</v>
      </c>
      <c r="D19" s="162">
        <f t="shared" si="1"/>
        <v>98.978356060581405</v>
      </c>
      <c r="E19" s="162">
        <f t="shared" si="2"/>
        <v>2.8088878605814074</v>
      </c>
      <c r="F19" s="163">
        <f t="shared" si="3"/>
        <v>2.9207688397942161E-2</v>
      </c>
      <c r="N19" s="1" t="s">
        <v>3217</v>
      </c>
      <c r="O19" s="1287">
        <v>2.6280000000000001E-2</v>
      </c>
      <c r="P19" s="1287">
        <v>2.6280000000000001E-2</v>
      </c>
      <c r="Q19" s="1287">
        <v>2.6280000000000001E-2</v>
      </c>
      <c r="R19" s="1287">
        <v>2.6280000000000001E-2</v>
      </c>
      <c r="S19" s="1287">
        <v>2.6280000000000001E-2</v>
      </c>
      <c r="T19" s="1287">
        <v>0</v>
      </c>
    </row>
    <row r="20" spans="1:20">
      <c r="A20" s="1225">
        <f>IF(ISBLANK(B20),"",MAX($A$6:A19)+1)</f>
        <v>14</v>
      </c>
      <c r="B20" s="172">
        <v>110</v>
      </c>
      <c r="C20" s="162">
        <f t="shared" si="0"/>
        <v>105.28641502000001</v>
      </c>
      <c r="D20" s="162">
        <f t="shared" si="1"/>
        <v>108.37619166663954</v>
      </c>
      <c r="E20" s="162">
        <f t="shared" si="2"/>
        <v>3.0897766466395353</v>
      </c>
      <c r="F20" s="163">
        <f t="shared" si="3"/>
        <v>2.9346394271783375E-2</v>
      </c>
      <c r="N20" s="1" t="s">
        <v>3218</v>
      </c>
      <c r="O20" s="1018">
        <f t="shared" ref="O20:T20" si="4">SUM(O10:O19)</f>
        <v>0.59895468200000002</v>
      </c>
      <c r="P20" s="1018">
        <f t="shared" si="4"/>
        <v>0.58129999999999993</v>
      </c>
      <c r="Q20" s="1018">
        <f t="shared" si="4"/>
        <v>0.57960999999999996</v>
      </c>
      <c r="R20" s="1018">
        <f t="shared" si="4"/>
        <v>0.57421</v>
      </c>
      <c r="S20" s="1018">
        <f t="shared" si="4"/>
        <v>0.59450999999999998</v>
      </c>
      <c r="T20" s="1018">
        <f t="shared" si="4"/>
        <v>-1.3000000000000023E-4</v>
      </c>
    </row>
    <row r="21" spans="1:20">
      <c r="A21" s="1225">
        <f>IF(ISBLANK(B21),"",MAX($A$6:A20)+1)</f>
        <v>15</v>
      </c>
      <c r="B21" s="172">
        <v>120</v>
      </c>
      <c r="C21" s="162">
        <f t="shared" si="0"/>
        <v>114.40336184</v>
      </c>
      <c r="D21" s="162">
        <f t="shared" si="1"/>
        <v>117.77402727269768</v>
      </c>
      <c r="E21" s="162">
        <f t="shared" si="2"/>
        <v>3.3706654326976775</v>
      </c>
      <c r="F21" s="163">
        <f t="shared" si="3"/>
        <v>2.9462992856903597E-2</v>
      </c>
    </row>
    <row r="22" spans="1:20">
      <c r="A22" s="1225">
        <f>IF(ISBLANK(B22),"",MAX($A$6:A21)+1)</f>
        <v>16</v>
      </c>
      <c r="B22" s="172">
        <v>130</v>
      </c>
      <c r="C22" s="162">
        <f t="shared" si="0"/>
        <v>123.52030866</v>
      </c>
      <c r="D22" s="162">
        <f t="shared" si="1"/>
        <v>127.17186287875582</v>
      </c>
      <c r="E22" s="162">
        <f t="shared" si="2"/>
        <v>3.6515542187558196</v>
      </c>
      <c r="F22" s="163">
        <f t="shared" si="3"/>
        <v>2.9562379323444122E-2</v>
      </c>
      <c r="O22" s="9"/>
    </row>
    <row r="23" spans="1:20">
      <c r="A23" s="1225">
        <f>IF(ISBLANK(B23),"",MAX($A$6:A22)+1)</f>
        <v>17</v>
      </c>
      <c r="B23" s="172">
        <v>140</v>
      </c>
      <c r="C23" s="162">
        <f t="shared" si="0"/>
        <v>132.63725548000002</v>
      </c>
      <c r="D23" s="162">
        <f t="shared" si="1"/>
        <v>136.56969848481396</v>
      </c>
      <c r="E23" s="162">
        <f t="shared" si="2"/>
        <v>3.9324430048139334</v>
      </c>
      <c r="F23" s="163">
        <f t="shared" si="3"/>
        <v>2.964810294500473E-2</v>
      </c>
    </row>
    <row r="24" spans="1:20">
      <c r="A24" s="1225">
        <f>IF(ISBLANK(B24),"",MAX($A$6:A23)+1)</f>
        <v>18</v>
      </c>
      <c r="B24" s="172">
        <v>150</v>
      </c>
      <c r="C24" s="162">
        <f t="shared" si="0"/>
        <v>141.7542023</v>
      </c>
      <c r="D24" s="162">
        <f t="shared" si="1"/>
        <v>145.96753409087211</v>
      </c>
      <c r="E24" s="162">
        <f t="shared" si="2"/>
        <v>4.213331790872104</v>
      </c>
      <c r="F24" s="163">
        <f t="shared" si="3"/>
        <v>2.9722799906525973E-2</v>
      </c>
    </row>
    <row r="25" spans="1:20">
      <c r="A25" s="1225">
        <f>IF(ISBLANK(B25),"",MAX($A$6:A24)+1)</f>
        <v>19</v>
      </c>
      <c r="B25" s="172">
        <v>160</v>
      </c>
      <c r="C25" s="162">
        <f t="shared" si="0"/>
        <v>150.87114912000001</v>
      </c>
      <c r="D25" s="162">
        <f t="shared" si="1"/>
        <v>155.36536969693026</v>
      </c>
      <c r="E25" s="162">
        <f t="shared" si="2"/>
        <v>4.4942205769302461</v>
      </c>
      <c r="F25" s="163">
        <f t="shared" si="3"/>
        <v>2.9788469188072726E-2</v>
      </c>
    </row>
    <row r="26" spans="1:20">
      <c r="A26" s="1225">
        <f>IF(ISBLANK(B26),"",MAX($A$6:A25)+1)</f>
        <v>20</v>
      </c>
      <c r="B26" s="172">
        <v>170</v>
      </c>
      <c r="C26" s="162">
        <f t="shared" si="0"/>
        <v>159.98809593999999</v>
      </c>
      <c r="D26" s="162">
        <f t="shared" si="1"/>
        <v>164.76320530298838</v>
      </c>
      <c r="E26" s="162">
        <f t="shared" si="2"/>
        <v>4.7751093629883883</v>
      </c>
      <c r="F26" s="163">
        <f t="shared" si="3"/>
        <v>2.9846654120936521E-2</v>
      </c>
    </row>
    <row r="27" spans="1:20">
      <c r="A27" s="1225">
        <f>IF(ISBLANK(B27),"",MAX($A$6:A26)+1)</f>
        <v>21</v>
      </c>
      <c r="B27" s="172">
        <v>180</v>
      </c>
      <c r="C27" s="162">
        <f t="shared" si="0"/>
        <v>169.10504276</v>
      </c>
      <c r="D27" s="162">
        <f t="shared" si="1"/>
        <v>174.16104090904653</v>
      </c>
      <c r="E27" s="162">
        <f t="shared" si="2"/>
        <v>5.0559981490465304</v>
      </c>
      <c r="F27" s="163">
        <f t="shared" si="3"/>
        <v>2.9898565214416379E-2</v>
      </c>
    </row>
    <row r="28" spans="1:20">
      <c r="A28" s="1225">
        <f>IF(ISBLANK(B28),"",MAX($A$6:A27)+1)</f>
        <v>22</v>
      </c>
      <c r="B28" s="172">
        <v>190</v>
      </c>
      <c r="C28" s="162">
        <f t="shared" si="0"/>
        <v>178.22198958000001</v>
      </c>
      <c r="D28" s="162">
        <f t="shared" si="1"/>
        <v>183.55887651510466</v>
      </c>
      <c r="E28" s="162">
        <f t="shared" si="2"/>
        <v>5.3368869351046442</v>
      </c>
      <c r="F28" s="163">
        <f t="shared" si="3"/>
        <v>2.9945165283372793E-2</v>
      </c>
    </row>
    <row r="29" spans="1:20">
      <c r="A29" s="1225">
        <f>IF(ISBLANK(B29),"",MAX($A$6:A28)+1)</f>
        <v>23</v>
      </c>
      <c r="B29" s="172">
        <v>200</v>
      </c>
      <c r="C29" s="162">
        <f t="shared" si="0"/>
        <v>187.33893639999999</v>
      </c>
      <c r="D29" s="162">
        <f t="shared" si="1"/>
        <v>192.95671212116281</v>
      </c>
      <c r="E29" s="162">
        <f t="shared" si="2"/>
        <v>5.6177757211628148</v>
      </c>
      <c r="F29" s="163">
        <f t="shared" si="3"/>
        <v>2.9987229719122155E-2</v>
      </c>
    </row>
    <row r="30" spans="1:20">
      <c r="A30" s="1225">
        <f>IF(ISBLANK(B30),"",MAX($A$6:A29)+1)</f>
        <v>24</v>
      </c>
      <c r="B30" s="172">
        <v>210</v>
      </c>
      <c r="C30" s="162">
        <f t="shared" si="0"/>
        <v>196.45588322</v>
      </c>
      <c r="D30" s="162">
        <f t="shared" si="1"/>
        <v>202.35454772722093</v>
      </c>
      <c r="E30" s="162">
        <f t="shared" si="2"/>
        <v>5.8986645072209285</v>
      </c>
      <c r="F30" s="163">
        <f t="shared" si="3"/>
        <v>3.0025389978346143E-2</v>
      </c>
    </row>
    <row r="31" spans="1:20">
      <c r="A31" s="1225">
        <f>IF(ISBLANK(B31),"",MAX($A$6:A30)+1)</f>
        <v>25</v>
      </c>
      <c r="B31" s="172">
        <v>220</v>
      </c>
      <c r="C31" s="162">
        <f t="shared" si="0"/>
        <v>205.57283004000001</v>
      </c>
      <c r="D31" s="162">
        <f t="shared" si="1"/>
        <v>211.75238333327908</v>
      </c>
      <c r="E31" s="162">
        <f t="shared" si="2"/>
        <v>6.1795532932790707</v>
      </c>
      <c r="F31" s="163">
        <f t="shared" si="3"/>
        <v>3.0060165499870114E-2</v>
      </c>
    </row>
    <row r="32" spans="1:20">
      <c r="A32" s="1225">
        <f>IF(ISBLANK(B32),"",MAX($A$6:A31)+1)</f>
        <v>26</v>
      </c>
      <c r="B32" s="172">
        <v>230</v>
      </c>
      <c r="C32" s="162">
        <f t="shared" si="0"/>
        <v>214.68977685999999</v>
      </c>
      <c r="D32" s="162">
        <f t="shared" si="1"/>
        <v>221.15021893933724</v>
      </c>
      <c r="E32" s="162">
        <f t="shared" si="2"/>
        <v>6.4604420793372412</v>
      </c>
      <c r="F32" s="163">
        <f t="shared" si="3"/>
        <v>3.009198748923252E-2</v>
      </c>
    </row>
    <row r="33" spans="1:10">
      <c r="A33" s="1225">
        <f>IF(ISBLANK(B33),"",MAX($A$6:A32)+1)</f>
        <v>27</v>
      </c>
      <c r="B33" s="172">
        <v>240</v>
      </c>
      <c r="C33" s="162">
        <f t="shared" si="0"/>
        <v>223.80672368</v>
      </c>
      <c r="D33" s="162">
        <f t="shared" si="1"/>
        <v>230.54805454539536</v>
      </c>
      <c r="E33" s="162">
        <f t="shared" si="2"/>
        <v>6.741330865395355</v>
      </c>
      <c r="F33" s="163">
        <f t="shared" si="3"/>
        <v>3.0121216889954318E-2</v>
      </c>
    </row>
    <row r="34" spans="1:10">
      <c r="A34" s="1225">
        <f>IF(ISBLANK(B34),"",MAX($A$6:A33)+1)</f>
        <v>28</v>
      </c>
      <c r="B34" s="172">
        <v>250</v>
      </c>
      <c r="C34" s="162">
        <f t="shared" si="0"/>
        <v>232.92367050000001</v>
      </c>
      <c r="D34" s="162">
        <f t="shared" si="1"/>
        <v>239.94589015145351</v>
      </c>
      <c r="E34" s="162">
        <f t="shared" si="2"/>
        <v>7.0222196514534971</v>
      </c>
      <c r="F34" s="163">
        <f t="shared" si="3"/>
        <v>3.0148158134291021E-2</v>
      </c>
    </row>
    <row r="35" spans="1:10">
      <c r="A35" s="1225" t="str">
        <f>IF(ISBLANK(B35),"",MAX($A$6:A34)+1)</f>
        <v/>
      </c>
      <c r="B35" s="172"/>
      <c r="C35" s="162"/>
      <c r="D35" s="162"/>
      <c r="E35" s="162"/>
      <c r="F35" s="163"/>
    </row>
    <row r="36" spans="1:10">
      <c r="A36" s="1225">
        <f>IF(ISBLANK(B36),"",MAX($A$6:A35)+1)</f>
        <v>29</v>
      </c>
      <c r="B36" s="173">
        <f>'Exh PJA-3, RES Monthly Impact'!C27</f>
        <v>53.833333333333336</v>
      </c>
      <c r="C36" s="174">
        <f>I$8+(I$9+I$10)*$B36</f>
        <v>54.079563714333339</v>
      </c>
      <c r="D36" s="174">
        <f>J$8+(J$9+J$10)*$B36</f>
        <v>55.59168167927966</v>
      </c>
      <c r="E36" s="174">
        <f>D36-C36</f>
        <v>1.5121179649463201</v>
      </c>
      <c r="F36" s="175">
        <f>E36/C36</f>
        <v>2.7960986758950975E-2</v>
      </c>
      <c r="H36" s="164"/>
    </row>
    <row r="37" spans="1:10">
      <c r="A37" s="1225" t="str">
        <f>IF(ISBLANK(B37),"",MAX($A$6:A36)+1)</f>
        <v/>
      </c>
      <c r="C37" s="162"/>
      <c r="D37" s="162"/>
      <c r="E37" s="162"/>
      <c r="F37" s="163"/>
      <c r="H37" s="164"/>
    </row>
    <row r="38" spans="1:10">
      <c r="A38" s="1225" t="str">
        <f>IF(ISBLANK(B38),"",MAX($A$6:A37)+1)</f>
        <v/>
      </c>
    </row>
    <row r="39" spans="1:10">
      <c r="A39" s="1225">
        <f>IF(ISBLANK(B39),"",MAX($A$6:A38)+1)</f>
        <v>30</v>
      </c>
      <c r="B39" s="168" t="str">
        <f>'Exh IDM-4, Class Rates'!B13</f>
        <v>General Commercial - 504</v>
      </c>
      <c r="C39" s="162"/>
      <c r="D39" s="162"/>
      <c r="E39" s="162"/>
      <c r="F39" s="163"/>
    </row>
    <row r="40" spans="1:10">
      <c r="A40" s="1225">
        <f>IF(ISBLANK(B40),"",MAX($A$6:A39)+1)</f>
        <v>31</v>
      </c>
      <c r="B40" s="171">
        <v>0</v>
      </c>
      <c r="C40" s="162">
        <f t="shared" ref="C40:C74" si="5">I$40+(I$41+I$42)*B40</f>
        <v>13</v>
      </c>
      <c r="D40" s="162">
        <f t="shared" ref="D40:D74" si="6">J$40+(J$41+J$42)*B40</f>
        <v>13</v>
      </c>
      <c r="E40" s="162">
        <f t="shared" ref="E40:E74" si="7">D40-C40</f>
        <v>0</v>
      </c>
      <c r="F40" s="163">
        <f t="shared" ref="F40:F74" si="8">E40/C40</f>
        <v>0</v>
      </c>
      <c r="H40" s="1" t="s">
        <v>124</v>
      </c>
      <c r="I40" s="164">
        <f>'Exh IDM-4, Class Rates'!D14</f>
        <v>13</v>
      </c>
      <c r="J40" s="164">
        <f>'Exh IDM-4, Class Rates'!F14</f>
        <v>13</v>
      </c>
    </row>
    <row r="41" spans="1:10">
      <c r="A41" s="1225">
        <f>IF(ISBLANK(B41),"",MAX($A$6:A40)+1)</f>
        <v>32</v>
      </c>
      <c r="B41" s="171">
        <v>50</v>
      </c>
      <c r="C41" s="162">
        <f t="shared" si="5"/>
        <v>55.206499999999998</v>
      </c>
      <c r="D41" s="162">
        <f t="shared" si="6"/>
        <v>56.386809516286753</v>
      </c>
      <c r="E41" s="162">
        <f t="shared" si="7"/>
        <v>1.180309516286755</v>
      </c>
      <c r="F41" s="163">
        <f t="shared" si="8"/>
        <v>2.13799012124796E-2</v>
      </c>
      <c r="H41" s="1" t="s">
        <v>3159</v>
      </c>
      <c r="I41" s="9">
        <f>'Exh IDM-4, Class Rates'!D15</f>
        <v>0.26283000000000001</v>
      </c>
      <c r="J41" s="9">
        <f>'Exh IDM-4, Class Rates'!F15</f>
        <v>0.28643619032573514</v>
      </c>
    </row>
    <row r="42" spans="1:10">
      <c r="A42" s="1225">
        <f>IF(ISBLANK(B42),"",MAX($A$6:A41)+1)</f>
        <v>33</v>
      </c>
      <c r="B42" s="171">
        <v>60</v>
      </c>
      <c r="C42" s="162">
        <f t="shared" si="5"/>
        <v>63.647799999999997</v>
      </c>
      <c r="D42" s="162">
        <f t="shared" si="6"/>
        <v>65.064171419544095</v>
      </c>
      <c r="E42" s="162">
        <f t="shared" si="7"/>
        <v>1.4163714195440988</v>
      </c>
      <c r="F42" s="163">
        <f t="shared" si="8"/>
        <v>2.2253265934472188E-2</v>
      </c>
      <c r="H42" s="1" t="str">
        <f>$H$10</f>
        <v>Pass-Thru Rates</v>
      </c>
      <c r="I42" s="9">
        <f>P20</f>
        <v>0.58129999999999993</v>
      </c>
      <c r="J42" s="9">
        <f>I42</f>
        <v>0.58129999999999993</v>
      </c>
    </row>
    <row r="43" spans="1:10">
      <c r="A43" s="1225">
        <f>IF(ISBLANK(B43),"",MAX($A$6:A42)+1)</f>
        <v>34</v>
      </c>
      <c r="B43" s="171">
        <v>70</v>
      </c>
      <c r="C43" s="162">
        <f t="shared" si="5"/>
        <v>72.089100000000002</v>
      </c>
      <c r="D43" s="162">
        <f t="shared" si="6"/>
        <v>73.741533322801445</v>
      </c>
      <c r="E43" s="162">
        <f t="shared" si="7"/>
        <v>1.6524333228014427</v>
      </c>
      <c r="F43" s="163">
        <f t="shared" si="8"/>
        <v>2.2922096721993239E-2</v>
      </c>
      <c r="J43" s="164"/>
    </row>
    <row r="44" spans="1:10">
      <c r="A44" s="1225">
        <f>IF(ISBLANK(B44),"",MAX($A$6:A43)+1)</f>
        <v>35</v>
      </c>
      <c r="B44" s="171">
        <v>80</v>
      </c>
      <c r="C44" s="162">
        <f t="shared" si="5"/>
        <v>80.5304</v>
      </c>
      <c r="D44" s="162">
        <f t="shared" si="6"/>
        <v>82.418895226058794</v>
      </c>
      <c r="E44" s="162">
        <f t="shared" si="7"/>
        <v>1.8884952260587937</v>
      </c>
      <c r="F44" s="163">
        <f t="shared" si="8"/>
        <v>2.3450712104482203E-2</v>
      </c>
      <c r="J44" s="164"/>
    </row>
    <row r="45" spans="1:10">
      <c r="A45" s="1225">
        <f>IF(ISBLANK(B45),"",MAX($A$6:A44)+1)</f>
        <v>36</v>
      </c>
      <c r="B45" s="171">
        <v>90</v>
      </c>
      <c r="C45" s="162">
        <f t="shared" si="5"/>
        <v>88.971699999999998</v>
      </c>
      <c r="D45" s="162">
        <f t="shared" si="6"/>
        <v>91.096257129316157</v>
      </c>
      <c r="E45" s="162">
        <f t="shared" si="7"/>
        <v>2.1245571293161589</v>
      </c>
      <c r="F45" s="163">
        <f t="shared" si="8"/>
        <v>2.3879021411484316E-2</v>
      </c>
      <c r="J45" s="164"/>
    </row>
    <row r="46" spans="1:10">
      <c r="A46" s="1225">
        <f>IF(ISBLANK(B46),"",MAX($A$6:A45)+1)</f>
        <v>37</v>
      </c>
      <c r="B46" s="171">
        <v>100</v>
      </c>
      <c r="C46" s="162">
        <f t="shared" si="5"/>
        <v>97.412999999999997</v>
      </c>
      <c r="D46" s="162">
        <f t="shared" si="6"/>
        <v>99.773619032573507</v>
      </c>
      <c r="E46" s="162">
        <f t="shared" si="7"/>
        <v>2.3606190325735099</v>
      </c>
      <c r="F46" s="163">
        <f t="shared" si="8"/>
        <v>2.4233100639273093E-2</v>
      </c>
    </row>
    <row r="47" spans="1:10">
      <c r="A47" s="1225">
        <f>IF(ISBLANK(B47),"",MAX($A$6:A46)+1)</f>
        <v>38</v>
      </c>
      <c r="B47" s="171">
        <v>110</v>
      </c>
      <c r="C47" s="162">
        <f t="shared" si="5"/>
        <v>105.85429999999999</v>
      </c>
      <c r="D47" s="162">
        <f t="shared" si="6"/>
        <v>108.45098093583086</v>
      </c>
      <c r="E47" s="162">
        <f t="shared" si="7"/>
        <v>2.5966809358308609</v>
      </c>
      <c r="F47" s="163">
        <f t="shared" si="8"/>
        <v>2.4530708113235468E-2</v>
      </c>
      <c r="J47" s="164"/>
    </row>
    <row r="48" spans="1:10">
      <c r="A48" s="1225">
        <f>IF(ISBLANK(B48),"",MAX($A$6:A47)+1)</f>
        <v>39</v>
      </c>
      <c r="B48" s="171">
        <v>120</v>
      </c>
      <c r="C48" s="162">
        <f t="shared" si="5"/>
        <v>114.29559999999999</v>
      </c>
      <c r="D48" s="162">
        <f t="shared" si="6"/>
        <v>117.12834283908821</v>
      </c>
      <c r="E48" s="162">
        <f t="shared" si="7"/>
        <v>2.8327428390882119</v>
      </c>
      <c r="F48" s="163">
        <f t="shared" si="8"/>
        <v>2.4784355995228269E-2</v>
      </c>
      <c r="J48" s="164"/>
    </row>
    <row r="49" spans="1:10">
      <c r="A49" s="1225">
        <f>IF(ISBLANK(B49),"",MAX($A$6:A48)+1)</f>
        <v>40</v>
      </c>
      <c r="B49" s="171">
        <v>130</v>
      </c>
      <c r="C49" s="162">
        <f t="shared" si="5"/>
        <v>122.73689999999999</v>
      </c>
      <c r="D49" s="162">
        <f t="shared" si="6"/>
        <v>125.80570474234555</v>
      </c>
      <c r="E49" s="162">
        <f t="shared" si="7"/>
        <v>3.0688047423455629</v>
      </c>
      <c r="F49" s="163">
        <f t="shared" si="8"/>
        <v>2.5003114322958809E-2</v>
      </c>
      <c r="J49" s="164"/>
    </row>
    <row r="50" spans="1:10">
      <c r="A50" s="1225">
        <f>IF(ISBLANK(B50),"",MAX($A$6:A49)+1)</f>
        <v>41</v>
      </c>
      <c r="B50" s="171">
        <v>140</v>
      </c>
      <c r="C50" s="162">
        <f t="shared" si="5"/>
        <v>131.1782</v>
      </c>
      <c r="D50" s="162">
        <f t="shared" si="6"/>
        <v>134.48306664560289</v>
      </c>
      <c r="E50" s="162">
        <f t="shared" si="7"/>
        <v>3.3048666456028855</v>
      </c>
      <c r="F50" s="163">
        <f t="shared" si="8"/>
        <v>2.5193718511177049E-2</v>
      </c>
      <c r="J50" s="164"/>
    </row>
    <row r="51" spans="1:10">
      <c r="A51" s="1225">
        <f>IF(ISBLANK(B51),"",MAX($A$6:A50)+1)</f>
        <v>42</v>
      </c>
      <c r="B51" s="171">
        <v>150</v>
      </c>
      <c r="C51" s="162">
        <f t="shared" si="5"/>
        <v>139.61949999999999</v>
      </c>
      <c r="D51" s="162">
        <f t="shared" si="6"/>
        <v>143.16042854886024</v>
      </c>
      <c r="E51" s="162">
        <f t="shared" si="7"/>
        <v>3.5409285488602507</v>
      </c>
      <c r="F51" s="163">
        <f t="shared" si="8"/>
        <v>2.5361275100256417E-2</v>
      </c>
      <c r="J51" s="164"/>
    </row>
    <row r="52" spans="1:10">
      <c r="A52" s="1225">
        <f>IF(ISBLANK(B52),"",MAX($A$6:A51)+1)</f>
        <v>43</v>
      </c>
      <c r="B52" s="171">
        <v>160</v>
      </c>
      <c r="C52" s="162">
        <f t="shared" si="5"/>
        <v>148.0608</v>
      </c>
      <c r="D52" s="162">
        <f t="shared" si="6"/>
        <v>151.83779045211759</v>
      </c>
      <c r="E52" s="162">
        <f t="shared" si="7"/>
        <v>3.7769904521175874</v>
      </c>
      <c r="F52" s="163">
        <f t="shared" si="8"/>
        <v>2.5509726086294194E-2</v>
      </c>
      <c r="J52" s="164"/>
    </row>
    <row r="53" spans="1:10">
      <c r="A53" s="1225">
        <f>IF(ISBLANK(B53),"",MAX($A$6:A52)+1)</f>
        <v>44</v>
      </c>
      <c r="B53" s="171">
        <v>170</v>
      </c>
      <c r="C53" s="162">
        <f t="shared" si="5"/>
        <v>156.50209999999998</v>
      </c>
      <c r="D53" s="162">
        <f t="shared" si="6"/>
        <v>160.51515235537497</v>
      </c>
      <c r="E53" s="162">
        <f t="shared" si="7"/>
        <v>4.0130523553749811</v>
      </c>
      <c r="F53" s="163">
        <f t="shared" si="8"/>
        <v>2.564216298295666E-2</v>
      </c>
      <c r="J53" s="164"/>
    </row>
    <row r="54" spans="1:10">
      <c r="A54" s="1225">
        <f>IF(ISBLANK(B54),"",MAX($A$6:A53)+1)</f>
        <v>45</v>
      </c>
      <c r="B54" s="171">
        <v>180</v>
      </c>
      <c r="C54" s="162">
        <f t="shared" si="5"/>
        <v>164.9434</v>
      </c>
      <c r="D54" s="162">
        <f t="shared" si="6"/>
        <v>169.19251425863231</v>
      </c>
      <c r="E54" s="162">
        <f t="shared" si="7"/>
        <v>4.2491142586323178</v>
      </c>
      <c r="F54" s="163">
        <f t="shared" si="8"/>
        <v>2.5761044446957673E-2</v>
      </c>
      <c r="J54" s="164"/>
    </row>
    <row r="55" spans="1:10">
      <c r="A55" s="1225">
        <f>IF(ISBLANK(B55),"",MAX($A$6:A54)+1)</f>
        <v>46</v>
      </c>
      <c r="B55" s="171">
        <v>190</v>
      </c>
      <c r="C55" s="162">
        <f t="shared" si="5"/>
        <v>173.38469999999998</v>
      </c>
      <c r="D55" s="162">
        <f t="shared" si="6"/>
        <v>177.86987616188966</v>
      </c>
      <c r="E55" s="162">
        <f t="shared" si="7"/>
        <v>4.485176161889683</v>
      </c>
      <c r="F55" s="163">
        <f t="shared" si="8"/>
        <v>2.5868350332466955E-2</v>
      </c>
      <c r="J55" s="164"/>
    </row>
    <row r="56" spans="1:10">
      <c r="A56" s="1225">
        <f>IF(ISBLANK(B56),"",MAX($A$6:A55)+1)</f>
        <v>47</v>
      </c>
      <c r="B56" s="171">
        <v>200</v>
      </c>
      <c r="C56" s="162">
        <f t="shared" si="5"/>
        <v>181.82599999999999</v>
      </c>
      <c r="D56" s="162">
        <f t="shared" si="6"/>
        <v>186.54723806514701</v>
      </c>
      <c r="E56" s="162">
        <f t="shared" si="7"/>
        <v>4.7212380651470198</v>
      </c>
      <c r="F56" s="163">
        <f t="shared" si="8"/>
        <v>2.5965692833516768E-2</v>
      </c>
      <c r="J56" s="164"/>
    </row>
    <row r="57" spans="1:10">
      <c r="A57" s="1225">
        <f>IF(ISBLANK(B57),"",MAX($A$6:A56)+1)</f>
        <v>48</v>
      </c>
      <c r="B57" s="171">
        <v>250</v>
      </c>
      <c r="C57" s="162">
        <f t="shared" si="5"/>
        <v>224.03249999999997</v>
      </c>
      <c r="D57" s="162">
        <f t="shared" si="6"/>
        <v>229.93404758143376</v>
      </c>
      <c r="E57" s="162">
        <f t="shared" si="7"/>
        <v>5.901547581433789</v>
      </c>
      <c r="F57" s="163">
        <f t="shared" si="8"/>
        <v>2.6342372563952953E-2</v>
      </c>
      <c r="J57" s="164"/>
    </row>
    <row r="58" spans="1:10">
      <c r="A58" s="1225">
        <f>IF(ISBLANK(B58),"",MAX($A$6:A57)+1)</f>
        <v>49</v>
      </c>
      <c r="B58" s="171">
        <v>300</v>
      </c>
      <c r="C58" s="162">
        <f t="shared" si="5"/>
        <v>266.23899999999998</v>
      </c>
      <c r="D58" s="162">
        <f t="shared" si="6"/>
        <v>273.32085709772048</v>
      </c>
      <c r="E58" s="162">
        <f t="shared" si="7"/>
        <v>7.0818570977205013</v>
      </c>
      <c r="F58" s="163">
        <f t="shared" si="8"/>
        <v>2.6599623262258731E-2</v>
      </c>
      <c r="J58" s="164"/>
    </row>
    <row r="59" spans="1:10">
      <c r="A59" s="1225">
        <f>IF(ISBLANK(B59),"",MAX($A$6:A58)+1)</f>
        <v>50</v>
      </c>
      <c r="B59" s="171">
        <v>350</v>
      </c>
      <c r="C59" s="162">
        <f t="shared" si="5"/>
        <v>308.44549999999998</v>
      </c>
      <c r="D59" s="162">
        <f t="shared" si="6"/>
        <v>316.70766661400728</v>
      </c>
      <c r="E59" s="162">
        <f t="shared" si="7"/>
        <v>8.2621666140072989</v>
      </c>
      <c r="F59" s="163">
        <f t="shared" si="8"/>
        <v>2.678647156145024E-2</v>
      </c>
      <c r="J59" s="164"/>
    </row>
    <row r="60" spans="1:10">
      <c r="A60" s="1225">
        <f>IF(ISBLANK(B60),"",MAX($A$6:A59)+1)</f>
        <v>51</v>
      </c>
      <c r="B60" s="171">
        <v>400</v>
      </c>
      <c r="C60" s="162">
        <f t="shared" si="5"/>
        <v>350.65199999999999</v>
      </c>
      <c r="D60" s="162">
        <f t="shared" si="6"/>
        <v>360.09447613029403</v>
      </c>
      <c r="E60" s="162">
        <f t="shared" si="7"/>
        <v>9.4424761302940396</v>
      </c>
      <c r="F60" s="163">
        <f t="shared" si="8"/>
        <v>2.6928339579680254E-2</v>
      </c>
      <c r="J60" s="164"/>
    </row>
    <row r="61" spans="1:10">
      <c r="A61" s="1225">
        <f>IF(ISBLANK(B61),"",MAX($A$6:A60)+1)</f>
        <v>52</v>
      </c>
      <c r="B61" s="171">
        <v>450</v>
      </c>
      <c r="C61" s="162">
        <f t="shared" si="5"/>
        <v>392.85849999999999</v>
      </c>
      <c r="D61" s="162">
        <f t="shared" si="6"/>
        <v>403.48128564658077</v>
      </c>
      <c r="E61" s="162">
        <f t="shared" si="7"/>
        <v>10.62278564658078</v>
      </c>
      <c r="F61" s="163">
        <f t="shared" si="8"/>
        <v>2.7039724599520643E-2</v>
      </c>
      <c r="J61" s="164"/>
    </row>
    <row r="62" spans="1:10">
      <c r="A62" s="1225">
        <f>IF(ISBLANK(B62),"",MAX($A$6:A61)+1)</f>
        <v>53</v>
      </c>
      <c r="B62" s="171">
        <v>500</v>
      </c>
      <c r="C62" s="162">
        <f t="shared" si="5"/>
        <v>435.06499999999994</v>
      </c>
      <c r="D62" s="162">
        <f t="shared" si="6"/>
        <v>446.86809516286752</v>
      </c>
      <c r="E62" s="162">
        <f t="shared" si="7"/>
        <v>11.803095162867578</v>
      </c>
      <c r="F62" s="163">
        <f t="shared" si="8"/>
        <v>2.7129498265472007E-2</v>
      </c>
      <c r="J62" s="164"/>
    </row>
    <row r="63" spans="1:10">
      <c r="A63" s="1225">
        <f>IF(ISBLANK(B63),"",MAX($A$6:A62)+1)</f>
        <v>54</v>
      </c>
      <c r="B63" s="171">
        <v>600</v>
      </c>
      <c r="C63" s="162">
        <f t="shared" si="5"/>
        <v>519.47799999999995</v>
      </c>
      <c r="D63" s="162">
        <f t="shared" si="6"/>
        <v>533.64171419544095</v>
      </c>
      <c r="E63" s="162">
        <f t="shared" si="7"/>
        <v>14.163714195441003</v>
      </c>
      <c r="F63" s="163">
        <f t="shared" si="8"/>
        <v>2.7265282062841938E-2</v>
      </c>
      <c r="J63" s="164"/>
    </row>
    <row r="64" spans="1:10">
      <c r="A64" s="1225">
        <f>IF(ISBLANK(B64),"",MAX($A$6:A63)+1)</f>
        <v>55</v>
      </c>
      <c r="B64" s="171">
        <v>700</v>
      </c>
      <c r="C64" s="162">
        <f t="shared" si="5"/>
        <v>603.89099999999996</v>
      </c>
      <c r="D64" s="162">
        <f t="shared" si="6"/>
        <v>620.41533322801456</v>
      </c>
      <c r="E64" s="162">
        <f t="shared" si="7"/>
        <v>16.524333228014598</v>
      </c>
      <c r="F64" s="163">
        <f t="shared" si="8"/>
        <v>2.7363105639949259E-2</v>
      </c>
      <c r="J64" s="164"/>
    </row>
    <row r="65" spans="1:10">
      <c r="A65" s="1225">
        <f>IF(ISBLANK(B65),"",MAX($A$6:A64)+1)</f>
        <v>56</v>
      </c>
      <c r="B65" s="171">
        <v>800</v>
      </c>
      <c r="C65" s="162">
        <f t="shared" si="5"/>
        <v>688.30399999999997</v>
      </c>
      <c r="D65" s="162">
        <f t="shared" si="6"/>
        <v>707.18895226058805</v>
      </c>
      <c r="E65" s="162">
        <f t="shared" si="7"/>
        <v>18.884952260588079</v>
      </c>
      <c r="F65" s="163">
        <f t="shared" si="8"/>
        <v>2.7436935221338363E-2</v>
      </c>
      <c r="J65" s="164"/>
    </row>
    <row r="66" spans="1:10">
      <c r="A66" s="1225">
        <f>IF(ISBLANK(B66),"",MAX($A$6:A65)+1)</f>
        <v>57</v>
      </c>
      <c r="B66" s="171">
        <v>1000</v>
      </c>
      <c r="C66" s="162">
        <f t="shared" si="5"/>
        <v>857.12999999999988</v>
      </c>
      <c r="D66" s="162">
        <f t="shared" si="6"/>
        <v>880.73619032573504</v>
      </c>
      <c r="E66" s="162">
        <f t="shared" si="7"/>
        <v>23.606190325735156</v>
      </c>
      <c r="F66" s="163">
        <f t="shared" si="8"/>
        <v>2.754096849455177E-2</v>
      </c>
      <c r="J66" s="164"/>
    </row>
    <row r="67" spans="1:10">
      <c r="A67" s="1225">
        <f>IF(ISBLANK(B67),"",MAX($A$6:A66)+1)</f>
        <v>58</v>
      </c>
      <c r="B67" s="171">
        <v>1250</v>
      </c>
      <c r="C67" s="162">
        <f t="shared" si="5"/>
        <v>1068.1624999999999</v>
      </c>
      <c r="D67" s="162">
        <f t="shared" si="6"/>
        <v>1097.6702379071687</v>
      </c>
      <c r="E67" s="162">
        <f t="shared" si="7"/>
        <v>29.507737907168803</v>
      </c>
      <c r="F67" s="163">
        <f t="shared" si="8"/>
        <v>2.7624764871607838E-2</v>
      </c>
      <c r="J67" s="164"/>
    </row>
    <row r="68" spans="1:10">
      <c r="A68" s="1225">
        <f>IF(ISBLANK(B68),"",MAX($A$6:A67)+1)</f>
        <v>59</v>
      </c>
      <c r="B68" s="171">
        <v>1500</v>
      </c>
      <c r="C68" s="162">
        <f t="shared" si="5"/>
        <v>1279.1949999999999</v>
      </c>
      <c r="D68" s="162">
        <f t="shared" si="6"/>
        <v>1314.6042854886025</v>
      </c>
      <c r="E68" s="162">
        <f t="shared" si="7"/>
        <v>35.409285488602563</v>
      </c>
      <c r="F68" s="163">
        <f t="shared" si="8"/>
        <v>2.7680912987154083E-2</v>
      </c>
      <c r="J68" s="164"/>
    </row>
    <row r="69" spans="1:10">
      <c r="A69" s="1225">
        <f>IF(ISBLANK(B69),"",MAX($A$6:A68)+1)</f>
        <v>60</v>
      </c>
      <c r="B69" s="171">
        <v>1750</v>
      </c>
      <c r="C69" s="162">
        <f t="shared" si="5"/>
        <v>1490.2275</v>
      </c>
      <c r="D69" s="162">
        <f t="shared" si="6"/>
        <v>1531.5383330700363</v>
      </c>
      <c r="E69" s="162">
        <f t="shared" si="7"/>
        <v>41.310833070036324</v>
      </c>
      <c r="F69" s="163">
        <f t="shared" si="8"/>
        <v>2.7721158729144595E-2</v>
      </c>
      <c r="J69" s="164"/>
    </row>
    <row r="70" spans="1:10">
      <c r="A70" s="1225">
        <f>IF(ISBLANK(B70),"",MAX($A$6:A69)+1)</f>
        <v>61</v>
      </c>
      <c r="B70" s="171">
        <v>2000</v>
      </c>
      <c r="C70" s="162">
        <f t="shared" si="5"/>
        <v>1701.2599999999998</v>
      </c>
      <c r="D70" s="162">
        <f t="shared" si="6"/>
        <v>1748.4723806514701</v>
      </c>
      <c r="E70" s="162">
        <f t="shared" si="7"/>
        <v>47.212380651470312</v>
      </c>
      <c r="F70" s="163">
        <f t="shared" si="8"/>
        <v>2.7751419919042543E-2</v>
      </c>
      <c r="J70" s="164"/>
    </row>
    <row r="71" spans="1:10">
      <c r="A71" s="1225">
        <f>IF(ISBLANK(B71),"",MAX($A$6:A70)+1)</f>
        <v>62</v>
      </c>
      <c r="B71" s="171">
        <v>2500</v>
      </c>
      <c r="C71" s="162">
        <f t="shared" si="5"/>
        <v>2123.3249999999998</v>
      </c>
      <c r="D71" s="162">
        <f t="shared" si="6"/>
        <v>2182.3404758143374</v>
      </c>
      <c r="E71" s="162">
        <f t="shared" si="7"/>
        <v>59.015475814337606</v>
      </c>
      <c r="F71" s="163">
        <f t="shared" si="8"/>
        <v>2.7793896748890354E-2</v>
      </c>
      <c r="J71" s="164"/>
    </row>
    <row r="72" spans="1:10">
      <c r="A72" s="1225">
        <f>IF(ISBLANK(B72),"",MAX($A$6:A71)+1)</f>
        <v>63</v>
      </c>
      <c r="B72" s="171">
        <v>3000</v>
      </c>
      <c r="C72" s="162">
        <f t="shared" si="5"/>
        <v>2545.39</v>
      </c>
      <c r="D72" s="162">
        <f t="shared" si="6"/>
        <v>2616.208570977205</v>
      </c>
      <c r="E72" s="162">
        <f t="shared" si="7"/>
        <v>70.818570977205127</v>
      </c>
      <c r="F72" s="163">
        <f t="shared" si="8"/>
        <v>2.7822286949035366E-2</v>
      </c>
      <c r="J72" s="164"/>
    </row>
    <row r="73" spans="1:10">
      <c r="A73" s="1225">
        <f>IF(ISBLANK(B73),"",MAX($A$6:A72)+1)</f>
        <v>64</v>
      </c>
      <c r="B73" s="171">
        <v>3500</v>
      </c>
      <c r="C73" s="162">
        <f t="shared" si="5"/>
        <v>2967.4549999999999</v>
      </c>
      <c r="D73" s="162">
        <f t="shared" si="6"/>
        <v>3050.0766661400726</v>
      </c>
      <c r="E73" s="162">
        <f t="shared" si="7"/>
        <v>82.621666140072648</v>
      </c>
      <c r="F73" s="163">
        <f t="shared" si="8"/>
        <v>2.7842601198694722E-2</v>
      </c>
      <c r="J73" s="164"/>
    </row>
    <row r="74" spans="1:10">
      <c r="A74" s="1225">
        <f>IF(ISBLANK(B74),"",MAX($A$6:A73)+1)</f>
        <v>65</v>
      </c>
      <c r="B74" s="171">
        <v>4000</v>
      </c>
      <c r="C74" s="162">
        <f t="shared" si="5"/>
        <v>3389.5199999999995</v>
      </c>
      <c r="D74" s="162">
        <f t="shared" si="6"/>
        <v>3483.9447613029402</v>
      </c>
      <c r="E74" s="162">
        <f t="shared" si="7"/>
        <v>94.424761302940624</v>
      </c>
      <c r="F74" s="163">
        <f t="shared" si="8"/>
        <v>2.785785636401043E-2</v>
      </c>
    </row>
    <row r="75" spans="1:10">
      <c r="A75" s="1225" t="str">
        <f>IF(ISBLANK(B75),"",MAX($A$6:A74)+1)</f>
        <v/>
      </c>
      <c r="B75" s="102"/>
      <c r="C75" s="1225"/>
      <c r="D75" s="1225"/>
      <c r="E75" s="1225"/>
      <c r="F75" s="1225"/>
    </row>
    <row r="76" spans="1:10">
      <c r="A76" s="1225">
        <f>IF(ISBLANK(B76),"",MAX($A$6:A75)+1)</f>
        <v>66</v>
      </c>
      <c r="B76" s="173">
        <f>'Exh IDM-4, Class Rates'!K15</f>
        <v>271.41360851124517</v>
      </c>
      <c r="C76" s="174">
        <f>I$40+(I$41+I$42)*B76</f>
        <v>242.10836935259738</v>
      </c>
      <c r="D76" s="174">
        <f>J$40+(J$41+J$42)*B76</f>
        <v>248.51541065210839</v>
      </c>
      <c r="E76" s="174">
        <f>D76-C76</f>
        <v>6.4070412995110075</v>
      </c>
      <c r="F76" s="175">
        <f>E76/C76</f>
        <v>2.6463526711792591E-2</v>
      </c>
    </row>
    <row r="77" spans="1:10">
      <c r="A77" s="1225" t="str">
        <f>IF(ISBLANK(B77),"",MAX($A$6:A76)+1)</f>
        <v/>
      </c>
      <c r="B77" s="102"/>
      <c r="C77" s="1225"/>
      <c r="D77" s="1225"/>
      <c r="E77" s="1225"/>
      <c r="F77" s="1225"/>
    </row>
    <row r="78" spans="1:10">
      <c r="A78" s="1225" t="str">
        <f>IF(ISBLANK(B78),"",MAX($A$6:A77)+1)</f>
        <v/>
      </c>
    </row>
    <row r="79" spans="1:10">
      <c r="A79" s="1225">
        <f>IF(ISBLANK(B79),"",MAX($A$6:A78)+1)</f>
        <v>67</v>
      </c>
      <c r="B79" s="167" t="str">
        <f>'Class Revenue'!B18</f>
        <v>Industrial - Firm 505</v>
      </c>
      <c r="C79" s="1225"/>
      <c r="D79" s="1225"/>
    </row>
    <row r="80" spans="1:10">
      <c r="A80" s="1225">
        <f>IF(ISBLANK(B80),"",MAX($A$6:A79)+1)</f>
        <v>68</v>
      </c>
      <c r="B80" s="171">
        <v>0</v>
      </c>
      <c r="C80" s="162">
        <f>I$80+(((IF($B80&gt;$H$82,$H$82,$B80))*I$82)+(IF($B80&gt;$H$82,IF($B80&gt;$H$83,$H$83,$B80-$H$82),0)*I$83)+(+IF($B80&gt;=$H$84,$B80-$H$84,0)*+I$84))+($B80*I$85)</f>
        <v>60</v>
      </c>
      <c r="D80" s="162">
        <f>J$80+(((IF($B80&gt;$H$82,$H$82,$B80))*J$82)+(IF($B80&gt;$H$82,IF($B80&gt;$H$83,$H$83,$B80-$H$82),0)*J$83)+(+IF($B80&gt;=$H$84,$B80-$H$84,0)*+J$84))+($B80*J$85)</f>
        <v>60</v>
      </c>
      <c r="E80" s="162">
        <f t="shared" ref="E80:E115" si="9">D80-C80</f>
        <v>0</v>
      </c>
      <c r="F80" s="163">
        <f t="shared" ref="F80:F115" si="10">E80/C80</f>
        <v>0</v>
      </c>
      <c r="H80" s="1" t="s">
        <v>124</v>
      </c>
      <c r="I80" s="164">
        <f>'Exh IDM-4, Class Rates'!D19</f>
        <v>60</v>
      </c>
      <c r="J80" s="164">
        <f>'Exh IDM-4, Class Rates'!F19</f>
        <v>60</v>
      </c>
    </row>
    <row r="81" spans="1:12">
      <c r="A81" s="1225">
        <f>IF(ISBLANK(B81),"",MAX($A$6:A80)+1)</f>
        <v>69</v>
      </c>
      <c r="B81" s="171">
        <v>200</v>
      </c>
      <c r="C81" s="162">
        <f t="shared" ref="C81:C116" si="11">I$80+(((IF($B81&gt;$H$82,$H$82,$B81))*I$82)+(IF($B81&gt;$H$82,IF($B81&gt;$H$83,$H$83,$B81-$H$82),0)*I$83)+(+IF($B81&gt;=$H$84,$B81-$H$84,0)*+I$84))+($B81*I$85)</f>
        <v>216.464</v>
      </c>
      <c r="D81" s="162">
        <f t="shared" ref="D81:D116" si="12">J$80+(((IF($B81&gt;$H$82,$H$82,$B81))*J$82)+(IF($B81&gt;$H$82,IF($B81&gt;$H$83,$H$83,$B81-$H$82),0)*J$83)+(+IF($B81&gt;=$H$84,$B81-$H$84,0)*+J$84))+($B81*J$85)</f>
        <v>220.10529691883204</v>
      </c>
      <c r="E81" s="162">
        <f t="shared" si="9"/>
        <v>3.6412969188320403</v>
      </c>
      <c r="F81" s="163">
        <f t="shared" si="10"/>
        <v>1.6821720557838902E-2</v>
      </c>
      <c r="H81" s="1" t="s">
        <v>3159</v>
      </c>
      <c r="I81" s="9" t="s">
        <v>70</v>
      </c>
      <c r="J81" s="9" t="s">
        <v>70</v>
      </c>
    </row>
    <row r="82" spans="1:12">
      <c r="A82" s="1225">
        <f>IF(ISBLANK(B82),"",MAX($A$6:A81)+1)</f>
        <v>70</v>
      </c>
      <c r="B82" s="171">
        <f>+B81+200</f>
        <v>400</v>
      </c>
      <c r="C82" s="162">
        <f t="shared" si="11"/>
        <v>372.928</v>
      </c>
      <c r="D82" s="162">
        <f t="shared" si="12"/>
        <v>380.21059383766408</v>
      </c>
      <c r="E82" s="162">
        <f t="shared" si="9"/>
        <v>7.2825938376640806</v>
      </c>
      <c r="F82" s="163">
        <f t="shared" si="10"/>
        <v>1.9528149770636907E-2</v>
      </c>
      <c r="H82" s="161">
        <v>500</v>
      </c>
      <c r="I82" s="9">
        <f>'Exh IDM-4, Class Rates'!D20</f>
        <v>0.20271</v>
      </c>
      <c r="J82" s="9">
        <f>'Exh IDM-4, Class Rates'!F20</f>
        <v>0.22091648459416013</v>
      </c>
    </row>
    <row r="83" spans="1:12">
      <c r="A83" s="1225">
        <f>IF(ISBLANK(B83),"",MAX($A$6:A82)+1)</f>
        <v>71</v>
      </c>
      <c r="B83" s="171">
        <f t="shared" ref="B83:B90" si="13">+B82+200</f>
        <v>600</v>
      </c>
      <c r="C83" s="162">
        <f t="shared" si="11"/>
        <v>525.71499999999992</v>
      </c>
      <c r="D83" s="162">
        <f t="shared" si="12"/>
        <v>536.30863963913862</v>
      </c>
      <c r="E83" s="162">
        <f t="shared" si="9"/>
        <v>10.593639639138701</v>
      </c>
      <c r="F83" s="163">
        <f t="shared" si="10"/>
        <v>2.0150917586788854E-2</v>
      </c>
      <c r="H83" s="161">
        <v>3500</v>
      </c>
      <c r="I83" s="9">
        <f>'Exh IDM-4, Class Rates'!D21</f>
        <v>0.16594</v>
      </c>
      <c r="J83" s="9">
        <f>'Exh IDM-4, Class Rates'!F21</f>
        <v>0.18084397342058522</v>
      </c>
    </row>
    <row r="84" spans="1:12">
      <c r="A84" s="1225">
        <f>IF(ISBLANK(B84),"",MAX($A$6:A83)+1)</f>
        <v>72</v>
      </c>
      <c r="B84" s="171">
        <f t="shared" si="13"/>
        <v>800</v>
      </c>
      <c r="C84" s="162">
        <f t="shared" si="11"/>
        <v>674.82500000000005</v>
      </c>
      <c r="D84" s="162">
        <f t="shared" si="12"/>
        <v>688.3994343232556</v>
      </c>
      <c r="E84" s="162">
        <f t="shared" si="9"/>
        <v>13.574434323255559</v>
      </c>
      <c r="F84" s="163">
        <f t="shared" si="10"/>
        <v>2.0115488198059583E-2</v>
      </c>
      <c r="H84" s="161">
        <v>4000</v>
      </c>
      <c r="I84" s="9">
        <f>'Exh IDM-4, Class Rates'!D22</f>
        <v>0.16037999999999999</v>
      </c>
      <c r="J84" s="9">
        <f>'Exh IDM-4, Class Rates'!F22</f>
        <v>0.17478459994906928</v>
      </c>
    </row>
    <row r="85" spans="1:12">
      <c r="A85" s="1225">
        <f>IF(ISBLANK(B85),"",MAX($A$6:A84)+1)</f>
        <v>73</v>
      </c>
      <c r="B85" s="171">
        <f t="shared" si="13"/>
        <v>1000</v>
      </c>
      <c r="C85" s="162">
        <f t="shared" si="11"/>
        <v>823.93499999999995</v>
      </c>
      <c r="D85" s="162">
        <f t="shared" si="12"/>
        <v>840.4902290073727</v>
      </c>
      <c r="E85" s="162">
        <f t="shared" si="9"/>
        <v>16.555229007372759</v>
      </c>
      <c r="F85" s="163">
        <f t="shared" si="10"/>
        <v>2.009288233583081E-2</v>
      </c>
      <c r="H85" s="1" t="str">
        <f>$H$10</f>
        <v>Pass-Thru Rates</v>
      </c>
      <c r="I85" s="9">
        <f>Q20</f>
        <v>0.57960999999999996</v>
      </c>
      <c r="J85" s="9">
        <f>I85</f>
        <v>0.57960999999999996</v>
      </c>
    </row>
    <row r="86" spans="1:12">
      <c r="A86" s="1225">
        <f>IF(ISBLANK(B86),"",MAX($A$6:A85)+1)</f>
        <v>74</v>
      </c>
      <c r="B86" s="171">
        <f t="shared" si="13"/>
        <v>1200</v>
      </c>
      <c r="C86" s="162">
        <f t="shared" si="11"/>
        <v>973.04499999999996</v>
      </c>
      <c r="D86" s="162">
        <f t="shared" si="12"/>
        <v>992.58102369148969</v>
      </c>
      <c r="E86" s="162">
        <f t="shared" si="9"/>
        <v>19.536023691489731</v>
      </c>
      <c r="F86" s="163">
        <f t="shared" si="10"/>
        <v>2.0077204745402043E-2</v>
      </c>
      <c r="L86" s="164"/>
    </row>
    <row r="87" spans="1:12">
      <c r="A87" s="1225">
        <f>IF(ISBLANK(B87),"",MAX($A$6:A86)+1)</f>
        <v>75</v>
      </c>
      <c r="B87" s="171">
        <f t="shared" si="13"/>
        <v>1400</v>
      </c>
      <c r="C87" s="162">
        <f t="shared" si="11"/>
        <v>1122.155</v>
      </c>
      <c r="D87" s="162">
        <f t="shared" si="12"/>
        <v>1144.6718183756066</v>
      </c>
      <c r="E87" s="162">
        <f t="shared" si="9"/>
        <v>22.51681837560659</v>
      </c>
      <c r="F87" s="163">
        <f t="shared" si="10"/>
        <v>2.0065693576739926E-2</v>
      </c>
      <c r="L87" s="164"/>
    </row>
    <row r="88" spans="1:12">
      <c r="A88" s="1225">
        <f>IF(ISBLANK(B88),"",MAX($A$6:A87)+1)</f>
        <v>76</v>
      </c>
      <c r="B88" s="171">
        <f t="shared" si="13"/>
        <v>1600</v>
      </c>
      <c r="C88" s="162">
        <f t="shared" si="11"/>
        <v>1271.2649999999999</v>
      </c>
      <c r="D88" s="162">
        <f t="shared" si="12"/>
        <v>1296.7626130597237</v>
      </c>
      <c r="E88" s="162">
        <f t="shared" si="9"/>
        <v>25.49761305972379</v>
      </c>
      <c r="F88" s="163">
        <f t="shared" si="10"/>
        <v>2.0056882758294921E-2</v>
      </c>
      <c r="L88" s="164"/>
    </row>
    <row r="89" spans="1:12">
      <c r="A89" s="1225">
        <f>IF(ISBLANK(B89),"",MAX($A$6:A88)+1)</f>
        <v>77</v>
      </c>
      <c r="B89" s="171">
        <f t="shared" si="13"/>
        <v>1800</v>
      </c>
      <c r="C89" s="162">
        <f t="shared" si="11"/>
        <v>1420.375</v>
      </c>
      <c r="D89" s="162">
        <f t="shared" si="12"/>
        <v>1448.8534077438408</v>
      </c>
      <c r="E89" s="162">
        <f t="shared" si="9"/>
        <v>28.478407743840762</v>
      </c>
      <c r="F89" s="163">
        <f t="shared" si="10"/>
        <v>2.0049921847287346E-2</v>
      </c>
      <c r="L89" s="164"/>
    </row>
    <row r="90" spans="1:12">
      <c r="A90" s="1225">
        <f>IF(ISBLANK(B90),"",MAX($A$6:A89)+1)</f>
        <v>78</v>
      </c>
      <c r="B90" s="171">
        <f t="shared" si="13"/>
        <v>2000</v>
      </c>
      <c r="C90" s="162">
        <f t="shared" si="11"/>
        <v>1569.4850000000001</v>
      </c>
      <c r="D90" s="162">
        <f t="shared" si="12"/>
        <v>1600.9442024279579</v>
      </c>
      <c r="E90" s="162">
        <f t="shared" si="9"/>
        <v>31.459202427957734</v>
      </c>
      <c r="F90" s="163">
        <f t="shared" si="10"/>
        <v>2.0044283588538745E-2</v>
      </c>
      <c r="L90" s="164"/>
    </row>
    <row r="91" spans="1:12">
      <c r="A91" s="1225">
        <f>IF(ISBLANK(B91),"",MAX($A$6:A90)+1)</f>
        <v>79</v>
      </c>
      <c r="B91" s="171">
        <f t="shared" ref="B91:B96" si="14">+B90+500</f>
        <v>2500</v>
      </c>
      <c r="C91" s="162">
        <f t="shared" si="11"/>
        <v>1942.2599999999998</v>
      </c>
      <c r="D91" s="162">
        <f t="shared" si="12"/>
        <v>1981.1711891382504</v>
      </c>
      <c r="E91" s="162">
        <f t="shared" si="9"/>
        <v>38.91118913825062</v>
      </c>
      <c r="F91" s="163">
        <f t="shared" si="10"/>
        <v>2.0033975440080433E-2</v>
      </c>
      <c r="L91" s="164"/>
    </row>
    <row r="92" spans="1:12">
      <c r="A92" s="1225">
        <f>IF(ISBLANK(B92),"",MAX($A$6:A91)+1)</f>
        <v>80</v>
      </c>
      <c r="B92" s="171">
        <f t="shared" si="14"/>
        <v>3000</v>
      </c>
      <c r="C92" s="162">
        <f t="shared" si="11"/>
        <v>2315.0349999999999</v>
      </c>
      <c r="D92" s="162">
        <f t="shared" si="12"/>
        <v>2361.3981758485434</v>
      </c>
      <c r="E92" s="162">
        <f t="shared" si="9"/>
        <v>46.363175848543506</v>
      </c>
      <c r="F92" s="163">
        <f t="shared" si="10"/>
        <v>2.0026986999567398E-2</v>
      </c>
      <c r="L92" s="164"/>
    </row>
    <row r="93" spans="1:12">
      <c r="A93" s="1225">
        <f>IF(ISBLANK(B93),"",MAX($A$6:A92)+1)</f>
        <v>81</v>
      </c>
      <c r="B93" s="171">
        <f t="shared" si="14"/>
        <v>3500</v>
      </c>
      <c r="C93" s="162">
        <f t="shared" si="11"/>
        <v>2687.8099999999995</v>
      </c>
      <c r="D93" s="162">
        <f t="shared" si="12"/>
        <v>2741.6251625588357</v>
      </c>
      <c r="E93" s="162">
        <f t="shared" si="9"/>
        <v>53.815162558836164</v>
      </c>
      <c r="F93" s="163">
        <f t="shared" si="10"/>
        <v>2.0021937026365767E-2</v>
      </c>
      <c r="L93" s="164"/>
    </row>
    <row r="94" spans="1:12">
      <c r="A94" s="1225">
        <f>IF(ISBLANK(B94),"",MAX($A$6:A93)+1)</f>
        <v>82</v>
      </c>
      <c r="B94" s="171">
        <f t="shared" si="14"/>
        <v>4000</v>
      </c>
      <c r="C94" s="162">
        <f t="shared" si="11"/>
        <v>3060.585</v>
      </c>
      <c r="D94" s="162">
        <f t="shared" si="12"/>
        <v>3121.8521492691284</v>
      </c>
      <c r="E94" s="162">
        <f t="shared" si="9"/>
        <v>61.267149269128367</v>
      </c>
      <c r="F94" s="163">
        <f t="shared" si="10"/>
        <v>2.001811721260098E-2</v>
      </c>
      <c r="L94" s="164"/>
    </row>
    <row r="95" spans="1:12">
      <c r="A95" s="1225">
        <f>IF(ISBLANK(B95),"",MAX($A$6:A94)+1)</f>
        <v>83</v>
      </c>
      <c r="B95" s="171">
        <f t="shared" si="14"/>
        <v>4500</v>
      </c>
      <c r="C95" s="162">
        <f t="shared" si="11"/>
        <v>3430.58</v>
      </c>
      <c r="D95" s="162">
        <f t="shared" si="12"/>
        <v>3499.0494492436628</v>
      </c>
      <c r="E95" s="162">
        <f t="shared" si="9"/>
        <v>68.469449243662893</v>
      </c>
      <c r="F95" s="163">
        <f t="shared" si="10"/>
        <v>1.9958563637537355E-2</v>
      </c>
      <c r="L95" s="164"/>
    </row>
    <row r="96" spans="1:12">
      <c r="A96" s="1225">
        <f>IF(ISBLANK(B96),"",MAX($A$6:A95)+1)</f>
        <v>84</v>
      </c>
      <c r="B96" s="171">
        <f t="shared" si="14"/>
        <v>5000</v>
      </c>
      <c r="C96" s="162">
        <f t="shared" si="11"/>
        <v>3800.5749999999998</v>
      </c>
      <c r="D96" s="162">
        <f t="shared" si="12"/>
        <v>3876.2467492181972</v>
      </c>
      <c r="E96" s="162">
        <f t="shared" si="9"/>
        <v>75.671749218197419</v>
      </c>
      <c r="F96" s="163">
        <f t="shared" si="10"/>
        <v>1.9910605426336127E-2</v>
      </c>
      <c r="L96" s="164"/>
    </row>
    <row r="97" spans="1:12">
      <c r="A97" s="1225">
        <f>IF(ISBLANK(B97),"",MAX($A$6:A96)+1)</f>
        <v>85</v>
      </c>
      <c r="B97" s="171">
        <f>+B96+1000</f>
        <v>6000</v>
      </c>
      <c r="C97" s="162">
        <f t="shared" si="11"/>
        <v>4540.5649999999996</v>
      </c>
      <c r="D97" s="162">
        <f t="shared" si="12"/>
        <v>4630.6413491672665</v>
      </c>
      <c r="E97" s="162">
        <f t="shared" si="9"/>
        <v>90.076349167266926</v>
      </c>
      <c r="F97" s="163">
        <f t="shared" si="10"/>
        <v>1.9838136700447397E-2</v>
      </c>
      <c r="L97" s="164"/>
    </row>
    <row r="98" spans="1:12">
      <c r="A98" s="1225">
        <f>IF(ISBLANK(B98),"",MAX($A$6:A97)+1)</f>
        <v>86</v>
      </c>
      <c r="B98" s="171">
        <f>+B97+1000</f>
        <v>7000</v>
      </c>
      <c r="C98" s="162">
        <f t="shared" si="11"/>
        <v>5280.5549999999994</v>
      </c>
      <c r="D98" s="162">
        <f t="shared" si="12"/>
        <v>5385.0359491163363</v>
      </c>
      <c r="E98" s="162">
        <f t="shared" si="9"/>
        <v>104.48094911633689</v>
      </c>
      <c r="F98" s="163">
        <f t="shared" si="10"/>
        <v>1.9785978768583398E-2</v>
      </c>
      <c r="L98" s="164"/>
    </row>
    <row r="99" spans="1:12">
      <c r="A99" s="1225">
        <f>IF(ISBLANK(B99),"",MAX($A$6:A98)+1)</f>
        <v>87</v>
      </c>
      <c r="B99" s="171">
        <f>+B98+1000</f>
        <v>8000</v>
      </c>
      <c r="C99" s="162">
        <f t="shared" si="11"/>
        <v>6020.5450000000001</v>
      </c>
      <c r="D99" s="162">
        <f t="shared" si="12"/>
        <v>6139.430549065406</v>
      </c>
      <c r="E99" s="162">
        <f t="shared" si="9"/>
        <v>118.88554906540594</v>
      </c>
      <c r="F99" s="163">
        <f t="shared" si="10"/>
        <v>1.9746642382941403E-2</v>
      </c>
      <c r="L99" s="164"/>
    </row>
    <row r="100" spans="1:12">
      <c r="A100" s="1225">
        <f>IF(ISBLANK(B100),"",MAX($A$6:A99)+1)</f>
        <v>88</v>
      </c>
      <c r="B100" s="171">
        <f>+B99+1000</f>
        <v>9000</v>
      </c>
      <c r="C100" s="162">
        <f t="shared" si="11"/>
        <v>6760.5349999999999</v>
      </c>
      <c r="D100" s="162">
        <f t="shared" si="12"/>
        <v>6893.8251490144739</v>
      </c>
      <c r="E100" s="162">
        <f t="shared" si="9"/>
        <v>133.29014901447408</v>
      </c>
      <c r="F100" s="163">
        <f t="shared" si="10"/>
        <v>1.9715917307502155E-2</v>
      </c>
      <c r="L100" s="164"/>
    </row>
    <row r="101" spans="1:12">
      <c r="A101" s="1225">
        <f>IF(ISBLANK(B101),"",MAX($A$6:A100)+1)</f>
        <v>89</v>
      </c>
      <c r="B101" s="171">
        <f>+B100+1000</f>
        <v>10000</v>
      </c>
      <c r="C101" s="162">
        <f t="shared" si="11"/>
        <v>7500.5249999999996</v>
      </c>
      <c r="D101" s="162">
        <f t="shared" si="12"/>
        <v>7648.2197489635437</v>
      </c>
      <c r="E101" s="162">
        <f t="shared" si="9"/>
        <v>147.69474896354404</v>
      </c>
      <c r="F101" s="163">
        <f t="shared" si="10"/>
        <v>1.9691254807302695E-2</v>
      </c>
    </row>
    <row r="102" spans="1:12">
      <c r="A102" s="1225">
        <f>IF(ISBLANK(B102),"",MAX($A$6:A101)+1)</f>
        <v>90</v>
      </c>
      <c r="B102" s="171">
        <f>+B101+2500</f>
        <v>12500</v>
      </c>
      <c r="C102" s="162">
        <f t="shared" si="11"/>
        <v>9350.5</v>
      </c>
      <c r="D102" s="162">
        <f t="shared" si="12"/>
        <v>9534.2062488362171</v>
      </c>
      <c r="E102" s="162">
        <f t="shared" si="9"/>
        <v>183.70624883621713</v>
      </c>
      <c r="F102" s="163">
        <f t="shared" si="10"/>
        <v>1.9646676523845476E-2</v>
      </c>
    </row>
    <row r="103" spans="1:12">
      <c r="A103" s="1225">
        <f>IF(ISBLANK(B103),"",MAX($A$6:A102)+1)</f>
        <v>91</v>
      </c>
      <c r="B103" s="171">
        <f t="shared" ref="B103:B111" si="15">+B102+2500</f>
        <v>15000</v>
      </c>
      <c r="C103" s="162">
        <f t="shared" si="11"/>
        <v>11200.474999999999</v>
      </c>
      <c r="D103" s="162">
        <f t="shared" si="12"/>
        <v>11420.192748708891</v>
      </c>
      <c r="E103" s="162">
        <f t="shared" si="9"/>
        <v>219.71774870889203</v>
      </c>
      <c r="F103" s="163">
        <f t="shared" si="10"/>
        <v>1.9616824171197388E-2</v>
      </c>
    </row>
    <row r="104" spans="1:12">
      <c r="A104" s="1225">
        <f>IF(ISBLANK(B104),"",MAX($A$6:A103)+1)</f>
        <v>92</v>
      </c>
      <c r="B104" s="171">
        <f t="shared" si="15"/>
        <v>17500</v>
      </c>
      <c r="C104" s="162">
        <f t="shared" si="11"/>
        <v>13050.449999999999</v>
      </c>
      <c r="D104" s="162">
        <f t="shared" si="12"/>
        <v>13306.179248581564</v>
      </c>
      <c r="E104" s="162">
        <f t="shared" si="9"/>
        <v>255.72924858156512</v>
      </c>
      <c r="F104" s="163">
        <f t="shared" si="10"/>
        <v>1.9595435297753344E-2</v>
      </c>
    </row>
    <row r="105" spans="1:12">
      <c r="A105" s="1225">
        <f>IF(ISBLANK(B105),"",MAX($A$6:A104)+1)</f>
        <v>93</v>
      </c>
      <c r="B105" s="171">
        <f t="shared" si="15"/>
        <v>20000</v>
      </c>
      <c r="C105" s="162">
        <f t="shared" si="11"/>
        <v>14900.424999999999</v>
      </c>
      <c r="D105" s="162">
        <f t="shared" si="12"/>
        <v>15192.165748454236</v>
      </c>
      <c r="E105" s="162">
        <f t="shared" si="9"/>
        <v>291.74074845423638</v>
      </c>
      <c r="F105" s="163">
        <f t="shared" si="10"/>
        <v>1.9579357532032569E-2</v>
      </c>
    </row>
    <row r="106" spans="1:12">
      <c r="A106" s="1225">
        <f>IF(ISBLANK(B106),"",MAX($A$6:A105)+1)</f>
        <v>94</v>
      </c>
      <c r="B106" s="171">
        <f t="shared" si="15"/>
        <v>22500</v>
      </c>
      <c r="C106" s="162">
        <f t="shared" si="11"/>
        <v>16750.399999999998</v>
      </c>
      <c r="D106" s="162">
        <f t="shared" si="12"/>
        <v>17078.152248326907</v>
      </c>
      <c r="E106" s="162">
        <f t="shared" si="9"/>
        <v>327.75224832690947</v>
      </c>
      <c r="F106" s="163">
        <f t="shared" si="10"/>
        <v>1.9566831139967374E-2</v>
      </c>
    </row>
    <row r="107" spans="1:12">
      <c r="A107" s="1225">
        <f>IF(ISBLANK(B107),"",MAX($A$6:A106)+1)</f>
        <v>95</v>
      </c>
      <c r="B107" s="171">
        <f t="shared" si="15"/>
        <v>25000</v>
      </c>
      <c r="C107" s="162">
        <f t="shared" si="11"/>
        <v>18600.375</v>
      </c>
      <c r="D107" s="162">
        <f t="shared" si="12"/>
        <v>18964.138748199581</v>
      </c>
      <c r="E107" s="162">
        <f t="shared" si="9"/>
        <v>363.76374819958073</v>
      </c>
      <c r="F107" s="163">
        <f t="shared" si="10"/>
        <v>1.9556796473166844E-2</v>
      </c>
    </row>
    <row r="108" spans="1:12">
      <c r="A108" s="1225">
        <f>IF(ISBLANK(B108),"",MAX($A$6:A107)+1)</f>
        <v>96</v>
      </c>
      <c r="B108" s="171">
        <f t="shared" si="15"/>
        <v>27500</v>
      </c>
      <c r="C108" s="162">
        <f t="shared" si="11"/>
        <v>20450.349999999999</v>
      </c>
      <c r="D108" s="162">
        <f t="shared" si="12"/>
        <v>20850.125248072254</v>
      </c>
      <c r="E108" s="162">
        <f t="shared" si="9"/>
        <v>399.77524807225564</v>
      </c>
      <c r="F108" s="163">
        <f t="shared" si="10"/>
        <v>1.9548577313946006E-2</v>
      </c>
    </row>
    <row r="109" spans="1:12">
      <c r="A109" s="1225">
        <f>IF(ISBLANK(B109),"",MAX($A$6:A108)+1)</f>
        <v>97</v>
      </c>
      <c r="B109" s="171">
        <f t="shared" si="15"/>
        <v>30000</v>
      </c>
      <c r="C109" s="162">
        <f t="shared" si="11"/>
        <v>22300.324999999997</v>
      </c>
      <c r="D109" s="162">
        <f t="shared" si="12"/>
        <v>22736.111747944928</v>
      </c>
      <c r="E109" s="162">
        <f t="shared" si="9"/>
        <v>435.78674794493054</v>
      </c>
      <c r="F109" s="163">
        <f t="shared" si="10"/>
        <v>1.9541721833423082E-2</v>
      </c>
    </row>
    <row r="110" spans="1:12">
      <c r="A110" s="1225">
        <f>IF(ISBLANK(B110),"",MAX($A$6:A109)+1)</f>
        <v>98</v>
      </c>
      <c r="B110" s="171">
        <f t="shared" si="15"/>
        <v>32500</v>
      </c>
      <c r="C110" s="162">
        <f t="shared" si="11"/>
        <v>24150.299999999996</v>
      </c>
      <c r="D110" s="162">
        <f t="shared" si="12"/>
        <v>24622.098247817601</v>
      </c>
      <c r="E110" s="162">
        <f t="shared" si="9"/>
        <v>471.79824781760544</v>
      </c>
      <c r="F110" s="163">
        <f t="shared" si="10"/>
        <v>1.9535916647727171E-2</v>
      </c>
    </row>
    <row r="111" spans="1:12">
      <c r="A111" s="1225">
        <f>IF(ISBLANK(B111),"",MAX($A$6:A110)+1)</f>
        <v>99</v>
      </c>
      <c r="B111" s="171">
        <f t="shared" si="15"/>
        <v>35000</v>
      </c>
      <c r="C111" s="162">
        <f t="shared" si="11"/>
        <v>26000.274999999998</v>
      </c>
      <c r="D111" s="162">
        <f t="shared" si="12"/>
        <v>26508.084747690275</v>
      </c>
      <c r="E111" s="162">
        <f t="shared" si="9"/>
        <v>507.80974769027671</v>
      </c>
      <c r="F111" s="163">
        <f t="shared" si="10"/>
        <v>1.9530937564709479E-2</v>
      </c>
    </row>
    <row r="112" spans="1:12">
      <c r="A112" s="1225">
        <f>IF(ISBLANK(B112),"",MAX($A$6:A111)+1)</f>
        <v>100</v>
      </c>
      <c r="B112" s="171">
        <f>+B111+5000</f>
        <v>40000</v>
      </c>
      <c r="C112" s="162">
        <f t="shared" si="11"/>
        <v>29700.224999999999</v>
      </c>
      <c r="D112" s="162">
        <f t="shared" si="12"/>
        <v>30280.057747435621</v>
      </c>
      <c r="E112" s="162">
        <f t="shared" si="9"/>
        <v>579.83274743562288</v>
      </c>
      <c r="F112" s="163">
        <f t="shared" si="10"/>
        <v>1.952284022884079E-2</v>
      </c>
    </row>
    <row r="113" spans="1:10">
      <c r="A113" s="1225">
        <f>IF(ISBLANK(B113),"",MAX($A$6:A112)+1)</f>
        <v>101</v>
      </c>
      <c r="B113" s="171">
        <f>+B112+10000</f>
        <v>50000</v>
      </c>
      <c r="C113" s="162">
        <f t="shared" si="11"/>
        <v>37100.125</v>
      </c>
      <c r="D113" s="162">
        <f t="shared" si="12"/>
        <v>37824.003746926312</v>
      </c>
      <c r="E113" s="162">
        <f t="shared" si="9"/>
        <v>723.87874692631158</v>
      </c>
      <c r="F113" s="163">
        <f t="shared" si="10"/>
        <v>1.9511490781400645E-2</v>
      </c>
    </row>
    <row r="114" spans="1:10">
      <c r="A114" s="1225">
        <f>IF(ISBLANK(B114),"",MAX($A$6:A113)+1)</f>
        <v>102</v>
      </c>
      <c r="B114" s="171">
        <f>+B113+10000</f>
        <v>60000</v>
      </c>
      <c r="C114" s="162">
        <f t="shared" si="11"/>
        <v>44500.024999999994</v>
      </c>
      <c r="D114" s="162">
        <f t="shared" si="12"/>
        <v>45367.949746417005</v>
      </c>
      <c r="E114" s="162">
        <f t="shared" si="9"/>
        <v>867.92474641701119</v>
      </c>
      <c r="F114" s="163">
        <f t="shared" si="10"/>
        <v>1.9503915928519397E-2</v>
      </c>
    </row>
    <row r="115" spans="1:10">
      <c r="A115" s="1225">
        <f>IF(ISBLANK(B115),"",MAX($A$6:A114)+1)</f>
        <v>103</v>
      </c>
      <c r="B115" s="171">
        <f>+B114+10000</f>
        <v>70000</v>
      </c>
      <c r="C115" s="162">
        <f t="shared" si="11"/>
        <v>51899.924999999996</v>
      </c>
      <c r="D115" s="162">
        <f t="shared" si="12"/>
        <v>52911.895745907699</v>
      </c>
      <c r="E115" s="162">
        <f t="shared" si="9"/>
        <v>1011.9707459077035</v>
      </c>
      <c r="F115" s="163">
        <f t="shared" si="10"/>
        <v>1.9498501123223273E-2</v>
      </c>
    </row>
    <row r="116" spans="1:10">
      <c r="A116" s="1225">
        <f>IF(ISBLANK(B116),"",MAX($A$6:A115)+1)</f>
        <v>104</v>
      </c>
      <c r="B116" s="171">
        <f>+B115+10000</f>
        <v>80000</v>
      </c>
      <c r="C116" s="162">
        <f t="shared" si="11"/>
        <v>59299.824999999997</v>
      </c>
      <c r="D116" s="162">
        <f t="shared" si="12"/>
        <v>60455.841745398386</v>
      </c>
      <c r="E116" s="162">
        <f>D116-C116</f>
        <v>1156.0167453983886</v>
      </c>
      <c r="F116" s="163">
        <f>E116/C116</f>
        <v>1.9494437722175212E-2</v>
      </c>
    </row>
    <row r="117" spans="1:10">
      <c r="A117" s="1225" t="str">
        <f>IF(ISBLANK(B117),"",MAX($A$6:A116)+1)</f>
        <v/>
      </c>
    </row>
    <row r="118" spans="1:10">
      <c r="A118" s="1225">
        <f>IF(ISBLANK(B118),"",MAX($A$6:A117)+1)</f>
        <v>105</v>
      </c>
      <c r="B118" s="173">
        <f>'Exh IDM-4, Class Rates'!K22</f>
        <v>1992.4971459951169</v>
      </c>
      <c r="C118" s="174">
        <f>I$80+(((IF($B118&gt;$H$82,$H$82,$B118))*I$82)+(IF($B118&gt;$H$82,IF($B118&gt;$H$83,$H$83,$B118-$H$82),0)*I$83)+(+IF($B118&gt;=$H$84,$B118-$H$84,0)*+I$84))+($B118*I$85)</f>
        <v>1563.8912471966592</v>
      </c>
      <c r="D118" s="174">
        <f>J$80+(((IF($B118&gt;$H$82,$H$82,$B118))*J$82)+(IF($B118&gt;$H$82,IF($B118&gt;$H$83,$H$83,$B118-$H$82),0)*J$83)+(+IF($B118&gt;=$H$84,$B118-$H$84,0)*+J$84))+($B118*J$85)</f>
        <v>1595.2386272879498</v>
      </c>
      <c r="E118" s="174">
        <f>D118-C118</f>
        <v>31.347380091290688</v>
      </c>
      <c r="F118" s="175">
        <f>E118/C118</f>
        <v>2.0044475693231346E-2</v>
      </c>
      <c r="G118" s="12"/>
    </row>
    <row r="119" spans="1:10">
      <c r="A119" s="1225" t="str">
        <f>IF(ISBLANK(B119),"",MAX($A$6:A118)+1)</f>
        <v/>
      </c>
      <c r="G119" s="12"/>
    </row>
    <row r="120" spans="1:10">
      <c r="A120" s="1225" t="str">
        <f>IF(ISBLANK(B120),"",MAX($A$6:A119)+1)</f>
        <v/>
      </c>
      <c r="G120" s="12"/>
    </row>
    <row r="121" spans="1:10">
      <c r="A121" s="1225">
        <f>IF(ISBLANK(B121),"",MAX($A$6:A120)+1)</f>
        <v>106</v>
      </c>
      <c r="B121" s="169" t="str">
        <f>'Exh IDM-4, Class Rates'!B25</f>
        <v>Large Volume General Service - 511</v>
      </c>
      <c r="H121" s="1" t="s">
        <v>124</v>
      </c>
      <c r="I121" s="164">
        <f>'Exh IDM-4, Class Rates'!$D$26</f>
        <v>125</v>
      </c>
      <c r="J121" s="164">
        <f>'Exh IDM-4, Class Rates'!$F$26</f>
        <v>125</v>
      </c>
    </row>
    <row r="122" spans="1:10">
      <c r="A122" s="1225">
        <f>IF(ISBLANK(B122),"",MAX($A$6:A121)+1)</f>
        <v>107</v>
      </c>
      <c r="B122" s="171">
        <v>0</v>
      </c>
      <c r="C122" s="162">
        <f>I$121+(((IF($B122&gt;$H$123,$H$123,$B122))*I$123)+(IF($B122&gt;$H$123,IF($B122&gt;$H$124,$H$124,$B122-$H$123),0)*I$124)+(+IF($B122&gt;=$H$125,$B122-$H$125,0)*+I$125))+($B122*I$126)</f>
        <v>125</v>
      </c>
      <c r="D122" s="162">
        <f>J$121+(((IF($B122&gt;$H$123,$H$123,$B122))*J$123)+(IF($B122&gt;$H$123,IF($B122&gt;$H$124,$H$124,$B122-$H$123),0)*J$124)+(+IF($B122&gt;=$H$125,$B122-$H$125,0)*+J$125))+($B122*J$126)</f>
        <v>125</v>
      </c>
      <c r="E122" s="162">
        <f t="shared" ref="E122:E157" si="16">D122-C122</f>
        <v>0</v>
      </c>
      <c r="F122" s="163">
        <f t="shared" ref="F122:F157" si="17">E122/C122</f>
        <v>0</v>
      </c>
      <c r="H122" s="1" t="s">
        <v>3159</v>
      </c>
      <c r="I122" s="9" t="s">
        <v>70</v>
      </c>
      <c r="J122" s="9" t="s">
        <v>70</v>
      </c>
    </row>
    <row r="123" spans="1:10">
      <c r="A123" s="1225">
        <f>IF(ISBLANK(B123),"",MAX($A$6:A122)+1)</f>
        <v>108</v>
      </c>
      <c r="B123" s="171">
        <v>1000</v>
      </c>
      <c r="C123" s="162">
        <f t="shared" ref="C123:C158" si="18">I$121+(((IF($B123&gt;$H$123,$H$123,$B123))*I$123)+(IF($B123&gt;$H$123,IF($B123&gt;$H$124,$H$124,$B123-$H$123),0)*I$124)+(+IF($B123&gt;=$H$125,$B123-$H$125,0)*+I$125))+($B123*I$126)</f>
        <v>860.84</v>
      </c>
      <c r="D123" s="162">
        <f t="shared" ref="D123:D158" si="19">J$121+(((IF($B123&gt;$H$123,$H$123,$B123))*J$123)+(IF($B123&gt;$H$123,IF($B123&gt;$H$124,$H$124,$B123-$H$123),0)*J$124)+(+IF($B123&gt;=$H$125,$B123-$H$125,0)*+J$125))+($B123*J$126)</f>
        <v>875.35686845299449</v>
      </c>
      <c r="E123" s="162">
        <f t="shared" si="16"/>
        <v>14.516868452994458</v>
      </c>
      <c r="F123" s="163">
        <f t="shared" si="17"/>
        <v>1.6863608165273984E-2</v>
      </c>
      <c r="H123" s="161">
        <v>20000</v>
      </c>
      <c r="I123" s="9">
        <f>'Exh IDM-4, Class Rates'!$D$27</f>
        <v>0.16163</v>
      </c>
      <c r="J123" s="9">
        <f>'Exh IDM-4, Class Rates'!$F$27</f>
        <v>0.17614686845299443</v>
      </c>
    </row>
    <row r="124" spans="1:10">
      <c r="A124" s="1225">
        <f>IF(ISBLANK(B124),"",MAX($A$6:A123)+1)</f>
        <v>109</v>
      </c>
      <c r="B124" s="171">
        <f>+B123+1000</f>
        <v>2000</v>
      </c>
      <c r="C124" s="162">
        <f t="shared" si="18"/>
        <v>1596.68</v>
      </c>
      <c r="D124" s="162">
        <f t="shared" si="19"/>
        <v>1625.713736905989</v>
      </c>
      <c r="E124" s="162">
        <f t="shared" si="16"/>
        <v>29.033736905988917</v>
      </c>
      <c r="F124" s="163">
        <f t="shared" si="17"/>
        <v>1.8183816986490041E-2</v>
      </c>
      <c r="H124" s="161">
        <v>80000</v>
      </c>
      <c r="I124" s="9">
        <f>'Exh IDM-4, Class Rates'!$D$28</f>
        <v>0.12539</v>
      </c>
      <c r="J124" s="9">
        <f>'Exh IDM-4, Class Rates'!$F$28</f>
        <v>0.13665195708576525</v>
      </c>
    </row>
    <row r="125" spans="1:10">
      <c r="A125" s="1225">
        <f>IF(ISBLANK(B125),"",MAX($A$6:A124)+1)</f>
        <v>110</v>
      </c>
      <c r="B125" s="171">
        <f>+B124+1000</f>
        <v>3000</v>
      </c>
      <c r="C125" s="162">
        <f t="shared" si="18"/>
        <v>2332.52</v>
      </c>
      <c r="D125" s="162">
        <f t="shared" si="19"/>
        <v>2376.0706053589829</v>
      </c>
      <c r="E125" s="162">
        <f t="shared" si="16"/>
        <v>43.550605358982921</v>
      </c>
      <c r="F125" s="163">
        <f t="shared" si="17"/>
        <v>1.8671053349588823E-2</v>
      </c>
      <c r="H125" s="161">
        <v>100000</v>
      </c>
      <c r="I125" s="9">
        <f>'Exh IDM-4, Class Rates'!$D$29</f>
        <v>3.5740000000000001E-2</v>
      </c>
      <c r="J125" s="9">
        <f>'Exh IDM-4, Class Rates'!$F$29</f>
        <v>3.8950003183092954E-2</v>
      </c>
    </row>
    <row r="126" spans="1:10">
      <c r="A126" s="1225">
        <f>IF(ISBLANK(B126),"",MAX($A$6:A125)+1)</f>
        <v>111</v>
      </c>
      <c r="B126" s="171">
        <f>+B125+1000</f>
        <v>4000</v>
      </c>
      <c r="C126" s="162">
        <f t="shared" si="18"/>
        <v>3068.36</v>
      </c>
      <c r="D126" s="162">
        <f t="shared" si="19"/>
        <v>3126.427473811978</v>
      </c>
      <c r="E126" s="162">
        <f t="shared" si="16"/>
        <v>58.067473811977834</v>
      </c>
      <c r="F126" s="163">
        <f t="shared" si="17"/>
        <v>1.8924596139950275E-2</v>
      </c>
      <c r="H126" s="1" t="str">
        <f>$H$10</f>
        <v>Pass-Thru Rates</v>
      </c>
      <c r="I126" s="9">
        <f>R20</f>
        <v>0.57421</v>
      </c>
      <c r="J126" s="9">
        <f>I126</f>
        <v>0.57421</v>
      </c>
    </row>
    <row r="127" spans="1:10">
      <c r="A127" s="1225">
        <f>IF(ISBLANK(B127),"",MAX($A$6:A126)+1)</f>
        <v>112</v>
      </c>
      <c r="B127" s="171">
        <f>+B126+1000</f>
        <v>5000</v>
      </c>
      <c r="C127" s="162">
        <f t="shared" si="18"/>
        <v>3804.2000000000003</v>
      </c>
      <c r="D127" s="162">
        <f t="shared" si="19"/>
        <v>3876.7843422649721</v>
      </c>
      <c r="E127" s="162">
        <f t="shared" si="16"/>
        <v>72.584342264971838</v>
      </c>
      <c r="F127" s="163">
        <f t="shared" si="17"/>
        <v>1.9080054220328015E-2</v>
      </c>
    </row>
    <row r="128" spans="1:10">
      <c r="A128" s="1225">
        <f>IF(ISBLANK(B128),"",MAX($A$6:A127)+1)</f>
        <v>113</v>
      </c>
      <c r="B128" s="171">
        <f t="shared" ref="B128:B137" si="20">+B127+3000</f>
        <v>8000</v>
      </c>
      <c r="C128" s="162">
        <f t="shared" si="18"/>
        <v>6011.72</v>
      </c>
      <c r="D128" s="162">
        <f t="shared" si="19"/>
        <v>6127.8549476239559</v>
      </c>
      <c r="E128" s="162">
        <f t="shared" si="16"/>
        <v>116.13494762395567</v>
      </c>
      <c r="F128" s="163">
        <f t="shared" si="17"/>
        <v>1.9318089934986269E-2</v>
      </c>
    </row>
    <row r="129" spans="1:6">
      <c r="A129" s="1225">
        <f>IF(ISBLANK(B129),"",MAX($A$6:A128)+1)</f>
        <v>114</v>
      </c>
      <c r="B129" s="171">
        <f t="shared" si="20"/>
        <v>11000</v>
      </c>
      <c r="C129" s="162">
        <f t="shared" si="18"/>
        <v>8219.24</v>
      </c>
      <c r="D129" s="162">
        <f t="shared" si="19"/>
        <v>8378.9255529829388</v>
      </c>
      <c r="E129" s="162">
        <f t="shared" si="16"/>
        <v>159.68555298293904</v>
      </c>
      <c r="F129" s="163">
        <f t="shared" si="17"/>
        <v>1.9428262586679432E-2</v>
      </c>
    </row>
    <row r="130" spans="1:6">
      <c r="A130" s="1225">
        <f>IF(ISBLANK(B130),"",MAX($A$6:A129)+1)</f>
        <v>115</v>
      </c>
      <c r="B130" s="171">
        <f t="shared" si="20"/>
        <v>14000</v>
      </c>
      <c r="C130" s="162">
        <f t="shared" si="18"/>
        <v>10426.76</v>
      </c>
      <c r="D130" s="162">
        <f t="shared" si="19"/>
        <v>10629.996158341921</v>
      </c>
      <c r="E130" s="162">
        <f t="shared" si="16"/>
        <v>203.2361583419206</v>
      </c>
      <c r="F130" s="163">
        <f t="shared" si="17"/>
        <v>1.9491784441372065E-2</v>
      </c>
    </row>
    <row r="131" spans="1:6">
      <c r="A131" s="1225">
        <f>IF(ISBLANK(B131),"",MAX($A$6:A130)+1)</f>
        <v>116</v>
      </c>
      <c r="B131" s="171">
        <f t="shared" si="20"/>
        <v>17000</v>
      </c>
      <c r="C131" s="162">
        <f t="shared" si="18"/>
        <v>12634.279999999999</v>
      </c>
      <c r="D131" s="162">
        <f t="shared" si="19"/>
        <v>12881.066763700905</v>
      </c>
      <c r="E131" s="162">
        <f t="shared" si="16"/>
        <v>246.78676370090579</v>
      </c>
      <c r="F131" s="163">
        <f t="shared" si="17"/>
        <v>1.9533108629926344E-2</v>
      </c>
    </row>
    <row r="132" spans="1:6">
      <c r="A132" s="1225">
        <f>IF(ISBLANK(B132),"",MAX($A$6:A131)+1)</f>
        <v>117</v>
      </c>
      <c r="B132" s="171">
        <f t="shared" si="20"/>
        <v>20000</v>
      </c>
      <c r="C132" s="162">
        <f t="shared" si="18"/>
        <v>14841.800000000001</v>
      </c>
      <c r="D132" s="162">
        <f t="shared" si="19"/>
        <v>15132.137369059888</v>
      </c>
      <c r="E132" s="162">
        <f t="shared" si="16"/>
        <v>290.33736905988735</v>
      </c>
      <c r="F132" s="163">
        <f t="shared" si="17"/>
        <v>1.9562139973580518E-2</v>
      </c>
    </row>
    <row r="133" spans="1:6">
      <c r="A133" s="1225">
        <f>IF(ISBLANK(B133),"",MAX($A$6:A132)+1)</f>
        <v>118</v>
      </c>
      <c r="B133" s="171">
        <f t="shared" si="20"/>
        <v>23000</v>
      </c>
      <c r="C133" s="162">
        <f t="shared" si="18"/>
        <v>16940.599999999999</v>
      </c>
      <c r="D133" s="162">
        <f t="shared" si="19"/>
        <v>17264.723240317184</v>
      </c>
      <c r="E133" s="162">
        <f t="shared" si="16"/>
        <v>324.12324031718526</v>
      </c>
      <c r="F133" s="163">
        <f t="shared" si="17"/>
        <v>1.9132925652998435E-2</v>
      </c>
    </row>
    <row r="134" spans="1:6">
      <c r="A134" s="1225">
        <f>IF(ISBLANK(B134),"",MAX($A$6:A133)+1)</f>
        <v>119</v>
      </c>
      <c r="B134" s="171">
        <f t="shared" si="20"/>
        <v>26000</v>
      </c>
      <c r="C134" s="162">
        <f t="shared" si="18"/>
        <v>19039.400000000001</v>
      </c>
      <c r="D134" s="162">
        <f t="shared" si="19"/>
        <v>19397.309111574479</v>
      </c>
      <c r="E134" s="162">
        <f t="shared" si="16"/>
        <v>357.90911157447772</v>
      </c>
      <c r="F134" s="163">
        <f t="shared" si="17"/>
        <v>1.8798339841301602E-2</v>
      </c>
    </row>
    <row r="135" spans="1:6">
      <c r="A135" s="1225">
        <f>IF(ISBLANK(B135),"",MAX($A$6:A134)+1)</f>
        <v>120</v>
      </c>
      <c r="B135" s="171">
        <f t="shared" si="20"/>
        <v>29000</v>
      </c>
      <c r="C135" s="162">
        <f t="shared" si="18"/>
        <v>21138.2</v>
      </c>
      <c r="D135" s="162">
        <f t="shared" si="19"/>
        <v>21529.894982831778</v>
      </c>
      <c r="E135" s="162">
        <f t="shared" si="16"/>
        <v>391.69498283177745</v>
      </c>
      <c r="F135" s="163">
        <f t="shared" si="17"/>
        <v>1.8530195704070235E-2</v>
      </c>
    </row>
    <row r="136" spans="1:6">
      <c r="A136" s="1225">
        <f>IF(ISBLANK(B136),"",MAX($A$6:A135)+1)</f>
        <v>121</v>
      </c>
      <c r="B136" s="171">
        <f t="shared" si="20"/>
        <v>32000</v>
      </c>
      <c r="C136" s="162">
        <f t="shared" si="18"/>
        <v>23237</v>
      </c>
      <c r="D136" s="162">
        <f t="shared" si="19"/>
        <v>23662.480854089074</v>
      </c>
      <c r="E136" s="162">
        <f t="shared" si="16"/>
        <v>425.48085408907355</v>
      </c>
      <c r="F136" s="163">
        <f t="shared" si="17"/>
        <v>1.8310489912169107E-2</v>
      </c>
    </row>
    <row r="137" spans="1:6">
      <c r="A137" s="1225">
        <f>IF(ISBLANK(B137),"",MAX($A$6:A136)+1)</f>
        <v>122</v>
      </c>
      <c r="B137" s="171">
        <f t="shared" si="20"/>
        <v>35000</v>
      </c>
      <c r="C137" s="162">
        <f t="shared" si="18"/>
        <v>25335.8</v>
      </c>
      <c r="D137" s="162">
        <f t="shared" si="19"/>
        <v>25795.066725346365</v>
      </c>
      <c r="E137" s="162">
        <f t="shared" si="16"/>
        <v>459.266725346366</v>
      </c>
      <c r="F137" s="163">
        <f t="shared" si="17"/>
        <v>1.8127184669375587E-2</v>
      </c>
    </row>
    <row r="138" spans="1:6">
      <c r="A138" s="1225">
        <f>IF(ISBLANK(B138),"",MAX($A$6:A137)+1)</f>
        <v>123</v>
      </c>
      <c r="B138" s="171">
        <f>+B137+5000</f>
        <v>40000</v>
      </c>
      <c r="C138" s="162">
        <f t="shared" si="18"/>
        <v>28833.800000000003</v>
      </c>
      <c r="D138" s="162">
        <f t="shared" si="19"/>
        <v>29349.376510775197</v>
      </c>
      <c r="E138" s="162">
        <f t="shared" si="16"/>
        <v>515.57651077519404</v>
      </c>
      <c r="F138" s="163">
        <f t="shared" si="17"/>
        <v>1.7880976866566114E-2</v>
      </c>
    </row>
    <row r="139" spans="1:6">
      <c r="A139" s="1225">
        <f>IF(ISBLANK(B139),"",MAX($A$6:A138)+1)</f>
        <v>124</v>
      </c>
      <c r="B139" s="171">
        <f>+B138+5000</f>
        <v>45000</v>
      </c>
      <c r="C139" s="162">
        <f t="shared" si="18"/>
        <v>32331.800000000003</v>
      </c>
      <c r="D139" s="162">
        <f t="shared" si="19"/>
        <v>32903.686296204018</v>
      </c>
      <c r="E139" s="162">
        <f t="shared" si="16"/>
        <v>571.8862962040148</v>
      </c>
      <c r="F139" s="163">
        <f t="shared" si="17"/>
        <v>1.7688043851688269E-2</v>
      </c>
    </row>
    <row r="140" spans="1:6">
      <c r="A140" s="1225">
        <f>IF(ISBLANK(B140),"",MAX($A$6:A139)+1)</f>
        <v>125</v>
      </c>
      <c r="B140" s="171">
        <f>+B139+5000</f>
        <v>50000</v>
      </c>
      <c r="C140" s="162">
        <f t="shared" si="18"/>
        <v>35829.800000000003</v>
      </c>
      <c r="D140" s="162">
        <f t="shared" si="19"/>
        <v>36457.996081632846</v>
      </c>
      <c r="E140" s="162">
        <f t="shared" si="16"/>
        <v>628.19608163284283</v>
      </c>
      <c r="F140" s="163">
        <f t="shared" si="17"/>
        <v>1.7532782254794689E-2</v>
      </c>
    </row>
    <row r="141" spans="1:6">
      <c r="A141" s="1225">
        <f>IF(ISBLANK(B141),"",MAX($A$6:A140)+1)</f>
        <v>126</v>
      </c>
      <c r="B141" s="171">
        <f>+B140+5000</f>
        <v>55000</v>
      </c>
      <c r="C141" s="162">
        <f t="shared" si="18"/>
        <v>39327.800000000003</v>
      </c>
      <c r="D141" s="162">
        <f t="shared" si="19"/>
        <v>40012.305867061674</v>
      </c>
      <c r="E141" s="162">
        <f t="shared" si="16"/>
        <v>684.50586706167087</v>
      </c>
      <c r="F141" s="163">
        <f t="shared" si="17"/>
        <v>1.7405140055168883E-2</v>
      </c>
    </row>
    <row r="142" spans="1:6">
      <c r="A142" s="1225">
        <f>IF(ISBLANK(B142),"",MAX($A$6:A141)+1)</f>
        <v>127</v>
      </c>
      <c r="B142" s="171">
        <f>+B141+5000</f>
        <v>60000</v>
      </c>
      <c r="C142" s="162">
        <f t="shared" si="18"/>
        <v>42825.8</v>
      </c>
      <c r="D142" s="162">
        <f t="shared" si="19"/>
        <v>43566.615652490495</v>
      </c>
      <c r="E142" s="162">
        <f t="shared" si="16"/>
        <v>740.81565249049163</v>
      </c>
      <c r="F142" s="163">
        <f t="shared" si="17"/>
        <v>1.7298349417652247E-2</v>
      </c>
    </row>
    <row r="143" spans="1:6">
      <c r="A143" s="1225">
        <f>IF(ISBLANK(B143),"",MAX($A$6:A142)+1)</f>
        <v>128</v>
      </c>
      <c r="B143" s="171">
        <f>+B142+7500</f>
        <v>67500</v>
      </c>
      <c r="C143" s="162">
        <f t="shared" si="18"/>
        <v>48072.800000000003</v>
      </c>
      <c r="D143" s="162">
        <f t="shared" si="19"/>
        <v>48898.08033063374</v>
      </c>
      <c r="E143" s="162">
        <f t="shared" si="16"/>
        <v>825.28033063373732</v>
      </c>
      <c r="F143" s="163">
        <f t="shared" si="17"/>
        <v>1.7167303145099459E-2</v>
      </c>
    </row>
    <row r="144" spans="1:6">
      <c r="A144" s="1225">
        <f>IF(ISBLANK(B144),"",MAX($A$6:A143)+1)</f>
        <v>129</v>
      </c>
      <c r="B144" s="171">
        <f>+B143+7500</f>
        <v>75000</v>
      </c>
      <c r="C144" s="162">
        <f t="shared" si="18"/>
        <v>53319.8</v>
      </c>
      <c r="D144" s="162">
        <f t="shared" si="19"/>
        <v>54229.545008776979</v>
      </c>
      <c r="E144" s="162">
        <f t="shared" si="16"/>
        <v>909.74500877697574</v>
      </c>
      <c r="F144" s="163">
        <f t="shared" si="17"/>
        <v>1.7062048409352167E-2</v>
      </c>
    </row>
    <row r="145" spans="1:6">
      <c r="A145" s="1225">
        <f>IF(ISBLANK(B145),"",MAX($A$6:A144)+1)</f>
        <v>130</v>
      </c>
      <c r="B145" s="171">
        <f>+B144+7500</f>
        <v>82500</v>
      </c>
      <c r="C145" s="162">
        <f t="shared" si="18"/>
        <v>60761.125</v>
      </c>
      <c r="D145" s="162">
        <f t="shared" si="19"/>
        <v>61952.418935921101</v>
      </c>
      <c r="E145" s="162">
        <f t="shared" si="16"/>
        <v>1191.2939359211014</v>
      </c>
      <c r="F145" s="163">
        <f t="shared" si="17"/>
        <v>1.960618628968936E-2</v>
      </c>
    </row>
    <row r="146" spans="1:6">
      <c r="A146" s="1225">
        <f>IF(ISBLANK(B146),"",MAX($A$6:A145)+1)</f>
        <v>131</v>
      </c>
      <c r="B146" s="171">
        <f>+B145+7500</f>
        <v>90000</v>
      </c>
      <c r="C146" s="162">
        <f t="shared" si="18"/>
        <v>65067.700000000004</v>
      </c>
      <c r="D146" s="162">
        <f t="shared" si="19"/>
        <v>66258.993935921113</v>
      </c>
      <c r="E146" s="162">
        <f t="shared" si="16"/>
        <v>1191.2939359211086</v>
      </c>
      <c r="F146" s="163">
        <f t="shared" si="17"/>
        <v>1.8308529976026638E-2</v>
      </c>
    </row>
    <row r="147" spans="1:6">
      <c r="A147" s="1225">
        <f>IF(ISBLANK(B147),"",MAX($A$6:A146)+1)</f>
        <v>132</v>
      </c>
      <c r="B147" s="171">
        <f t="shared" ref="B147:B152" si="21">+B146+10000</f>
        <v>100000</v>
      </c>
      <c r="C147" s="162">
        <f t="shared" si="18"/>
        <v>70809.8</v>
      </c>
      <c r="D147" s="162">
        <f t="shared" si="19"/>
        <v>72001.093935921104</v>
      </c>
      <c r="E147" s="162">
        <f t="shared" si="16"/>
        <v>1191.2939359211014</v>
      </c>
      <c r="F147" s="163">
        <f t="shared" si="17"/>
        <v>1.6823856809666193E-2</v>
      </c>
    </row>
    <row r="148" spans="1:6">
      <c r="A148" s="1225">
        <f>IF(ISBLANK(B148),"",MAX($A$6:A147)+1)</f>
        <v>133</v>
      </c>
      <c r="B148" s="171">
        <f t="shared" si="21"/>
        <v>110000</v>
      </c>
      <c r="C148" s="162">
        <f t="shared" si="18"/>
        <v>76909.3</v>
      </c>
      <c r="D148" s="162">
        <f t="shared" si="19"/>
        <v>78132.693967752042</v>
      </c>
      <c r="E148" s="162">
        <f t="shared" si="16"/>
        <v>1223.3939677520393</v>
      </c>
      <c r="F148" s="163">
        <f t="shared" si="17"/>
        <v>1.5906970519196498E-2</v>
      </c>
    </row>
    <row r="149" spans="1:6">
      <c r="A149" s="1225">
        <f>IF(ISBLANK(B149),"",MAX($A$6:A148)+1)</f>
        <v>134</v>
      </c>
      <c r="B149" s="171">
        <f t="shared" si="21"/>
        <v>120000</v>
      </c>
      <c r="C149" s="162">
        <f t="shared" si="18"/>
        <v>83008.800000000003</v>
      </c>
      <c r="D149" s="162">
        <f t="shared" si="19"/>
        <v>84264.293999582966</v>
      </c>
      <c r="E149" s="162">
        <f t="shared" si="16"/>
        <v>1255.4939995829627</v>
      </c>
      <c r="F149" s="163">
        <f t="shared" si="17"/>
        <v>1.5124830133467328E-2</v>
      </c>
    </row>
    <row r="150" spans="1:6">
      <c r="A150" s="1225">
        <f>IF(ISBLANK(B150),"",MAX($A$6:A149)+1)</f>
        <v>135</v>
      </c>
      <c r="B150" s="171">
        <f t="shared" si="21"/>
        <v>130000</v>
      </c>
      <c r="C150" s="162">
        <f t="shared" si="18"/>
        <v>89108.3</v>
      </c>
      <c r="D150" s="162">
        <f t="shared" si="19"/>
        <v>90395.894031413904</v>
      </c>
      <c r="E150" s="162">
        <f t="shared" si="16"/>
        <v>1287.5940314139007</v>
      </c>
      <c r="F150" s="163">
        <f t="shared" si="17"/>
        <v>1.4449765413703332E-2</v>
      </c>
    </row>
    <row r="151" spans="1:6">
      <c r="A151" s="1225">
        <f>IF(ISBLANK(B151),"",MAX($A$6:A150)+1)</f>
        <v>136</v>
      </c>
      <c r="B151" s="171">
        <f t="shared" si="21"/>
        <v>140000</v>
      </c>
      <c r="C151" s="162">
        <f t="shared" si="18"/>
        <v>95207.799999999988</v>
      </c>
      <c r="D151" s="162">
        <f t="shared" si="19"/>
        <v>96527.494063244812</v>
      </c>
      <c r="E151" s="162">
        <f t="shared" si="16"/>
        <v>1319.6940632448241</v>
      </c>
      <c r="F151" s="163">
        <f t="shared" si="17"/>
        <v>1.3861196910807982E-2</v>
      </c>
    </row>
    <row r="152" spans="1:6">
      <c r="A152" s="1225">
        <f>IF(ISBLANK(B152),"",MAX($A$6:A151)+1)</f>
        <v>137</v>
      </c>
      <c r="B152" s="171">
        <f t="shared" si="21"/>
        <v>150000</v>
      </c>
      <c r="C152" s="162">
        <f t="shared" si="18"/>
        <v>101307.3</v>
      </c>
      <c r="D152" s="162">
        <f t="shared" si="19"/>
        <v>102659.09409507575</v>
      </c>
      <c r="E152" s="162">
        <f t="shared" si="16"/>
        <v>1351.7940950757475</v>
      </c>
      <c r="F152" s="163">
        <f t="shared" si="17"/>
        <v>1.3343501357510737E-2</v>
      </c>
    </row>
    <row r="153" spans="1:6">
      <c r="A153" s="1225">
        <f>IF(ISBLANK(B153),"",MAX($A$6:A152)+1)</f>
        <v>138</v>
      </c>
      <c r="B153" s="171">
        <f>+B152+15000</f>
        <v>165000</v>
      </c>
      <c r="C153" s="162">
        <f t="shared" si="18"/>
        <v>110456.54999999999</v>
      </c>
      <c r="D153" s="162">
        <f t="shared" si="19"/>
        <v>111856.49414282214</v>
      </c>
      <c r="E153" s="162">
        <f t="shared" si="16"/>
        <v>1399.9441428221471</v>
      </c>
      <c r="F153" s="163">
        <f t="shared" si="17"/>
        <v>1.2674161403937994E-2</v>
      </c>
    </row>
    <row r="154" spans="1:6">
      <c r="A154" s="1225">
        <f>IF(ISBLANK(B154),"",MAX($A$6:A153)+1)</f>
        <v>139</v>
      </c>
      <c r="B154" s="171">
        <f>+B153+15000</f>
        <v>180000</v>
      </c>
      <c r="C154" s="162">
        <f t="shared" si="18"/>
        <v>119605.8</v>
      </c>
      <c r="D154" s="162">
        <f t="shared" si="19"/>
        <v>121053.89419056855</v>
      </c>
      <c r="E154" s="162">
        <f t="shared" si="16"/>
        <v>1448.0941905685468</v>
      </c>
      <c r="F154" s="163">
        <f t="shared" si="17"/>
        <v>1.2107223818314385E-2</v>
      </c>
    </row>
    <row r="155" spans="1:6">
      <c r="A155" s="1225">
        <f>IF(ISBLANK(B155),"",MAX($A$6:A154)+1)</f>
        <v>140</v>
      </c>
      <c r="B155" s="171">
        <f>+B154+15000</f>
        <v>195000</v>
      </c>
      <c r="C155" s="162">
        <f t="shared" si="18"/>
        <v>128755.05</v>
      </c>
      <c r="D155" s="162">
        <f t="shared" si="19"/>
        <v>130251.29423831493</v>
      </c>
      <c r="E155" s="162">
        <f t="shared" si="16"/>
        <v>1496.2442383149319</v>
      </c>
      <c r="F155" s="163">
        <f t="shared" si="17"/>
        <v>1.1620858663912071E-2</v>
      </c>
    </row>
    <row r="156" spans="1:6">
      <c r="A156" s="1225">
        <f>IF(ISBLANK(B156),"",MAX($A$6:A155)+1)</f>
        <v>141</v>
      </c>
      <c r="B156" s="171">
        <f>+B155+15000</f>
        <v>210000</v>
      </c>
      <c r="C156" s="162">
        <f t="shared" si="18"/>
        <v>137904.30000000002</v>
      </c>
      <c r="D156" s="162">
        <f t="shared" si="19"/>
        <v>139448.69428606133</v>
      </c>
      <c r="E156" s="162">
        <f t="shared" si="16"/>
        <v>1544.394286061317</v>
      </c>
      <c r="F156" s="163">
        <f t="shared" si="17"/>
        <v>1.1199029225784234E-2</v>
      </c>
    </row>
    <row r="157" spans="1:6">
      <c r="A157" s="1225">
        <f>IF(ISBLANK(B157),"",MAX($A$6:A156)+1)</f>
        <v>142</v>
      </c>
      <c r="B157" s="171">
        <f>+B156+15000</f>
        <v>225000</v>
      </c>
      <c r="C157" s="162">
        <f t="shared" si="18"/>
        <v>147053.54999999999</v>
      </c>
      <c r="D157" s="162">
        <f t="shared" si="19"/>
        <v>148646.09433380773</v>
      </c>
      <c r="E157" s="162">
        <f t="shared" si="16"/>
        <v>1592.5443338077457</v>
      </c>
      <c r="F157" s="163">
        <f t="shared" si="17"/>
        <v>1.0829689822569709E-2</v>
      </c>
    </row>
    <row r="158" spans="1:6">
      <c r="A158" s="1225">
        <f>IF(ISBLANK(B158),"",MAX($A$6:A157)+1)</f>
        <v>143</v>
      </c>
      <c r="B158" s="171">
        <f>+B157+25000</f>
        <v>250000</v>
      </c>
      <c r="C158" s="162">
        <f t="shared" si="18"/>
        <v>162302.29999999999</v>
      </c>
      <c r="D158" s="162">
        <f t="shared" si="19"/>
        <v>163975.09441338506</v>
      </c>
      <c r="E158" s="162">
        <f>D158-C158</f>
        <v>1672.7944133850688</v>
      </c>
      <c r="F158" s="163">
        <f>E158/C158</f>
        <v>1.0306658706531385E-2</v>
      </c>
    </row>
    <row r="159" spans="1:6">
      <c r="A159" s="1225" t="str">
        <f>IF(ISBLANK(B159),"",MAX($A$6:A158)+1)</f>
        <v/>
      </c>
      <c r="B159" s="166"/>
    </row>
    <row r="160" spans="1:6">
      <c r="A160" s="1225">
        <f>IF(ISBLANK(B160),"",MAX($A$6:A159)+1)</f>
        <v>144</v>
      </c>
      <c r="B160" s="173">
        <f>'Exh IDM-4, Class Rates'!K29</f>
        <v>16638.679756823894</v>
      </c>
      <c r="C160" s="174">
        <f>I$121+(((IF($B160&gt;$H$123,$H$123,$B160))*I$123)+(IF($B160&gt;$H$123,IF($B160&gt;$H$124,$H$124,$B160-$H$123),0)*I$124)+(+IF($B160&gt;=$H$125,$B160-$H$125,0)*+I$125))+($B160*I$126)</f>
        <v>12368.406112261295</v>
      </c>
      <c r="D160" s="174">
        <f>J$121+(((IF($B160&gt;$H$123,$H$123,$B160))*J$123)+(IF($B160&gt;$H$123,IF($B160&gt;$H$124,$H$124,$B160-$H$123),0)*J$124)+(+IF($B160&gt;=$H$125,$B160-$H$125,0)*+J$125))+($B160*J$126)</f>
        <v>12609.947637522608</v>
      </c>
      <c r="E160" s="174">
        <f>D160-C160</f>
        <v>241.54152526131293</v>
      </c>
      <c r="F160" s="175">
        <f>E160/C160</f>
        <v>1.952891286629594E-2</v>
      </c>
    </row>
    <row r="161" spans="1:12">
      <c r="A161" s="1225" t="str">
        <f>IF(ISBLANK(B161),"",MAX($A$6:A160)+1)</f>
        <v/>
      </c>
    </row>
    <row r="162" spans="1:12">
      <c r="A162" s="1225" t="str">
        <f>IF(ISBLANK(B162),"",MAX($A$6:A161)+1)</f>
        <v/>
      </c>
      <c r="B162" s="1225"/>
      <c r="C162" s="1225"/>
      <c r="D162" s="1225"/>
    </row>
    <row r="163" spans="1:12">
      <c r="A163" s="1225">
        <f>IF(ISBLANK(B163),"",MAX($A$6:A162)+1)</f>
        <v>145</v>
      </c>
      <c r="B163" s="167" t="str">
        <f>'Exh IDM-4, Class Rates'!B32</f>
        <v>Interruptible Service - 570</v>
      </c>
      <c r="H163" s="1" t="s">
        <v>124</v>
      </c>
      <c r="I163" s="164">
        <f>'Exh IDM-4, Class Rates'!$D$33</f>
        <v>163</v>
      </c>
      <c r="J163" s="164">
        <f>'Exh IDM-4, Class Rates'!$F$33</f>
        <v>163</v>
      </c>
    </row>
    <row r="164" spans="1:12">
      <c r="A164" s="1225">
        <f>IF(ISBLANK(B164),"",MAX($A$6:A163)+1)</f>
        <v>146</v>
      </c>
      <c r="B164" s="171">
        <v>0</v>
      </c>
      <c r="C164" s="162">
        <f>I$163+(((IF($B164&gt;$H$165,$H$165,$B164))*I$165)+(+IF($B164&gt;=$H$166,$B164-$H$166,0)*+I$166))+($B164*I$167)</f>
        <v>163</v>
      </c>
      <c r="D164" s="162">
        <f>J$163+(((IF($B164&gt;$H$165,$H$165,$B164))*J$165)+(+IF($B164&gt;=$H$166,$B164-$H$166,0)*+J$166))+($B164*J$167)</f>
        <v>163</v>
      </c>
      <c r="E164" s="162">
        <f t="shared" ref="E164:E199" si="22">D164-C164</f>
        <v>0</v>
      </c>
      <c r="F164" s="163">
        <f t="shared" ref="F164:F199" si="23">E164/C164</f>
        <v>0</v>
      </c>
      <c r="H164" s="1" t="s">
        <v>3159</v>
      </c>
      <c r="I164" s="9" t="s">
        <v>70</v>
      </c>
      <c r="J164" s="9" t="s">
        <v>70</v>
      </c>
      <c r="L164" s="9"/>
    </row>
    <row r="165" spans="1:12">
      <c r="A165" s="1225">
        <f>IF(ISBLANK(B165),"",MAX($A$6:A164)+1)</f>
        <v>147</v>
      </c>
      <c r="B165" s="171">
        <v>1000</v>
      </c>
      <c r="C165" s="162">
        <f t="shared" ref="C165:C200" si="24">I$163+(((IF($B165&gt;$H$165,$H$165,$B165))*I$165)+(+IF($B165&gt;=$H$166,$B165-$H$166,0)*+I$166))+($B165*I$167)</f>
        <v>847.92000000000007</v>
      </c>
      <c r="D165" s="162">
        <f t="shared" ref="D165:D200" si="25">J$163+(((IF($B165&gt;$H$165,$H$165,$B165))*J$165)+(+IF($B165&gt;=$H$166,$B165-$H$166,0)*+J$166))+($B165*J$167)</f>
        <v>856.04021092780431</v>
      </c>
      <c r="E165" s="162">
        <f t="shared" si="22"/>
        <v>8.1202109278042371</v>
      </c>
      <c r="F165" s="163">
        <f t="shared" si="23"/>
        <v>9.5766238888152621E-3</v>
      </c>
      <c r="H165" s="161">
        <v>30000</v>
      </c>
      <c r="I165" s="9">
        <f>'Exh IDM-4, Class Rates'!D34</f>
        <v>9.0410000000000004E-2</v>
      </c>
      <c r="J165" s="9">
        <f>'Exh IDM-4, Class Rates'!F34</f>
        <v>9.8530210927804257E-2</v>
      </c>
    </row>
    <row r="166" spans="1:12">
      <c r="A166" s="1225">
        <f>IF(ISBLANK(B166),"",MAX($A$6:A165)+1)</f>
        <v>148</v>
      </c>
      <c r="B166" s="171">
        <f>+B165+1000</f>
        <v>2000</v>
      </c>
      <c r="C166" s="162">
        <f t="shared" si="24"/>
        <v>1532.8400000000001</v>
      </c>
      <c r="D166" s="162">
        <f t="shared" si="25"/>
        <v>1549.0804218556086</v>
      </c>
      <c r="E166" s="162">
        <f t="shared" si="22"/>
        <v>16.240421855608474</v>
      </c>
      <c r="F166" s="163">
        <f t="shared" si="23"/>
        <v>1.0594988293369479E-2</v>
      </c>
      <c r="H166" s="161">
        <v>30000</v>
      </c>
      <c r="I166" s="9">
        <f>'Exh IDM-4, Class Rates'!D35</f>
        <v>2.9229999999999999E-2</v>
      </c>
      <c r="J166" s="9">
        <f>'Exh IDM-4, Class Rates'!F35</f>
        <v>3.1855305192986093E-2</v>
      </c>
    </row>
    <row r="167" spans="1:12">
      <c r="A167" s="1225">
        <f>IF(ISBLANK(B167),"",MAX($A$6:A166)+1)</f>
        <v>149</v>
      </c>
      <c r="B167" s="171">
        <f>+B166+1000</f>
        <v>3000</v>
      </c>
      <c r="C167" s="162">
        <f t="shared" si="24"/>
        <v>2217.7600000000002</v>
      </c>
      <c r="D167" s="162">
        <f t="shared" si="25"/>
        <v>2242.1206327834129</v>
      </c>
      <c r="E167" s="162">
        <f t="shared" si="22"/>
        <v>24.360632783412711</v>
      </c>
      <c r="F167" s="163">
        <f t="shared" si="23"/>
        <v>1.0984341309885971E-2</v>
      </c>
      <c r="H167" s="1" t="str">
        <f>$H$10</f>
        <v>Pass-Thru Rates</v>
      </c>
      <c r="I167" s="9">
        <f>S20</f>
        <v>0.59450999999999998</v>
      </c>
      <c r="J167" s="9">
        <f>I167</f>
        <v>0.59450999999999998</v>
      </c>
    </row>
    <row r="168" spans="1:12">
      <c r="A168" s="1225">
        <f>IF(ISBLANK(B168),"",MAX($A$6:A167)+1)</f>
        <v>150</v>
      </c>
      <c r="B168" s="171">
        <f>+B167+1000</f>
        <v>4000</v>
      </c>
      <c r="C168" s="162">
        <f t="shared" si="24"/>
        <v>2902.6800000000003</v>
      </c>
      <c r="D168" s="162">
        <f t="shared" si="25"/>
        <v>2935.1608437112172</v>
      </c>
      <c r="E168" s="162">
        <f t="shared" si="22"/>
        <v>32.480843711216949</v>
      </c>
      <c r="F168" s="163">
        <f t="shared" si="23"/>
        <v>1.1189949877773969E-2</v>
      </c>
    </row>
    <row r="169" spans="1:12">
      <c r="A169" s="1225">
        <f>IF(ISBLANK(B169),"",MAX($A$6:A168)+1)</f>
        <v>151</v>
      </c>
      <c r="B169" s="171">
        <f>+B168+1000</f>
        <v>5000</v>
      </c>
      <c r="C169" s="162">
        <f t="shared" si="24"/>
        <v>3587.5999999999995</v>
      </c>
      <c r="D169" s="162">
        <f t="shared" si="25"/>
        <v>3628.2010546390211</v>
      </c>
      <c r="E169" s="162">
        <f t="shared" si="22"/>
        <v>40.60105463902164</v>
      </c>
      <c r="F169" s="163">
        <f t="shared" si="23"/>
        <v>1.1317051688878818E-2</v>
      </c>
    </row>
    <row r="170" spans="1:12">
      <c r="A170" s="1225">
        <f>IF(ISBLANK(B170),"",MAX($A$6:A169)+1)</f>
        <v>152</v>
      </c>
      <c r="B170" s="171">
        <f t="shared" ref="B170:B175" si="26">+B169+1500</f>
        <v>6500</v>
      </c>
      <c r="C170" s="162">
        <f t="shared" si="24"/>
        <v>4614.9800000000005</v>
      </c>
      <c r="D170" s="162">
        <f t="shared" si="25"/>
        <v>4667.7613710307278</v>
      </c>
      <c r="E170" s="162">
        <f t="shared" si="22"/>
        <v>52.781371030727314</v>
      </c>
      <c r="F170" s="163">
        <f t="shared" si="23"/>
        <v>1.1436966364042164E-2</v>
      </c>
    </row>
    <row r="171" spans="1:12">
      <c r="A171" s="1225">
        <f>IF(ISBLANK(B171),"",MAX($A$6:A170)+1)</f>
        <v>153</v>
      </c>
      <c r="B171" s="171">
        <f t="shared" si="26"/>
        <v>8000</v>
      </c>
      <c r="C171" s="162">
        <f t="shared" si="24"/>
        <v>5642.36</v>
      </c>
      <c r="D171" s="162">
        <f t="shared" si="25"/>
        <v>5707.3216874224345</v>
      </c>
      <c r="E171" s="162">
        <f t="shared" si="22"/>
        <v>64.961687422434807</v>
      </c>
      <c r="F171" s="163">
        <f t="shared" si="23"/>
        <v>1.1513212099624059E-2</v>
      </c>
    </row>
    <row r="172" spans="1:12">
      <c r="A172" s="1225">
        <f>IF(ISBLANK(B172),"",MAX($A$6:A171)+1)</f>
        <v>154</v>
      </c>
      <c r="B172" s="171">
        <f t="shared" si="26"/>
        <v>9500</v>
      </c>
      <c r="C172" s="162">
        <f t="shared" si="24"/>
        <v>6669.7400000000007</v>
      </c>
      <c r="D172" s="162">
        <f t="shared" si="25"/>
        <v>6746.8820038141403</v>
      </c>
      <c r="E172" s="162">
        <f t="shared" si="22"/>
        <v>77.142003814139571</v>
      </c>
      <c r="F172" s="163">
        <f t="shared" si="23"/>
        <v>1.1565968660568412E-2</v>
      </c>
    </row>
    <row r="173" spans="1:12">
      <c r="A173" s="1225">
        <f>IF(ISBLANK(B173),"",MAX($A$6:A172)+1)</f>
        <v>155</v>
      </c>
      <c r="B173" s="171">
        <f t="shared" si="26"/>
        <v>11000</v>
      </c>
      <c r="C173" s="162">
        <f t="shared" si="24"/>
        <v>7697.12</v>
      </c>
      <c r="D173" s="162">
        <f t="shared" si="25"/>
        <v>7786.442320205846</v>
      </c>
      <c r="E173" s="162">
        <f t="shared" si="22"/>
        <v>89.322320205846154</v>
      </c>
      <c r="F173" s="163">
        <f t="shared" si="23"/>
        <v>1.1604641762873147E-2</v>
      </c>
    </row>
    <row r="174" spans="1:12">
      <c r="A174" s="1225">
        <f>IF(ISBLANK(B174),"",MAX($A$6:A173)+1)</f>
        <v>156</v>
      </c>
      <c r="B174" s="171">
        <f t="shared" si="26"/>
        <v>12500</v>
      </c>
      <c r="C174" s="162">
        <f t="shared" si="24"/>
        <v>8724.5</v>
      </c>
      <c r="D174" s="162">
        <f t="shared" si="25"/>
        <v>8826.0026365975536</v>
      </c>
      <c r="E174" s="162">
        <f t="shared" si="22"/>
        <v>101.50263659755365</v>
      </c>
      <c r="F174" s="163">
        <f t="shared" si="23"/>
        <v>1.1634206727898866E-2</v>
      </c>
    </row>
    <row r="175" spans="1:12">
      <c r="A175" s="1225">
        <f>IF(ISBLANK(B175),"",MAX($A$6:A174)+1)</f>
        <v>157</v>
      </c>
      <c r="B175" s="171">
        <f t="shared" si="26"/>
        <v>14000</v>
      </c>
      <c r="C175" s="162">
        <f t="shared" si="24"/>
        <v>9751.8799999999992</v>
      </c>
      <c r="D175" s="162">
        <f t="shared" si="25"/>
        <v>9865.5629529892594</v>
      </c>
      <c r="E175" s="162">
        <f t="shared" si="22"/>
        <v>113.68295298926023</v>
      </c>
      <c r="F175" s="163">
        <f t="shared" si="23"/>
        <v>1.1657542236908189E-2</v>
      </c>
    </row>
    <row r="176" spans="1:12">
      <c r="A176" s="1225">
        <f>IF(ISBLANK(B176),"",MAX($A$6:A175)+1)</f>
        <v>158</v>
      </c>
      <c r="B176" s="171">
        <f t="shared" ref="B176:B183" si="27">+B175+2000</f>
        <v>16000</v>
      </c>
      <c r="C176" s="162">
        <f t="shared" si="24"/>
        <v>11121.72</v>
      </c>
      <c r="D176" s="162">
        <f t="shared" si="25"/>
        <v>11251.643374844869</v>
      </c>
      <c r="E176" s="162">
        <f t="shared" si="22"/>
        <v>129.92337484486961</v>
      </c>
      <c r="F176" s="163">
        <f t="shared" si="23"/>
        <v>1.1681949810359334E-2</v>
      </c>
    </row>
    <row r="177" spans="1:6">
      <c r="A177" s="1225">
        <f>IF(ISBLANK(B177),"",MAX($A$6:A176)+1)</f>
        <v>159</v>
      </c>
      <c r="B177" s="171">
        <f t="shared" si="27"/>
        <v>18000</v>
      </c>
      <c r="C177" s="162">
        <f t="shared" si="24"/>
        <v>12491.560000000001</v>
      </c>
      <c r="D177" s="162">
        <f t="shared" si="25"/>
        <v>12637.723796700477</v>
      </c>
      <c r="E177" s="162">
        <f t="shared" si="22"/>
        <v>146.16379670047536</v>
      </c>
      <c r="F177" s="163">
        <f t="shared" si="23"/>
        <v>1.1701004254110402E-2</v>
      </c>
    </row>
    <row r="178" spans="1:6">
      <c r="A178" s="1225">
        <f>IF(ISBLANK(B178),"",MAX($A$6:A177)+1)</f>
        <v>160</v>
      </c>
      <c r="B178" s="171">
        <f t="shared" si="27"/>
        <v>20000</v>
      </c>
      <c r="C178" s="162">
        <f t="shared" si="24"/>
        <v>13861.4</v>
      </c>
      <c r="D178" s="162">
        <f t="shared" si="25"/>
        <v>14023.804218556084</v>
      </c>
      <c r="E178" s="162">
        <f t="shared" si="22"/>
        <v>162.40421855608474</v>
      </c>
      <c r="F178" s="163">
        <f t="shared" si="23"/>
        <v>1.1716292622396349E-2</v>
      </c>
    </row>
    <row r="179" spans="1:6">
      <c r="A179" s="1225">
        <f>IF(ISBLANK(B179),"",MAX($A$6:A178)+1)</f>
        <v>161</v>
      </c>
      <c r="B179" s="171">
        <f t="shared" si="27"/>
        <v>22000</v>
      </c>
      <c r="C179" s="162">
        <f t="shared" si="24"/>
        <v>15231.24</v>
      </c>
      <c r="D179" s="162">
        <f t="shared" si="25"/>
        <v>15409.884640411692</v>
      </c>
      <c r="E179" s="162">
        <f t="shared" si="22"/>
        <v>178.64464041169231</v>
      </c>
      <c r="F179" s="163">
        <f t="shared" si="23"/>
        <v>1.1728831034879124E-2</v>
      </c>
    </row>
    <row r="180" spans="1:6">
      <c r="A180" s="1225">
        <f>IF(ISBLANK(B180),"",MAX($A$6:A179)+1)</f>
        <v>162</v>
      </c>
      <c r="B180" s="171">
        <f t="shared" si="27"/>
        <v>24000</v>
      </c>
      <c r="C180" s="162">
        <f t="shared" si="24"/>
        <v>16601.080000000002</v>
      </c>
      <c r="D180" s="162">
        <f t="shared" si="25"/>
        <v>16795.965062267303</v>
      </c>
      <c r="E180" s="162">
        <f t="shared" si="22"/>
        <v>194.88506226730169</v>
      </c>
      <c r="F180" s="163">
        <f t="shared" si="23"/>
        <v>1.1739300230304395E-2</v>
      </c>
    </row>
    <row r="181" spans="1:6">
      <c r="A181" s="1225">
        <f>IF(ISBLANK(B181),"",MAX($A$6:A180)+1)</f>
        <v>163</v>
      </c>
      <c r="B181" s="171">
        <f t="shared" si="27"/>
        <v>26000</v>
      </c>
      <c r="C181" s="162">
        <f t="shared" si="24"/>
        <v>17970.920000000002</v>
      </c>
      <c r="D181" s="162">
        <f t="shared" si="25"/>
        <v>18182.045484122911</v>
      </c>
      <c r="E181" s="162">
        <f t="shared" si="22"/>
        <v>211.12548412290926</v>
      </c>
      <c r="F181" s="163">
        <f t="shared" si="23"/>
        <v>1.1748173389170351E-2</v>
      </c>
    </row>
    <row r="182" spans="1:6">
      <c r="A182" s="1225">
        <f>IF(ISBLANK(B182),"",MAX($A$6:A181)+1)</f>
        <v>164</v>
      </c>
      <c r="B182" s="171">
        <f t="shared" si="27"/>
        <v>28000</v>
      </c>
      <c r="C182" s="162">
        <f t="shared" si="24"/>
        <v>19340.759999999998</v>
      </c>
      <c r="D182" s="162">
        <f t="shared" si="25"/>
        <v>19568.125905978519</v>
      </c>
      <c r="E182" s="162">
        <f t="shared" si="22"/>
        <v>227.36590597852046</v>
      </c>
      <c r="F182" s="163">
        <f t="shared" si="23"/>
        <v>1.1755789636938801E-2</v>
      </c>
    </row>
    <row r="183" spans="1:6">
      <c r="A183" s="1225">
        <f>IF(ISBLANK(B183),"",MAX($A$6:A182)+1)</f>
        <v>165</v>
      </c>
      <c r="B183" s="171">
        <f t="shared" si="27"/>
        <v>30000</v>
      </c>
      <c r="C183" s="162">
        <f t="shared" si="24"/>
        <v>20710.599999999999</v>
      </c>
      <c r="D183" s="162">
        <f t="shared" si="25"/>
        <v>20954.206327834127</v>
      </c>
      <c r="E183" s="162">
        <f t="shared" si="22"/>
        <v>243.60632783412802</v>
      </c>
      <c r="F183" s="163">
        <f t="shared" si="23"/>
        <v>1.1762398377358842E-2</v>
      </c>
    </row>
    <row r="184" spans="1:6">
      <c r="A184" s="1225">
        <f>IF(ISBLANK(B184),"",MAX($A$6:A183)+1)</f>
        <v>166</v>
      </c>
      <c r="B184" s="171">
        <f t="shared" ref="B184:B189" si="28">+B183+5000</f>
        <v>35000</v>
      </c>
      <c r="C184" s="162">
        <f t="shared" si="24"/>
        <v>23829.3</v>
      </c>
      <c r="D184" s="162">
        <f t="shared" si="25"/>
        <v>24086.032853799057</v>
      </c>
      <c r="E184" s="162">
        <f t="shared" si="22"/>
        <v>256.73285379905792</v>
      </c>
      <c r="F184" s="163">
        <f t="shared" si="23"/>
        <v>1.0773831115435952E-2</v>
      </c>
    </row>
    <row r="185" spans="1:6">
      <c r="A185" s="1225">
        <f>IF(ISBLANK(B185),"",MAX($A$6:A184)+1)</f>
        <v>167</v>
      </c>
      <c r="B185" s="171">
        <f t="shared" si="28"/>
        <v>40000</v>
      </c>
      <c r="C185" s="162">
        <f t="shared" si="24"/>
        <v>26948</v>
      </c>
      <c r="D185" s="162">
        <f t="shared" si="25"/>
        <v>27217.859379763988</v>
      </c>
      <c r="E185" s="162">
        <f t="shared" si="22"/>
        <v>269.85937976398782</v>
      </c>
      <c r="F185" s="163">
        <f t="shared" si="23"/>
        <v>1.0014078215971049E-2</v>
      </c>
    </row>
    <row r="186" spans="1:6">
      <c r="A186" s="1225">
        <f>IF(ISBLANK(B186),"",MAX($A$6:A185)+1)</f>
        <v>168</v>
      </c>
      <c r="B186" s="171">
        <f t="shared" si="28"/>
        <v>45000</v>
      </c>
      <c r="C186" s="162">
        <f t="shared" si="24"/>
        <v>30066.7</v>
      </c>
      <c r="D186" s="162">
        <f t="shared" si="25"/>
        <v>30349.685905728918</v>
      </c>
      <c r="E186" s="162">
        <f t="shared" si="22"/>
        <v>282.98590572891771</v>
      </c>
      <c r="F186" s="163">
        <f t="shared" si="23"/>
        <v>9.4119376495896689E-3</v>
      </c>
    </row>
    <row r="187" spans="1:6">
      <c r="A187" s="1225">
        <f>IF(ISBLANK(B187),"",MAX($A$6:A186)+1)</f>
        <v>169</v>
      </c>
      <c r="B187" s="171">
        <f t="shared" si="28"/>
        <v>50000</v>
      </c>
      <c r="C187" s="162">
        <f t="shared" si="24"/>
        <v>33185.4</v>
      </c>
      <c r="D187" s="162">
        <f t="shared" si="25"/>
        <v>33481.512431693853</v>
      </c>
      <c r="E187" s="162">
        <f t="shared" si="22"/>
        <v>296.11243169385125</v>
      </c>
      <c r="F187" s="163">
        <f t="shared" si="23"/>
        <v>8.9229731054575583E-3</v>
      </c>
    </row>
    <row r="188" spans="1:6">
      <c r="A188" s="1225">
        <f>IF(ISBLANK(B188),"",MAX($A$6:A187)+1)</f>
        <v>170</v>
      </c>
      <c r="B188" s="171">
        <f t="shared" si="28"/>
        <v>55000</v>
      </c>
      <c r="C188" s="162">
        <f t="shared" si="24"/>
        <v>36304.1</v>
      </c>
      <c r="D188" s="162">
        <f t="shared" si="25"/>
        <v>36613.33895765878</v>
      </c>
      <c r="E188" s="162">
        <f t="shared" si="22"/>
        <v>309.23895765878115</v>
      </c>
      <c r="F188" s="163">
        <f t="shared" si="23"/>
        <v>8.5180174597023796E-3</v>
      </c>
    </row>
    <row r="189" spans="1:6">
      <c r="A189" s="1225">
        <f>IF(ISBLANK(B189),"",MAX($A$6:A188)+1)</f>
        <v>171</v>
      </c>
      <c r="B189" s="171">
        <f t="shared" si="28"/>
        <v>60000</v>
      </c>
      <c r="C189" s="162">
        <f t="shared" si="24"/>
        <v>39422.799999999996</v>
      </c>
      <c r="D189" s="162">
        <f t="shared" si="25"/>
        <v>39745.165483623707</v>
      </c>
      <c r="E189" s="162">
        <f t="shared" si="22"/>
        <v>322.36548362371104</v>
      </c>
      <c r="F189" s="163">
        <f t="shared" si="23"/>
        <v>8.1771331215365495E-3</v>
      </c>
    </row>
    <row r="190" spans="1:6">
      <c r="A190" s="1225">
        <f>IF(ISBLANK(B190),"",MAX($A$6:A189)+1)</f>
        <v>172</v>
      </c>
      <c r="B190" s="171">
        <f t="shared" ref="B190:B195" si="29">+B189+10000</f>
        <v>70000</v>
      </c>
      <c r="C190" s="162">
        <f t="shared" si="24"/>
        <v>45660.2</v>
      </c>
      <c r="D190" s="162">
        <f t="shared" si="25"/>
        <v>46008.818535553568</v>
      </c>
      <c r="E190" s="162">
        <f t="shared" si="22"/>
        <v>348.61853555357084</v>
      </c>
      <c r="F190" s="163">
        <f t="shared" si="23"/>
        <v>7.6350636999743945E-3</v>
      </c>
    </row>
    <row r="191" spans="1:6">
      <c r="A191" s="1225">
        <f>IF(ISBLANK(B191),"",MAX($A$6:A190)+1)</f>
        <v>173</v>
      </c>
      <c r="B191" s="171">
        <f t="shared" si="29"/>
        <v>80000</v>
      </c>
      <c r="C191" s="162">
        <f t="shared" si="24"/>
        <v>51897.599999999999</v>
      </c>
      <c r="D191" s="162">
        <f t="shared" si="25"/>
        <v>52272.471587483429</v>
      </c>
      <c r="E191" s="162">
        <f t="shared" si="22"/>
        <v>374.87158748343063</v>
      </c>
      <c r="F191" s="163">
        <f t="shared" si="23"/>
        <v>7.2232933215299099E-3</v>
      </c>
    </row>
    <row r="192" spans="1:6">
      <c r="A192" s="1225">
        <f>IF(ISBLANK(B192),"",MAX($A$6:A191)+1)</f>
        <v>174</v>
      </c>
      <c r="B192" s="171">
        <f t="shared" si="29"/>
        <v>90000</v>
      </c>
      <c r="C192" s="162">
        <f t="shared" si="24"/>
        <v>58135</v>
      </c>
      <c r="D192" s="162">
        <f t="shared" si="25"/>
        <v>58536.124639413298</v>
      </c>
      <c r="E192" s="162">
        <f t="shared" si="22"/>
        <v>401.1246394132977</v>
      </c>
      <c r="F192" s="163">
        <f t="shared" si="23"/>
        <v>6.8998819887038394E-3</v>
      </c>
    </row>
    <row r="193" spans="1:13">
      <c r="A193" s="1225">
        <f>IF(ISBLANK(B193),"",MAX($A$6:A192)+1)</f>
        <v>175</v>
      </c>
      <c r="B193" s="171">
        <f t="shared" si="29"/>
        <v>100000</v>
      </c>
      <c r="C193" s="162">
        <f t="shared" si="24"/>
        <v>64372.4</v>
      </c>
      <c r="D193" s="162">
        <f t="shared" si="25"/>
        <v>64799.777691343152</v>
      </c>
      <c r="E193" s="162">
        <f t="shared" si="22"/>
        <v>427.37769134315022</v>
      </c>
      <c r="F193" s="163">
        <f t="shared" si="23"/>
        <v>6.6391449028333606E-3</v>
      </c>
    </row>
    <row r="194" spans="1:13">
      <c r="A194" s="1225">
        <f>IF(ISBLANK(B194),"",MAX($A$6:A193)+1)</f>
        <v>176</v>
      </c>
      <c r="B194" s="171">
        <f t="shared" si="29"/>
        <v>110000</v>
      </c>
      <c r="C194" s="162">
        <f t="shared" si="24"/>
        <v>70609.8</v>
      </c>
      <c r="D194" s="162">
        <f t="shared" si="25"/>
        <v>71063.430743273013</v>
      </c>
      <c r="E194" s="162">
        <f t="shared" si="22"/>
        <v>453.63074327301001</v>
      </c>
      <c r="F194" s="163">
        <f t="shared" si="23"/>
        <v>6.4244728532443091E-3</v>
      </c>
    </row>
    <row r="195" spans="1:13">
      <c r="A195" s="1225">
        <f>IF(ISBLANK(B195),"",MAX($A$6:A194)+1)</f>
        <v>177</v>
      </c>
      <c r="B195" s="171">
        <f t="shared" si="29"/>
        <v>120000</v>
      </c>
      <c r="C195" s="162">
        <f t="shared" si="24"/>
        <v>76847.199999999997</v>
      </c>
      <c r="D195" s="162">
        <f t="shared" si="25"/>
        <v>77327.083795202867</v>
      </c>
      <c r="E195" s="162">
        <f t="shared" si="22"/>
        <v>479.88379520286981</v>
      </c>
      <c r="F195" s="163">
        <f t="shared" si="23"/>
        <v>6.2446490594695687E-3</v>
      </c>
    </row>
    <row r="196" spans="1:13">
      <c r="A196" s="1225">
        <f>IF(ISBLANK(B196),"",MAX($A$6:A195)+1)</f>
        <v>178</v>
      </c>
      <c r="B196" s="171">
        <f>+B195+10000</f>
        <v>130000</v>
      </c>
      <c r="C196" s="162">
        <f t="shared" si="24"/>
        <v>83084.600000000006</v>
      </c>
      <c r="D196" s="162">
        <f t="shared" si="25"/>
        <v>83590.736847132735</v>
      </c>
      <c r="E196" s="162">
        <f t="shared" si="22"/>
        <v>506.1368471327296</v>
      </c>
      <c r="F196" s="163">
        <f t="shared" si="23"/>
        <v>6.0918250449870318E-3</v>
      </c>
    </row>
    <row r="197" spans="1:13">
      <c r="A197" s="1225">
        <f>IF(ISBLANK(B197),"",MAX($A$6:A196)+1)</f>
        <v>179</v>
      </c>
      <c r="B197" s="171">
        <f>+B196+10000</f>
        <v>140000</v>
      </c>
      <c r="C197" s="162">
        <f t="shared" si="24"/>
        <v>89322</v>
      </c>
      <c r="D197" s="162">
        <f t="shared" si="25"/>
        <v>89854.389899062589</v>
      </c>
      <c r="E197" s="162">
        <f t="shared" si="22"/>
        <v>532.38989906258939</v>
      </c>
      <c r="F197" s="163">
        <f t="shared" si="23"/>
        <v>5.9603445854614695E-3</v>
      </c>
    </row>
    <row r="198" spans="1:13">
      <c r="A198" s="1225">
        <f>IF(ISBLANK(B198),"",MAX($A$6:A197)+1)</f>
        <v>180</v>
      </c>
      <c r="B198" s="171">
        <f>+B197+50000</f>
        <v>190000</v>
      </c>
      <c r="C198" s="162">
        <f t="shared" si="24"/>
        <v>120509</v>
      </c>
      <c r="D198" s="162">
        <f t="shared" si="25"/>
        <v>121172.6551587119</v>
      </c>
      <c r="E198" s="162">
        <f t="shared" si="22"/>
        <v>663.65515871190291</v>
      </c>
      <c r="F198" s="163">
        <f t="shared" si="23"/>
        <v>5.5071003718552385E-3</v>
      </c>
    </row>
    <row r="199" spans="1:13">
      <c r="A199" s="1225">
        <f>IF(ISBLANK(B199),"",MAX($A$6:A198)+1)</f>
        <v>181</v>
      </c>
      <c r="B199" s="171">
        <f>+B198+50000</f>
        <v>240000</v>
      </c>
      <c r="C199" s="162">
        <f t="shared" si="24"/>
        <v>151696</v>
      </c>
      <c r="D199" s="162">
        <f t="shared" si="25"/>
        <v>152490.9204183612</v>
      </c>
      <c r="E199" s="162">
        <f t="shared" si="22"/>
        <v>794.92041836120188</v>
      </c>
      <c r="F199" s="163">
        <f t="shared" si="23"/>
        <v>5.2402200345506925E-3</v>
      </c>
    </row>
    <row r="200" spans="1:13">
      <c r="A200" s="1225">
        <f>IF(ISBLANK(B200),"",MAX($A$6:A199)+1)</f>
        <v>182</v>
      </c>
      <c r="B200" s="171">
        <f>+B199+50000</f>
        <v>290000</v>
      </c>
      <c r="C200" s="162">
        <f t="shared" si="24"/>
        <v>182883</v>
      </c>
      <c r="D200" s="162">
        <f t="shared" si="25"/>
        <v>183809.18567801052</v>
      </c>
      <c r="E200" s="162">
        <f>D200-C200</f>
        <v>926.1856780105154</v>
      </c>
      <c r="F200" s="163">
        <f>E200/C200</f>
        <v>5.0643617942100439E-3</v>
      </c>
    </row>
    <row r="201" spans="1:13">
      <c r="A201" s="1225" t="str">
        <f>IF(ISBLANK(B201),"",MAX($A$6:A200)+1)</f>
        <v/>
      </c>
      <c r="G201" s="12"/>
    </row>
    <row r="202" spans="1:13">
      <c r="A202" s="1225">
        <f>IF(ISBLANK(B202),"",MAX($A$6:A201)+1)</f>
        <v>183</v>
      </c>
      <c r="B202" s="173">
        <f>'Exh IDM-4, Class Rates'!K35</f>
        <v>23233.349240452259</v>
      </c>
      <c r="C202" s="174">
        <f>I$163+(((IF($B202&gt;$H$165,$H$165,$B202))*I$165)+(+IF($B202&gt;=$H$166,$B202-$H$166,0)*+I$166))+($B202*I$167)</f>
        <v>16075.98556177056</v>
      </c>
      <c r="D202" s="174">
        <f>J$163+(((IF($B202&gt;$H$165,$H$165,$B202))*J$165)+(+IF($B202&gt;=$H$166,$B202-$H$166,0)*+J$166))+($B202*J$167)</f>
        <v>16264.645258162373</v>
      </c>
      <c r="E202" s="174">
        <f>D202-C202</f>
        <v>188.65969639181276</v>
      </c>
      <c r="F202" s="175">
        <f>E202/C202</f>
        <v>1.173549799898143E-2</v>
      </c>
      <c r="G202" s="12"/>
    </row>
    <row r="203" spans="1:13">
      <c r="A203" s="1225" t="str">
        <f>IF(ISBLANK(B203),"",MAX($A$6:A202)+1)</f>
        <v/>
      </c>
      <c r="G203" s="12"/>
    </row>
    <row r="204" spans="1:13">
      <c r="A204" s="1225" t="str">
        <f>IF(ISBLANK(B204),"",MAX($A$6:A203)+1)</f>
        <v/>
      </c>
    </row>
    <row r="205" spans="1:13">
      <c r="A205" s="1225">
        <f>IF(ISBLANK(B205),"",MAX($A$6:A204)+1)</f>
        <v>184</v>
      </c>
      <c r="B205" s="167" t="str">
        <f>'Exh IDM-4, Class Rates'!B38</f>
        <v>Non-Core Industrial 663</v>
      </c>
      <c r="C205" s="1225"/>
    </row>
    <row r="206" spans="1:13">
      <c r="A206" s="1225">
        <f>IF(ISBLANK(B206),"",MAX($A$6:A205)+1)</f>
        <v>185</v>
      </c>
      <c r="B206" s="171">
        <v>0</v>
      </c>
      <c r="C206" s="162">
        <f>I$206+(((IF($B206&gt;$H$210,$H$210,$B206))*I$210)+(IF($B206&gt;$H$210,IF($B206&gt;SUM($H$210:$H$211),SUM($H$210:$H$211),$B206-$H$210),0)*I$211)+(IF($B206&gt;SUM($H$210:$H$211),IF($B206&gt;SUM($H$210:$H$212),SUM($H$210:$H$212),$B206-SUM($H$210:$H$211)),0)*I$212)+(+IF($B206&gt;=$H$213,$B206-$H$213,0)*+I$213))+($B206*SUM(I$214, I$208))+($B206/30*I$207)</f>
        <v>625</v>
      </c>
      <c r="D206" s="162">
        <f>J$206+(((IF($B206&gt;$H$210,$H$210,$B206))*J$210)+(IF($B206&gt;$H$210,IF($B206&gt;SUM($H$210:$H$211),SUM($H$210:$H$211),$B206-$H$210),0)*J$211)+(IF($B206&gt;SUM($H$210:$H$211),IF($B206&gt;SUM($H$210:$H$212),SUM($H$210:$H$212),$B206-SUM($H$210:$H$211)),0)*J$212)+(+IF($B206&gt;=$H$213,$B206-$H$213,0)*+J$213))+($B206*SUM(J$214, J$208))+($B206/30*J$207)</f>
        <v>625</v>
      </c>
      <c r="E206" s="162">
        <f>D206-C206</f>
        <v>0</v>
      </c>
      <c r="F206" s="163">
        <f>E206/C206</f>
        <v>0</v>
      </c>
      <c r="H206" s="1" t="s">
        <v>124</v>
      </c>
      <c r="I206" s="164">
        <f>'Exh IDM-4, Class Rates'!$D$39</f>
        <v>625</v>
      </c>
      <c r="J206" s="164">
        <f>'Exh IDM-4, Class Rates'!$F$39</f>
        <v>625</v>
      </c>
      <c r="M206" s="9"/>
    </row>
    <row r="207" spans="1:13">
      <c r="A207" s="1225">
        <f>IF(ISBLANK(B207),"",MAX($A$6:A206)+1)</f>
        <v>186</v>
      </c>
      <c r="B207" s="171">
        <f>MAX(B205:B206)+2000</f>
        <v>2000</v>
      </c>
      <c r="C207" s="162">
        <f t="shared" ref="C207:C240" si="30">I$206+(((IF($B207&gt;$H$210,$H$210,$B207))*I$210)+(IF($B207&gt;$H$210,IF($B207&gt;SUM($H$210:$H$211),SUM($H$210:$H$211),$B207-$H$210),0)*I$211)+(IF($B207&gt;SUM($H$210:$H$211),IF($B207&gt;SUM($H$210:$H$212),SUM($H$210:$H$212),$B207-SUM($H$210:$H$211)),0)*I$212)+(+IF($B207&gt;=$H$213,$B207-$H$213,0)*+I$213))+($B207*SUM(I$214, I$208))+($B207/30*I$207)</f>
        <v>758.87333333333333</v>
      </c>
      <c r="D207" s="162">
        <f t="shared" ref="D207:D240" si="31">J$206+(((IF($B207&gt;$H$210,$H$210,$B207))*J$210)+(IF($B207&gt;$H$210,IF($B207&gt;SUM($H$210:$H$211),SUM($H$210:$H$211),$B207-$H$210),0)*J$211)+(IF($B207&gt;SUM($H$210:$H$211),IF($B207&gt;SUM($H$210:$H$212),SUM($H$210:$H$212),$B207-SUM($H$210:$H$211)),0)*J$212)+(+IF($B207&gt;=$H$213,$B207-$H$213,0)*+J$213))+($B207*SUM(J$214, J$208))+($B207/30*J$207)</f>
        <v>769.65118536771229</v>
      </c>
      <c r="E207" s="162">
        <f t="shared" ref="E207:E240" si="32">D207-C207</f>
        <v>10.777852034378952</v>
      </c>
      <c r="F207" s="163">
        <f t="shared" ref="F207:F240" si="33">E207/C207</f>
        <v>1.4202438748292143E-2</v>
      </c>
      <c r="H207" s="1" t="s">
        <v>3219</v>
      </c>
      <c r="I207" s="9">
        <f>'Exh IDM-4, Class Rates'!D40</f>
        <v>0.2</v>
      </c>
      <c r="J207" s="9">
        <f>'Exh IDM-4, Class Rates'!$F$40</f>
        <v>0.2</v>
      </c>
    </row>
    <row r="208" spans="1:13">
      <c r="A208" s="1225">
        <f>IF(ISBLANK(B208),"",MAX($A$6:A207)+1)</f>
        <v>187</v>
      </c>
      <c r="B208" s="171">
        <f>MAX(B206:B207)+2000</f>
        <v>4000</v>
      </c>
      <c r="C208" s="162">
        <f t="shared" si="30"/>
        <v>892.74666666666667</v>
      </c>
      <c r="D208" s="162">
        <f t="shared" si="31"/>
        <v>914.30237073542457</v>
      </c>
      <c r="E208" s="162">
        <f t="shared" si="32"/>
        <v>21.555704068757905</v>
      </c>
      <c r="F208" s="163">
        <f t="shared" si="33"/>
        <v>2.4145376144883848E-2</v>
      </c>
      <c r="H208" s="1" t="s">
        <v>3184</v>
      </c>
      <c r="I208" s="9">
        <f>'Exh IDM-4, Class Rates'!D41</f>
        <v>4.0000000000000002E-4</v>
      </c>
      <c r="J208" s="9">
        <f>'Exh IDM-4, Class Rates'!F41</f>
        <v>4.0000000000000002E-4</v>
      </c>
    </row>
    <row r="209" spans="1:10">
      <c r="A209" s="1225">
        <f>IF(ISBLANK(B209),"",MAX($A$6:A208)+1)</f>
        <v>188</v>
      </c>
      <c r="B209" s="171">
        <f>MAX(B207:B208)+2000</f>
        <v>6000</v>
      </c>
      <c r="C209" s="162">
        <f t="shared" si="30"/>
        <v>1026.6199999999999</v>
      </c>
      <c r="D209" s="162">
        <f t="shared" si="31"/>
        <v>1058.9535561031366</v>
      </c>
      <c r="E209" s="162">
        <f t="shared" si="32"/>
        <v>32.333556103136743</v>
      </c>
      <c r="F209" s="163">
        <f t="shared" si="33"/>
        <v>3.1495155075039201E-2</v>
      </c>
      <c r="H209" s="1" t="s">
        <v>3159</v>
      </c>
      <c r="I209" s="164"/>
      <c r="J209" s="164"/>
    </row>
    <row r="210" spans="1:10">
      <c r="A210" s="1225">
        <f>IF(ISBLANK(B210),"",MAX($A$6:A209)+1)</f>
        <v>189</v>
      </c>
      <c r="B210" s="171">
        <f>MAX(B207:B209)+2000</f>
        <v>8000</v>
      </c>
      <c r="C210" s="162">
        <f t="shared" si="30"/>
        <v>1160.4933333333333</v>
      </c>
      <c r="D210" s="162">
        <f t="shared" si="31"/>
        <v>1203.6047414708491</v>
      </c>
      <c r="E210" s="162">
        <f t="shared" si="32"/>
        <v>43.111408137515809</v>
      </c>
      <c r="F210" s="163">
        <f t="shared" si="33"/>
        <v>3.714920792667125E-2</v>
      </c>
      <c r="H210" s="170">
        <v>100000</v>
      </c>
      <c r="I210" s="9">
        <f>'Exh IDM-4, Class Rates'!D42</f>
        <v>0.06</v>
      </c>
      <c r="J210" s="9">
        <f>'Exh IDM-4, Class Rates'!F42</f>
        <v>6.5388926017189458E-2</v>
      </c>
    </row>
    <row r="211" spans="1:10">
      <c r="A211" s="1225">
        <f>IF(ISBLANK(B211),"",MAX($A$6:A210)+1)</f>
        <v>190</v>
      </c>
      <c r="B211" s="171">
        <f>MAX(B208:B210)+2000</f>
        <v>10000</v>
      </c>
      <c r="C211" s="162">
        <f t="shared" si="30"/>
        <v>1294.3666666666668</v>
      </c>
      <c r="D211" s="162">
        <f t="shared" si="31"/>
        <v>1348.2559268385612</v>
      </c>
      <c r="E211" s="162">
        <f t="shared" si="32"/>
        <v>53.889260171894421</v>
      </c>
      <c r="F211" s="163">
        <f t="shared" si="33"/>
        <v>4.1633689710716501E-2</v>
      </c>
      <c r="H211" s="170">
        <v>200000</v>
      </c>
      <c r="I211" s="9">
        <f>'Exh IDM-4, Class Rates'!D43</f>
        <v>2.3310000000000001E-2</v>
      </c>
      <c r="J211" s="9">
        <f>'Exh IDM-4, Class Rates'!F43</f>
        <v>2.5403597706127164E-2</v>
      </c>
    </row>
    <row r="212" spans="1:10">
      <c r="A212" s="1225">
        <f>IF(ISBLANK(B212),"",MAX($A$6:A211)+1)</f>
        <v>191</v>
      </c>
      <c r="B212" s="171">
        <f>MAX(B210:B211)+2000</f>
        <v>12000</v>
      </c>
      <c r="C212" s="162">
        <f t="shared" si="30"/>
        <v>1428.24</v>
      </c>
      <c r="D212" s="162">
        <f t="shared" si="31"/>
        <v>1492.9071122062735</v>
      </c>
      <c r="E212" s="162">
        <f t="shared" si="32"/>
        <v>64.667112206273487</v>
      </c>
      <c r="F212" s="163">
        <f t="shared" si="33"/>
        <v>4.5277482920428977E-2</v>
      </c>
      <c r="H212" s="170">
        <v>200000</v>
      </c>
      <c r="I212" s="9">
        <f>'Exh IDM-4, Class Rates'!D44</f>
        <v>1.5049999999999999E-2</v>
      </c>
      <c r="J212" s="9">
        <f>'Exh IDM-4, Class Rates'!F44</f>
        <v>1.6401722286073058E-2</v>
      </c>
    </row>
    <row r="213" spans="1:10">
      <c r="A213" s="1225">
        <f>IF(ISBLANK(B213),"",MAX($A$6:A212)+1)</f>
        <v>192</v>
      </c>
      <c r="B213" s="171">
        <f>MAX(B212:B212)+2000</f>
        <v>14000</v>
      </c>
      <c r="C213" s="162">
        <f t="shared" si="30"/>
        <v>1562.1133333333332</v>
      </c>
      <c r="D213" s="162">
        <f t="shared" si="31"/>
        <v>1637.5582975739858</v>
      </c>
      <c r="E213" s="162">
        <f t="shared" si="32"/>
        <v>75.444964240652553</v>
      </c>
      <c r="F213" s="163">
        <f t="shared" si="33"/>
        <v>4.8296728944540443E-2</v>
      </c>
      <c r="H213" s="170">
        <v>500000</v>
      </c>
      <c r="I213" s="9">
        <f>'Exh IDM-4, Class Rates'!D45</f>
        <v>8.3300000000000006E-3</v>
      </c>
      <c r="J213" s="9">
        <f>'Exh IDM-4, Class Rates'!F45</f>
        <v>9.0781625520247461E-3</v>
      </c>
    </row>
    <row r="214" spans="1:10">
      <c r="A214" s="1225">
        <f>IF(ISBLANK(B214),"",MAX($A$6:A213)+1)</f>
        <v>193</v>
      </c>
      <c r="B214" s="171">
        <f>MAX(B213:B213)+2000</f>
        <v>16000</v>
      </c>
      <c r="C214" s="162">
        <f t="shared" si="30"/>
        <v>1695.9866666666667</v>
      </c>
      <c r="D214" s="162">
        <f t="shared" si="31"/>
        <v>1782.2094829416981</v>
      </c>
      <c r="E214" s="162">
        <f t="shared" si="32"/>
        <v>86.222816275031391</v>
      </c>
      <c r="F214" s="163">
        <f t="shared" si="33"/>
        <v>5.0839324370689665E-2</v>
      </c>
      <c r="H214" s="1" t="str">
        <f>$H$10</f>
        <v>Pass-Thru Rates</v>
      </c>
      <c r="I214" s="9">
        <f>T20</f>
        <v>-1.3000000000000023E-4</v>
      </c>
      <c r="J214" s="9">
        <f>I214</f>
        <v>-1.3000000000000023E-4</v>
      </c>
    </row>
    <row r="215" spans="1:10">
      <c r="A215" s="1225">
        <f>IF(ISBLANK(B215),"",MAX($A$6:A214)+1)</f>
        <v>194</v>
      </c>
      <c r="B215" s="171">
        <f>MAX(B214:B214)+2000</f>
        <v>18000</v>
      </c>
      <c r="C215" s="162">
        <f t="shared" si="30"/>
        <v>1829.86</v>
      </c>
      <c r="D215" s="162">
        <f t="shared" si="31"/>
        <v>1926.8606683094101</v>
      </c>
      <c r="E215" s="162">
        <f t="shared" si="32"/>
        <v>97.00066830941023</v>
      </c>
      <c r="F215" s="163">
        <f t="shared" si="33"/>
        <v>5.3009885078317595E-2</v>
      </c>
      <c r="H215" s="170"/>
      <c r="I215" s="9"/>
      <c r="J215" s="9"/>
    </row>
    <row r="216" spans="1:10">
      <c r="A216" s="1225">
        <f>IF(ISBLANK(B216),"",MAX($A$6:A215)+1)</f>
        <v>195</v>
      </c>
      <c r="B216" s="171">
        <f>MAX(B215:B215)+2000</f>
        <v>20000</v>
      </c>
      <c r="C216" s="162">
        <f t="shared" si="30"/>
        <v>1963.7333333333333</v>
      </c>
      <c r="D216" s="162">
        <f t="shared" si="31"/>
        <v>2071.5118536771224</v>
      </c>
      <c r="E216" s="162">
        <f t="shared" si="32"/>
        <v>107.77852034378907</v>
      </c>
      <c r="F216" s="163">
        <f t="shared" si="33"/>
        <v>5.4884499088703013E-2</v>
      </c>
      <c r="I216" s="1"/>
    </row>
    <row r="217" spans="1:10">
      <c r="A217" s="1225">
        <f>IF(ISBLANK(B217),"",MAX($A$6:A216)+1)</f>
        <v>196</v>
      </c>
      <c r="B217" s="171">
        <f>MAX(B216:B216)+5000</f>
        <v>25000</v>
      </c>
      <c r="C217" s="162">
        <f t="shared" si="30"/>
        <v>2298.4166666666665</v>
      </c>
      <c r="D217" s="162">
        <f t="shared" si="31"/>
        <v>2433.139817096403</v>
      </c>
      <c r="E217" s="162">
        <f t="shared" si="32"/>
        <v>134.72315042973651</v>
      </c>
      <c r="F217" s="163">
        <f t="shared" si="33"/>
        <v>5.8615634137878909E-2</v>
      </c>
    </row>
    <row r="218" spans="1:10">
      <c r="A218" s="1225">
        <f>IF(ISBLANK(B218),"",MAX($A$6:A217)+1)</f>
        <v>197</v>
      </c>
      <c r="B218" s="171">
        <f>MAX(B217:B217)+5000</f>
        <v>30000</v>
      </c>
      <c r="C218" s="162">
        <f t="shared" si="30"/>
        <v>2633.1</v>
      </c>
      <c r="D218" s="162">
        <f t="shared" si="31"/>
        <v>2794.7677805156836</v>
      </c>
      <c r="E218" s="162">
        <f t="shared" si="32"/>
        <v>161.66778051568372</v>
      </c>
      <c r="F218" s="163">
        <f t="shared" si="33"/>
        <v>6.1398268396826446E-2</v>
      </c>
    </row>
    <row r="219" spans="1:10">
      <c r="A219" s="1225">
        <f>IF(ISBLANK(B219),"",MAX($A$6:A218)+1)</f>
        <v>198</v>
      </c>
      <c r="B219" s="171">
        <f>MAX(B217:B218)+5000</f>
        <v>35000</v>
      </c>
      <c r="C219" s="162">
        <f t="shared" si="30"/>
        <v>2967.7833333333333</v>
      </c>
      <c r="D219" s="162">
        <f t="shared" si="31"/>
        <v>3156.3957439349642</v>
      </c>
      <c r="E219" s="162">
        <f t="shared" si="32"/>
        <v>188.61241060163093</v>
      </c>
      <c r="F219" s="163">
        <f t="shared" si="33"/>
        <v>6.3553295310741775E-2</v>
      </c>
    </row>
    <row r="220" spans="1:10">
      <c r="A220" s="1225">
        <f>IF(ISBLANK(B220),"",MAX($A$6:A219)+1)</f>
        <v>199</v>
      </c>
      <c r="B220" s="171">
        <f>MAX(B217:B219)+5000</f>
        <v>40000</v>
      </c>
      <c r="C220" s="162">
        <f t="shared" si="30"/>
        <v>3302.4666666666667</v>
      </c>
      <c r="D220" s="162">
        <f t="shared" si="31"/>
        <v>3518.0237073542448</v>
      </c>
      <c r="E220" s="162">
        <f t="shared" si="32"/>
        <v>215.55704068757814</v>
      </c>
      <c r="F220" s="163">
        <f t="shared" si="33"/>
        <v>6.5271526542052843E-2</v>
      </c>
    </row>
    <row r="221" spans="1:10">
      <c r="A221" s="1225">
        <f>IF(ISBLANK(B221),"",MAX($A$6:A220)+1)</f>
        <v>200</v>
      </c>
      <c r="B221" s="171">
        <f>MAX(B218:B220)+5000</f>
        <v>45000</v>
      </c>
      <c r="C221" s="162">
        <f t="shared" si="30"/>
        <v>3637.15</v>
      </c>
      <c r="D221" s="162">
        <f t="shared" si="31"/>
        <v>3879.6516707735259</v>
      </c>
      <c r="E221" s="162">
        <f t="shared" si="32"/>
        <v>242.5016707735258</v>
      </c>
      <c r="F221" s="163">
        <f t="shared" si="33"/>
        <v>6.667354130941143E-2</v>
      </c>
    </row>
    <row r="222" spans="1:10">
      <c r="A222" s="1225">
        <f>IF(ISBLANK(B222),"",MAX($A$6:A221)+1)</f>
        <v>201</v>
      </c>
      <c r="B222" s="171">
        <f>MAX(B219:B221)+5000</f>
        <v>50000</v>
      </c>
      <c r="C222" s="162">
        <f t="shared" si="30"/>
        <v>3971.8333333333335</v>
      </c>
      <c r="D222" s="162">
        <f t="shared" si="31"/>
        <v>4241.279634192806</v>
      </c>
      <c r="E222" s="162">
        <f t="shared" si="32"/>
        <v>269.44630085947256</v>
      </c>
      <c r="F222" s="163">
        <f t="shared" si="33"/>
        <v>6.7839276788923472E-2</v>
      </c>
    </row>
    <row r="223" spans="1:10">
      <c r="A223" s="1225">
        <f>IF(ISBLANK(B223),"",MAX($A$6:A222)+1)</f>
        <v>202</v>
      </c>
      <c r="B223" s="171">
        <f>MAX(B221:B222)+10000</f>
        <v>60000</v>
      </c>
      <c r="C223" s="162">
        <f t="shared" si="30"/>
        <v>4641.2</v>
      </c>
      <c r="D223" s="162">
        <f t="shared" si="31"/>
        <v>4964.5355610313673</v>
      </c>
      <c r="E223" s="162">
        <f t="shared" si="32"/>
        <v>323.33556103136743</v>
      </c>
      <c r="F223" s="163">
        <f t="shared" si="33"/>
        <v>6.9666370988401158E-2</v>
      </c>
    </row>
    <row r="224" spans="1:10">
      <c r="A224" s="1225">
        <f>IF(ISBLANK(B224),"",MAX($A$6:A223)+1)</f>
        <v>203</v>
      </c>
      <c r="B224" s="171">
        <f>MAX(B222:B223)+10000</f>
        <v>70000</v>
      </c>
      <c r="C224" s="162">
        <f t="shared" si="30"/>
        <v>5310.5666666666666</v>
      </c>
      <c r="D224" s="162">
        <f t="shared" si="31"/>
        <v>5687.7914878699285</v>
      </c>
      <c r="E224" s="162">
        <f t="shared" si="32"/>
        <v>377.22482120326185</v>
      </c>
      <c r="F224" s="163">
        <f t="shared" si="33"/>
        <v>7.1032875563171893E-2</v>
      </c>
    </row>
    <row r="225" spans="1:6">
      <c r="A225" s="1225">
        <f>IF(ISBLANK(B225),"",MAX($A$6:A224)+1)</f>
        <v>204</v>
      </c>
      <c r="B225" s="171">
        <f>MAX(B223:B224)+10000</f>
        <v>80000</v>
      </c>
      <c r="C225" s="162">
        <f t="shared" si="30"/>
        <v>5979.9333333333334</v>
      </c>
      <c r="D225" s="162">
        <f t="shared" si="31"/>
        <v>6411.0474147084897</v>
      </c>
      <c r="E225" s="162">
        <f t="shared" si="32"/>
        <v>431.11408137515627</v>
      </c>
      <c r="F225" s="163">
        <f t="shared" si="33"/>
        <v>7.2093459465850718E-2</v>
      </c>
    </row>
    <row r="226" spans="1:6">
      <c r="A226" s="1225">
        <f>IF(ISBLANK(B226),"",MAX($A$6:A225)+1)</f>
        <v>205</v>
      </c>
      <c r="B226" s="171">
        <f>MAX(B223:B225)+10000</f>
        <v>90000</v>
      </c>
      <c r="C226" s="162">
        <f t="shared" si="30"/>
        <v>6649.3</v>
      </c>
      <c r="D226" s="162">
        <f t="shared" si="31"/>
        <v>7134.3033415470518</v>
      </c>
      <c r="E226" s="162">
        <f t="shared" si="32"/>
        <v>485.0033415470516</v>
      </c>
      <c r="F226" s="163">
        <f t="shared" si="33"/>
        <v>7.2940511263900193E-2</v>
      </c>
    </row>
    <row r="227" spans="1:6">
      <c r="A227" s="1225">
        <f>IF(ISBLANK(B227),"",MAX($A$6:A226)+1)</f>
        <v>206</v>
      </c>
      <c r="B227" s="171">
        <f>MAX(B224:B226)+10000</f>
        <v>100000</v>
      </c>
      <c r="C227" s="162">
        <f t="shared" si="30"/>
        <v>7318.666666666667</v>
      </c>
      <c r="D227" s="162">
        <f t="shared" si="31"/>
        <v>7857.559268385613</v>
      </c>
      <c r="E227" s="162">
        <f t="shared" si="32"/>
        <v>538.89260171894603</v>
      </c>
      <c r="F227" s="163">
        <f t="shared" si="33"/>
        <v>7.3632620019896067E-2</v>
      </c>
    </row>
    <row r="228" spans="1:6">
      <c r="A228" s="1225">
        <f>IF(ISBLANK(B228),"",MAX($A$6:A227)+1)</f>
        <v>207</v>
      </c>
      <c r="B228" s="171">
        <f>MAX(B226:B227)+25000</f>
        <v>125000</v>
      </c>
      <c r="C228" s="162">
        <f t="shared" si="30"/>
        <v>8074.8333333333339</v>
      </c>
      <c r="D228" s="162">
        <f t="shared" si="31"/>
        <v>8666.0658777054578</v>
      </c>
      <c r="E228" s="162">
        <f t="shared" si="32"/>
        <v>591.23254437212381</v>
      </c>
      <c r="F228" s="163">
        <f t="shared" si="33"/>
        <v>7.3219163785274058E-2</v>
      </c>
    </row>
    <row r="229" spans="1:6">
      <c r="A229" s="1225">
        <f>IF(ISBLANK(B229),"",MAX($A$6:A228)+1)</f>
        <v>208</v>
      </c>
      <c r="B229" s="171">
        <f>MAX(B227:B228)+25000</f>
        <v>150000</v>
      </c>
      <c r="C229" s="162">
        <f t="shared" si="30"/>
        <v>8831</v>
      </c>
      <c r="D229" s="162">
        <f t="shared" si="31"/>
        <v>9474.5724870253034</v>
      </c>
      <c r="E229" s="162">
        <f t="shared" si="32"/>
        <v>643.57248702530342</v>
      </c>
      <c r="F229" s="163">
        <f t="shared" si="33"/>
        <v>7.2876513081791799E-2</v>
      </c>
    </row>
    <row r="230" spans="1:6">
      <c r="A230" s="1225">
        <f>IF(ISBLANK(B230),"",MAX($A$6:A229)+1)</f>
        <v>209</v>
      </c>
      <c r="B230" s="171">
        <f>MAX(B228:B229)+25000</f>
        <v>175000</v>
      </c>
      <c r="C230" s="162">
        <f t="shared" si="30"/>
        <v>9587.1666666666661</v>
      </c>
      <c r="D230" s="162">
        <f t="shared" si="31"/>
        <v>10283.079096345149</v>
      </c>
      <c r="E230" s="162">
        <f t="shared" si="32"/>
        <v>695.91242967848302</v>
      </c>
      <c r="F230" s="163">
        <f t="shared" si="33"/>
        <v>7.2587914018234417E-2</v>
      </c>
    </row>
    <row r="231" spans="1:6">
      <c r="A231" s="1225">
        <f>IF(ISBLANK(B231),"",MAX($A$6:A230)+1)</f>
        <v>210</v>
      </c>
      <c r="B231" s="171">
        <f>MAX(B228:B230)+25000</f>
        <v>200000</v>
      </c>
      <c r="C231" s="162">
        <f t="shared" si="30"/>
        <v>10343.333333333334</v>
      </c>
      <c r="D231" s="162">
        <f t="shared" si="31"/>
        <v>11091.585705664997</v>
      </c>
      <c r="E231" s="162">
        <f t="shared" si="32"/>
        <v>748.25237233166263</v>
      </c>
      <c r="F231" s="163">
        <f t="shared" si="33"/>
        <v>7.2341511988236795E-2</v>
      </c>
    </row>
    <row r="232" spans="1:6">
      <c r="A232" s="1225">
        <f>IF(ISBLANK(B232),"",MAX($A$6:A231)+1)</f>
        <v>211</v>
      </c>
      <c r="B232" s="171">
        <f>MAX(B230:B231)+50000</f>
        <v>250000</v>
      </c>
      <c r="C232" s="162">
        <f t="shared" si="30"/>
        <v>11855.666666666668</v>
      </c>
      <c r="D232" s="162">
        <f t="shared" si="31"/>
        <v>12708.598924304686</v>
      </c>
      <c r="E232" s="162">
        <f t="shared" si="32"/>
        <v>852.9322576380182</v>
      </c>
      <c r="F232" s="163">
        <f t="shared" si="33"/>
        <v>7.1943002584250973E-2</v>
      </c>
    </row>
    <row r="233" spans="1:6">
      <c r="A233" s="1225">
        <f>IF(ISBLANK(B233),"",MAX($A$6:A232)+1)</f>
        <v>212</v>
      </c>
      <c r="B233" s="171">
        <f>MAX(B231:B232)+50000</f>
        <v>300000</v>
      </c>
      <c r="C233" s="162">
        <f t="shared" si="30"/>
        <v>13368</v>
      </c>
      <c r="D233" s="162">
        <f t="shared" si="31"/>
        <v>14325.612142944377</v>
      </c>
      <c r="E233" s="162">
        <f t="shared" si="32"/>
        <v>957.61214294437741</v>
      </c>
      <c r="F233" s="163">
        <f t="shared" si="33"/>
        <v>7.1634660603259834E-2</v>
      </c>
    </row>
    <row r="234" spans="1:6">
      <c r="A234" s="1225">
        <f>IF(ISBLANK(B234),"",MAX($A$6:A233)+1)</f>
        <v>213</v>
      </c>
      <c r="B234" s="171">
        <f>MAX(B232:B233)+50000</f>
        <v>350000</v>
      </c>
      <c r="C234" s="162">
        <f t="shared" si="30"/>
        <v>16798.333333333332</v>
      </c>
      <c r="D234" s="162">
        <f t="shared" si="31"/>
        <v>18032.891361194081</v>
      </c>
      <c r="E234" s="162">
        <f t="shared" si="32"/>
        <v>1234.5580278607486</v>
      </c>
      <c r="F234" s="163">
        <f t="shared" si="33"/>
        <v>7.3492887857570119E-2</v>
      </c>
    </row>
    <row r="235" spans="1:6">
      <c r="A235" s="1225">
        <f>IF(ISBLANK(B235),"",MAX($A$6:A234)+1)</f>
        <v>214</v>
      </c>
      <c r="B235" s="171">
        <f>MAX(B233:B234)+50000</f>
        <v>400000</v>
      </c>
      <c r="C235" s="162">
        <f t="shared" si="30"/>
        <v>17897.666666666668</v>
      </c>
      <c r="D235" s="162">
        <f t="shared" si="31"/>
        <v>19199.810808831069</v>
      </c>
      <c r="E235" s="162">
        <f t="shared" si="32"/>
        <v>1302.1441421644013</v>
      </c>
      <c r="F235" s="163">
        <f t="shared" si="33"/>
        <v>7.2754966690130998E-2</v>
      </c>
    </row>
    <row r="236" spans="1:6">
      <c r="A236" s="1225">
        <f>IF(ISBLANK(B236),"",MAX($A$6:A235)+1)</f>
        <v>215</v>
      </c>
      <c r="B236" s="171">
        <f>MAX(B233:B235)+50000</f>
        <v>450000</v>
      </c>
      <c r="C236" s="162">
        <f t="shared" si="30"/>
        <v>18997</v>
      </c>
      <c r="D236" s="162">
        <f t="shared" si="31"/>
        <v>20366.730256468054</v>
      </c>
      <c r="E236" s="162">
        <f t="shared" si="32"/>
        <v>1369.730256468054</v>
      </c>
      <c r="F236" s="163">
        <f t="shared" si="33"/>
        <v>7.2102450727380848E-2</v>
      </c>
    </row>
    <row r="237" spans="1:6">
      <c r="A237" s="1225">
        <f>IF(ISBLANK(B237),"",MAX($A$6:A236)+1)</f>
        <v>216</v>
      </c>
      <c r="B237" s="171">
        <f>MAX(B234:B236)+50000</f>
        <v>500000</v>
      </c>
      <c r="C237" s="162">
        <f t="shared" si="30"/>
        <v>20096.333333333336</v>
      </c>
      <c r="D237" s="162">
        <f t="shared" si="31"/>
        <v>21533.649704105039</v>
      </c>
      <c r="E237" s="162">
        <f t="shared" si="32"/>
        <v>1437.3163707717031</v>
      </c>
      <c r="F237" s="163">
        <f t="shared" si="33"/>
        <v>7.1521324160545185E-2</v>
      </c>
    </row>
    <row r="238" spans="1:6">
      <c r="A238" s="1225">
        <f>IF(ISBLANK(B238),"",MAX($A$6:A237)+1)</f>
        <v>217</v>
      </c>
      <c r="B238" s="171">
        <f>MAX(B236:B237)+100000</f>
        <v>600000</v>
      </c>
      <c r="C238" s="162">
        <f t="shared" si="30"/>
        <v>26138</v>
      </c>
      <c r="D238" s="162">
        <f t="shared" si="31"/>
        <v>28055.6493117961</v>
      </c>
      <c r="E238" s="162">
        <f t="shared" si="32"/>
        <v>1917.6493117960999</v>
      </c>
      <c r="F238" s="163">
        <f t="shared" si="33"/>
        <v>7.3366336819806408E-2</v>
      </c>
    </row>
    <row r="239" spans="1:6">
      <c r="A239" s="1225">
        <f>IF(ISBLANK(B239),"",MAX($A$6:A238)+1)</f>
        <v>218</v>
      </c>
      <c r="B239" s="171">
        <f>MAX(B237:B238)+200000</f>
        <v>800000</v>
      </c>
      <c r="C239" s="162">
        <f t="shared" si="30"/>
        <v>29191.333333333336</v>
      </c>
      <c r="D239" s="162">
        <f t="shared" si="31"/>
        <v>31258.615155534382</v>
      </c>
      <c r="E239" s="162">
        <f t="shared" si="32"/>
        <v>2067.2818222010465</v>
      </c>
      <c r="F239" s="163">
        <f t="shared" si="33"/>
        <v>7.0818341820667541E-2</v>
      </c>
    </row>
    <row r="240" spans="1:6">
      <c r="A240" s="1225">
        <f>IF(ISBLANK(B240),"",MAX($A$6:A239)+1)</f>
        <v>219</v>
      </c>
      <c r="B240" s="171">
        <f>MAX(B238:B239)+200000</f>
        <v>1000000</v>
      </c>
      <c r="C240" s="162">
        <f t="shared" si="30"/>
        <v>32244.666666666668</v>
      </c>
      <c r="D240" s="162">
        <f t="shared" si="31"/>
        <v>34461.580999272672</v>
      </c>
      <c r="E240" s="162">
        <f t="shared" si="32"/>
        <v>2216.9143326060039</v>
      </c>
      <c r="F240" s="163">
        <f t="shared" si="33"/>
        <v>6.8752899681787286E-2</v>
      </c>
    </row>
    <row r="241" spans="1:6">
      <c r="A241" s="1225" t="str">
        <f>IF(ISBLANK(B241),"",MAX($A$6:A240)+1)</f>
        <v/>
      </c>
    </row>
    <row r="242" spans="1:6">
      <c r="A242" s="1225">
        <f>IF(ISBLANK(B242),"",MAX($A$6:A241)+1)</f>
        <v>220</v>
      </c>
      <c r="B242" s="173">
        <f>'Exh IDM-4, Class Rates'!K45</f>
        <v>285880.57338241069</v>
      </c>
      <c r="C242" s="174">
        <f>I$206+(((IF($B242&gt;$H$210,$H$210,$B242))*I$210)+(IF($B242&gt;$H$210,IF($B242&gt;SUM($H$210:$H$211),SUM($H$210:$H$211),$B242-$H$210),0)*I$211)+(IF($B242&gt;SUM($H$210:$H$211),IF($B242&gt;SUM($H$210:$H$212),SUM($H$210:$H$212),$B242-SUM($H$210:$H$211)),0)*I$212)+(+IF($B242&gt;=$H$213,$B242-$H$213,0)*+I$213))+($B242*SUM(I$214, I$208))+($B242/30*I$207)</f>
        <v>12940.934409573314</v>
      </c>
      <c r="D242" s="174">
        <f>J$206+(((IF($B242&gt;$H$210,$H$210,$B242))*J$210)+(IF($B242&gt;$H$210,IF($B242&gt;SUM($H$210:$H$211),SUM($H$210:$H$211),$B242-$H$210),0)*J$211)+(IF($B242&gt;SUM($H$210:$H$211),IF($B242&gt;SUM($H$210:$H$212),SUM($H$210:$H$212),$B242-SUM($H$210:$H$211)),0)*J$212)+(+IF($B242&gt;=$H$213,$B242-$H$213,0)*+J$213))+($B242*SUM(J$214, J$208))+($B242/30*J$207)</f>
        <v>13868.986153339278</v>
      </c>
      <c r="E242" s="174">
        <f>D242-C242</f>
        <v>928.05174376596369</v>
      </c>
      <c r="F242" s="175">
        <f>E242/C242</f>
        <v>7.1714430688978606E-2</v>
      </c>
    </row>
  </sheetData>
  <mergeCells count="1">
    <mergeCell ref="N8:T8"/>
  </mergeCells>
  <printOptions horizontalCentered="1"/>
  <pageMargins left="0.7" right="0.7" top="0.5" bottom="0.25" header="0.3" footer="0.3"/>
  <pageSetup fitToHeight="0" orientation="portrait" r:id="rId1"/>
  <rowBreaks count="5" manualBreakCount="5">
    <brk id="38" max="16383" man="1"/>
    <brk id="78" max="16383" man="1"/>
    <brk id="120" max="16383" man="1"/>
    <brk id="162" max="16383" man="1"/>
    <brk id="20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7E199-DE9D-418F-BF24-71FB67AFE986}">
  <sheetPr codeName="Sheet1">
    <tabColor theme="8"/>
    <pageSetUpPr fitToPage="1"/>
  </sheetPr>
  <dimension ref="A1:AD565"/>
  <sheetViews>
    <sheetView topLeftCell="A465" zoomScale="80" zoomScaleNormal="80" workbookViewId="0">
      <selection activeCell="O560" sqref="O560"/>
    </sheetView>
  </sheetViews>
  <sheetFormatPr defaultColWidth="8.7109375" defaultRowHeight="15"/>
  <cols>
    <col min="1" max="1" width="5.85546875" style="2" customWidth="1"/>
    <col min="2" max="2" width="50.5703125" style="1" bestFit="1" customWidth="1"/>
    <col min="3" max="3" width="19" style="12" customWidth="1"/>
    <col min="4" max="4" width="14.5703125" style="12" customWidth="1"/>
    <col min="5" max="5" width="20.85546875" style="12" bestFit="1" customWidth="1"/>
    <col min="6" max="6" width="2.140625" style="12" customWidth="1"/>
    <col min="7" max="7" width="15.85546875" style="12" customWidth="1"/>
    <col min="8" max="8" width="16.28515625" style="12" bestFit="1" customWidth="1"/>
    <col min="9" max="9" width="17.140625" style="12" customWidth="1"/>
    <col min="10" max="10" width="2.140625" style="12" customWidth="1"/>
    <col min="11" max="11" width="17.5703125" style="12" customWidth="1"/>
    <col min="12" max="12" width="20.7109375" style="12" customWidth="1"/>
    <col min="13" max="13" width="20" style="12" customWidth="1"/>
    <col min="14" max="14" width="2.140625" style="12" customWidth="1"/>
    <col min="15" max="15" width="19.42578125" style="12" customWidth="1"/>
    <col min="16" max="16" width="17.85546875" style="12" customWidth="1"/>
    <col min="17" max="17" width="19.28515625" style="12" customWidth="1"/>
    <col min="18" max="18" width="2.140625" style="12" customWidth="1"/>
    <col min="19" max="19" width="16.85546875" style="12" customWidth="1"/>
    <col min="20" max="20" width="15.85546875" style="12" customWidth="1"/>
    <col min="21" max="21" width="17.7109375" style="12" bestFit="1" customWidth="1"/>
    <col min="22" max="22" width="2.140625" style="12" customWidth="1"/>
    <col min="23" max="23" width="16.42578125" style="12" customWidth="1"/>
    <col min="24" max="24" width="13.85546875" style="12" customWidth="1"/>
    <col min="25" max="25" width="20.140625" style="12" customWidth="1"/>
    <col min="26" max="26" width="2.140625" style="12" customWidth="1"/>
    <col min="27" max="27" width="19.7109375" style="12" customWidth="1"/>
    <col min="28" max="28" width="19.140625" style="12" customWidth="1"/>
    <col min="29" max="29" width="19.85546875" style="12" customWidth="1"/>
    <col min="30" max="30" width="17.7109375" style="1" customWidth="1"/>
    <col min="31" max="16384" width="8.7109375" style="1"/>
  </cols>
  <sheetData>
    <row r="1" spans="1:30">
      <c r="A1" s="82" t="str">
        <f>Company</f>
        <v>Cascade Natural Gas Corp.</v>
      </c>
      <c r="B1" s="745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30">
      <c r="A2" s="82" t="s">
        <v>73</v>
      </c>
      <c r="B2" s="1220"/>
    </row>
    <row r="3" spans="1:30" ht="14.45" customHeight="1">
      <c r="A3" s="1225"/>
      <c r="C3" s="1487" t="s">
        <v>74</v>
      </c>
      <c r="D3" s="1488"/>
      <c r="E3" s="1489"/>
      <c r="F3" s="747"/>
      <c r="G3" s="1488" t="s">
        <v>75</v>
      </c>
      <c r="H3" s="1488"/>
      <c r="I3" s="1488"/>
      <c r="J3" s="1210"/>
      <c r="K3" s="1490" t="s">
        <v>76</v>
      </c>
      <c r="L3" s="1490"/>
      <c r="M3" s="1490"/>
      <c r="N3" s="747"/>
      <c r="O3" s="1488" t="s">
        <v>77</v>
      </c>
      <c r="P3" s="1488"/>
      <c r="Q3" s="1488"/>
      <c r="R3" s="747"/>
      <c r="S3" s="1488" t="s">
        <v>78</v>
      </c>
      <c r="T3" s="1488"/>
      <c r="U3" s="1488"/>
      <c r="V3" s="747"/>
      <c r="W3" s="1488" t="s">
        <v>79</v>
      </c>
      <c r="X3" s="1488"/>
      <c r="Y3" s="1488"/>
      <c r="Z3" s="747"/>
      <c r="AA3" s="1487" t="s">
        <v>80</v>
      </c>
      <c r="AB3" s="1488"/>
      <c r="AC3" s="1489"/>
    </row>
    <row r="4" spans="1:30" ht="52.5" customHeight="1">
      <c r="A4" s="748" t="s">
        <v>81</v>
      </c>
      <c r="B4" s="748" t="s">
        <v>82</v>
      </c>
      <c r="C4" s="749" t="s">
        <v>83</v>
      </c>
      <c r="D4" s="749" t="s">
        <v>84</v>
      </c>
      <c r="E4" s="749" t="s">
        <v>85</v>
      </c>
      <c r="F4" s="750"/>
      <c r="G4" s="907" t="s">
        <v>86</v>
      </c>
      <c r="H4" s="908" t="s">
        <v>87</v>
      </c>
      <c r="I4" s="909" t="s">
        <v>88</v>
      </c>
      <c r="J4" s="750"/>
      <c r="K4" s="749" t="s">
        <v>89</v>
      </c>
      <c r="L4" s="749" t="s">
        <v>90</v>
      </c>
      <c r="M4" s="749" t="s">
        <v>91</v>
      </c>
      <c r="N4" s="750"/>
      <c r="O4" s="749" t="s">
        <v>89</v>
      </c>
      <c r="P4" s="749" t="s">
        <v>92</v>
      </c>
      <c r="Q4" s="749" t="s">
        <v>93</v>
      </c>
      <c r="R4" s="750"/>
      <c r="S4" s="749" t="s">
        <v>86</v>
      </c>
      <c r="T4" s="749" t="s">
        <v>94</v>
      </c>
      <c r="U4" s="749" t="s">
        <v>95</v>
      </c>
      <c r="V4" s="750"/>
      <c r="W4" s="749" t="s">
        <v>96</v>
      </c>
      <c r="X4" s="910" t="s">
        <v>87</v>
      </c>
      <c r="Y4" s="908" t="s">
        <v>97</v>
      </c>
      <c r="Z4" s="750"/>
      <c r="AA4" s="749" t="s">
        <v>98</v>
      </c>
      <c r="AB4" s="749" t="s">
        <v>99</v>
      </c>
      <c r="AC4" s="749" t="s">
        <v>100</v>
      </c>
    </row>
    <row r="5" spans="1:30">
      <c r="A5" s="1225"/>
      <c r="B5" s="1225" t="s">
        <v>101</v>
      </c>
      <c r="C5" s="1225" t="s">
        <v>102</v>
      </c>
      <c r="D5" s="1225" t="s">
        <v>103</v>
      </c>
      <c r="E5" s="1225" t="s">
        <v>104</v>
      </c>
      <c r="F5" s="1225"/>
      <c r="G5" s="1225" t="s">
        <v>105</v>
      </c>
      <c r="H5" s="1225" t="s">
        <v>106</v>
      </c>
      <c r="I5" s="1225" t="s">
        <v>107</v>
      </c>
      <c r="J5" s="1225"/>
      <c r="K5" s="1225" t="s">
        <v>108</v>
      </c>
      <c r="L5" s="1225" t="s">
        <v>109</v>
      </c>
      <c r="M5" s="1225" t="s">
        <v>110</v>
      </c>
      <c r="N5" s="1225"/>
      <c r="O5" s="1225" t="s">
        <v>111</v>
      </c>
      <c r="P5" s="1225" t="s">
        <v>112</v>
      </c>
      <c r="Q5" s="1225" t="s">
        <v>113</v>
      </c>
      <c r="R5" s="1225"/>
      <c r="S5" s="1225" t="s">
        <v>114</v>
      </c>
      <c r="T5" s="1225" t="s">
        <v>115</v>
      </c>
      <c r="U5" s="1225" t="s">
        <v>116</v>
      </c>
      <c r="V5" s="1225"/>
      <c r="W5" s="1225" t="s">
        <v>117</v>
      </c>
      <c r="X5" s="1225" t="s">
        <v>118</v>
      </c>
      <c r="Y5" s="1225" t="s">
        <v>119</v>
      </c>
      <c r="Z5" s="1225"/>
      <c r="AA5" s="1225" t="s">
        <v>120</v>
      </c>
      <c r="AB5" s="1225" t="s">
        <v>121</v>
      </c>
      <c r="AC5" s="1225" t="s">
        <v>122</v>
      </c>
    </row>
    <row r="6" spans="1:30">
      <c r="A6" s="1225">
        <v>1</v>
      </c>
      <c r="B6" s="13" t="s">
        <v>123</v>
      </c>
      <c r="G6" s="18"/>
    </row>
    <row r="7" spans="1:30">
      <c r="A7" s="1225">
        <v>2</v>
      </c>
      <c r="B7" s="1" t="s">
        <v>124</v>
      </c>
      <c r="C7" s="84">
        <f>E7/D7</f>
        <v>2362848.2399999998</v>
      </c>
      <c r="D7" s="751">
        <v>5</v>
      </c>
      <c r="E7" s="1416">
        <f>SUMIFS('1501 Summary'!$P$1:$P$597,'1501 Summary'!$C$1:$C$597,"*"&amp;B7&amp;"*",'1501 Summary'!$B$1:$B$597,"*"&amp;$B$6&amp;"*")</f>
        <v>11814241.199999999</v>
      </c>
      <c r="F7" s="751"/>
      <c r="G7" s="753"/>
      <c r="H7" s="751"/>
      <c r="I7" s="752"/>
      <c r="J7" s="751"/>
      <c r="K7" s="84">
        <f>C7+G7</f>
        <v>2362848.2399999998</v>
      </c>
      <c r="L7" s="751">
        <f>D7</f>
        <v>5</v>
      </c>
      <c r="M7" s="752">
        <f>L7*K7</f>
        <v>11814241.199999999</v>
      </c>
      <c r="N7" s="751"/>
      <c r="O7" s="84">
        <f>K7</f>
        <v>2362848.2399999998</v>
      </c>
      <c r="P7" s="90">
        <v>5</v>
      </c>
      <c r="Q7" s="752">
        <f>P7*O7</f>
        <v>11814241.199999999</v>
      </c>
      <c r="R7" s="751"/>
      <c r="S7" s="84">
        <f>'EOP Calculations'!Q106</f>
        <v>2386620</v>
      </c>
      <c r="T7" s="752">
        <f>ROUND(S7*P7, 2)</f>
        <v>11933100</v>
      </c>
      <c r="U7" s="752">
        <f>T7-Q7</f>
        <v>118858.80000000075</v>
      </c>
      <c r="V7" s="751"/>
      <c r="W7" s="86"/>
      <c r="X7" s="86"/>
      <c r="Y7" s="86"/>
      <c r="Z7" s="751"/>
      <c r="AA7" s="87">
        <f>'Exh IDM-4, Class Rates'!F9</f>
        <v>5</v>
      </c>
      <c r="AB7" s="86">
        <f>ROUND(AA7*S7, 2)</f>
        <v>11933100</v>
      </c>
      <c r="AC7" s="86">
        <f>AB7-T7</f>
        <v>0</v>
      </c>
      <c r="AD7" s="32"/>
    </row>
    <row r="8" spans="1:30">
      <c r="A8" s="1225">
        <v>3</v>
      </c>
      <c r="B8" s="754" t="s">
        <v>125</v>
      </c>
      <c r="C8" s="84">
        <f>E8/D8</f>
        <v>38950358.904613152</v>
      </c>
      <c r="D8" s="755">
        <v>0.27205000000000001</v>
      </c>
      <c r="E8" s="1416">
        <f>SUMIFS('1501 Summary'!$P$1:$P$597,'1501 Summary'!$C$1:$C$597,"*"&amp;B8&amp;"*",'1501 Summary'!$B$1:$B$597,"*"&amp;$B$6&amp;"*")</f>
        <v>10596445.140000008</v>
      </c>
      <c r="F8" s="751"/>
      <c r="G8" s="753"/>
      <c r="H8" s="756"/>
      <c r="I8" s="751"/>
      <c r="J8" s="751"/>
      <c r="K8" s="84">
        <f>C8+G8</f>
        <v>38950358.904613152</v>
      </c>
      <c r="L8" s="756">
        <f>D9</f>
        <v>0.31073000000000001</v>
      </c>
      <c r="M8" s="752">
        <f>L8*K8</f>
        <v>12103045.022430444</v>
      </c>
      <c r="N8" s="751"/>
      <c r="O8" s="84">
        <f>K8</f>
        <v>38950358.904613152</v>
      </c>
      <c r="P8" s="88">
        <v>0.31274000000000002</v>
      </c>
      <c r="Q8" s="752">
        <f t="shared" ref="Q8:Q14" si="0">P8*O8</f>
        <v>12181335.243828718</v>
      </c>
      <c r="R8" s="751"/>
      <c r="S8" s="84"/>
      <c r="T8" s="84"/>
      <c r="U8" s="752"/>
      <c r="V8" s="751"/>
      <c r="W8" s="84">
        <f>S14</f>
        <v>128672934.97655511</v>
      </c>
      <c r="X8" s="88">
        <v>5.4099999999999999E-3</v>
      </c>
      <c r="Y8" s="86">
        <f>X8*W8</f>
        <v>696120.57822316315</v>
      </c>
      <c r="Z8" s="751"/>
      <c r="AA8" s="89"/>
      <c r="AB8" s="90"/>
      <c r="AC8" s="86"/>
      <c r="AD8" s="32"/>
    </row>
    <row r="9" spans="1:30">
      <c r="A9" s="1225">
        <v>4</v>
      </c>
      <c r="B9" s="754" t="s">
        <v>126</v>
      </c>
      <c r="C9" s="84">
        <f>E9/D9</f>
        <v>84776795.932159737</v>
      </c>
      <c r="D9" s="755">
        <v>0.31073000000000001</v>
      </c>
      <c r="E9" s="1416">
        <f>SUMIFS('1501 Summary'!$P$1:$P$597,'1501 Summary'!$C$1:$C$597,"*"&amp;B9&amp;"*",'1501 Summary'!$B$1:$B$597,"*"&amp;$B$6&amp;"*")</f>
        <v>26342693.799999993</v>
      </c>
      <c r="F9" s="751"/>
      <c r="G9" s="753"/>
      <c r="H9" s="756"/>
      <c r="I9" s="751"/>
      <c r="J9" s="751"/>
      <c r="K9" s="84">
        <f>C9+G9</f>
        <v>84776795.932159737</v>
      </c>
      <c r="L9" s="756">
        <f>L8</f>
        <v>0.31073000000000001</v>
      </c>
      <c r="M9" s="752">
        <f>L9*K9</f>
        <v>26342693.799999997</v>
      </c>
      <c r="N9" s="751"/>
      <c r="O9" s="84">
        <f>K9</f>
        <v>84776795.932159737</v>
      </c>
      <c r="P9" s="88">
        <v>0.31274000000000002</v>
      </c>
      <c r="Q9" s="752">
        <f t="shared" si="0"/>
        <v>26513095.159823637</v>
      </c>
      <c r="R9" s="751"/>
      <c r="S9" s="84"/>
      <c r="T9" s="84"/>
      <c r="U9" s="752"/>
      <c r="V9" s="751"/>
      <c r="W9" s="84"/>
      <c r="X9" s="88"/>
      <c r="Y9" s="86"/>
      <c r="Z9" s="751"/>
      <c r="AA9" s="89"/>
      <c r="AB9" s="90"/>
      <c r="AC9" s="86"/>
      <c r="AD9" s="32"/>
    </row>
    <row r="10" spans="1:30">
      <c r="A10" s="1225">
        <v>5</v>
      </c>
      <c r="B10" s="1" t="s">
        <v>127</v>
      </c>
      <c r="E10" s="1417">
        <f>SUM(E7:E9)</f>
        <v>48753380.140000001</v>
      </c>
      <c r="F10" s="751"/>
      <c r="G10" s="751"/>
      <c r="H10" s="751"/>
      <c r="I10" s="751"/>
      <c r="J10" s="751"/>
      <c r="K10" s="84"/>
      <c r="L10" s="756"/>
      <c r="M10" s="752"/>
      <c r="N10" s="751"/>
      <c r="O10" s="84"/>
      <c r="P10" s="88"/>
      <c r="Q10" s="752"/>
      <c r="R10" s="751"/>
      <c r="S10" s="752"/>
      <c r="T10" s="752"/>
      <c r="U10" s="752"/>
      <c r="V10" s="751"/>
      <c r="W10" s="86"/>
      <c r="X10" s="86"/>
      <c r="Y10" s="86"/>
      <c r="Z10" s="751"/>
      <c r="AA10" s="757"/>
      <c r="AB10" s="90"/>
      <c r="AC10" s="86"/>
      <c r="AD10" s="32"/>
    </row>
    <row r="11" spans="1:30">
      <c r="A11" s="1225">
        <v>6</v>
      </c>
      <c r="E11" s="1416"/>
      <c r="L11" s="756"/>
      <c r="O11" s="84"/>
      <c r="P11" s="88"/>
      <c r="Q11" s="752"/>
      <c r="S11" s="752"/>
      <c r="T11" s="752"/>
      <c r="U11" s="752"/>
      <c r="W11" s="86"/>
      <c r="X11" s="86"/>
      <c r="Y11" s="86"/>
      <c r="AA11" s="911"/>
      <c r="AB11" s="90"/>
      <c r="AC11" s="86"/>
      <c r="AD11" s="32"/>
    </row>
    <row r="12" spans="1:30">
      <c r="A12" s="1225">
        <v>7</v>
      </c>
      <c r="B12" s="1" t="s">
        <v>128</v>
      </c>
      <c r="E12" s="1416"/>
      <c r="K12" s="758">
        <f>'Weather Normalization'!E16-SUM('Exh IDM-2, Proof of Revenue'!K8:K9)</f>
        <v>3701701.1632271111</v>
      </c>
      <c r="L12" s="756">
        <f>L8</f>
        <v>0.31073000000000001</v>
      </c>
      <c r="M12" s="759">
        <f>L12*K12</f>
        <v>1150229.6024495603</v>
      </c>
      <c r="O12" s="84">
        <f>K12</f>
        <v>3701701.1632271111</v>
      </c>
      <c r="P12" s="88">
        <v>0.31274000000000002</v>
      </c>
      <c r="Q12" s="752">
        <f t="shared" si="0"/>
        <v>1157670.0217876467</v>
      </c>
      <c r="S12" s="752"/>
      <c r="T12" s="752"/>
      <c r="U12" s="752"/>
      <c r="W12" s="86"/>
      <c r="X12" s="86"/>
      <c r="Y12" s="86"/>
      <c r="AA12" s="911"/>
      <c r="AB12" s="90"/>
      <c r="AC12" s="86"/>
      <c r="AD12" s="32"/>
    </row>
    <row r="13" spans="1:30">
      <c r="A13" s="1225">
        <v>8</v>
      </c>
      <c r="E13" s="1416"/>
      <c r="L13" s="756"/>
      <c r="M13" s="759"/>
      <c r="O13" s="84"/>
      <c r="P13" s="88"/>
      <c r="Q13" s="752"/>
      <c r="S13" s="752"/>
      <c r="T13" s="752"/>
      <c r="U13" s="752"/>
      <c r="W13" s="86"/>
      <c r="X13" s="86"/>
      <c r="Y13" s="86"/>
      <c r="AA13" s="911"/>
      <c r="AB13" s="90"/>
      <c r="AC13" s="86"/>
      <c r="AD13" s="32"/>
    </row>
    <row r="14" spans="1:30">
      <c r="A14" s="1225">
        <v>9</v>
      </c>
      <c r="B14" s="1" t="s">
        <v>129</v>
      </c>
      <c r="D14" s="1023"/>
      <c r="E14" s="1416">
        <f>SUMIFS('1501 Summary'!$P$1:$P$597,'1501 Summary'!$C$1:$C$597,"*"&amp;B14&amp;"*",'1501 Summary'!$B$1:$B$597,"*"&amp;$B$6&amp;"*")</f>
        <v>54796162.079999991</v>
      </c>
      <c r="F14" s="751"/>
      <c r="G14" s="751"/>
      <c r="H14" s="751"/>
      <c r="I14" s="751"/>
      <c r="J14" s="751"/>
      <c r="K14" s="84">
        <f>SUM(K8:K12)</f>
        <v>127428856</v>
      </c>
      <c r="L14" s="756">
        <f>L8</f>
        <v>0.31073000000000001</v>
      </c>
      <c r="M14" s="760">
        <f>L14*K14</f>
        <v>39595968.424879998</v>
      </c>
      <c r="N14" s="751"/>
      <c r="O14" s="84">
        <f>K14</f>
        <v>127428856</v>
      </c>
      <c r="P14" s="88">
        <v>0.31274000000000002</v>
      </c>
      <c r="Q14" s="761">
        <f t="shared" si="0"/>
        <v>39852100.425440006</v>
      </c>
      <c r="R14" s="751"/>
      <c r="S14" s="84">
        <f>'EOP Calculations'!P106</f>
        <v>128672934.97655511</v>
      </c>
      <c r="T14" s="761">
        <f>ROUND(S14*P14, 2)</f>
        <v>40241173.68</v>
      </c>
      <c r="U14" s="761">
        <f>T14-Q14</f>
        <v>389073.25455999374</v>
      </c>
      <c r="V14" s="751"/>
      <c r="W14" s="86"/>
      <c r="X14" s="86"/>
      <c r="Y14" s="86"/>
      <c r="Z14" s="751"/>
      <c r="AA14" s="91">
        <f>'Exh IDM-4, Class Rates'!F10</f>
        <v>0.34082887860581407</v>
      </c>
      <c r="AB14" s="630">
        <f>ROUND(AA14*S14, 2)</f>
        <v>43855452.130000003</v>
      </c>
      <c r="AC14" s="630">
        <f>AB14-T14</f>
        <v>3614278.450000003</v>
      </c>
      <c r="AD14" s="32"/>
    </row>
    <row r="15" spans="1:30">
      <c r="A15" s="1225">
        <v>10</v>
      </c>
      <c r="D15" s="1023"/>
      <c r="E15" s="1416"/>
      <c r="L15" s="756"/>
      <c r="M15" s="759">
        <f>SUM(M14,M7)</f>
        <v>51410209.624880001</v>
      </c>
      <c r="O15" s="84"/>
      <c r="P15" s="88"/>
      <c r="Q15" s="759">
        <f>SUM(Q14,Q7)</f>
        <v>51666341.625440001</v>
      </c>
      <c r="S15" s="752"/>
      <c r="T15" s="752">
        <f>SUM(T7,T14)</f>
        <v>52174273.68</v>
      </c>
      <c r="U15" s="752">
        <f>T15-Q15</f>
        <v>507932.05455999821</v>
      </c>
      <c r="W15" s="86"/>
      <c r="X15" s="86"/>
      <c r="Y15" s="86"/>
      <c r="AA15" s="757"/>
      <c r="AB15" s="762">
        <f>SUM(AB7:AB14)</f>
        <v>55788552.130000003</v>
      </c>
      <c r="AC15" s="762">
        <f>SUM(AC7:AC14)</f>
        <v>3614278.450000003</v>
      </c>
      <c r="AD15" s="32"/>
    </row>
    <row r="16" spans="1:30">
      <c r="A16" s="1225">
        <v>11</v>
      </c>
      <c r="B16" s="1" t="s">
        <v>130</v>
      </c>
      <c r="D16" s="1023"/>
      <c r="E16" s="1416"/>
      <c r="L16" s="756"/>
      <c r="O16" s="84" t="s">
        <v>131</v>
      </c>
      <c r="P16" s="90"/>
      <c r="Q16" s="763">
        <f>Q15-M15</f>
        <v>256132.00056000054</v>
      </c>
      <c r="S16" s="752"/>
      <c r="T16" s="752"/>
      <c r="U16" s="752"/>
      <c r="W16" s="86"/>
      <c r="X16" s="86"/>
      <c r="Y16" s="86"/>
      <c r="AC16" s="86"/>
      <c r="AD16" s="32"/>
    </row>
    <row r="17" spans="1:30">
      <c r="A17" s="1225">
        <v>12</v>
      </c>
      <c r="B17" s="1" t="s">
        <v>132</v>
      </c>
      <c r="E17" s="1416">
        <f>SUMIFS('1501 Summary'!$P$1:$P$597,'1501 Summary'!$C$1:$C$597,"*"&amp;B17&amp;"*",'1501 Summary'!$B$1:$B$597,"*"&amp;$B$6&amp;"*")</f>
        <v>17244552.409999993</v>
      </c>
      <c r="L17" s="756"/>
      <c r="O17" s="84"/>
      <c r="P17" s="90"/>
      <c r="Q17" s="90"/>
      <c r="S17" s="752"/>
      <c r="T17" s="752"/>
      <c r="U17" s="752"/>
      <c r="W17" s="86"/>
      <c r="X17" s="86"/>
      <c r="Y17" s="86"/>
      <c r="AC17" s="86"/>
      <c r="AD17" s="32"/>
    </row>
    <row r="18" spans="1:30">
      <c r="A18" s="1225">
        <v>13</v>
      </c>
      <c r="B18" s="1" t="s">
        <v>133</v>
      </c>
      <c r="E18" s="1416">
        <f>SUMIFS('1501 Summary'!$P$1:$P$597,'1501 Summary'!$C$1:$C$597,"*"&amp;B18&amp;"*",'1501 Summary'!$B$1:$B$597,"*"&amp;$B$6&amp;"*")</f>
        <v>417240.38000000006</v>
      </c>
      <c r="F18" s="751"/>
      <c r="G18" s="751"/>
      <c r="H18" s="751"/>
      <c r="I18" s="751"/>
      <c r="J18" s="751"/>
      <c r="K18" s="751"/>
      <c r="L18" s="756"/>
      <c r="M18" s="751"/>
      <c r="N18" s="751"/>
      <c r="O18" s="84"/>
      <c r="P18" s="90"/>
      <c r="Q18" s="90"/>
      <c r="R18" s="751"/>
      <c r="S18" s="752"/>
      <c r="T18" s="752"/>
      <c r="U18" s="752"/>
      <c r="V18" s="751"/>
      <c r="Z18" s="751"/>
      <c r="AC18" s="762"/>
      <c r="AD18" s="32"/>
    </row>
    <row r="19" spans="1:30">
      <c r="A19" s="1225">
        <v>14</v>
      </c>
      <c r="B19" s="1" t="s">
        <v>134</v>
      </c>
      <c r="E19" s="1416">
        <f>SUMIFS('1501 Summary'!$P$1:$P$597,'1501 Summary'!$C$1:$C$597,"*"&amp;B19&amp;"*",'1501 Summary'!$B$1:$B$597,"*"&amp;$B$6&amp;"*")</f>
        <v>1143564.0999999992</v>
      </c>
      <c r="F19" s="751"/>
      <c r="G19" s="751"/>
      <c r="H19" s="751"/>
      <c r="I19" s="751"/>
      <c r="J19" s="751"/>
      <c r="K19" s="751"/>
      <c r="L19" s="756"/>
      <c r="M19" s="751"/>
      <c r="N19" s="751"/>
      <c r="O19" s="84"/>
      <c r="P19" s="90"/>
      <c r="Q19" s="90"/>
      <c r="R19" s="751"/>
      <c r="S19" s="752"/>
      <c r="T19" s="752"/>
      <c r="U19" s="752"/>
      <c r="V19" s="751"/>
      <c r="Z19" s="751"/>
      <c r="AD19" s="32"/>
    </row>
    <row r="20" spans="1:30">
      <c r="A20" s="1225">
        <v>15</v>
      </c>
      <c r="B20" s="1" t="s">
        <v>135</v>
      </c>
      <c r="E20" s="1416">
        <f>SUMIFS('1501 Summary'!$P$1:$P$597,'1501 Summary'!$C$1:$C$597,"*"&amp;B20&amp;"*",'1501 Summary'!$B$1:$B$597,"*"&amp;$B$6&amp;"*")</f>
        <v>1242129.69</v>
      </c>
      <c r="F20" s="751"/>
      <c r="G20" s="751"/>
      <c r="H20" s="751"/>
      <c r="I20" s="751"/>
      <c r="J20" s="751"/>
      <c r="K20" s="751"/>
      <c r="L20" s="756"/>
      <c r="M20" s="751"/>
      <c r="N20" s="751"/>
      <c r="O20" s="84"/>
      <c r="P20" s="90"/>
      <c r="Q20" s="90"/>
      <c r="R20" s="751"/>
      <c r="S20" s="752"/>
      <c r="T20" s="752"/>
      <c r="U20" s="752"/>
      <c r="V20" s="751"/>
      <c r="Z20" s="751"/>
      <c r="AD20" s="32"/>
    </row>
    <row r="21" spans="1:30">
      <c r="A21" s="1225">
        <v>16</v>
      </c>
      <c r="B21" s="1" t="s">
        <v>136</v>
      </c>
      <c r="E21" s="1416">
        <f>SUMIFS('1501 Summary'!$P$1:$P$597,'1501 Summary'!$C$1:$C$597,"*"&amp;B21&amp;"*",'1501 Summary'!$B$1:$B$597,"*"&amp;$B$6&amp;"*")</f>
        <v>3292471.1899999967</v>
      </c>
      <c r="F21" s="751"/>
      <c r="G21" s="751"/>
      <c r="H21" s="751"/>
      <c r="I21" s="751"/>
      <c r="J21" s="751"/>
      <c r="K21" s="751"/>
      <c r="L21" s="756"/>
      <c r="M21" s="751"/>
      <c r="N21" s="751"/>
      <c r="O21" s="84"/>
      <c r="P21" s="90"/>
      <c r="Q21" s="90"/>
      <c r="R21" s="751"/>
      <c r="S21" s="752"/>
      <c r="T21" s="752"/>
      <c r="U21" s="752"/>
      <c r="V21" s="751"/>
      <c r="Z21" s="751"/>
      <c r="AD21" s="32"/>
    </row>
    <row r="22" spans="1:30">
      <c r="A22" s="1225">
        <v>17</v>
      </c>
      <c r="B22" s="40" t="s">
        <v>137</v>
      </c>
      <c r="E22" s="1416">
        <f>SUMIFS('1501 Summary'!$P$1:$P$597,'1501 Summary'!$C$1:$C$597,"*"&amp;B22&amp;"*",'1501 Summary'!$B$1:$B$597,"*"&amp;$B$6&amp;"*")</f>
        <v>-989986.88999999966</v>
      </c>
      <c r="F22" s="751"/>
      <c r="G22" s="751"/>
      <c r="H22" s="751"/>
      <c r="I22" s="751"/>
      <c r="J22" s="751"/>
      <c r="K22" s="751"/>
      <c r="L22" s="756"/>
      <c r="M22" s="751"/>
      <c r="N22" s="751"/>
      <c r="O22" s="84"/>
      <c r="P22" s="90"/>
      <c r="Q22" s="90"/>
      <c r="R22" s="751"/>
      <c r="S22" s="752"/>
      <c r="T22" s="752"/>
      <c r="U22" s="752"/>
      <c r="V22" s="751"/>
      <c r="Z22" s="751"/>
      <c r="AD22" s="32"/>
    </row>
    <row r="23" spans="1:30">
      <c r="A23" s="1225">
        <v>18</v>
      </c>
      <c r="B23" s="40" t="s">
        <v>138</v>
      </c>
      <c r="E23" s="1416">
        <f>SUMIFS('1501 Summary'!$P$1:$P$597,'1501 Summary'!$C$1:$C$597,"*"&amp;B23&amp;"*",'1501 Summary'!$B$1:$B$597,"*"&amp;$B$6&amp;"*")</f>
        <v>-393249.31000000011</v>
      </c>
      <c r="F23" s="751"/>
      <c r="G23" s="751"/>
      <c r="H23" s="751"/>
      <c r="I23" s="751"/>
      <c r="J23" s="751"/>
      <c r="K23" s="751"/>
      <c r="L23" s="756"/>
      <c r="M23" s="751"/>
      <c r="N23" s="751"/>
      <c r="O23" s="84"/>
      <c r="P23" s="90"/>
      <c r="Q23" s="90"/>
      <c r="R23" s="751"/>
      <c r="S23" s="752"/>
      <c r="T23" s="752"/>
      <c r="U23" s="752"/>
      <c r="V23" s="751"/>
      <c r="Z23" s="751"/>
      <c r="AD23" s="32"/>
    </row>
    <row r="24" spans="1:30">
      <c r="A24" s="1225">
        <v>19</v>
      </c>
      <c r="B24" s="40" t="s">
        <v>139</v>
      </c>
      <c r="E24" s="1416">
        <f>SUMIFS('1501 Summary'!$P$1:$P$597,'1501 Summary'!$C$1:$C$597,"*"&amp;B24&amp;"*",'1501 Summary'!$B$1:$B$597,"*"&amp;$B$6&amp;"*")</f>
        <v>77.48</v>
      </c>
      <c r="F24" s="751"/>
      <c r="G24" s="751"/>
      <c r="H24" s="751"/>
      <c r="I24" s="751"/>
      <c r="J24" s="751"/>
      <c r="K24" s="751"/>
      <c r="L24" s="756"/>
      <c r="M24" s="751"/>
      <c r="N24" s="751"/>
      <c r="O24" s="84"/>
      <c r="P24" s="90"/>
      <c r="Q24" s="90"/>
      <c r="R24" s="751"/>
      <c r="S24" s="752"/>
      <c r="T24" s="752"/>
      <c r="U24" s="752"/>
      <c r="V24" s="751"/>
      <c r="Z24" s="751"/>
      <c r="AD24" s="32"/>
    </row>
    <row r="25" spans="1:30">
      <c r="A25" s="1225">
        <v>20</v>
      </c>
      <c r="B25" s="1" t="s">
        <v>140</v>
      </c>
      <c r="E25" s="1416">
        <f>SUMIFS('1501 Summary'!$P$1:$P$597,'1501 Summary'!$C$1:$C$597,"*"&amp;B25&amp;"*",'1501 Summary'!$B$1:$B$597,"*"&amp;$B$6&amp;"*")</f>
        <v>6171128.3900000015</v>
      </c>
      <c r="F25" s="751"/>
      <c r="G25" s="751"/>
      <c r="H25" s="751"/>
      <c r="I25" s="751"/>
      <c r="J25" s="751"/>
      <c r="K25" s="751"/>
      <c r="L25" s="756"/>
      <c r="M25" s="751"/>
      <c r="N25" s="751"/>
      <c r="O25" s="84"/>
      <c r="P25" s="90"/>
      <c r="Q25" s="90"/>
      <c r="R25" s="751"/>
      <c r="S25" s="752"/>
      <c r="T25" s="752"/>
      <c r="U25" s="752"/>
      <c r="V25" s="751"/>
      <c r="W25" s="752"/>
      <c r="X25" s="752"/>
      <c r="Y25" s="752"/>
      <c r="Z25" s="751"/>
      <c r="AC25" s="752"/>
      <c r="AD25" s="32"/>
    </row>
    <row r="26" spans="1:30">
      <c r="A26" s="1225">
        <v>21</v>
      </c>
      <c r="B26" s="1" t="s">
        <v>141</v>
      </c>
      <c r="E26" s="1416">
        <f>SUMIFS('1501 Summary'!$P$1:$P$597,'1501 Summary'!$C$1:$C$597,"*"&amp;B26&amp;"*",'1501 Summary'!$B$1:$B$597,"*"&amp;$B$6&amp;"*")</f>
        <v>-820.12000000000012</v>
      </c>
      <c r="F26" s="751"/>
      <c r="G26" s="751"/>
      <c r="H26" s="751"/>
      <c r="I26" s="751"/>
      <c r="J26" s="751"/>
      <c r="K26" s="751"/>
      <c r="L26" s="756"/>
      <c r="M26" s="751"/>
      <c r="N26" s="751"/>
      <c r="O26" s="84"/>
      <c r="P26" s="90"/>
      <c r="Q26" s="90"/>
      <c r="R26" s="751"/>
      <c r="S26" s="752"/>
      <c r="T26" s="752"/>
      <c r="U26" s="752"/>
      <c r="V26" s="751"/>
      <c r="W26" s="752"/>
      <c r="X26" s="752"/>
      <c r="Y26" s="752"/>
      <c r="Z26" s="751"/>
      <c r="AC26" s="752"/>
      <c r="AD26" s="32"/>
    </row>
    <row r="27" spans="1:30">
      <c r="A27" s="1225">
        <v>22</v>
      </c>
      <c r="B27" s="1" t="s">
        <v>142</v>
      </c>
      <c r="E27" s="1416">
        <f>SUMIFS('1501 Summary'!$P$1:$P$597,'1501 Summary'!$C$1:$C$597,"*"&amp;B27&amp;"*",'1501 Summary'!$B$1:$B$597,"*"&amp;$B$6&amp;"*")</f>
        <v>20942.910000000003</v>
      </c>
      <c r="F27" s="751"/>
      <c r="G27" s="751"/>
      <c r="H27" s="751"/>
      <c r="I27" s="751"/>
      <c r="J27" s="751"/>
      <c r="K27" s="751"/>
      <c r="L27" s="756"/>
      <c r="M27" s="751"/>
      <c r="N27" s="751"/>
      <c r="O27" s="84"/>
      <c r="P27" s="90"/>
      <c r="Q27" s="90"/>
      <c r="R27" s="751"/>
      <c r="S27" s="752"/>
      <c r="T27" s="752"/>
      <c r="U27" s="752"/>
      <c r="V27" s="751"/>
      <c r="W27" s="752"/>
      <c r="X27" s="752"/>
      <c r="Y27" s="752"/>
      <c r="Z27" s="751"/>
      <c r="AC27" s="752"/>
      <c r="AD27" s="32"/>
    </row>
    <row r="28" spans="1:30">
      <c r="A28" s="1225">
        <v>23</v>
      </c>
      <c r="B28" s="1" t="s">
        <v>143</v>
      </c>
      <c r="E28" s="1420">
        <f>SUMIFS('Rev Recon Summary'!$P$1:$P$500,'Rev Recon Summary'!$C$1:$C$500,"*"&amp;B28&amp;"*",'Rev Recon Summary'!$B$1:$B$500,"*"&amp;$B$6&amp;"*")</f>
        <v>66216496.439999998</v>
      </c>
      <c r="F28" s="751"/>
      <c r="G28" s="751"/>
      <c r="H28" s="751"/>
      <c r="I28" s="751"/>
      <c r="J28" s="751"/>
      <c r="K28" s="751"/>
      <c r="L28" s="756"/>
      <c r="M28" s="751"/>
      <c r="N28" s="751"/>
      <c r="O28" s="84"/>
      <c r="P28" s="90"/>
      <c r="Q28" s="90"/>
      <c r="R28" s="751"/>
      <c r="S28" s="752"/>
      <c r="T28" s="752"/>
      <c r="U28" s="752"/>
      <c r="V28" s="751"/>
      <c r="W28" s="752"/>
      <c r="X28" s="752"/>
      <c r="Y28" s="752"/>
      <c r="Z28" s="751"/>
      <c r="AC28" s="752"/>
      <c r="AD28" s="32"/>
    </row>
    <row r="29" spans="1:30">
      <c r="A29" s="1225">
        <v>24</v>
      </c>
      <c r="B29" s="1" t="s">
        <v>144</v>
      </c>
      <c r="E29" s="1420">
        <f>SUMIFS('Rev Recon Summary'!$P$1:$P$500,'Rev Recon Summary'!$C$1:$C$500,"*"&amp;B29&amp;"*",'Rev Recon Summary'!$B$1:$B$500,"*"&amp;$B$6&amp;"*")</f>
        <v>-66221928.409999996</v>
      </c>
      <c r="F29" s="751"/>
      <c r="G29" s="751"/>
      <c r="H29" s="751"/>
      <c r="I29" s="751"/>
      <c r="J29" s="751"/>
      <c r="K29" s="751"/>
      <c r="L29" s="756"/>
      <c r="M29" s="751"/>
      <c r="N29" s="751"/>
      <c r="O29" s="84"/>
      <c r="P29" s="90"/>
      <c r="Q29" s="90"/>
      <c r="R29" s="751"/>
      <c r="S29" s="752"/>
      <c r="T29" s="752"/>
      <c r="U29" s="752"/>
      <c r="V29" s="751"/>
      <c r="W29" s="752"/>
      <c r="X29" s="752"/>
      <c r="Y29" s="752"/>
      <c r="Z29" s="751"/>
      <c r="AC29" s="752"/>
      <c r="AD29" s="32"/>
    </row>
    <row r="30" spans="1:30">
      <c r="A30" s="1225">
        <v>25</v>
      </c>
      <c r="B30" s="1" t="s">
        <v>145</v>
      </c>
      <c r="E30" s="1416">
        <f>SUMIFS('Rev Recon Summary'!$P$1:$P$500,'Rev Recon Summary'!$C$1:$C$500,"*"&amp;B30&amp;"*",'Rev Recon Summary'!$B$1:$B$500,"*"&amp;$B$6&amp;"*")</f>
        <v>1348414.41</v>
      </c>
      <c r="F30" s="751"/>
      <c r="G30" s="751"/>
      <c r="H30" s="751"/>
      <c r="I30" s="751"/>
      <c r="J30" s="751"/>
      <c r="K30" s="751"/>
      <c r="L30" s="756"/>
      <c r="M30" s="751"/>
      <c r="N30" s="751"/>
      <c r="O30" s="84"/>
      <c r="P30" s="90"/>
      <c r="Q30" s="90"/>
      <c r="R30" s="751"/>
      <c r="S30" s="752"/>
      <c r="T30" s="752"/>
      <c r="U30" s="752"/>
      <c r="V30" s="751"/>
      <c r="W30" s="752"/>
      <c r="X30" s="752"/>
      <c r="Y30" s="752"/>
      <c r="Z30" s="751"/>
      <c r="AC30" s="752"/>
      <c r="AD30" s="32"/>
    </row>
    <row r="31" spans="1:30">
      <c r="A31" s="1225">
        <v>26</v>
      </c>
      <c r="B31" s="1" t="s">
        <v>146</v>
      </c>
      <c r="E31" s="1416">
        <f>SUMIFS('Rev Recon Summary'!$P$1:$P$500,'Rev Recon Summary'!$C$1:$C$500,"*"&amp;B31&amp;"*",'Rev Recon Summary'!$B$1:$B$500,"*"&amp;$B$6&amp;"*")</f>
        <v>-1631435.96</v>
      </c>
      <c r="F31" s="751"/>
      <c r="G31" s="751"/>
      <c r="H31" s="751"/>
      <c r="I31" s="751"/>
      <c r="J31" s="751"/>
      <c r="K31" s="751"/>
      <c r="L31" s="756"/>
      <c r="M31" s="751"/>
      <c r="N31" s="751"/>
      <c r="O31" s="84"/>
      <c r="P31" s="90"/>
      <c r="Q31" s="90"/>
      <c r="R31" s="751"/>
      <c r="S31" s="752"/>
      <c r="T31" s="752"/>
      <c r="U31" s="752"/>
      <c r="V31" s="751"/>
      <c r="W31" s="752"/>
      <c r="X31" s="752"/>
      <c r="Y31" s="752"/>
      <c r="Z31" s="751"/>
      <c r="AC31" s="752"/>
      <c r="AD31" s="32"/>
    </row>
    <row r="32" spans="1:30">
      <c r="A32" s="1225">
        <v>27</v>
      </c>
      <c r="B32" s="1" t="s">
        <v>147</v>
      </c>
      <c r="E32" s="1418">
        <f>SUMIFS('Rev Recon Summary'!$P$1:$P$500,'Rev Recon Summary'!$C$1:$C$500,"*"&amp;B32&amp;"*",'Rev Recon Summary'!$B$1:$B$500,"*"&amp;$B$6&amp;"*")</f>
        <v>3.69</v>
      </c>
      <c r="F32" s="751"/>
      <c r="G32" s="751"/>
      <c r="H32" s="751"/>
      <c r="I32" s="751"/>
      <c r="J32" s="751"/>
      <c r="K32" s="751"/>
      <c r="L32" s="756"/>
      <c r="M32" s="751"/>
      <c r="N32" s="751"/>
      <c r="O32" s="84"/>
      <c r="P32" s="90"/>
      <c r="Q32" s="90"/>
      <c r="R32" s="751"/>
      <c r="S32" s="752"/>
      <c r="T32" s="752"/>
      <c r="U32" s="752"/>
      <c r="V32" s="751"/>
      <c r="W32" s="752"/>
      <c r="X32" s="752"/>
      <c r="Y32" s="752"/>
      <c r="Z32" s="751"/>
      <c r="AC32" s="752"/>
      <c r="AD32" s="32"/>
    </row>
    <row r="33" spans="1:30">
      <c r="A33" s="1225">
        <v>28</v>
      </c>
      <c r="B33" s="1" t="s">
        <v>148</v>
      </c>
      <c r="E33" s="1416">
        <f>SUM(E17:E32)</f>
        <v>27859600.399999991</v>
      </c>
      <c r="F33" s="751"/>
      <c r="G33" s="751"/>
      <c r="H33" s="751"/>
      <c r="I33" s="751"/>
      <c r="J33" s="751"/>
      <c r="K33" s="751"/>
      <c r="L33" s="756"/>
      <c r="M33" s="751"/>
      <c r="N33" s="751"/>
      <c r="O33" s="84"/>
      <c r="P33" s="90"/>
      <c r="Q33" s="90"/>
      <c r="R33" s="751"/>
      <c r="S33" s="752"/>
      <c r="T33" s="752"/>
      <c r="U33" s="752"/>
      <c r="V33" s="751"/>
      <c r="W33" s="752"/>
      <c r="X33" s="752"/>
      <c r="Y33" s="752"/>
      <c r="Z33" s="751"/>
      <c r="AC33" s="752"/>
      <c r="AD33" s="32"/>
    </row>
    <row r="34" spans="1:30">
      <c r="A34" s="1225">
        <v>29</v>
      </c>
      <c r="E34" s="1416"/>
      <c r="L34" s="756"/>
      <c r="O34" s="84"/>
      <c r="P34" s="90"/>
      <c r="Q34" s="90"/>
      <c r="S34" s="752"/>
      <c r="T34" s="752"/>
      <c r="U34" s="752"/>
      <c r="AD34" s="32"/>
    </row>
    <row r="35" spans="1:30">
      <c r="A35" s="1225">
        <v>30</v>
      </c>
      <c r="B35" s="639" t="str">
        <f>"Total "&amp;LEFT(B6,17)&amp;" Revenue"</f>
        <v>Total CNGWA503 Revenue</v>
      </c>
      <c r="C35" s="764">
        <f>E35-'Rev Recon Summary'!P22</f>
        <v>0</v>
      </c>
      <c r="D35" s="765" t="s">
        <v>149</v>
      </c>
      <c r="E35" s="1418">
        <f>SUM(E10,E14,E33)</f>
        <v>131409142.61999999</v>
      </c>
      <c r="F35" s="764"/>
      <c r="G35" s="764">
        <f>E35*'Exh MCG-4, Conversion Factor'!$I$12</f>
        <v>0</v>
      </c>
      <c r="H35" s="764"/>
      <c r="I35" s="764"/>
      <c r="J35" s="764"/>
      <c r="K35" s="764"/>
      <c r="L35" s="766"/>
      <c r="M35" s="764"/>
      <c r="N35" s="764"/>
      <c r="O35" s="631"/>
      <c r="P35" s="633"/>
      <c r="Q35" s="633"/>
      <c r="R35" s="764"/>
      <c r="S35" s="761"/>
      <c r="T35" s="761"/>
      <c r="U35" s="761"/>
      <c r="V35" s="764"/>
      <c r="W35" s="761"/>
      <c r="X35" s="761"/>
      <c r="Y35" s="761"/>
      <c r="Z35" s="764"/>
      <c r="AA35" s="764"/>
      <c r="AB35" s="764"/>
      <c r="AC35" s="761"/>
      <c r="AD35" s="32"/>
    </row>
    <row r="36" spans="1:30">
      <c r="A36" s="1225">
        <v>31</v>
      </c>
      <c r="B36" s="11"/>
      <c r="C36" s="767"/>
      <c r="D36" s="768"/>
      <c r="E36" s="84"/>
      <c r="F36" s="89"/>
      <c r="G36" s="89"/>
      <c r="H36" s="89"/>
      <c r="I36" s="89"/>
      <c r="J36" s="89"/>
      <c r="K36" s="89"/>
      <c r="L36" s="756"/>
      <c r="M36" s="89"/>
      <c r="N36" s="89"/>
      <c r="O36" s="84"/>
      <c r="P36" s="90"/>
      <c r="Q36" s="90"/>
      <c r="R36" s="89"/>
      <c r="S36" s="752"/>
      <c r="T36" s="752"/>
      <c r="U36" s="752"/>
      <c r="V36" s="89"/>
      <c r="Z36" s="89"/>
      <c r="AD36" s="32"/>
    </row>
    <row r="37" spans="1:30">
      <c r="A37" s="1225">
        <v>32</v>
      </c>
      <c r="C37" s="767"/>
      <c r="E37" s="1416"/>
      <c r="L37" s="756"/>
      <c r="O37" s="84"/>
      <c r="P37" s="90"/>
      <c r="Q37" s="90"/>
      <c r="S37" s="752"/>
      <c r="T37" s="752"/>
      <c r="U37" s="752"/>
      <c r="AD37" s="32"/>
    </row>
    <row r="38" spans="1:30" ht="30">
      <c r="A38" s="1225">
        <v>33</v>
      </c>
      <c r="B38" s="13" t="s">
        <v>150</v>
      </c>
      <c r="E38" s="1416"/>
      <c r="G38" s="178" t="s">
        <v>151</v>
      </c>
      <c r="L38" s="756"/>
      <c r="M38" s="752"/>
      <c r="O38" s="84"/>
      <c r="P38" s="90"/>
      <c r="Q38" s="90"/>
      <c r="S38" s="752"/>
      <c r="T38" s="752"/>
      <c r="U38" s="752"/>
      <c r="AD38" s="32"/>
    </row>
    <row r="39" spans="1:30">
      <c r="A39" s="1225">
        <v>34</v>
      </c>
      <c r="B39" s="1" t="s">
        <v>124</v>
      </c>
      <c r="C39" s="84">
        <f>E39/D39</f>
        <v>322464.20615384617</v>
      </c>
      <c r="D39" s="751">
        <v>13</v>
      </c>
      <c r="E39" s="1416">
        <f>SUMIFS('1501 Summary'!$P$1:$P$597,'1501 Summary'!$C$1:$C$597,"*"&amp;B39&amp;"*",'1501 Summary'!$B$1:$B$597,"*"&amp;$B$38&amp;"*")</f>
        <v>4192034.68</v>
      </c>
      <c r="F39" s="752"/>
      <c r="G39" s="753">
        <f>-G136</f>
        <v>12</v>
      </c>
      <c r="H39" s="752">
        <f>D39</f>
        <v>13</v>
      </c>
      <c r="I39" s="752">
        <f>G39*H39</f>
        <v>156</v>
      </c>
      <c r="J39" s="752"/>
      <c r="K39" s="84">
        <f>C39+G39</f>
        <v>322476.20615384617</v>
      </c>
      <c r="L39" s="751">
        <f>D39</f>
        <v>13</v>
      </c>
      <c r="M39" s="752">
        <f>L39*K39</f>
        <v>4192190.68</v>
      </c>
      <c r="N39" s="752"/>
      <c r="O39" s="84">
        <f>K39</f>
        <v>322476.20615384617</v>
      </c>
      <c r="P39" s="90">
        <v>13</v>
      </c>
      <c r="Q39" s="752">
        <f t="shared" ref="Q39:Q46" si="1">P39*O39</f>
        <v>4192190.68</v>
      </c>
      <c r="R39" s="752"/>
      <c r="S39" s="84">
        <f>'EOP Calculations'!Q107</f>
        <v>324372</v>
      </c>
      <c r="T39" s="752">
        <f>ROUND(S39*P39, 2)</f>
        <v>4216836</v>
      </c>
      <c r="U39" s="752">
        <f>T39-Q39</f>
        <v>24645.319999999832</v>
      </c>
      <c r="V39" s="752"/>
      <c r="W39" s="86"/>
      <c r="X39" s="86"/>
      <c r="Y39" s="86"/>
      <c r="Z39" s="752"/>
      <c r="AA39" s="92">
        <f>'Exh IDM-4, Class Rates'!F14</f>
        <v>13</v>
      </c>
      <c r="AB39" s="86">
        <f>ROUND(AA39*S39, 2)</f>
        <v>4216836</v>
      </c>
      <c r="AC39" s="86">
        <f>AB39-T39</f>
        <v>0</v>
      </c>
      <c r="AD39" s="32"/>
    </row>
    <row r="40" spans="1:30">
      <c r="A40" s="1225">
        <v>35</v>
      </c>
      <c r="B40" s="754" t="s">
        <v>125</v>
      </c>
      <c r="C40" s="84">
        <f>E40/D40</f>
        <v>26449609.065767866</v>
      </c>
      <c r="D40" s="755">
        <v>0.23141999999999999</v>
      </c>
      <c r="E40" s="1416">
        <f>SUMIFS('1501 Summary'!$P$1:$P$597,'1501 Summary'!$C$1:$C$597,"*"&amp;B40&amp;"*",'1501 Summary'!$B$1:$B$597,"*"&amp;$B$38&amp;"*")</f>
        <v>6120968.5299999993</v>
      </c>
      <c r="F40" s="752"/>
      <c r="G40" s="753">
        <f>-G137</f>
        <v>9438.9853945207851</v>
      </c>
      <c r="H40" s="756">
        <f>D40</f>
        <v>0.23141999999999999</v>
      </c>
      <c r="I40" s="752">
        <f>G40*H40</f>
        <v>2184.37</v>
      </c>
      <c r="J40" s="752"/>
      <c r="K40" s="84">
        <f>C40+G40</f>
        <v>26459048.051162388</v>
      </c>
      <c r="L40" s="756">
        <f>D41</f>
        <v>0.26179999999999998</v>
      </c>
      <c r="M40" s="752">
        <f>L40*K40</f>
        <v>6926978.779794313</v>
      </c>
      <c r="N40" s="752"/>
      <c r="O40" s="84">
        <f>K40</f>
        <v>26459048.051162388</v>
      </c>
      <c r="P40" s="88">
        <v>0.26283000000000001</v>
      </c>
      <c r="Q40" s="752">
        <f t="shared" si="1"/>
        <v>6954231.5992870107</v>
      </c>
      <c r="R40" s="752"/>
      <c r="U40" s="752"/>
      <c r="V40" s="752"/>
      <c r="W40" s="84">
        <f>S46</f>
        <v>88038975.020009622</v>
      </c>
      <c r="X40" s="88">
        <v>3.5100000000000001E-3</v>
      </c>
      <c r="Y40" s="86">
        <f>X40*W40</f>
        <v>309016.80232023378</v>
      </c>
      <c r="Z40" s="752"/>
      <c r="AB40" s="86"/>
      <c r="AC40" s="86"/>
      <c r="AD40" s="32"/>
    </row>
    <row r="41" spans="1:30">
      <c r="A41" s="1225">
        <v>36</v>
      </c>
      <c r="B41" s="754" t="s">
        <v>126</v>
      </c>
      <c r="C41" s="84">
        <f>E41/D41</f>
        <v>55806748.281130634</v>
      </c>
      <c r="D41" s="755">
        <v>0.26179999999999998</v>
      </c>
      <c r="E41" s="1416">
        <f>SUMIFS('1501 Summary'!$P$1:$P$597,'1501 Summary'!$C$1:$C$597,"*"&amp;B41&amp;"*",'1501 Summary'!$B$1:$B$597,"*"&amp;$B$38&amp;"*")</f>
        <v>14610206.699999999</v>
      </c>
      <c r="F41" s="752"/>
      <c r="G41" s="753">
        <f>-G138</f>
        <v>28570.397249809015</v>
      </c>
      <c r="H41" s="756">
        <f>D41</f>
        <v>0.26179999999999998</v>
      </c>
      <c r="I41" s="761">
        <f>G41*H41</f>
        <v>7479.73</v>
      </c>
      <c r="J41" s="752"/>
      <c r="K41" s="84">
        <f>C41+G41</f>
        <v>55835318.678380445</v>
      </c>
      <c r="L41" s="756">
        <f>L40</f>
        <v>0.26179999999999998</v>
      </c>
      <c r="M41" s="752">
        <f>L41*K41</f>
        <v>14617686.43</v>
      </c>
      <c r="N41" s="752"/>
      <c r="O41" s="84">
        <f>K41</f>
        <v>55835318.678380445</v>
      </c>
      <c r="P41" s="88">
        <f>P40</f>
        <v>0.26283000000000001</v>
      </c>
      <c r="Q41" s="752">
        <f t="shared" si="1"/>
        <v>14675196.808238734</v>
      </c>
      <c r="R41" s="752"/>
      <c r="U41" s="752"/>
      <c r="V41" s="752"/>
      <c r="W41" s="84"/>
      <c r="X41" s="88"/>
      <c r="Y41" s="86"/>
      <c r="Z41" s="752"/>
      <c r="AB41" s="86"/>
      <c r="AC41" s="86"/>
      <c r="AD41" s="32"/>
    </row>
    <row r="42" spans="1:30">
      <c r="A42" s="1225">
        <v>37</v>
      </c>
      <c r="B42" s="1" t="s">
        <v>127</v>
      </c>
      <c r="E42" s="1417">
        <f>SUM(E39:E41)</f>
        <v>24923209.909999996</v>
      </c>
      <c r="F42" s="752"/>
      <c r="G42" s="752"/>
      <c r="H42" s="752"/>
      <c r="I42" s="752">
        <f>SUM(I39:I41)</f>
        <v>9820.0999999999985</v>
      </c>
      <c r="J42" s="752"/>
      <c r="K42" s="84"/>
      <c r="L42" s="756"/>
      <c r="M42" s="752"/>
      <c r="N42" s="752"/>
      <c r="O42" s="84"/>
      <c r="P42" s="88"/>
      <c r="Q42" s="752"/>
      <c r="R42" s="752"/>
      <c r="U42" s="752"/>
      <c r="V42" s="752"/>
      <c r="W42" s="86"/>
      <c r="X42" s="86"/>
      <c r="Y42" s="86"/>
      <c r="Z42" s="752"/>
      <c r="AB42" s="86"/>
      <c r="AC42" s="86"/>
      <c r="AD42" s="32"/>
    </row>
    <row r="43" spans="1:30">
      <c r="A43" s="1225">
        <v>38</v>
      </c>
      <c r="E43" s="1416"/>
      <c r="K43" s="84"/>
      <c r="L43" s="756"/>
      <c r="M43" s="752"/>
      <c r="O43" s="84"/>
      <c r="P43" s="88"/>
      <c r="Q43" s="752"/>
      <c r="S43" s="752"/>
      <c r="T43" s="752"/>
      <c r="U43" s="752"/>
      <c r="W43" s="86"/>
      <c r="X43" s="86"/>
      <c r="Y43" s="86"/>
      <c r="AA43" s="911"/>
      <c r="AB43" s="86"/>
      <c r="AC43" s="86"/>
      <c r="AD43" s="32"/>
    </row>
    <row r="44" spans="1:30">
      <c r="A44" s="1225">
        <v>39</v>
      </c>
      <c r="B44" s="1" t="s">
        <v>128</v>
      </c>
      <c r="E44" s="1416"/>
      <c r="K44" s="84">
        <f>'Weather Normalization'!J16-SUM(K40:K41)</f>
        <v>5383820.2704571635</v>
      </c>
      <c r="L44" s="756">
        <f>L41</f>
        <v>0.26179999999999998</v>
      </c>
      <c r="M44" s="752">
        <f>K44*L44</f>
        <v>1409484.1468056852</v>
      </c>
      <c r="O44" s="84">
        <f>K44</f>
        <v>5383820.2704571635</v>
      </c>
      <c r="P44" s="88">
        <f>P40</f>
        <v>0.26283000000000001</v>
      </c>
      <c r="Q44" s="752">
        <f t="shared" si="1"/>
        <v>1415029.4816842563</v>
      </c>
      <c r="S44" s="752"/>
      <c r="T44" s="752"/>
      <c r="U44" s="752"/>
      <c r="W44" s="86"/>
      <c r="X44" s="86"/>
      <c r="Y44" s="86"/>
      <c r="AA44" s="911"/>
      <c r="AB44" s="86"/>
      <c r="AC44" s="86"/>
      <c r="AD44" s="32"/>
    </row>
    <row r="45" spans="1:30">
      <c r="A45" s="1225">
        <v>40</v>
      </c>
      <c r="E45" s="1416"/>
      <c r="K45" s="84"/>
      <c r="L45" s="756"/>
      <c r="M45" s="752"/>
      <c r="O45" s="84"/>
      <c r="P45" s="88"/>
      <c r="Q45" s="752"/>
      <c r="S45" s="752"/>
      <c r="T45" s="752"/>
      <c r="U45" s="752"/>
      <c r="W45" s="86"/>
      <c r="X45" s="86"/>
      <c r="Y45" s="86"/>
      <c r="AA45" s="911"/>
      <c r="AB45" s="86"/>
      <c r="AC45" s="86"/>
      <c r="AD45" s="32"/>
    </row>
    <row r="46" spans="1:30">
      <c r="A46" s="1225">
        <v>41</v>
      </c>
      <c r="B46" s="1" t="s">
        <v>129</v>
      </c>
      <c r="E46" s="1416">
        <f>SUMIFS('1501 Summary'!$P$1:$P$597,'1501 Summary'!$C$1:$C$597,"*"&amp;B46&amp;"*",'1501 Summary'!$B$1:$B$597,"*"&amp;$B$38&amp;"*")</f>
        <v>36201543.43</v>
      </c>
      <c r="F46" s="752"/>
      <c r="G46" s="752"/>
      <c r="H46" s="752"/>
      <c r="I46" s="752"/>
      <c r="J46" s="752"/>
      <c r="K46" s="84">
        <f>SUM(K40:K45)</f>
        <v>87678187</v>
      </c>
      <c r="L46" s="756">
        <f>L41</f>
        <v>0.26179999999999998</v>
      </c>
      <c r="M46" s="761">
        <f>K46*L46</f>
        <v>22954149.356599998</v>
      </c>
      <c r="N46" s="752"/>
      <c r="O46" s="84">
        <f>K46</f>
        <v>87678187</v>
      </c>
      <c r="P46" s="88">
        <f>P40</f>
        <v>0.26283000000000001</v>
      </c>
      <c r="Q46" s="761">
        <f t="shared" si="1"/>
        <v>23044457.889210001</v>
      </c>
      <c r="R46" s="752"/>
      <c r="S46" s="84">
        <f>'EOP Calculations'!P107</f>
        <v>88038975.020009622</v>
      </c>
      <c r="T46" s="761">
        <f>ROUND(S46*P46, 2)</f>
        <v>23139283.800000001</v>
      </c>
      <c r="U46" s="761">
        <f>T46-Q46</f>
        <v>94825.910790000111</v>
      </c>
      <c r="V46" s="752"/>
      <c r="W46" s="86"/>
      <c r="X46" s="86"/>
      <c r="Y46" s="86"/>
      <c r="Z46" s="752"/>
      <c r="AA46" s="88">
        <f>'Exh IDM-4, Class Rates'!F15</f>
        <v>0.28643619032573514</v>
      </c>
      <c r="AB46" s="630">
        <f>ROUND(AA46*S46, 2)</f>
        <v>25217548.600000001</v>
      </c>
      <c r="AC46" s="630">
        <f>AB46-T46</f>
        <v>2078264.8000000007</v>
      </c>
      <c r="AD46" s="32"/>
    </row>
    <row r="47" spans="1:30">
      <c r="A47" s="1225">
        <v>42</v>
      </c>
      <c r="E47" s="1416"/>
      <c r="K47" s="84"/>
      <c r="L47" s="756"/>
      <c r="M47" s="752">
        <f>SUM(M46,M39)</f>
        <v>27146340.036599997</v>
      </c>
      <c r="O47" s="84"/>
      <c r="P47" s="88"/>
      <c r="Q47" s="752">
        <f>SUM(Q46,Q39)</f>
        <v>27236648.56921</v>
      </c>
      <c r="S47" s="752"/>
      <c r="T47" s="752">
        <f>SUM(T39:T46)</f>
        <v>27356119.800000001</v>
      </c>
      <c r="U47" s="752">
        <f>T47-Q47</f>
        <v>119471.23079000041</v>
      </c>
      <c r="W47" s="86"/>
      <c r="X47" s="86"/>
      <c r="Y47" s="86"/>
      <c r="AA47" s="758"/>
      <c r="AB47" s="762">
        <f>SUM(AB39:AB46)</f>
        <v>29434384.600000001</v>
      </c>
      <c r="AC47" s="762">
        <f>SUM(AC39:AC46)</f>
        <v>2078264.8000000007</v>
      </c>
      <c r="AD47" s="32"/>
    </row>
    <row r="48" spans="1:30">
      <c r="A48" s="1225">
        <v>43</v>
      </c>
      <c r="B48" s="1" t="s">
        <v>130</v>
      </c>
      <c r="E48" s="1416"/>
      <c r="K48" s="84"/>
      <c r="L48" s="756"/>
      <c r="M48" s="752"/>
      <c r="O48" s="84" t="s">
        <v>131</v>
      </c>
      <c r="P48" s="90"/>
      <c r="Q48" s="95">
        <f>Q47-M47</f>
        <v>90308.532610002905</v>
      </c>
      <c r="S48" s="752"/>
      <c r="T48" s="752"/>
      <c r="U48" s="752"/>
      <c r="W48" s="86"/>
      <c r="X48" s="86"/>
      <c r="Y48" s="86"/>
      <c r="AC48" s="86"/>
      <c r="AD48" s="32"/>
    </row>
    <row r="49" spans="1:30">
      <c r="A49" s="1225">
        <v>44</v>
      </c>
      <c r="B49" s="1" t="s">
        <v>132</v>
      </c>
      <c r="E49" s="1416">
        <f>SUMIFS('1501 Summary'!$P$1:$P$597,'1501 Summary'!$C$1:$C$597,"*"&amp;B49&amp;"*",'1501 Summary'!$B$1:$B$597,"*"&amp;$B$38&amp;"*")</f>
        <v>11453575.539999999</v>
      </c>
      <c r="K49" s="84"/>
      <c r="L49" s="756"/>
      <c r="M49" s="752"/>
      <c r="O49" s="84"/>
      <c r="P49" s="90"/>
      <c r="Q49" s="90"/>
      <c r="S49" s="752"/>
      <c r="T49" s="752"/>
      <c r="U49" s="752"/>
      <c r="W49" s="86"/>
      <c r="X49" s="86"/>
      <c r="Y49" s="86"/>
      <c r="AC49" s="86"/>
      <c r="AD49" s="32"/>
    </row>
    <row r="50" spans="1:30">
      <c r="A50" s="1225">
        <v>45</v>
      </c>
      <c r="B50" s="1" t="s">
        <v>133</v>
      </c>
      <c r="E50" s="1416">
        <f>SUMIFS('1501 Summary'!$P$1:$P$597,'1501 Summary'!$C$1:$C$597,"*"&amp;B50&amp;"*",'1501 Summary'!$B$1:$B$597,"*"&amp;$B$38&amp;"*")</f>
        <v>223855.12</v>
      </c>
      <c r="F50" s="752"/>
      <c r="G50" s="752"/>
      <c r="H50" s="752"/>
      <c r="I50" s="752"/>
      <c r="J50" s="752"/>
      <c r="K50" s="84"/>
      <c r="L50" s="756"/>
      <c r="M50" s="752"/>
      <c r="N50" s="752"/>
      <c r="O50" s="84"/>
      <c r="P50" s="90"/>
      <c r="Q50" s="90"/>
      <c r="R50" s="752"/>
      <c r="S50" s="752"/>
      <c r="T50" s="752"/>
      <c r="U50" s="752"/>
      <c r="V50" s="752"/>
      <c r="Z50" s="752"/>
      <c r="AA50" s="33"/>
      <c r="AB50" s="33"/>
      <c r="AD50" s="32"/>
    </row>
    <row r="51" spans="1:30">
      <c r="A51" s="1225">
        <v>46</v>
      </c>
      <c r="B51" s="1" t="s">
        <v>134</v>
      </c>
      <c r="E51" s="1416">
        <f>SUMIFS('1501 Summary'!$P$1:$P$597,'1501 Summary'!$C$1:$C$597,"*"&amp;B51&amp;"*",'1501 Summary'!$B$1:$B$597,"*"&amp;$B$38&amp;"*")</f>
        <v>501205.47000000009</v>
      </c>
      <c r="F51" s="752"/>
      <c r="G51" s="752"/>
      <c r="H51" s="752"/>
      <c r="I51" s="752"/>
      <c r="J51" s="752"/>
      <c r="K51" s="84"/>
      <c r="L51" s="756"/>
      <c r="M51" s="752"/>
      <c r="N51" s="752"/>
      <c r="O51" s="84"/>
      <c r="P51" s="90"/>
      <c r="Q51" s="90"/>
      <c r="R51" s="752"/>
      <c r="S51" s="752"/>
      <c r="T51" s="752"/>
      <c r="U51" s="752"/>
      <c r="V51" s="752"/>
      <c r="Z51" s="752"/>
      <c r="AA51" s="33"/>
      <c r="AB51" s="33"/>
      <c r="AD51" s="32"/>
    </row>
    <row r="52" spans="1:30">
      <c r="A52" s="1225">
        <v>47</v>
      </c>
      <c r="B52" s="1" t="s">
        <v>135</v>
      </c>
      <c r="E52" s="1416">
        <f>SUMIFS('1501 Summary'!$P$1:$P$597,'1501 Summary'!$C$1:$C$597,"*"&amp;B52&amp;"*",'1501 Summary'!$B$1:$B$597,"*"&amp;$B$38&amp;"*")</f>
        <v>-274068.59999999998</v>
      </c>
      <c r="F52" s="752"/>
      <c r="G52" s="752"/>
      <c r="H52" s="752"/>
      <c r="I52" s="752"/>
      <c r="J52" s="752"/>
      <c r="K52" s="84"/>
      <c r="L52" s="756"/>
      <c r="M52" s="752"/>
      <c r="N52" s="752"/>
      <c r="O52" s="84"/>
      <c r="P52" s="90"/>
      <c r="Q52" s="90"/>
      <c r="R52" s="752"/>
      <c r="S52" s="752"/>
      <c r="T52" s="752"/>
      <c r="U52" s="752"/>
      <c r="V52" s="752"/>
      <c r="Z52" s="752"/>
      <c r="AA52" s="33"/>
      <c r="AB52" s="33"/>
      <c r="AD52" s="32"/>
    </row>
    <row r="53" spans="1:30">
      <c r="A53" s="1225">
        <v>48</v>
      </c>
      <c r="B53" s="1" t="s">
        <v>136</v>
      </c>
      <c r="E53" s="1416">
        <f>SUMIFS('1501 Summary'!$P$1:$P$597,'1501 Summary'!$C$1:$C$597,"*"&amp;B53&amp;"*",'1501 Summary'!$B$1:$B$597,"*"&amp;$B$38&amp;"*")</f>
        <v>2188533.25</v>
      </c>
      <c r="F53" s="752"/>
      <c r="G53" s="752"/>
      <c r="H53" s="752"/>
      <c r="I53" s="752"/>
      <c r="J53" s="752"/>
      <c r="K53" s="84"/>
      <c r="L53" s="756"/>
      <c r="M53" s="752"/>
      <c r="N53" s="752"/>
      <c r="O53" s="84"/>
      <c r="P53" s="90"/>
      <c r="Q53" s="90"/>
      <c r="R53" s="752"/>
      <c r="S53" s="752"/>
      <c r="T53" s="752"/>
      <c r="U53" s="752"/>
      <c r="V53" s="752"/>
      <c r="Z53" s="752"/>
      <c r="AA53" s="33"/>
      <c r="AB53" s="33"/>
      <c r="AD53" s="32"/>
    </row>
    <row r="54" spans="1:30">
      <c r="A54" s="1225">
        <v>49</v>
      </c>
      <c r="B54" s="40" t="s">
        <v>137</v>
      </c>
      <c r="E54" s="1416">
        <f>SUMIFS('1501 Summary'!$P$1:$P$597,'1501 Summary'!$C$1:$C$597,"*"&amp;B54&amp;"*",'1501 Summary'!$B$1:$B$597,"*"&amp;$B$38&amp;"*")</f>
        <v>-506002.72999999992</v>
      </c>
      <c r="F54" s="752"/>
      <c r="G54" s="752"/>
      <c r="H54" s="752"/>
      <c r="I54" s="752"/>
      <c r="J54" s="752"/>
      <c r="K54" s="84"/>
      <c r="L54" s="756"/>
      <c r="M54" s="752"/>
      <c r="N54" s="752"/>
      <c r="O54" s="84"/>
      <c r="P54" s="90"/>
      <c r="Q54" s="90"/>
      <c r="R54" s="752"/>
      <c r="S54" s="752"/>
      <c r="T54" s="752"/>
      <c r="U54" s="752"/>
      <c r="V54" s="752"/>
      <c r="Z54" s="752"/>
      <c r="AA54" s="40"/>
      <c r="AB54" s="40"/>
      <c r="AD54" s="32"/>
    </row>
    <row r="55" spans="1:30">
      <c r="A55" s="1225">
        <v>50</v>
      </c>
      <c r="B55" s="40" t="s">
        <v>138</v>
      </c>
      <c r="E55" s="1416">
        <f>SUMIFS('1501 Summary'!$P$1:$P$597,'1501 Summary'!$C$1:$C$597,"*"&amp;B55&amp;"*",'1501 Summary'!$B$1:$B$597,"*"&amp;$B$38&amp;"*")</f>
        <v>-199407.28999999998</v>
      </c>
      <c r="F55" s="752"/>
      <c r="G55" s="752"/>
      <c r="H55" s="752"/>
      <c r="I55" s="752"/>
      <c r="J55" s="752"/>
      <c r="K55" s="84"/>
      <c r="L55" s="756"/>
      <c r="M55" s="752"/>
      <c r="N55" s="752"/>
      <c r="O55" s="84"/>
      <c r="P55" s="90"/>
      <c r="Q55" s="90"/>
      <c r="R55" s="752"/>
      <c r="S55" s="752"/>
      <c r="T55" s="752"/>
      <c r="U55" s="752"/>
      <c r="V55" s="752"/>
      <c r="Z55" s="752"/>
      <c r="AA55" s="40"/>
      <c r="AB55" s="40"/>
      <c r="AD55" s="32"/>
    </row>
    <row r="56" spans="1:30">
      <c r="A56" s="1225">
        <v>51</v>
      </c>
      <c r="B56" s="40" t="s">
        <v>139</v>
      </c>
      <c r="E56" s="1416">
        <f>SUMIFS('1501 Summary'!$P$1:$P$597,'1501 Summary'!$C$1:$C$597,"*"&amp;B56&amp;"*",'1501 Summary'!$B$1:$B$597,"*"&amp;$B$38&amp;"*")</f>
        <v>58.360000000000014</v>
      </c>
      <c r="F56" s="752"/>
      <c r="G56" s="752"/>
      <c r="H56" s="752"/>
      <c r="I56" s="752"/>
      <c r="J56" s="752"/>
      <c r="K56" s="84"/>
      <c r="L56" s="756"/>
      <c r="M56" s="752"/>
      <c r="N56" s="752"/>
      <c r="O56" s="84"/>
      <c r="P56" s="90"/>
      <c r="Q56" s="90"/>
      <c r="R56" s="752"/>
      <c r="S56" s="752"/>
      <c r="T56" s="752"/>
      <c r="U56" s="752"/>
      <c r="V56" s="752"/>
      <c r="Z56" s="752"/>
      <c r="AA56" s="40"/>
      <c r="AB56" s="40"/>
      <c r="AD56" s="32"/>
    </row>
    <row r="57" spans="1:30">
      <c r="A57" s="1225">
        <v>52</v>
      </c>
      <c r="B57" s="1" t="s">
        <v>140</v>
      </c>
      <c r="E57" s="1416">
        <f>SUMIFS('1501 Summary'!$P$1:$P$597,'1501 Summary'!$C$1:$C$597,"*"&amp;B57&amp;"*",'1501 Summary'!$B$1:$B$597,"*"&amp;$B$38&amp;"*")</f>
        <v>4213153.1099999994</v>
      </c>
      <c r="F57" s="752"/>
      <c r="G57" s="752"/>
      <c r="H57" s="752"/>
      <c r="I57" s="752"/>
      <c r="J57" s="752"/>
      <c r="K57" s="84"/>
      <c r="L57" s="756"/>
      <c r="M57" s="752"/>
      <c r="N57" s="752"/>
      <c r="O57" s="84"/>
      <c r="P57" s="90"/>
      <c r="Q57" s="90"/>
      <c r="R57" s="752"/>
      <c r="S57" s="752"/>
      <c r="T57" s="752"/>
      <c r="U57" s="752"/>
      <c r="V57" s="752"/>
      <c r="W57" s="752"/>
      <c r="X57" s="752"/>
      <c r="Y57" s="752"/>
      <c r="Z57" s="752"/>
      <c r="AA57" s="33"/>
      <c r="AB57" s="33"/>
      <c r="AC57" s="752"/>
      <c r="AD57" s="32"/>
    </row>
    <row r="58" spans="1:30">
      <c r="A58" s="1225">
        <v>53</v>
      </c>
      <c r="B58" s="1" t="s">
        <v>141</v>
      </c>
      <c r="E58" s="1416">
        <f>SUMIFS('1501 Summary'!$P$1:$P$597,'1501 Summary'!$C$1:$C$597,"*"&amp;B58&amp;"*",'1501 Summary'!$B$1:$B$597,"*"&amp;$B$38&amp;"*")</f>
        <v>-3758.89</v>
      </c>
      <c r="F58" s="752"/>
      <c r="G58" s="752"/>
      <c r="H58" s="752"/>
      <c r="I58" s="752"/>
      <c r="J58" s="752"/>
      <c r="K58" s="84"/>
      <c r="L58" s="756"/>
      <c r="M58" s="752"/>
      <c r="N58" s="752"/>
      <c r="O58" s="84"/>
      <c r="P58" s="90"/>
      <c r="Q58" s="90"/>
      <c r="R58" s="752"/>
      <c r="S58" s="752"/>
      <c r="T58" s="752"/>
      <c r="U58" s="752"/>
      <c r="V58" s="752"/>
      <c r="W58" s="752"/>
      <c r="X58" s="752"/>
      <c r="Y58" s="752"/>
      <c r="Z58" s="752"/>
      <c r="AA58" s="33"/>
      <c r="AB58" s="33"/>
      <c r="AC58" s="752"/>
      <c r="AD58" s="32"/>
    </row>
    <row r="59" spans="1:30">
      <c r="A59" s="1225">
        <v>54</v>
      </c>
      <c r="B59" s="1" t="s">
        <v>142</v>
      </c>
      <c r="E59" s="1416">
        <f>SUMIFS('1501 Summary'!$P$1:$P$597,'1501 Summary'!$C$1:$C$597,"*"&amp;B59&amp;"*",'1501 Summary'!$B$1:$B$597,"*"&amp;$B$38&amp;"*")</f>
        <v>34377.520000000004</v>
      </c>
      <c r="F59" s="752"/>
      <c r="G59" s="752"/>
      <c r="H59" s="752"/>
      <c r="I59" s="752"/>
      <c r="J59" s="752"/>
      <c r="K59" s="84"/>
      <c r="L59" s="756"/>
      <c r="M59" s="752"/>
      <c r="N59" s="752"/>
      <c r="O59" s="84"/>
      <c r="P59" s="90"/>
      <c r="Q59" s="90"/>
      <c r="R59" s="752"/>
      <c r="S59" s="752"/>
      <c r="T59" s="752"/>
      <c r="U59" s="752"/>
      <c r="V59" s="752"/>
      <c r="W59" s="752"/>
      <c r="X59" s="752"/>
      <c r="Y59" s="752"/>
      <c r="Z59" s="752"/>
      <c r="AA59" s="33"/>
      <c r="AB59" s="33"/>
      <c r="AC59" s="752"/>
      <c r="AD59" s="32"/>
    </row>
    <row r="60" spans="1:30">
      <c r="A60" s="1225">
        <v>55</v>
      </c>
      <c r="B60" s="8" t="s">
        <v>143</v>
      </c>
      <c r="E60" s="1421">
        <f>SUMIFS('Rev Recon Summary'!$P$1:$P$500,'Rev Recon Summary'!$C$1:$C$500,"*"&amp;B60&amp;"*",'Rev Recon Summary'!$B$1:$B$500,"*"&amp;$B$38&amp;"*")</f>
        <v>50663664.360000007</v>
      </c>
      <c r="F60" s="752"/>
      <c r="G60" s="752"/>
      <c r="H60" s="752"/>
      <c r="I60" s="752"/>
      <c r="J60" s="752"/>
      <c r="K60" s="84"/>
      <c r="L60" s="756"/>
      <c r="M60" s="752"/>
      <c r="N60" s="752"/>
      <c r="O60" s="84"/>
      <c r="P60" s="90"/>
      <c r="Q60" s="90"/>
      <c r="R60" s="752"/>
      <c r="S60" s="752"/>
      <c r="T60" s="752"/>
      <c r="U60" s="752"/>
      <c r="V60" s="752"/>
      <c r="W60" s="752"/>
      <c r="X60" s="752"/>
      <c r="Y60" s="752"/>
      <c r="Z60" s="752"/>
      <c r="AA60" s="34"/>
      <c r="AB60" s="34"/>
      <c r="AC60" s="752"/>
      <c r="AD60" s="32"/>
    </row>
    <row r="61" spans="1:30">
      <c r="A61" s="1225">
        <v>56</v>
      </c>
      <c r="B61" s="8" t="s">
        <v>144</v>
      </c>
      <c r="E61" s="1421">
        <f>SUMIFS('Rev Recon Summary'!$P$1:$P$500,'Rev Recon Summary'!$C$1:$C$500,"*"&amp;B61&amp;"*",'Rev Recon Summary'!$B$1:$B$500,"*"&amp;$B$38&amp;"*")</f>
        <v>-51901723.190000005</v>
      </c>
      <c r="F61" s="752"/>
      <c r="G61" s="752"/>
      <c r="H61" s="752"/>
      <c r="I61" s="752"/>
      <c r="J61" s="752"/>
      <c r="K61" s="84"/>
      <c r="L61" s="756"/>
      <c r="M61" s="752"/>
      <c r="N61" s="752"/>
      <c r="O61" s="84"/>
      <c r="P61" s="90"/>
      <c r="Q61" s="90"/>
      <c r="R61" s="752"/>
      <c r="S61" s="752"/>
      <c r="T61" s="752"/>
      <c r="U61" s="752"/>
      <c r="V61" s="752"/>
      <c r="W61" s="752"/>
      <c r="X61" s="752"/>
      <c r="Y61" s="752"/>
      <c r="Z61" s="752"/>
      <c r="AA61" s="34"/>
      <c r="AB61" s="34"/>
      <c r="AC61" s="752"/>
      <c r="AD61" s="32"/>
    </row>
    <row r="62" spans="1:30">
      <c r="A62" s="1225">
        <v>57</v>
      </c>
      <c r="B62" s="8" t="s">
        <v>145</v>
      </c>
      <c r="E62" s="1416">
        <f>SUMIFS('Rev Recon Summary'!$P$1:$P$500,'Rev Recon Summary'!$C$1:$C$500,"*"&amp;B62&amp;"*",'Rev Recon Summary'!$B$1:$B$500,"*"&amp;$B$38&amp;"*")</f>
        <v>2453627.15</v>
      </c>
      <c r="F62" s="752"/>
      <c r="G62" s="752"/>
      <c r="H62" s="752"/>
      <c r="I62" s="752"/>
      <c r="J62" s="752"/>
      <c r="K62" s="84"/>
      <c r="L62" s="756"/>
      <c r="M62" s="752"/>
      <c r="N62" s="752"/>
      <c r="O62" s="84"/>
      <c r="P62" s="90"/>
      <c r="Q62" s="90"/>
      <c r="R62" s="752"/>
      <c r="S62" s="752"/>
      <c r="T62" s="752"/>
      <c r="U62" s="752"/>
      <c r="V62" s="752"/>
      <c r="W62" s="752"/>
      <c r="X62" s="752"/>
      <c r="Y62" s="752"/>
      <c r="Z62" s="752"/>
      <c r="AA62" s="34"/>
      <c r="AB62" s="34"/>
      <c r="AC62" s="752"/>
      <c r="AD62" s="32"/>
    </row>
    <row r="63" spans="1:30">
      <c r="A63" s="1225">
        <v>58</v>
      </c>
      <c r="B63" s="8" t="s">
        <v>146</v>
      </c>
      <c r="E63" s="1416">
        <f>SUMIFS('Rev Recon Summary'!$P$1:$P$500,'Rev Recon Summary'!$C$1:$C$500,"*"&amp;B63&amp;"*",'Rev Recon Summary'!$B$1:$B$500,"*"&amp;$B$38&amp;"*")</f>
        <v>70594.000000000029</v>
      </c>
      <c r="F63" s="752"/>
      <c r="G63" s="752"/>
      <c r="H63" s="752"/>
      <c r="I63" s="752"/>
      <c r="J63" s="752"/>
      <c r="K63" s="84"/>
      <c r="L63" s="756"/>
      <c r="M63" s="752"/>
      <c r="N63" s="752"/>
      <c r="O63" s="84"/>
      <c r="P63" s="90"/>
      <c r="Q63" s="90"/>
      <c r="R63" s="752"/>
      <c r="S63" s="752"/>
      <c r="T63" s="752"/>
      <c r="U63" s="752"/>
      <c r="V63" s="752"/>
      <c r="W63" s="752"/>
      <c r="X63" s="752"/>
      <c r="Y63" s="752"/>
      <c r="Z63" s="752"/>
      <c r="AA63" s="34"/>
      <c r="AB63" s="34"/>
      <c r="AC63" s="752"/>
      <c r="AD63" s="32"/>
    </row>
    <row r="64" spans="1:30">
      <c r="A64" s="1225">
        <v>59</v>
      </c>
      <c r="B64" s="8" t="s">
        <v>147</v>
      </c>
      <c r="E64" s="1416">
        <f>SUMIFS('Rev Recon Summary'!$P$1:$P$500,'Rev Recon Summary'!$C$1:$C$500,"*"&amp;B64&amp;"*",'Rev Recon Summary'!$B$1:$B$500,"*"&amp;$B$38&amp;"*")</f>
        <v>13.68</v>
      </c>
      <c r="F64" s="752"/>
      <c r="G64" s="752"/>
      <c r="H64" s="752"/>
      <c r="I64" s="752"/>
      <c r="J64" s="752"/>
      <c r="K64" s="84"/>
      <c r="L64" s="756"/>
      <c r="M64" s="752"/>
      <c r="N64" s="752"/>
      <c r="O64" s="84"/>
      <c r="P64" s="90"/>
      <c r="Q64" s="90"/>
      <c r="R64" s="752"/>
      <c r="S64" s="752"/>
      <c r="T64" s="752"/>
      <c r="U64" s="752"/>
      <c r="V64" s="752"/>
      <c r="W64" s="752"/>
      <c r="X64" s="752"/>
      <c r="Y64" s="752"/>
      <c r="Z64" s="752"/>
      <c r="AA64" s="34"/>
      <c r="AB64" s="34"/>
      <c r="AC64" s="752"/>
      <c r="AD64" s="32"/>
    </row>
    <row r="65" spans="1:30">
      <c r="A65" s="1225">
        <v>60</v>
      </c>
      <c r="B65" s="34" t="s">
        <v>176</v>
      </c>
      <c r="E65" s="1422">
        <f>SUMIFS('Rev Recon Summary'!$P$1:$P$500,'Rev Recon Summary'!$C$1:$C$500,"*"&amp;B65&amp;"*",'Rev Recon Summary'!$B$1:$B$500,"*"&amp;$B$38&amp;"*")</f>
        <v>48722.09</v>
      </c>
      <c r="F65" s="751"/>
      <c r="G65" s="751"/>
      <c r="H65" s="751"/>
      <c r="I65" s="751"/>
      <c r="J65" s="751"/>
      <c r="K65" s="84"/>
      <c r="L65" s="756"/>
      <c r="M65" s="752"/>
      <c r="N65" s="751"/>
      <c r="O65" s="84"/>
      <c r="P65" s="90"/>
      <c r="Q65" s="90"/>
      <c r="R65" s="751"/>
      <c r="S65" s="752"/>
      <c r="T65" s="752"/>
      <c r="U65" s="752"/>
      <c r="V65" s="751"/>
      <c r="W65" s="752"/>
      <c r="X65" s="752"/>
      <c r="Y65" s="752"/>
      <c r="Z65" s="751"/>
      <c r="AA65" s="34"/>
      <c r="AB65" s="34"/>
      <c r="AC65" s="752"/>
      <c r="AD65" s="32"/>
    </row>
    <row r="66" spans="1:30">
      <c r="A66" s="1225">
        <v>61</v>
      </c>
      <c r="B66" s="1" t="s">
        <v>152</v>
      </c>
      <c r="E66" s="1416">
        <f>SUM(E49:E65)</f>
        <v>18966418.949999992</v>
      </c>
      <c r="F66" s="752"/>
      <c r="G66" s="752"/>
      <c r="H66" s="752"/>
      <c r="I66" s="752"/>
      <c r="J66" s="752"/>
      <c r="K66" s="84"/>
      <c r="L66" s="756"/>
      <c r="M66" s="752"/>
      <c r="N66" s="752"/>
      <c r="O66" s="84"/>
      <c r="P66" s="90"/>
      <c r="Q66" s="90"/>
      <c r="R66" s="752"/>
      <c r="S66" s="752"/>
      <c r="T66" s="752"/>
      <c r="U66" s="752"/>
      <c r="V66" s="752"/>
      <c r="W66" s="752"/>
      <c r="X66" s="752"/>
      <c r="Y66" s="752"/>
      <c r="Z66" s="752"/>
      <c r="AA66" s="34"/>
      <c r="AB66" s="34"/>
      <c r="AC66" s="752"/>
      <c r="AD66" s="32"/>
    </row>
    <row r="67" spans="1:30">
      <c r="A67" s="1225">
        <v>62</v>
      </c>
      <c r="E67" s="1416"/>
      <c r="F67" s="752"/>
      <c r="G67" s="752"/>
      <c r="H67" s="752"/>
      <c r="I67" s="752"/>
      <c r="J67" s="752"/>
      <c r="K67" s="84"/>
      <c r="L67" s="756"/>
      <c r="M67" s="752"/>
      <c r="N67" s="752"/>
      <c r="O67" s="84"/>
      <c r="P67" s="90"/>
      <c r="Q67" s="90"/>
      <c r="R67" s="752"/>
      <c r="S67" s="752"/>
      <c r="T67" s="752"/>
      <c r="U67" s="752"/>
      <c r="V67" s="752"/>
      <c r="W67" s="752"/>
      <c r="X67" s="752"/>
      <c r="Y67" s="752"/>
      <c r="Z67" s="752"/>
      <c r="AC67" s="752"/>
      <c r="AD67" s="32"/>
    </row>
    <row r="68" spans="1:30">
      <c r="A68" s="1225">
        <v>63</v>
      </c>
      <c r="B68" s="639" t="str">
        <f>"Total "&amp;LEFT(B38,17)&amp;" Revenue"</f>
        <v>Total CNGWA504 Revenue</v>
      </c>
      <c r="C68" s="764">
        <f>E68-'Rev Recon Summary'!P42</f>
        <v>0</v>
      </c>
      <c r="D68" s="765" t="s">
        <v>149</v>
      </c>
      <c r="E68" s="1418">
        <f>SUM(E42,E46,E66)</f>
        <v>80091172.289999992</v>
      </c>
      <c r="F68" s="761"/>
      <c r="G68" s="764">
        <f>E68*'Exh MCG-4, Conversion Factor'!$I$12</f>
        <v>0</v>
      </c>
      <c r="H68" s="761"/>
      <c r="I68" s="761"/>
      <c r="J68" s="761"/>
      <c r="K68" s="631"/>
      <c r="L68" s="766"/>
      <c r="M68" s="761"/>
      <c r="N68" s="761"/>
      <c r="O68" s="631"/>
      <c r="P68" s="633"/>
      <c r="Q68" s="633"/>
      <c r="R68" s="761"/>
      <c r="S68" s="761"/>
      <c r="T68" s="761"/>
      <c r="U68" s="761"/>
      <c r="V68" s="761"/>
      <c r="W68" s="761"/>
      <c r="X68" s="761"/>
      <c r="Y68" s="761"/>
      <c r="Z68" s="761"/>
      <c r="AA68" s="770"/>
      <c r="AB68" s="770"/>
      <c r="AC68" s="761"/>
      <c r="AD68" s="32"/>
    </row>
    <row r="69" spans="1:30">
      <c r="A69" s="1225">
        <v>64</v>
      </c>
      <c r="B69" s="11"/>
      <c r="D69" s="768"/>
      <c r="E69" s="84"/>
      <c r="F69" s="89"/>
      <c r="G69" s="89"/>
      <c r="H69" s="89"/>
      <c r="I69" s="89"/>
      <c r="J69" s="89"/>
      <c r="K69" s="84"/>
      <c r="L69" s="756"/>
      <c r="M69" s="752"/>
      <c r="N69" s="89"/>
      <c r="O69" s="84"/>
      <c r="P69" s="90"/>
      <c r="Q69" s="90"/>
      <c r="R69" s="89"/>
      <c r="S69" s="752"/>
      <c r="T69" s="752"/>
      <c r="U69" s="752"/>
      <c r="V69" s="89"/>
      <c r="Z69" s="89"/>
      <c r="AD69" s="32"/>
    </row>
    <row r="70" spans="1:30">
      <c r="A70" s="1225">
        <v>65</v>
      </c>
      <c r="E70" s="1416"/>
      <c r="K70" s="84"/>
      <c r="L70" s="756"/>
      <c r="M70" s="752"/>
      <c r="O70" s="84"/>
      <c r="P70" s="90"/>
      <c r="Q70" s="90"/>
      <c r="S70" s="752"/>
      <c r="T70" s="752"/>
      <c r="U70" s="752"/>
      <c r="AD70" s="32"/>
    </row>
    <row r="71" spans="1:30">
      <c r="A71" s="1225">
        <v>66</v>
      </c>
      <c r="B71" s="13" t="s">
        <v>153</v>
      </c>
      <c r="E71" s="1416"/>
      <c r="G71" s="12" t="s">
        <v>154</v>
      </c>
      <c r="K71" s="84"/>
      <c r="L71" s="756"/>
      <c r="M71" s="752"/>
      <c r="O71" s="84"/>
      <c r="P71" s="90"/>
      <c r="Q71" s="90"/>
      <c r="S71" s="752"/>
      <c r="T71" s="752"/>
      <c r="U71" s="752"/>
      <c r="AD71" s="32"/>
    </row>
    <row r="72" spans="1:30">
      <c r="A72" s="1225">
        <v>67</v>
      </c>
      <c r="B72" s="1" t="s">
        <v>124</v>
      </c>
      <c r="C72" s="84">
        <f t="shared" ref="C72:C77" si="2">E72/D72</f>
        <v>5774</v>
      </c>
      <c r="D72" s="751">
        <v>60</v>
      </c>
      <c r="E72" s="1416">
        <f>SUMIFS('1501 Summary'!$P$1:$P$597,'1501 Summary'!$C$1:$C$597,"*"&amp;B72&amp;"*",'1501 Summary'!$B$1:$B$597,"*"&amp;$B$71&amp;"*")</f>
        <v>346440</v>
      </c>
      <c r="F72" s="752"/>
      <c r="G72" s="35">
        <f>-G165</f>
        <v>12</v>
      </c>
      <c r="H72" s="3">
        <f>D72</f>
        <v>60</v>
      </c>
      <c r="I72" s="771">
        <f>H72*G72</f>
        <v>720</v>
      </c>
      <c r="J72" s="752"/>
      <c r="K72" s="84">
        <f t="shared" ref="K72:K78" si="3">C72+G72</f>
        <v>5786</v>
      </c>
      <c r="L72" s="751">
        <f>D72</f>
        <v>60</v>
      </c>
      <c r="M72" s="752">
        <f>L72*K72</f>
        <v>347160</v>
      </c>
      <c r="N72" s="752"/>
      <c r="O72" s="84">
        <f t="shared" ref="O72:O78" si="4">K72</f>
        <v>5786</v>
      </c>
      <c r="P72" s="90">
        <v>60</v>
      </c>
      <c r="Q72" s="86">
        <f>M72</f>
        <v>347160</v>
      </c>
      <c r="R72" s="752"/>
      <c r="S72" s="84">
        <f>'EOP Calculations'!Q109</f>
        <v>5868</v>
      </c>
      <c r="T72" s="752">
        <f>ROUND(S72*P72, 2)</f>
        <v>352080</v>
      </c>
      <c r="U72" s="752">
        <f>T72-Q72</f>
        <v>4920</v>
      </c>
      <c r="V72" s="752"/>
      <c r="W72" s="86"/>
      <c r="X72" s="86"/>
      <c r="Y72" s="86"/>
      <c r="Z72" s="752"/>
      <c r="AA72" s="90">
        <f>'Exh IDM-4, Class Rates'!F19</f>
        <v>60</v>
      </c>
      <c r="AB72" s="86">
        <f>ROUND(AA72*S72, 2)</f>
        <v>352080</v>
      </c>
      <c r="AC72" s="86">
        <f>AB72-T72</f>
        <v>0</v>
      </c>
      <c r="AD72" s="32"/>
    </row>
    <row r="73" spans="1:30">
      <c r="A73" s="1225">
        <v>68</v>
      </c>
      <c r="B73" s="3" t="s">
        <v>155</v>
      </c>
      <c r="C73" s="84">
        <f t="shared" si="2"/>
        <v>387745.6725113439</v>
      </c>
      <c r="D73" s="772">
        <v>0.17851</v>
      </c>
      <c r="E73" s="1416">
        <f>SUMIFS('1501 Summary'!$P$1:$P$597,'1501 Summary'!$C$1:$C$597,"*"&amp;B73&amp;"*",'1501 Summary'!$B$1:$B$597,"*"&amp;$B$71&amp;"*")</f>
        <v>69216.479999999996</v>
      </c>
      <c r="F73" s="752"/>
      <c r="G73" s="35">
        <f t="shared" ref="G73:G78" si="5">-G166</f>
        <v>345.97501540529947</v>
      </c>
      <c r="H73" s="91">
        <f t="shared" ref="H73:H78" si="6">D73</f>
        <v>0.17851</v>
      </c>
      <c r="I73" s="771">
        <f t="shared" ref="I73:I78" si="7">H73*G73</f>
        <v>61.760000000000012</v>
      </c>
      <c r="J73" s="752"/>
      <c r="K73" s="84">
        <f t="shared" si="3"/>
        <v>388091.64752674918</v>
      </c>
      <c r="L73" s="756">
        <f t="shared" ref="L73:L78" si="8">D73</f>
        <v>0.17851</v>
      </c>
      <c r="M73" s="752">
        <f t="shared" ref="M73:M78" si="9">L73*K73</f>
        <v>69278.239999999991</v>
      </c>
      <c r="N73" s="752"/>
      <c r="O73" s="84">
        <f t="shared" si="4"/>
        <v>388091.64752674918</v>
      </c>
      <c r="P73" s="88"/>
      <c r="Q73" s="90"/>
      <c r="R73" s="752"/>
      <c r="S73" s="753"/>
      <c r="T73" s="752"/>
      <c r="U73" s="752"/>
      <c r="V73" s="752"/>
      <c r="W73" s="84"/>
      <c r="X73" s="88"/>
      <c r="Y73" s="86"/>
      <c r="Z73" s="752"/>
      <c r="AA73" s="88"/>
      <c r="AB73" s="86"/>
      <c r="AC73" s="86"/>
      <c r="AD73" s="32"/>
    </row>
    <row r="74" spans="1:30">
      <c r="A74" s="1225">
        <v>69</v>
      </c>
      <c r="B74" s="3" t="s">
        <v>156</v>
      </c>
      <c r="C74" s="84">
        <f t="shared" si="2"/>
        <v>1299542.5753370342</v>
      </c>
      <c r="D74" s="772">
        <v>0.20175999999999999</v>
      </c>
      <c r="E74" s="1416">
        <f>SUMIFS('1501 Summary'!$P$1:$P$597,'1501 Summary'!$C$1:$C$597,"*"&amp;B74&amp;"*",'1501 Summary'!$B$1:$B$597,"*"&amp;$B$71&amp;"*")</f>
        <v>262195.71000000002</v>
      </c>
      <c r="F74" s="752"/>
      <c r="G74" s="35">
        <f t="shared" si="5"/>
        <v>676.69508326724826</v>
      </c>
      <c r="H74" s="91">
        <f t="shared" si="6"/>
        <v>0.20175999999999999</v>
      </c>
      <c r="I74" s="771">
        <f t="shared" si="7"/>
        <v>136.53</v>
      </c>
      <c r="J74" s="752"/>
      <c r="K74" s="84">
        <f t="shared" si="3"/>
        <v>1300219.2704203015</v>
      </c>
      <c r="L74" s="756">
        <f t="shared" si="8"/>
        <v>0.20175999999999999</v>
      </c>
      <c r="M74" s="752">
        <f t="shared" si="9"/>
        <v>262332.24</v>
      </c>
      <c r="N74" s="752"/>
      <c r="O74" s="84">
        <f t="shared" si="4"/>
        <v>1300219.2704203015</v>
      </c>
      <c r="P74" s="88">
        <v>0.20271</v>
      </c>
      <c r="Q74" s="95">
        <f>SUM(O73:O74)*P74</f>
        <v>342237.50617704663</v>
      </c>
      <c r="R74" s="752"/>
      <c r="S74" s="753">
        <f>'EOP Calculations'!P109</f>
        <v>1719909.200436648</v>
      </c>
      <c r="T74" s="752">
        <f>ROUND(S74*P74, 2)</f>
        <v>348642.79</v>
      </c>
      <c r="U74" s="752">
        <f>T74-Q74</f>
        <v>6405.2838229533518</v>
      </c>
      <c r="V74" s="752"/>
      <c r="W74" s="84">
        <f>S74</f>
        <v>1719909.200436648</v>
      </c>
      <c r="X74" s="88">
        <v>2.7100000000000002E-3</v>
      </c>
      <c r="Y74" s="86">
        <f>X74*W74</f>
        <v>4660.9539331833166</v>
      </c>
      <c r="Z74" s="752"/>
      <c r="AA74" s="88">
        <f>'Exh IDM-4, Class Rates'!F20</f>
        <v>0.22091648459416013</v>
      </c>
      <c r="AB74" s="86">
        <f>ROUND(AA74*S74, 2)</f>
        <v>379956.29</v>
      </c>
      <c r="AC74" s="86">
        <f>AB74-T74</f>
        <v>31313.5</v>
      </c>
      <c r="AD74" s="32"/>
    </row>
    <row r="75" spans="1:30">
      <c r="A75" s="1225">
        <v>70</v>
      </c>
      <c r="B75" s="3" t="s">
        <v>157</v>
      </c>
      <c r="C75" s="84">
        <f t="shared" si="2"/>
        <v>1370293.8368956214</v>
      </c>
      <c r="D75" s="772">
        <v>0.14457</v>
      </c>
      <c r="E75" s="1416">
        <f>SUMIFS('1501 Summary'!$P$1:$P$597,'1501 Summary'!$C$1:$C$597,"*"&amp;B75&amp;"*",'1501 Summary'!$B$1:$B$597,"*"&amp;$B$71&amp;"*")</f>
        <v>198103.38</v>
      </c>
      <c r="F75" s="752"/>
      <c r="G75" s="35">
        <f t="shared" si="5"/>
        <v>0</v>
      </c>
      <c r="H75" s="91">
        <f t="shared" si="6"/>
        <v>0.14457</v>
      </c>
      <c r="I75" s="771">
        <f t="shared" si="7"/>
        <v>0</v>
      </c>
      <c r="J75" s="752"/>
      <c r="K75" s="84">
        <f t="shared" si="3"/>
        <v>1370293.8368956214</v>
      </c>
      <c r="L75" s="756">
        <f t="shared" si="8"/>
        <v>0.14457</v>
      </c>
      <c r="M75" s="752">
        <f t="shared" si="9"/>
        <v>198103.37999999998</v>
      </c>
      <c r="N75" s="752"/>
      <c r="O75" s="84">
        <f t="shared" si="4"/>
        <v>1370293.8368956214</v>
      </c>
      <c r="P75" s="88"/>
      <c r="Q75" s="90"/>
      <c r="R75" s="752"/>
      <c r="S75" s="753"/>
      <c r="T75" s="752"/>
      <c r="U75" s="752"/>
      <c r="V75" s="752"/>
      <c r="W75" s="84"/>
      <c r="X75" s="88"/>
      <c r="Y75" s="86"/>
      <c r="Z75" s="752"/>
      <c r="AA75" s="88"/>
      <c r="AB75" s="86"/>
      <c r="AC75" s="86"/>
      <c r="AD75" s="32"/>
    </row>
    <row r="76" spans="1:30">
      <c r="A76" s="1225">
        <v>71</v>
      </c>
      <c r="B76" s="3" t="s">
        <v>158</v>
      </c>
      <c r="C76" s="84">
        <f t="shared" si="2"/>
        <v>3989409.8659061957</v>
      </c>
      <c r="D76" s="772">
        <v>0.16481000000000001</v>
      </c>
      <c r="E76" s="1416">
        <f>SUMIFS('1501 Summary'!$P$1:$P$597,'1501 Summary'!$C$1:$C$597,"*"&amp;B76&amp;"*",'1501 Summary'!$B$1:$B$597,"*"&amp;$B$71&amp;"*")</f>
        <v>657494.64000000013</v>
      </c>
      <c r="F76" s="752"/>
      <c r="G76" s="35">
        <f t="shared" si="5"/>
        <v>0</v>
      </c>
      <c r="H76" s="91">
        <f t="shared" si="6"/>
        <v>0.16481000000000001</v>
      </c>
      <c r="I76" s="771">
        <f t="shared" si="7"/>
        <v>0</v>
      </c>
      <c r="J76" s="752"/>
      <c r="K76" s="84">
        <f t="shared" si="3"/>
        <v>3989409.8659061957</v>
      </c>
      <c r="L76" s="756">
        <f t="shared" si="8"/>
        <v>0.16481000000000001</v>
      </c>
      <c r="M76" s="752">
        <f t="shared" si="9"/>
        <v>657494.64000000013</v>
      </c>
      <c r="N76" s="752"/>
      <c r="O76" s="84">
        <f t="shared" si="4"/>
        <v>3989409.8659061957</v>
      </c>
      <c r="P76" s="88">
        <v>0.16594</v>
      </c>
      <c r="Q76" s="95">
        <f>SUM(O75:O76)*P76</f>
        <v>889389.2324429336</v>
      </c>
      <c r="R76" s="752"/>
      <c r="S76" s="753">
        <f>'EOP Calculations'!P110</f>
        <v>5465602.2251104452</v>
      </c>
      <c r="T76" s="752">
        <f>ROUND(S76*P76, 2)</f>
        <v>906962.03</v>
      </c>
      <c r="U76" s="752">
        <f>T76-Q76</f>
        <v>17572.797557066428</v>
      </c>
      <c r="V76" s="752"/>
      <c r="W76" s="84">
        <f>S76</f>
        <v>5465602.2251104452</v>
      </c>
      <c r="X76" s="88">
        <v>2.7100000000000002E-3</v>
      </c>
      <c r="Y76" s="86">
        <f>X76*W76</f>
        <v>14811.782030049308</v>
      </c>
      <c r="Z76" s="752"/>
      <c r="AA76" s="88">
        <f>'Exh IDM-4, Class Rates'!F21</f>
        <v>0.18084397342058522</v>
      </c>
      <c r="AB76" s="86">
        <f>ROUND(AA76*S76, 2)</f>
        <v>988421.22</v>
      </c>
      <c r="AC76" s="86">
        <f>AB76-T76</f>
        <v>81459.189999999944</v>
      </c>
      <c r="AD76" s="32"/>
    </row>
    <row r="77" spans="1:30">
      <c r="A77" s="1225">
        <v>72</v>
      </c>
      <c r="B77" s="3" t="s">
        <v>159</v>
      </c>
      <c r="C77" s="84">
        <f t="shared" si="2"/>
        <v>1087238.2386689615</v>
      </c>
      <c r="D77" s="772">
        <v>0.13944000000000001</v>
      </c>
      <c r="E77" s="1416">
        <f>SUMIFS('1501 Summary'!$P$1:$P$597,'1501 Summary'!$C$1:$C$597,"*"&amp;B77&amp;"*",'1501 Summary'!$B$1:$B$597,"*"&amp;$B$71&amp;"*")</f>
        <v>151604.5</v>
      </c>
      <c r="F77" s="752"/>
      <c r="G77" s="35">
        <f t="shared" si="5"/>
        <v>0</v>
      </c>
      <c r="H77" s="91">
        <f t="shared" si="6"/>
        <v>0.13944000000000001</v>
      </c>
      <c r="I77" s="771">
        <f t="shared" si="7"/>
        <v>0</v>
      </c>
      <c r="J77" s="752"/>
      <c r="K77" s="84">
        <f t="shared" si="3"/>
        <v>1087238.2386689615</v>
      </c>
      <c r="L77" s="756">
        <f t="shared" si="8"/>
        <v>0.13944000000000001</v>
      </c>
      <c r="M77" s="752">
        <f t="shared" si="9"/>
        <v>151604.5</v>
      </c>
      <c r="N77" s="752"/>
      <c r="O77" s="84">
        <f t="shared" si="4"/>
        <v>1087238.2386689615</v>
      </c>
      <c r="P77" s="88"/>
      <c r="Q77" s="90"/>
      <c r="R77" s="752"/>
      <c r="S77" s="753"/>
      <c r="T77" s="752"/>
      <c r="U77" s="752"/>
      <c r="V77" s="752"/>
      <c r="W77" s="84"/>
      <c r="X77" s="88"/>
      <c r="Y77" s="86"/>
      <c r="Z77" s="752"/>
      <c r="AA77" s="88"/>
      <c r="AB77" s="86"/>
      <c r="AC77" s="86"/>
      <c r="AD77" s="32"/>
    </row>
    <row r="78" spans="1:30">
      <c r="A78" s="1225">
        <v>73</v>
      </c>
      <c r="B78" s="3" t="s">
        <v>160</v>
      </c>
      <c r="C78" s="84">
        <f>E78/D78</f>
        <v>3338472.9636375057</v>
      </c>
      <c r="D78" s="91">
        <v>0.15923000000000001</v>
      </c>
      <c r="E78" s="1416">
        <f>SUMIFS('1501 Summary'!$P$1:$P$597,'1501 Summary'!$C$1:$C$597,"*"&amp;B78&amp;"*",'1501 Summary'!$B$1:$B$597,"*"&amp;$B$71&amp;"*")</f>
        <v>531585.05000000005</v>
      </c>
      <c r="F78" s="752"/>
      <c r="G78" s="35">
        <f t="shared" si="5"/>
        <v>0</v>
      </c>
      <c r="H78" s="91">
        <f t="shared" si="6"/>
        <v>0.15923000000000001</v>
      </c>
      <c r="I78" s="773">
        <f t="shared" si="7"/>
        <v>0</v>
      </c>
      <c r="J78" s="752"/>
      <c r="K78" s="84">
        <f t="shared" si="3"/>
        <v>3338472.9636375057</v>
      </c>
      <c r="L78" s="756">
        <f t="shared" si="8"/>
        <v>0.15923000000000001</v>
      </c>
      <c r="M78" s="761">
        <f t="shared" si="9"/>
        <v>531585.05000000005</v>
      </c>
      <c r="N78" s="752"/>
      <c r="O78" s="84">
        <f t="shared" si="4"/>
        <v>3338472.9636375057</v>
      </c>
      <c r="P78" s="88">
        <v>0.16037999999999999</v>
      </c>
      <c r="Q78" s="774">
        <f>SUM(O77:O78)*P78</f>
        <v>709795.5626259112</v>
      </c>
      <c r="R78" s="752"/>
      <c r="S78" s="753">
        <f>'EOP Calculations'!P111</f>
        <v>4506461.8271522531</v>
      </c>
      <c r="T78" s="761">
        <f>ROUND(S78*P78, 2)</f>
        <v>722746.35</v>
      </c>
      <c r="U78" s="761">
        <f>T78-Q78</f>
        <v>12950.787374088774</v>
      </c>
      <c r="V78" s="752"/>
      <c r="W78" s="84">
        <f>S78</f>
        <v>4506461.8271522531</v>
      </c>
      <c r="X78" s="88">
        <v>2.7100000000000002E-3</v>
      </c>
      <c r="Y78" s="630">
        <f>X78*W78</f>
        <v>12212.511551582607</v>
      </c>
      <c r="Z78" s="752"/>
      <c r="AA78" s="88">
        <f>'Exh IDM-4, Class Rates'!F22</f>
        <v>0.17478459994906928</v>
      </c>
      <c r="AB78" s="630">
        <f>ROUND(AA78*S78, 2)</f>
        <v>787660.13</v>
      </c>
      <c r="AC78" s="630">
        <f>AB78-T78</f>
        <v>64913.780000000028</v>
      </c>
      <c r="AD78" s="32"/>
    </row>
    <row r="79" spans="1:30">
      <c r="A79" s="1225">
        <v>74</v>
      </c>
      <c r="B79" s="1" t="s">
        <v>127</v>
      </c>
      <c r="E79" s="1417">
        <f>SUM(E72:E78)</f>
        <v>2216639.7599999998</v>
      </c>
      <c r="F79" s="752"/>
      <c r="G79" s="752"/>
      <c r="H79" s="752"/>
      <c r="I79" s="752">
        <f>SUM(I72:I78)</f>
        <v>918.29</v>
      </c>
      <c r="J79" s="752"/>
      <c r="K79" s="84"/>
      <c r="L79" s="756"/>
      <c r="M79" s="752">
        <f>SUM(M72:M78)</f>
        <v>2217558.0499999998</v>
      </c>
      <c r="N79" s="752"/>
      <c r="O79" s="84"/>
      <c r="P79" s="90"/>
      <c r="Q79" s="86">
        <f>SUM(Q72:Q78)</f>
        <v>2288582.3012458915</v>
      </c>
      <c r="R79" s="752"/>
      <c r="S79" s="752"/>
      <c r="T79" s="752">
        <f>SUM(T72:T78)</f>
        <v>2330431.17</v>
      </c>
      <c r="U79" s="752">
        <f>T79-Q79</f>
        <v>41848.868754108436</v>
      </c>
      <c r="V79" s="752"/>
      <c r="W79" s="86"/>
      <c r="X79" s="86"/>
      <c r="Y79" s="86">
        <f>SUM(Y73:Y78)</f>
        <v>31685.247514815233</v>
      </c>
      <c r="Z79" s="752"/>
      <c r="AA79" s="90"/>
      <c r="AB79" s="86">
        <f>SUM(AB72:AB78)</f>
        <v>2508117.64</v>
      </c>
      <c r="AC79" s="86">
        <f>SUM(AC72:AC78)</f>
        <v>177686.46999999997</v>
      </c>
      <c r="AD79" s="32"/>
    </row>
    <row r="80" spans="1:30">
      <c r="A80" s="1225">
        <v>75</v>
      </c>
      <c r="E80" s="1416"/>
      <c r="K80" s="84"/>
      <c r="L80" s="756"/>
      <c r="M80" s="752"/>
      <c r="O80" s="84"/>
      <c r="P80" s="90"/>
      <c r="Q80" s="86">
        <f>Q79-M79</f>
        <v>71024.251245891675</v>
      </c>
      <c r="S80" s="752"/>
      <c r="T80" s="752"/>
      <c r="U80" s="752"/>
      <c r="AD80" s="32"/>
    </row>
    <row r="81" spans="1:30">
      <c r="A81" s="1225">
        <v>76</v>
      </c>
      <c r="B81" s="1" t="s">
        <v>129</v>
      </c>
      <c r="E81" s="1416">
        <f>SUMIFS('1501 Summary'!$P$1:$P$597,'1501 Summary'!$C$1:$C$597,"*"&amp;B81&amp;"*",'1501 Summary'!$B$1:$B$597,"*"&amp;$B$71&amp;"*")</f>
        <v>4885482.75</v>
      </c>
      <c r="F81" s="752"/>
      <c r="G81" s="752"/>
      <c r="H81" s="752"/>
      <c r="I81" s="752"/>
      <c r="J81" s="752"/>
      <c r="K81" s="84"/>
      <c r="L81" s="756"/>
      <c r="M81" s="752"/>
      <c r="N81" s="752"/>
      <c r="O81" s="84"/>
      <c r="P81" s="90"/>
      <c r="Q81" s="90"/>
      <c r="R81" s="752"/>
      <c r="S81" s="752"/>
      <c r="T81" s="752"/>
      <c r="U81" s="752"/>
      <c r="V81" s="752"/>
      <c r="Z81" s="752"/>
      <c r="AD81" s="32"/>
    </row>
    <row r="82" spans="1:30">
      <c r="A82" s="1225">
        <v>77</v>
      </c>
      <c r="E82" s="1416"/>
      <c r="K82" s="84"/>
      <c r="L82" s="756"/>
      <c r="M82" s="752"/>
      <c r="O82" s="84"/>
      <c r="P82" s="90"/>
      <c r="Q82" s="90"/>
      <c r="S82" s="752"/>
      <c r="T82" s="752"/>
      <c r="U82" s="752"/>
      <c r="AD82" s="32"/>
    </row>
    <row r="83" spans="1:30">
      <c r="A83" s="1225">
        <v>78</v>
      </c>
      <c r="B83" s="18" t="s">
        <v>130</v>
      </c>
      <c r="E83" s="1416"/>
      <c r="K83" s="84"/>
      <c r="L83" s="756"/>
      <c r="M83" s="752"/>
      <c r="O83" s="84"/>
      <c r="P83" s="90"/>
      <c r="Q83" s="90"/>
      <c r="S83" s="752"/>
      <c r="T83" s="752"/>
      <c r="U83" s="752"/>
      <c r="AD83" s="32"/>
    </row>
    <row r="84" spans="1:30">
      <c r="A84" s="1225">
        <v>79</v>
      </c>
      <c r="B84" s="1" t="s">
        <v>132</v>
      </c>
      <c r="E84" s="1416">
        <f>SUMIFS('1501 Summary'!$P$1:$P$597,'1501 Summary'!$C$1:$C$597,"*"&amp;B84&amp;"*",'1501 Summary'!$B$1:$B$597,"*"&amp;$B$71&amp;"*")</f>
        <v>1589765.0399999998</v>
      </c>
      <c r="K84" s="84"/>
      <c r="L84" s="756"/>
      <c r="M84" s="752"/>
      <c r="O84" s="84"/>
      <c r="P84" s="90"/>
      <c r="Q84" s="90"/>
      <c r="S84" s="752"/>
      <c r="T84" s="752"/>
      <c r="U84" s="752"/>
      <c r="AD84" s="32"/>
    </row>
    <row r="85" spans="1:30">
      <c r="A85" s="1225">
        <v>80</v>
      </c>
      <c r="B85" s="18" t="s">
        <v>133</v>
      </c>
      <c r="E85" s="1416">
        <f>SUMIFS('1501 Summary'!$P$1:$P$597,'1501 Summary'!$C$1:$C$597,"*"&amp;B85&amp;"*",'1501 Summary'!$B$1:$B$597,"*"&amp;$B$71&amp;"*")</f>
        <v>19353.14</v>
      </c>
      <c r="F85" s="752"/>
      <c r="G85" s="752"/>
      <c r="H85" s="752"/>
      <c r="I85" s="752"/>
      <c r="J85" s="752"/>
      <c r="K85" s="84"/>
      <c r="L85" s="756"/>
      <c r="M85" s="752"/>
      <c r="N85" s="752"/>
      <c r="O85" s="84"/>
      <c r="P85" s="90"/>
      <c r="Q85" s="90"/>
      <c r="R85" s="752"/>
      <c r="S85" s="752"/>
      <c r="T85" s="752"/>
      <c r="U85" s="752"/>
      <c r="V85" s="752"/>
      <c r="W85" s="1"/>
      <c r="X85" s="1"/>
      <c r="Y85" s="1"/>
      <c r="Z85" s="752"/>
      <c r="AC85" s="1"/>
      <c r="AD85" s="32"/>
    </row>
    <row r="86" spans="1:30">
      <c r="A86" s="1225">
        <v>81</v>
      </c>
      <c r="B86" s="18" t="s">
        <v>134</v>
      </c>
      <c r="E86" s="1416">
        <f>SUMIFS('1501 Summary'!$P$1:$P$597,'1501 Summary'!$C$1:$C$597,"*"&amp;B86&amp;"*",'1501 Summary'!$B$1:$B$597,"*"&amp;$B$71&amp;"*")</f>
        <v>50314.740000000005</v>
      </c>
      <c r="F86" s="752"/>
      <c r="G86" s="752"/>
      <c r="H86" s="752"/>
      <c r="I86" s="752"/>
      <c r="J86" s="752"/>
      <c r="K86" s="84"/>
      <c r="L86" s="756"/>
      <c r="M86" s="752"/>
      <c r="N86" s="752"/>
      <c r="O86" s="84"/>
      <c r="P86" s="90"/>
      <c r="Q86" s="90"/>
      <c r="R86" s="752"/>
      <c r="S86" s="752"/>
      <c r="T86" s="752"/>
      <c r="U86" s="752"/>
      <c r="V86" s="752"/>
      <c r="W86" s="1"/>
      <c r="X86" s="1"/>
      <c r="Y86" s="1"/>
      <c r="Z86" s="752"/>
      <c r="AC86" s="1"/>
      <c r="AD86" s="32"/>
    </row>
    <row r="87" spans="1:30">
      <c r="A87" s="1225">
        <v>82</v>
      </c>
      <c r="B87" s="18" t="s">
        <v>135</v>
      </c>
      <c r="E87" s="1416">
        <f>SUMIFS('1501 Summary'!$P$1:$P$597,'1501 Summary'!$C$1:$C$597,"*"&amp;B87&amp;"*",'1501 Summary'!$B$1:$B$597,"*"&amp;$B$71&amp;"*")</f>
        <v>-80775.320000000007</v>
      </c>
      <c r="F87" s="752"/>
      <c r="G87" s="752"/>
      <c r="H87" s="752"/>
      <c r="I87" s="752"/>
      <c r="J87" s="752"/>
      <c r="K87" s="84"/>
      <c r="L87" s="756"/>
      <c r="M87" s="752"/>
      <c r="N87" s="752"/>
      <c r="O87" s="84"/>
      <c r="P87" s="90"/>
      <c r="Q87" s="90"/>
      <c r="R87" s="752"/>
      <c r="S87" s="752"/>
      <c r="T87" s="752"/>
      <c r="U87" s="752"/>
      <c r="V87" s="752"/>
      <c r="W87" s="1"/>
      <c r="X87" s="1"/>
      <c r="Y87" s="1"/>
      <c r="Z87" s="752"/>
      <c r="AC87" s="1"/>
      <c r="AD87" s="32"/>
    </row>
    <row r="88" spans="1:30">
      <c r="A88" s="1225">
        <v>83</v>
      </c>
      <c r="B88" s="18" t="s">
        <v>136</v>
      </c>
      <c r="E88" s="1416">
        <f>SUMIFS('1501 Summary'!$P$1:$P$597,'1501 Summary'!$C$1:$C$597,"*"&amp;B88&amp;"*",'1501 Summary'!$B$1:$B$597,"*"&amp;$B$71&amp;"*")</f>
        <v>304742.65999999997</v>
      </c>
      <c r="F88" s="752"/>
      <c r="G88" s="752"/>
      <c r="H88" s="752"/>
      <c r="I88" s="752"/>
      <c r="J88" s="752"/>
      <c r="K88" s="84"/>
      <c r="L88" s="756"/>
      <c r="M88" s="752"/>
      <c r="N88" s="752"/>
      <c r="O88" s="84"/>
      <c r="P88" s="90"/>
      <c r="Q88" s="90"/>
      <c r="R88" s="752"/>
      <c r="S88" s="752"/>
      <c r="T88" s="752"/>
      <c r="U88" s="752"/>
      <c r="V88" s="752"/>
      <c r="W88" s="1"/>
      <c r="X88" s="1"/>
      <c r="Y88" s="1"/>
      <c r="Z88" s="752"/>
      <c r="AC88" s="1"/>
      <c r="AD88" s="32"/>
    </row>
    <row r="89" spans="1:30">
      <c r="A89" s="1225">
        <v>84</v>
      </c>
      <c r="B89" s="912" t="s">
        <v>137</v>
      </c>
      <c r="E89" s="1416">
        <f>SUMIFS('1501 Summary'!$P$1:$P$597,'1501 Summary'!$C$1:$C$597,"*"&amp;B89&amp;"*",'1501 Summary'!$B$1:$B$597,"*"&amp;$B$71&amp;"*")</f>
        <v>-44755.150000000009</v>
      </c>
      <c r="F89" s="752"/>
      <c r="G89" s="752"/>
      <c r="H89" s="752"/>
      <c r="I89" s="752"/>
      <c r="J89" s="752"/>
      <c r="K89" s="84"/>
      <c r="L89" s="756"/>
      <c r="M89" s="752"/>
      <c r="N89" s="752"/>
      <c r="O89" s="84"/>
      <c r="P89" s="90"/>
      <c r="Q89" s="90"/>
      <c r="R89" s="752"/>
      <c r="S89" s="752"/>
      <c r="T89" s="752"/>
      <c r="U89" s="752"/>
      <c r="V89" s="752"/>
      <c r="W89" s="40"/>
      <c r="X89" s="40"/>
      <c r="Y89" s="40"/>
      <c r="Z89" s="752"/>
      <c r="AC89" s="40"/>
      <c r="AD89" s="32"/>
    </row>
    <row r="90" spans="1:30">
      <c r="A90" s="1225">
        <v>85</v>
      </c>
      <c r="B90" s="912" t="s">
        <v>138</v>
      </c>
      <c r="E90" s="1416">
        <f>SUMIFS('1501 Summary'!$P$1:$P$597,'1501 Summary'!$C$1:$C$597,"*"&amp;B90&amp;"*",'1501 Summary'!$B$1:$B$597,"*"&amp;$B$71&amp;"*")</f>
        <v>-17460.21</v>
      </c>
      <c r="F90" s="752"/>
      <c r="G90" s="752"/>
      <c r="H90" s="752"/>
      <c r="I90" s="752"/>
      <c r="J90" s="752"/>
      <c r="K90" s="84"/>
      <c r="L90" s="756"/>
      <c r="M90" s="752"/>
      <c r="N90" s="752"/>
      <c r="O90" s="84"/>
      <c r="P90" s="90"/>
      <c r="Q90" s="90"/>
      <c r="R90" s="752"/>
      <c r="S90" s="752"/>
      <c r="T90" s="752"/>
      <c r="U90" s="752"/>
      <c r="V90" s="752"/>
      <c r="W90" s="40"/>
      <c r="X90" s="40"/>
      <c r="Y90" s="40"/>
      <c r="Z90" s="752"/>
      <c r="AC90" s="40"/>
      <c r="AD90" s="32"/>
    </row>
    <row r="91" spans="1:30">
      <c r="A91" s="1225">
        <v>86</v>
      </c>
      <c r="B91" s="1" t="s">
        <v>140</v>
      </c>
      <c r="E91" s="1416">
        <f>SUMIFS('1501 Summary'!$P$1:$P$597,'1501 Summary'!$C$1:$C$597,"*"&amp;B91&amp;"*",'1501 Summary'!$B$1:$B$597,"*"&amp;$B$71&amp;"*")</f>
        <v>359191.1999999999</v>
      </c>
      <c r="F91" s="752"/>
      <c r="G91" s="752"/>
      <c r="H91" s="752"/>
      <c r="I91" s="752"/>
      <c r="J91" s="752"/>
      <c r="K91" s="84"/>
      <c r="L91" s="756"/>
      <c r="M91" s="752"/>
      <c r="N91" s="752"/>
      <c r="O91" s="84"/>
      <c r="P91" s="90"/>
      <c r="Q91" s="90"/>
      <c r="R91" s="752"/>
      <c r="S91" s="752"/>
      <c r="T91" s="752"/>
      <c r="U91" s="752"/>
      <c r="V91" s="752"/>
      <c r="W91" s="1"/>
      <c r="X91" s="1"/>
      <c r="Y91" s="1"/>
      <c r="Z91" s="752"/>
      <c r="AC91" s="1"/>
      <c r="AD91" s="32"/>
    </row>
    <row r="92" spans="1:30">
      <c r="A92" s="1225">
        <v>87</v>
      </c>
      <c r="B92" s="1" t="s">
        <v>142</v>
      </c>
      <c r="E92" s="1416">
        <f>SUMIFS('1501 Summary'!$P$1:$P$597,'1501 Summary'!$C$1:$C$597,"*"&amp;B92&amp;"*",'1501 Summary'!$B$1:$B$597,"*"&amp;$B$71&amp;"*")</f>
        <v>15171.899999999998</v>
      </c>
      <c r="F92" s="752"/>
      <c r="G92" s="752"/>
      <c r="H92" s="752"/>
      <c r="I92" s="752"/>
      <c r="J92" s="752"/>
      <c r="K92" s="84"/>
      <c r="L92" s="756"/>
      <c r="M92" s="752"/>
      <c r="N92" s="752"/>
      <c r="O92" s="84"/>
      <c r="P92" s="90"/>
      <c r="Q92" s="90"/>
      <c r="R92" s="752"/>
      <c r="S92" s="752"/>
      <c r="T92" s="752"/>
      <c r="U92" s="752"/>
      <c r="V92" s="752"/>
      <c r="W92" s="1"/>
      <c r="X92" s="1"/>
      <c r="Y92" s="1"/>
      <c r="Z92" s="752"/>
      <c r="AC92" s="1"/>
      <c r="AD92" s="32"/>
    </row>
    <row r="93" spans="1:30">
      <c r="A93" s="1225">
        <v>88</v>
      </c>
      <c r="B93" s="8" t="s">
        <v>143</v>
      </c>
      <c r="E93" s="1420">
        <f>SUMIFS('Rev Recon Summary'!$P$1:$P$500,'Rev Recon Summary'!$C$1:$C$500,"*"&amp;B93&amp;"*",'Rev Recon Summary'!$B$1:$B$500,"*"&amp;$B$71&amp;"*")</f>
        <v>0</v>
      </c>
      <c r="F93" s="752"/>
      <c r="G93" s="752"/>
      <c r="H93" s="752"/>
      <c r="I93" s="752"/>
      <c r="J93" s="752"/>
      <c r="K93" s="84"/>
      <c r="L93" s="756"/>
      <c r="M93" s="752"/>
      <c r="N93" s="752"/>
      <c r="O93" s="84"/>
      <c r="P93" s="90"/>
      <c r="Q93" s="90"/>
      <c r="R93" s="752"/>
      <c r="S93" s="752"/>
      <c r="T93" s="752"/>
      <c r="U93" s="752"/>
      <c r="V93" s="752"/>
      <c r="W93" s="1"/>
      <c r="X93" s="1"/>
      <c r="Y93" s="1"/>
      <c r="Z93" s="752"/>
      <c r="AC93" s="1"/>
      <c r="AD93" s="32"/>
    </row>
    <row r="94" spans="1:30">
      <c r="A94" s="1225">
        <v>89</v>
      </c>
      <c r="B94" s="8" t="s">
        <v>144</v>
      </c>
      <c r="E94" s="1420">
        <f>SUMIFS('Rev Recon Summary'!$P$1:$P$500,'Rev Recon Summary'!$C$1:$C$500,"*"&amp;B94&amp;"*",'Rev Recon Summary'!$B$1:$B$500,"*"&amp;$B$71&amp;"*")</f>
        <v>0</v>
      </c>
      <c r="F94" s="752"/>
      <c r="G94" s="752"/>
      <c r="H94" s="752"/>
      <c r="I94" s="752"/>
      <c r="J94" s="752"/>
      <c r="K94" s="84"/>
      <c r="L94" s="756"/>
      <c r="M94" s="752"/>
      <c r="N94" s="752"/>
      <c r="O94" s="84"/>
      <c r="P94" s="90"/>
      <c r="Q94" s="90"/>
      <c r="R94" s="752"/>
      <c r="S94" s="752"/>
      <c r="T94" s="752"/>
      <c r="U94" s="752"/>
      <c r="V94" s="752"/>
      <c r="W94" s="1"/>
      <c r="X94" s="1"/>
      <c r="Y94" s="1"/>
      <c r="Z94" s="752"/>
      <c r="AC94" s="1"/>
      <c r="AD94" s="32"/>
    </row>
    <row r="95" spans="1:30">
      <c r="A95" s="1225">
        <v>90</v>
      </c>
      <c r="B95" s="8" t="s">
        <v>145</v>
      </c>
      <c r="E95" s="1416">
        <f>SUMIFS('Rev Recon Summary'!$P$1:$P$500,'Rev Recon Summary'!$C$1:$C$500,"*"&amp;B95&amp;"*",'Rev Recon Summary'!$B$1:$B$500,"*"&amp;$B$71&amp;"*")</f>
        <v>126371.18</v>
      </c>
      <c r="F95" s="752"/>
      <c r="G95" s="752"/>
      <c r="H95" s="752"/>
      <c r="I95" s="752"/>
      <c r="J95" s="752"/>
      <c r="K95" s="84"/>
      <c r="L95" s="756"/>
      <c r="M95" s="752"/>
      <c r="N95" s="752"/>
      <c r="O95" s="84"/>
      <c r="P95" s="90"/>
      <c r="Q95" s="90"/>
      <c r="R95" s="752"/>
      <c r="S95" s="752"/>
      <c r="T95" s="752"/>
      <c r="U95" s="752"/>
      <c r="V95" s="752"/>
      <c r="W95" s="1"/>
      <c r="X95" s="1"/>
      <c r="Y95" s="1"/>
      <c r="Z95" s="752"/>
      <c r="AC95" s="1"/>
      <c r="AD95" s="32"/>
    </row>
    <row r="96" spans="1:30">
      <c r="A96" s="1225">
        <v>91</v>
      </c>
      <c r="B96" s="8" t="s">
        <v>146</v>
      </c>
      <c r="E96" s="1418">
        <f>SUMIFS('Rev Recon Summary'!$P$1:$P$500,'Rev Recon Summary'!$C$1:$C$500,"*"&amp;B96&amp;"*",'Rev Recon Summary'!$B$1:$B$500,"*"&amp;$B$71&amp;"*")</f>
        <v>62657.069999999992</v>
      </c>
      <c r="F96" s="752"/>
      <c r="G96" s="752"/>
      <c r="H96" s="752"/>
      <c r="I96" s="752"/>
      <c r="J96" s="752"/>
      <c r="K96" s="84"/>
      <c r="L96" s="756"/>
      <c r="M96" s="752"/>
      <c r="N96" s="752"/>
      <c r="O96" s="84"/>
      <c r="P96" s="90"/>
      <c r="Q96" s="90"/>
      <c r="R96" s="752"/>
      <c r="S96" s="752"/>
      <c r="T96" s="752"/>
      <c r="U96" s="752"/>
      <c r="V96" s="752"/>
      <c r="W96" s="1"/>
      <c r="X96" s="1"/>
      <c r="Y96" s="1"/>
      <c r="Z96" s="752"/>
      <c r="AC96" s="1"/>
      <c r="AD96" s="32"/>
    </row>
    <row r="97" spans="1:30">
      <c r="A97" s="1225">
        <v>92</v>
      </c>
      <c r="B97" s="1" t="s">
        <v>152</v>
      </c>
      <c r="E97" s="1416">
        <f>SUM(E84:E96)</f>
        <v>2384576.2499999995</v>
      </c>
      <c r="F97" s="752"/>
      <c r="G97" s="752"/>
      <c r="H97" s="752"/>
      <c r="I97" s="752"/>
      <c r="J97" s="752"/>
      <c r="K97" s="84"/>
      <c r="L97" s="756"/>
      <c r="M97" s="752"/>
      <c r="N97" s="752"/>
      <c r="O97" s="84"/>
      <c r="P97" s="90"/>
      <c r="Q97" s="90"/>
      <c r="R97" s="752"/>
      <c r="S97" s="752"/>
      <c r="T97" s="752"/>
      <c r="U97" s="752"/>
      <c r="V97" s="752"/>
      <c r="W97" s="752"/>
      <c r="X97" s="752"/>
      <c r="Y97" s="752"/>
      <c r="Z97" s="752"/>
      <c r="AC97" s="752"/>
      <c r="AD97" s="32"/>
    </row>
    <row r="98" spans="1:30">
      <c r="A98" s="1225">
        <v>93</v>
      </c>
      <c r="B98" s="11" t="str">
        <f>"Total "&amp;LEFT(B71,17)&amp;" Revenue"</f>
        <v>Total CNGWA505 Revenue</v>
      </c>
      <c r="E98" s="1416"/>
      <c r="F98" s="752"/>
      <c r="G98" s="752"/>
      <c r="H98" s="752"/>
      <c r="I98" s="752"/>
      <c r="J98" s="752"/>
      <c r="K98" s="84"/>
      <c r="L98" s="756"/>
      <c r="M98" s="752"/>
      <c r="N98" s="752"/>
      <c r="O98" s="84"/>
      <c r="P98" s="90"/>
      <c r="Q98" s="90"/>
      <c r="R98" s="752"/>
      <c r="S98" s="752"/>
      <c r="T98" s="752"/>
      <c r="U98" s="752"/>
      <c r="V98" s="752"/>
      <c r="W98" s="752"/>
      <c r="X98" s="752"/>
      <c r="Y98" s="752"/>
      <c r="Z98" s="752"/>
      <c r="AC98" s="752"/>
      <c r="AD98" s="32"/>
    </row>
    <row r="99" spans="1:30">
      <c r="A99" s="1225">
        <v>94</v>
      </c>
      <c r="B99" s="639"/>
      <c r="C99" s="764">
        <f>E99-'Rev Recon Summary'!P62</f>
        <v>0</v>
      </c>
      <c r="D99" s="775" t="s">
        <v>149</v>
      </c>
      <c r="E99" s="631">
        <f>SUM(E79,E81,E97)</f>
        <v>9486698.7599999998</v>
      </c>
      <c r="F99" s="632"/>
      <c r="G99" s="764">
        <f>E99*'Exh MCG-4, Conversion Factor'!$I$12</f>
        <v>0</v>
      </c>
      <c r="H99" s="632"/>
      <c r="I99" s="632"/>
      <c r="J99" s="632"/>
      <c r="K99" s="631"/>
      <c r="L99" s="766"/>
      <c r="M99" s="761"/>
      <c r="N99" s="632"/>
      <c r="O99" s="631"/>
      <c r="P99" s="633"/>
      <c r="Q99" s="633"/>
      <c r="R99" s="632"/>
      <c r="S99" s="761"/>
      <c r="T99" s="761"/>
      <c r="U99" s="761"/>
      <c r="V99" s="632"/>
      <c r="W99" s="765"/>
      <c r="X99" s="765"/>
      <c r="Y99" s="765"/>
      <c r="Z99" s="632"/>
      <c r="AA99" s="764"/>
      <c r="AB99" s="764"/>
      <c r="AC99" s="765"/>
      <c r="AD99" s="32"/>
    </row>
    <row r="100" spans="1:30">
      <c r="A100" s="1225">
        <v>95</v>
      </c>
      <c r="E100" s="1416"/>
      <c r="K100" s="84"/>
      <c r="L100" s="756"/>
      <c r="M100" s="752"/>
      <c r="O100" s="84"/>
      <c r="P100" s="90"/>
      <c r="Q100" s="90"/>
      <c r="S100" s="752"/>
      <c r="T100" s="752"/>
      <c r="U100" s="752"/>
      <c r="AD100" s="32"/>
    </row>
    <row r="101" spans="1:30">
      <c r="A101" s="1225">
        <v>96</v>
      </c>
      <c r="B101" s="13" t="s">
        <v>161</v>
      </c>
      <c r="E101" s="1416"/>
      <c r="G101" s="18" t="s">
        <v>162</v>
      </c>
      <c r="K101" s="84"/>
      <c r="L101" s="756"/>
      <c r="M101" s="752"/>
      <c r="O101" s="84"/>
      <c r="P101" s="90"/>
      <c r="Q101" s="90"/>
      <c r="S101" s="752"/>
      <c r="T101" s="752"/>
      <c r="U101" s="752"/>
      <c r="AD101" s="32"/>
    </row>
    <row r="102" spans="1:30">
      <c r="A102" s="1225">
        <v>97</v>
      </c>
      <c r="B102" s="1" t="s">
        <v>124</v>
      </c>
      <c r="C102" s="84">
        <f>E102/D102</f>
        <v>1090</v>
      </c>
      <c r="D102" s="751">
        <v>125</v>
      </c>
      <c r="E102" s="1416">
        <f>SUMIFS('1501 Summary'!$P$1:$P$600,'1501 Summary'!$C$1:$C$600,"*"&amp;B102&amp;"*",'1501 Summary'!$B$1:$B$600,"*"&amp;$B$101&amp;"*")</f>
        <v>136250</v>
      </c>
      <c r="F102" s="90"/>
      <c r="G102" s="93">
        <f>-G197</f>
        <v>24</v>
      </c>
      <c r="H102" s="751">
        <f t="shared" ref="H102:H108" si="10">D102</f>
        <v>125</v>
      </c>
      <c r="I102" s="752">
        <f t="shared" ref="I102:I108" si="11">H102*G102</f>
        <v>3000</v>
      </c>
      <c r="J102" s="90"/>
      <c r="K102" s="84">
        <f t="shared" ref="K102:K108" si="12">C102+G102</f>
        <v>1114</v>
      </c>
      <c r="L102" s="751">
        <f t="shared" ref="L102:L108" si="13">D102</f>
        <v>125</v>
      </c>
      <c r="M102" s="752">
        <f t="shared" ref="M102:M108" si="14">L102*K102</f>
        <v>139250</v>
      </c>
      <c r="N102" s="90"/>
      <c r="O102" s="84">
        <f t="shared" ref="O102:O108" si="15">K102</f>
        <v>1114</v>
      </c>
      <c r="P102" s="90">
        <v>125</v>
      </c>
      <c r="Q102" s="86">
        <f>M102</f>
        <v>139250</v>
      </c>
      <c r="R102" s="90"/>
      <c r="S102" s="84">
        <f>'EOP Calculations'!Q114</f>
        <v>1116</v>
      </c>
      <c r="T102" s="752">
        <f>ROUND(S102*P102, 2)</f>
        <v>139500</v>
      </c>
      <c r="U102" s="752">
        <f t="shared" ref="U102:U110" si="16">T102-Q102</f>
        <v>250</v>
      </c>
      <c r="V102" s="90"/>
      <c r="AA102" s="90">
        <f>'Exh IDM-4, Class Rates'!F26</f>
        <v>125</v>
      </c>
      <c r="AB102" s="86">
        <f>ROUND(AA102*S102, 2)</f>
        <v>139500</v>
      </c>
      <c r="AC102" s="86">
        <f>AB102-T102</f>
        <v>0</v>
      </c>
      <c r="AD102" s="32"/>
    </row>
    <row r="103" spans="1:30">
      <c r="A103" s="1225">
        <v>98</v>
      </c>
      <c r="B103" s="1" t="s">
        <v>163</v>
      </c>
      <c r="C103" s="84">
        <f t="shared" ref="C103:C108" si="17">E103/D103</f>
        <v>2273387.1598046054</v>
      </c>
      <c r="D103" s="755">
        <v>0.14330000000000001</v>
      </c>
      <c r="E103" s="1416">
        <f>SUMIFS('1501 Summary'!$P$1:$P$600,'1501 Summary'!$C$1:$C$600,"*"&amp;B103&amp;"*",'1501 Summary'!$B$1:$B$600,"*"&amp;$B$101&amp;"*")</f>
        <v>325776.38</v>
      </c>
      <c r="F103" s="90"/>
      <c r="G103" s="93">
        <f t="shared" ref="G103:G108" si="18">-G198</f>
        <v>235193.99860432657</v>
      </c>
      <c r="H103" s="756">
        <f t="shared" si="10"/>
        <v>0.14330000000000001</v>
      </c>
      <c r="I103" s="752">
        <f t="shared" si="11"/>
        <v>33703.300000000003</v>
      </c>
      <c r="J103" s="90"/>
      <c r="K103" s="84">
        <f t="shared" si="12"/>
        <v>2508581.1584089319</v>
      </c>
      <c r="L103" s="756">
        <f t="shared" si="13"/>
        <v>0.14330000000000001</v>
      </c>
      <c r="M103" s="752">
        <f t="shared" si="14"/>
        <v>359479.68</v>
      </c>
      <c r="N103" s="90"/>
      <c r="O103" s="84">
        <f t="shared" si="15"/>
        <v>2508581.1584089319</v>
      </c>
      <c r="P103" s="88"/>
      <c r="Q103" s="90"/>
      <c r="R103" s="90"/>
      <c r="S103" s="84"/>
      <c r="T103" s="752"/>
      <c r="U103" s="752"/>
      <c r="V103" s="90"/>
      <c r="W103" s="86"/>
      <c r="X103" s="86"/>
      <c r="Y103" s="86"/>
      <c r="Z103" s="90"/>
      <c r="AA103" s="88"/>
      <c r="AB103" s="86"/>
      <c r="AC103" s="86"/>
      <c r="AD103" s="32"/>
    </row>
    <row r="104" spans="1:30">
      <c r="A104" s="1225">
        <v>99</v>
      </c>
      <c r="B104" s="1" t="s">
        <v>164</v>
      </c>
      <c r="C104" s="84">
        <f t="shared" si="17"/>
        <v>6509900.142741885</v>
      </c>
      <c r="D104" s="755">
        <v>0.16113</v>
      </c>
      <c r="E104" s="1416">
        <f>SUMIFS('1501 Summary'!$P$1:$P$600,'1501 Summary'!$C$1:$C$600,"*"&amp;B104&amp;"*",'1501 Summary'!$B$1:$B$600,"*"&amp;$B$101&amp;"*")</f>
        <v>1048940.21</v>
      </c>
      <c r="F104" s="90"/>
      <c r="G104" s="93">
        <f t="shared" si="18"/>
        <v>708138.27344380331</v>
      </c>
      <c r="H104" s="756">
        <f t="shared" si="10"/>
        <v>0.16113</v>
      </c>
      <c r="I104" s="752">
        <f t="shared" si="11"/>
        <v>114102.32000000002</v>
      </c>
      <c r="J104" s="90"/>
      <c r="K104" s="84">
        <f t="shared" si="12"/>
        <v>7218038.4161856882</v>
      </c>
      <c r="L104" s="756">
        <f t="shared" si="13"/>
        <v>0.16113</v>
      </c>
      <c r="M104" s="752">
        <f t="shared" si="14"/>
        <v>1163042.5299999998</v>
      </c>
      <c r="N104" s="90"/>
      <c r="O104" s="84">
        <f t="shared" si="15"/>
        <v>7218038.4161856882</v>
      </c>
      <c r="P104" s="88">
        <v>0.16163</v>
      </c>
      <c r="Q104" s="95">
        <f>SUM(O103:O104)*P104</f>
        <v>1572113.5218417286</v>
      </c>
      <c r="R104" s="90"/>
      <c r="S104" s="84">
        <f>'EOP Calculations'!P114</f>
        <v>9263106.6283577029</v>
      </c>
      <c r="T104" s="752">
        <f>ROUND(S104*P104, 2)</f>
        <v>1497195.92</v>
      </c>
      <c r="U104" s="752">
        <f>T104-Q104</f>
        <v>-74917.601841728669</v>
      </c>
      <c r="V104" s="90"/>
      <c r="W104" s="84">
        <f>S104</f>
        <v>9263106.6283577029</v>
      </c>
      <c r="X104" s="88">
        <v>1.5399999999999999E-3</v>
      </c>
      <c r="Y104" s="86">
        <f>X104*W104</f>
        <v>14265.184207670862</v>
      </c>
      <c r="Z104" s="90"/>
      <c r="AA104" s="88">
        <f>'Exh IDM-4, Class Rates'!F27</f>
        <v>0.17614686845299443</v>
      </c>
      <c r="AB104" s="86">
        <f>ROUND(AA104*S104, 2)</f>
        <v>1631667.22</v>
      </c>
      <c r="AC104" s="86">
        <f>AB104-T104</f>
        <v>134471.30000000005</v>
      </c>
      <c r="AD104" s="32"/>
    </row>
    <row r="105" spans="1:30">
      <c r="A105" s="1225">
        <v>100</v>
      </c>
      <c r="B105" s="1" t="s">
        <v>165</v>
      </c>
      <c r="C105" s="84">
        <f t="shared" si="17"/>
        <v>1035688.9111434815</v>
      </c>
      <c r="D105" s="755">
        <v>0.10983999999999999</v>
      </c>
      <c r="E105" s="1416">
        <f>SUMIFS('1501 Summary'!$P$1:$P$600,'1501 Summary'!$C$1:$C$600,"*"&amp;B105&amp;"*",'1501 Summary'!$B$1:$B$600,"*"&amp;$B$101&amp;"*")</f>
        <v>113760.07</v>
      </c>
      <c r="F105" s="90"/>
      <c r="G105" s="93">
        <f t="shared" si="18"/>
        <v>596857.06482155866</v>
      </c>
      <c r="H105" s="756">
        <f t="shared" si="10"/>
        <v>0.10983999999999999</v>
      </c>
      <c r="I105" s="752">
        <f t="shared" si="11"/>
        <v>65558.78</v>
      </c>
      <c r="J105" s="90"/>
      <c r="K105" s="84">
        <f t="shared" si="12"/>
        <v>1632545.9759650403</v>
      </c>
      <c r="L105" s="756">
        <f t="shared" si="13"/>
        <v>0.10983999999999999</v>
      </c>
      <c r="M105" s="752">
        <f t="shared" si="14"/>
        <v>179318.85</v>
      </c>
      <c r="N105" s="90"/>
      <c r="O105" s="84">
        <f t="shared" si="15"/>
        <v>1632545.9759650403</v>
      </c>
      <c r="P105" s="88"/>
      <c r="Q105" s="90"/>
      <c r="R105" s="90"/>
      <c r="S105" s="84"/>
      <c r="T105" s="752"/>
      <c r="U105" s="752"/>
      <c r="V105" s="90"/>
      <c r="AA105" s="88"/>
      <c r="AB105" s="86"/>
      <c r="AC105" s="86"/>
      <c r="AD105" s="32"/>
    </row>
    <row r="106" spans="1:30">
      <c r="A106" s="1225">
        <v>101</v>
      </c>
      <c r="B106" s="1" t="s">
        <v>166</v>
      </c>
      <c r="C106" s="84">
        <f t="shared" si="17"/>
        <v>3629432.2027102876</v>
      </c>
      <c r="D106" s="755">
        <v>0.12471</v>
      </c>
      <c r="E106" s="1416">
        <f>SUMIFS('1501 Summary'!$P$1:$P$600,'1501 Summary'!$C$1:$C$600,"*"&amp;B106&amp;"*",'1501 Summary'!$B$1:$B$600,"*"&amp;$B$101&amp;"*")</f>
        <v>452626.49</v>
      </c>
      <c r="F106" s="90"/>
      <c r="G106" s="93">
        <f t="shared" si="18"/>
        <v>1187149.2262047948</v>
      </c>
      <c r="H106" s="756">
        <f t="shared" si="10"/>
        <v>0.12471</v>
      </c>
      <c r="I106" s="752">
        <f t="shared" si="11"/>
        <v>148049.37999999998</v>
      </c>
      <c r="J106" s="90"/>
      <c r="K106" s="84">
        <f t="shared" si="12"/>
        <v>4816581.4289150825</v>
      </c>
      <c r="L106" s="756">
        <f t="shared" si="13"/>
        <v>0.12471</v>
      </c>
      <c r="M106" s="752">
        <f t="shared" si="14"/>
        <v>600675.87</v>
      </c>
      <c r="N106" s="90"/>
      <c r="O106" s="84">
        <f t="shared" si="15"/>
        <v>4816581.4289150825</v>
      </c>
      <c r="P106" s="88">
        <v>0.12539</v>
      </c>
      <c r="Q106" s="95">
        <f>SUM(O105:O106)*P106</f>
        <v>808656.08529791865</v>
      </c>
      <c r="R106" s="90"/>
      <c r="S106" s="84">
        <f>'EOP Calculations'!P115</f>
        <v>6400516.3315191241</v>
      </c>
      <c r="T106" s="752">
        <f>ROUND(S106*P106, 2)</f>
        <v>802560.74</v>
      </c>
      <c r="U106" s="752">
        <f t="shared" si="16"/>
        <v>-6095.345297918655</v>
      </c>
      <c r="V106" s="90"/>
      <c r="W106" s="84">
        <f>S106</f>
        <v>6400516.3315191241</v>
      </c>
      <c r="X106" s="88">
        <v>1.5399999999999999E-3</v>
      </c>
      <c r="Y106" s="86">
        <f>X106*W106</f>
        <v>9856.7951505394503</v>
      </c>
      <c r="Z106" s="90"/>
      <c r="AA106" s="88">
        <f>'Exh IDM-4, Class Rates'!F28</f>
        <v>0.13665195708576525</v>
      </c>
      <c r="AB106" s="86">
        <f>ROUND(AA106*S106, 2)</f>
        <v>874643.08</v>
      </c>
      <c r="AC106" s="86">
        <f>AB106-T106</f>
        <v>72082.339999999967</v>
      </c>
      <c r="AD106" s="32"/>
    </row>
    <row r="107" spans="1:30">
      <c r="A107" s="1225">
        <v>102</v>
      </c>
      <c r="B107" s="1" t="s">
        <v>167</v>
      </c>
      <c r="C107" s="84">
        <f t="shared" si="17"/>
        <v>270418.23551125877</v>
      </c>
      <c r="D107" s="755">
        <v>2.7089999999999999E-2</v>
      </c>
      <c r="E107" s="1416">
        <f>SUMIFS('1501 Summary'!$P$1:$P$600,'1501 Summary'!$C$1:$C$600,"*"&amp;B107&amp;"*",'1501 Summary'!$B$1:$B$600,"*"&amp;$B$101&amp;"*")</f>
        <v>7325.6299999999992</v>
      </c>
      <c r="F107" s="90"/>
      <c r="G107" s="93">
        <f t="shared" si="18"/>
        <v>769131.13067552587</v>
      </c>
      <c r="H107" s="756">
        <f t="shared" si="10"/>
        <v>2.7089999999999999E-2</v>
      </c>
      <c r="I107" s="752">
        <f t="shared" si="11"/>
        <v>20835.762329999994</v>
      </c>
      <c r="J107" s="90"/>
      <c r="K107" s="84">
        <f t="shared" si="12"/>
        <v>1039549.3661867846</v>
      </c>
      <c r="L107" s="756">
        <f t="shared" si="13"/>
        <v>2.7089999999999999E-2</v>
      </c>
      <c r="M107" s="752">
        <f t="shared" si="14"/>
        <v>28161.392329999995</v>
      </c>
      <c r="N107" s="90"/>
      <c r="O107" s="84">
        <f t="shared" si="15"/>
        <v>1039549.3661867846</v>
      </c>
      <c r="P107" s="88"/>
      <c r="Q107" s="90"/>
      <c r="R107" s="90"/>
      <c r="S107" s="84"/>
      <c r="T107" s="752"/>
      <c r="U107" s="752"/>
      <c r="V107" s="90"/>
      <c r="W107" s="84"/>
      <c r="X107" s="88"/>
      <c r="Y107" s="86"/>
      <c r="Z107" s="90"/>
      <c r="AA107" s="88"/>
      <c r="AB107" s="86"/>
      <c r="AC107" s="86"/>
      <c r="AD107" s="32"/>
    </row>
    <row r="108" spans="1:30">
      <c r="A108" s="1225">
        <v>103</v>
      </c>
      <c r="B108" s="1" t="s">
        <v>168</v>
      </c>
      <c r="C108" s="84">
        <f t="shared" si="17"/>
        <v>697371.24711316405</v>
      </c>
      <c r="D108" s="755">
        <v>3.4639999999999997E-2</v>
      </c>
      <c r="E108" s="1416">
        <f>SUMIFS('1501 Summary'!$P$1:$P$600,'1501 Summary'!$C$1:$C$600,"*"&amp;B108&amp;"*",'1501 Summary'!$B$1:$B$600,"*"&amp;$B$101&amp;"*")</f>
        <v>24156.94</v>
      </c>
      <c r="F108" s="90"/>
      <c r="G108" s="93">
        <f t="shared" si="18"/>
        <v>2475819.697459585</v>
      </c>
      <c r="H108" s="756">
        <f t="shared" si="10"/>
        <v>3.4639999999999997E-2</v>
      </c>
      <c r="I108" s="752">
        <f t="shared" si="11"/>
        <v>85762.394320000021</v>
      </c>
      <c r="J108" s="90"/>
      <c r="K108" s="84">
        <f t="shared" si="12"/>
        <v>3173190.9445727491</v>
      </c>
      <c r="L108" s="756">
        <f t="shared" si="13"/>
        <v>3.4639999999999997E-2</v>
      </c>
      <c r="M108" s="752">
        <f t="shared" si="14"/>
        <v>109919.33432000002</v>
      </c>
      <c r="N108" s="90"/>
      <c r="O108" s="84">
        <f t="shared" si="15"/>
        <v>3173190.9445727491</v>
      </c>
      <c r="P108" s="88">
        <v>3.5740000000000001E-2</v>
      </c>
      <c r="Q108" s="95">
        <f>SUM(O107:O108)*P108</f>
        <v>150563.33870654571</v>
      </c>
      <c r="R108" s="90"/>
      <c r="S108" s="84">
        <f>'EOP Calculations'!P116</f>
        <v>2905143.6487386376</v>
      </c>
      <c r="T108" s="752">
        <f>ROUND(S108*P108, 2)</f>
        <v>103829.83</v>
      </c>
      <c r="U108" s="752">
        <f t="shared" si="16"/>
        <v>-46733.508706545705</v>
      </c>
      <c r="V108" s="90"/>
      <c r="W108" s="84">
        <f>S108</f>
        <v>2905143.6487386376</v>
      </c>
      <c r="X108" s="88">
        <v>1.5399999999999999E-3</v>
      </c>
      <c r="Y108" s="776">
        <f>X108*W108</f>
        <v>4473.9212190575017</v>
      </c>
      <c r="Z108" s="90"/>
      <c r="AA108" s="88">
        <f>'Exh IDM-4, Class Rates'!F29</f>
        <v>3.8950003183092954E-2</v>
      </c>
      <c r="AB108" s="630">
        <f>ROUND(AA108*S108, 2)</f>
        <v>113155.35</v>
      </c>
      <c r="AC108" s="630">
        <f>AB108-T108</f>
        <v>9325.5200000000041</v>
      </c>
      <c r="AD108" s="32"/>
    </row>
    <row r="109" spans="1:30">
      <c r="A109" s="1225">
        <v>104</v>
      </c>
      <c r="B109" s="1" t="s">
        <v>169</v>
      </c>
      <c r="C109" s="84"/>
      <c r="D109" s="755"/>
      <c r="E109" s="1416">
        <f>SUMIFS('1501 Summary'!$P$1:$P$600,'1501 Summary'!$C$1:$C$600,"*"&amp;B109&amp;"*",'1501 Summary'!$B$1:$B$600,"*"&amp;$B$101&amp;"*")</f>
        <v>-12685.02</v>
      </c>
      <c r="F109" s="90"/>
      <c r="G109" s="94"/>
      <c r="H109" s="756"/>
      <c r="I109" s="761">
        <v>0</v>
      </c>
      <c r="J109" s="90"/>
      <c r="K109" s="84"/>
      <c r="L109" s="756"/>
      <c r="M109" s="761">
        <f>E109</f>
        <v>-12685.02</v>
      </c>
      <c r="N109" s="90"/>
      <c r="O109" s="84"/>
      <c r="P109" s="90"/>
      <c r="Q109" s="633"/>
      <c r="R109" s="90"/>
      <c r="S109" s="84"/>
      <c r="T109" s="630"/>
      <c r="U109" s="761"/>
      <c r="V109" s="90"/>
      <c r="W109" s="84"/>
      <c r="X109" s="88"/>
      <c r="Y109" s="630"/>
      <c r="Z109" s="90"/>
      <c r="AA109" s="88"/>
      <c r="AB109" s="86"/>
      <c r="AC109" s="776"/>
      <c r="AD109" s="32"/>
    </row>
    <row r="110" spans="1:30">
      <c r="A110" s="1225">
        <v>105</v>
      </c>
      <c r="B110" s="1" t="s">
        <v>127</v>
      </c>
      <c r="E110" s="1419">
        <f>SUM(E102:E109)</f>
        <v>2096150.6999999997</v>
      </c>
      <c r="F110" s="90"/>
      <c r="G110" s="90"/>
      <c r="H110" s="90"/>
      <c r="I110" s="95">
        <f>SUM(I102:I108)</f>
        <v>471011.93665000005</v>
      </c>
      <c r="J110" s="90"/>
      <c r="K110" s="84"/>
      <c r="L110" s="756"/>
      <c r="M110" s="752">
        <f>SUM(M102:M109)</f>
        <v>2567162.6366499998</v>
      </c>
      <c r="N110" s="90"/>
      <c r="O110" s="84"/>
      <c r="P110" s="90"/>
      <c r="Q110" s="86">
        <f>SUM(Q102:Q109)</f>
        <v>2670582.9458461925</v>
      </c>
      <c r="R110" s="90"/>
      <c r="S110" s="90"/>
      <c r="T110" s="86">
        <f>SUM(T102:T109)</f>
        <v>2543086.4900000002</v>
      </c>
      <c r="U110" s="752">
        <f t="shared" si="16"/>
        <v>-127496.45584619232</v>
      </c>
      <c r="V110" s="90"/>
      <c r="W110" s="752"/>
      <c r="X110" s="752"/>
      <c r="Y110" s="752">
        <f>SUM(Y104:Y108)</f>
        <v>28595.900577267814</v>
      </c>
      <c r="Z110" s="90"/>
      <c r="AB110" s="762">
        <f>SUM(AB102:AB108)</f>
        <v>2758965.65</v>
      </c>
      <c r="AC110" s="762">
        <f>SUM(AC102:AC108)</f>
        <v>215879.16000000003</v>
      </c>
      <c r="AD110" s="32"/>
    </row>
    <row r="111" spans="1:30">
      <c r="A111" s="1225">
        <v>106</v>
      </c>
      <c r="E111" s="1416"/>
      <c r="K111" s="84"/>
      <c r="L111" s="756"/>
      <c r="M111" s="751"/>
      <c r="O111" s="84" t="s">
        <v>131</v>
      </c>
      <c r="P111" s="90"/>
      <c r="Q111" s="86">
        <f>Q110-M110</f>
        <v>103420.30919619277</v>
      </c>
      <c r="S111" s="752"/>
      <c r="T111" s="752"/>
      <c r="U111" s="752"/>
      <c r="AD111" s="32"/>
    </row>
    <row r="112" spans="1:30">
      <c r="A112" s="1225">
        <v>107</v>
      </c>
      <c r="B112" s="1" t="s">
        <v>129</v>
      </c>
      <c r="E112" s="1416">
        <f>SUMIFS('1501 Summary'!$P$1:$P$600,'1501 Summary'!$C$1:$C$600,"*"&amp;B112&amp;"*",'1501 Summary'!$B$1:$B$600,"*"&amp;$B$101&amp;"*")</f>
        <v>6097713.2999999998</v>
      </c>
      <c r="F112" s="751"/>
      <c r="G112" s="751"/>
      <c r="H112" s="751"/>
      <c r="I112" s="751"/>
      <c r="J112" s="751"/>
      <c r="K112" s="84"/>
      <c r="L112" s="756"/>
      <c r="M112" s="751"/>
      <c r="N112" s="751"/>
      <c r="O112" s="84"/>
      <c r="P112" s="90"/>
      <c r="Q112" s="90"/>
      <c r="R112" s="751"/>
      <c r="S112" s="752"/>
      <c r="T112" s="752"/>
      <c r="U112" s="752"/>
      <c r="V112" s="751"/>
      <c r="Z112" s="751"/>
      <c r="AD112" s="32"/>
    </row>
    <row r="113" spans="1:30">
      <c r="A113" s="1225">
        <v>108</v>
      </c>
      <c r="E113" s="1416"/>
      <c r="K113" s="84"/>
      <c r="L113" s="756"/>
      <c r="M113" s="751"/>
      <c r="O113" s="84"/>
      <c r="P113" s="90"/>
      <c r="Q113" s="90"/>
      <c r="S113" s="84"/>
      <c r="T113" s="752"/>
      <c r="U113" s="752"/>
      <c r="AD113" s="32"/>
    </row>
    <row r="114" spans="1:30">
      <c r="A114" s="1225">
        <v>109</v>
      </c>
      <c r="B114" s="1" t="s">
        <v>130</v>
      </c>
      <c r="E114" s="1416"/>
      <c r="K114" s="84"/>
      <c r="L114" s="756"/>
      <c r="M114" s="751"/>
      <c r="O114" s="84"/>
      <c r="P114" s="90"/>
      <c r="Q114" s="90"/>
      <c r="S114" s="84"/>
      <c r="T114" s="752"/>
      <c r="U114" s="752"/>
      <c r="AB114" s="762"/>
      <c r="AD114" s="32"/>
    </row>
    <row r="115" spans="1:30">
      <c r="A115" s="1225">
        <v>110</v>
      </c>
      <c r="B115" s="1" t="s">
        <v>132</v>
      </c>
      <c r="E115" s="1416">
        <f>SUMIFS('1501 Summary'!$P$1:$P$600,'1501 Summary'!$C$1:$C$600,"*"&amp;B115&amp;"*",'1501 Summary'!$B$1:$B$600,"*"&amp;$B$101&amp;"*")</f>
        <v>1987353.5699999996</v>
      </c>
      <c r="K115" s="84"/>
      <c r="L115" s="756"/>
      <c r="M115" s="751"/>
      <c r="O115" s="84"/>
      <c r="P115" s="90"/>
      <c r="Q115" s="90"/>
      <c r="S115" s="84"/>
      <c r="T115" s="752"/>
      <c r="U115" s="752"/>
      <c r="AB115" s="762"/>
      <c r="AD115" s="32"/>
    </row>
    <row r="116" spans="1:30">
      <c r="A116" s="1225">
        <v>111</v>
      </c>
      <c r="B116" s="1" t="s">
        <v>133</v>
      </c>
      <c r="E116" s="1416">
        <f>SUMIFS('1501 Summary'!$P$1:$P$600,'1501 Summary'!$C$1:$C$600,"*"&amp;B116&amp;"*",'1501 Summary'!$B$1:$B$600,"*"&amp;$B$101&amp;"*")</f>
        <v>20395.78</v>
      </c>
      <c r="F116" s="751"/>
      <c r="G116" s="751"/>
      <c r="H116" s="751"/>
      <c r="I116" s="751"/>
      <c r="J116" s="751"/>
      <c r="K116" s="84"/>
      <c r="L116" s="756"/>
      <c r="M116" s="751"/>
      <c r="N116" s="751"/>
      <c r="O116" s="84"/>
      <c r="P116" s="90"/>
      <c r="Q116" s="90"/>
      <c r="R116" s="751"/>
      <c r="S116" s="84"/>
      <c r="T116" s="752"/>
      <c r="U116" s="752"/>
      <c r="V116" s="751"/>
      <c r="Z116" s="751"/>
      <c r="AD116" s="32"/>
    </row>
    <row r="117" spans="1:30">
      <c r="A117" s="1225">
        <v>112</v>
      </c>
      <c r="B117" s="1" t="s">
        <v>134</v>
      </c>
      <c r="E117" s="1416">
        <f>SUMIFS('1501 Summary'!$P$1:$P$600,'1501 Summary'!$C$1:$C$600,"*"&amp;B117&amp;"*",'1501 Summary'!$B$1:$B$600,"*"&amp;$B$101&amp;"*")</f>
        <v>40832.47</v>
      </c>
      <c r="F117" s="751"/>
      <c r="G117" s="751"/>
      <c r="H117" s="751"/>
      <c r="I117" s="751"/>
      <c r="J117" s="751"/>
      <c r="K117" s="84"/>
      <c r="L117" s="756"/>
      <c r="M117" s="751"/>
      <c r="N117" s="751"/>
      <c r="O117" s="84"/>
      <c r="P117" s="90"/>
      <c r="Q117" s="90"/>
      <c r="R117" s="751"/>
      <c r="S117" s="84"/>
      <c r="T117" s="752"/>
      <c r="U117" s="752"/>
      <c r="V117" s="751"/>
      <c r="Z117" s="751"/>
      <c r="AD117" s="32"/>
    </row>
    <row r="118" spans="1:30">
      <c r="A118" s="1225">
        <v>113</v>
      </c>
      <c r="B118" s="1" t="s">
        <v>135</v>
      </c>
      <c r="E118" s="1416">
        <f>SUMIFS('1501 Summary'!$P$1:$P$600,'1501 Summary'!$C$1:$C$600,"*"&amp;B118&amp;"*",'1501 Summary'!$B$1:$B$600,"*"&amp;$B$101&amp;"*")</f>
        <v>-281656.81999999995</v>
      </c>
      <c r="F118" s="751"/>
      <c r="G118" s="751"/>
      <c r="H118" s="751"/>
      <c r="I118" s="751"/>
      <c r="J118" s="751"/>
      <c r="K118" s="84"/>
      <c r="L118" s="756"/>
      <c r="M118" s="751"/>
      <c r="N118" s="751"/>
      <c r="O118" s="84"/>
      <c r="P118" s="90"/>
      <c r="Q118" s="90"/>
      <c r="R118" s="751"/>
      <c r="S118" s="752"/>
      <c r="T118" s="752"/>
      <c r="U118" s="752"/>
      <c r="V118" s="751"/>
      <c r="Z118" s="751"/>
      <c r="AD118" s="32"/>
    </row>
    <row r="119" spans="1:30">
      <c r="A119" s="1225">
        <v>114</v>
      </c>
      <c r="B119" s="1" t="s">
        <v>136</v>
      </c>
      <c r="E119" s="1416">
        <f>SUMIFS('1501 Summary'!$P$1:$P$600,'1501 Summary'!$C$1:$C$600,"*"&amp;B119&amp;"*",'1501 Summary'!$B$1:$B$600,"*"&amp;$B$101&amp;"*")</f>
        <v>380390.31999999995</v>
      </c>
      <c r="F119" s="751"/>
      <c r="G119" s="751"/>
      <c r="H119" s="751"/>
      <c r="I119" s="751"/>
      <c r="J119" s="751"/>
      <c r="K119" s="84"/>
      <c r="L119" s="756"/>
      <c r="M119" s="751"/>
      <c r="N119" s="751"/>
      <c r="O119" s="84"/>
      <c r="P119" s="90"/>
      <c r="Q119" s="90"/>
      <c r="R119" s="751"/>
      <c r="S119" s="752"/>
      <c r="T119" s="752"/>
      <c r="U119" s="752"/>
      <c r="V119" s="751"/>
      <c r="Z119" s="751"/>
      <c r="AD119" s="32"/>
    </row>
    <row r="120" spans="1:30">
      <c r="A120" s="1225">
        <v>115</v>
      </c>
      <c r="B120" s="40" t="s">
        <v>137</v>
      </c>
      <c r="E120" s="1416">
        <f>SUMIFS('1501 Summary'!$P$1:$P$600,'1501 Summary'!$C$1:$C$600,"*"&amp;B120&amp;"*",'1501 Summary'!$B$1:$B$600,"*"&amp;$B$101&amp;"*")</f>
        <v>-45699.92</v>
      </c>
      <c r="F120" s="751"/>
      <c r="G120" s="751"/>
      <c r="H120" s="751"/>
      <c r="I120" s="751"/>
      <c r="J120" s="751"/>
      <c r="K120" s="84"/>
      <c r="L120" s="756"/>
      <c r="M120" s="751"/>
      <c r="N120" s="751"/>
      <c r="O120" s="84"/>
      <c r="P120" s="90"/>
      <c r="Q120" s="90"/>
      <c r="R120" s="751"/>
      <c r="S120" s="752"/>
      <c r="T120" s="752"/>
      <c r="U120" s="752"/>
      <c r="V120" s="751"/>
      <c r="Z120" s="751"/>
      <c r="AD120" s="32"/>
    </row>
    <row r="121" spans="1:30">
      <c r="A121" s="1225">
        <v>116</v>
      </c>
      <c r="B121" s="40" t="s">
        <v>138</v>
      </c>
      <c r="E121" s="1416">
        <f>SUMIFS('1501 Summary'!$P$1:$P$600,'1501 Summary'!$C$1:$C$600,"*"&amp;B121&amp;"*",'1501 Summary'!$B$1:$B$600,"*"&amp;$B$101&amp;"*")</f>
        <v>-17968.340000000004</v>
      </c>
      <c r="F121" s="751"/>
      <c r="G121" s="751"/>
      <c r="H121" s="751"/>
      <c r="I121" s="751"/>
      <c r="J121" s="751"/>
      <c r="K121" s="84"/>
      <c r="L121" s="756"/>
      <c r="M121" s="751"/>
      <c r="N121" s="751"/>
      <c r="O121" s="84"/>
      <c r="P121" s="90"/>
      <c r="Q121" s="90"/>
      <c r="R121" s="751"/>
      <c r="S121" s="752"/>
      <c r="T121" s="752"/>
      <c r="U121" s="752"/>
      <c r="V121" s="751"/>
      <c r="Z121" s="751"/>
      <c r="AD121" s="32"/>
    </row>
    <row r="122" spans="1:30">
      <c r="A122" s="1225">
        <v>117</v>
      </c>
      <c r="B122" s="1" t="s">
        <v>140</v>
      </c>
      <c r="E122" s="1416">
        <f>SUMIFS('1501 Summary'!$P$1:$P$600,'1501 Summary'!$C$1:$C$600,"*"&amp;B122&amp;"*",'1501 Summary'!$B$1:$B$600,"*"&amp;$B$101&amp;"*")</f>
        <v>416727.88000000006</v>
      </c>
      <c r="F122" s="751"/>
      <c r="G122" s="751"/>
      <c r="H122" s="751"/>
      <c r="I122" s="751"/>
      <c r="J122" s="751"/>
      <c r="K122" s="84"/>
      <c r="L122" s="756"/>
      <c r="M122" s="751"/>
      <c r="N122" s="751"/>
      <c r="O122" s="84"/>
      <c r="P122" s="90"/>
      <c r="Q122" s="90"/>
      <c r="R122" s="751"/>
      <c r="S122" s="752"/>
      <c r="T122" s="752"/>
      <c r="U122" s="752"/>
      <c r="V122" s="751"/>
      <c r="Z122" s="751"/>
      <c r="AD122" s="32"/>
    </row>
    <row r="123" spans="1:30">
      <c r="A123" s="1225">
        <v>118</v>
      </c>
      <c r="B123" s="1" t="s">
        <v>142</v>
      </c>
      <c r="E123" s="1416">
        <f>SUMIFS('1501 Summary'!$P$1:$P$600,'1501 Summary'!$C$1:$C$600,"*"&amp;B123&amp;"*",'1501 Summary'!$B$1:$B$600,"*"&amp;$B$101&amp;"*")</f>
        <v>3890.7300000000005</v>
      </c>
      <c r="F123" s="751"/>
      <c r="G123" s="751"/>
      <c r="H123" s="751"/>
      <c r="I123" s="751"/>
      <c r="J123" s="751"/>
      <c r="K123" s="84"/>
      <c r="L123" s="756"/>
      <c r="M123" s="751"/>
      <c r="N123" s="751"/>
      <c r="O123" s="84"/>
      <c r="P123" s="90"/>
      <c r="Q123" s="90"/>
      <c r="R123" s="751"/>
      <c r="S123" s="752"/>
      <c r="T123" s="752"/>
      <c r="U123" s="752"/>
      <c r="V123" s="751"/>
      <c r="Z123" s="751"/>
      <c r="AD123" s="32"/>
    </row>
    <row r="124" spans="1:30">
      <c r="A124" s="1225">
        <v>119</v>
      </c>
      <c r="B124" s="1" t="s">
        <v>141</v>
      </c>
      <c r="E124" s="1416">
        <f>SUMIFS('1501 Summary'!$P$1:$P$600,'1501 Summary'!$C$1:$C$600,"*"&amp;B124&amp;"*",'1501 Summary'!$B$1:$B$600,"*"&amp;$B$101&amp;"*")</f>
        <v>-24311.14</v>
      </c>
      <c r="F124" s="751"/>
      <c r="G124" s="751"/>
      <c r="H124" s="751"/>
      <c r="I124" s="751"/>
      <c r="J124" s="751"/>
      <c r="K124" s="84"/>
      <c r="L124" s="756"/>
      <c r="M124" s="751"/>
      <c r="N124" s="751"/>
      <c r="O124" s="84"/>
      <c r="P124" s="90"/>
      <c r="Q124" s="90"/>
      <c r="R124" s="751"/>
      <c r="S124" s="752"/>
      <c r="T124" s="752"/>
      <c r="U124" s="752"/>
      <c r="V124" s="751"/>
      <c r="Z124" s="751"/>
      <c r="AD124" s="32"/>
    </row>
    <row r="125" spans="1:30">
      <c r="A125" s="1225">
        <v>120</v>
      </c>
      <c r="B125" s="8" t="s">
        <v>143</v>
      </c>
      <c r="E125" s="1420">
        <f>SUMIFS('Rev Recon Summary'!$P$1:$P$500,'Rev Recon Summary'!$C$1:$C$500,"*"&amp;B125&amp;"*",'Rev Recon Summary'!$B$1:$B$500,"*"&amp;$B$101&amp;"*")</f>
        <v>0</v>
      </c>
      <c r="F125" s="751"/>
      <c r="G125" s="751"/>
      <c r="H125" s="751"/>
      <c r="I125" s="751"/>
      <c r="J125" s="751"/>
      <c r="K125" s="84"/>
      <c r="L125" s="756"/>
      <c r="M125" s="751"/>
      <c r="N125" s="751"/>
      <c r="O125" s="84"/>
      <c r="P125" s="90"/>
      <c r="Q125" s="90"/>
      <c r="R125" s="751"/>
      <c r="S125" s="752"/>
      <c r="T125" s="752"/>
      <c r="U125" s="752"/>
      <c r="V125" s="751"/>
      <c r="Z125" s="751"/>
      <c r="AD125" s="32"/>
    </row>
    <row r="126" spans="1:30">
      <c r="A126" s="1225">
        <v>121</v>
      </c>
      <c r="B126" s="8" t="s">
        <v>144</v>
      </c>
      <c r="E126" s="1420">
        <f>SUMIFS('Rev Recon Summary'!$P$1:$P$500,'Rev Recon Summary'!$C$1:$C$500,"*"&amp;B126&amp;"*",'Rev Recon Summary'!$B$1:$B$500,"*"&amp;$B$101&amp;"*")</f>
        <v>0</v>
      </c>
      <c r="F126" s="751"/>
      <c r="G126" s="751"/>
      <c r="H126" s="751"/>
      <c r="I126" s="751"/>
      <c r="J126" s="751"/>
      <c r="K126" s="84"/>
      <c r="L126" s="756"/>
      <c r="M126" s="751"/>
      <c r="N126" s="751"/>
      <c r="O126" s="84"/>
      <c r="P126" s="90"/>
      <c r="Q126" s="90"/>
      <c r="R126" s="751"/>
      <c r="S126" s="752"/>
      <c r="T126" s="752"/>
      <c r="U126" s="752"/>
      <c r="V126" s="751"/>
      <c r="W126" s="752"/>
      <c r="X126" s="752"/>
      <c r="Y126" s="752"/>
      <c r="Z126" s="751"/>
      <c r="AC126" s="752"/>
      <c r="AD126" s="32"/>
    </row>
    <row r="127" spans="1:30">
      <c r="A127" s="1225">
        <v>122</v>
      </c>
      <c r="B127" s="8" t="s">
        <v>145</v>
      </c>
      <c r="E127" s="1416">
        <f>SUMIFS('Rev Recon Summary'!$P$1:$P$500,'Rev Recon Summary'!$C$1:$C$500,"*"&amp;B127&amp;"*",'Rev Recon Summary'!$B$1:$B$500,"*"&amp;$B$101&amp;"*")</f>
        <v>-113726.52999999998</v>
      </c>
      <c r="F127" s="751"/>
      <c r="G127" s="751"/>
      <c r="H127" s="751"/>
      <c r="I127" s="751"/>
      <c r="J127" s="751"/>
      <c r="K127" s="84"/>
      <c r="L127" s="756"/>
      <c r="M127" s="751"/>
      <c r="N127" s="751"/>
      <c r="O127" s="84"/>
      <c r="P127" s="90"/>
      <c r="Q127" s="90"/>
      <c r="R127" s="751"/>
      <c r="S127" s="752"/>
      <c r="T127" s="752"/>
      <c r="U127" s="752"/>
      <c r="V127" s="751"/>
      <c r="W127" s="752"/>
      <c r="X127" s="752"/>
      <c r="Y127" s="752"/>
      <c r="Z127" s="751"/>
      <c r="AC127" s="752"/>
      <c r="AD127" s="32"/>
    </row>
    <row r="128" spans="1:30">
      <c r="A128" s="1225">
        <v>123</v>
      </c>
      <c r="B128" s="8" t="s">
        <v>146</v>
      </c>
      <c r="E128" s="1416">
        <f>SUMIFS('Rev Recon Summary'!$P$1:$P$500,'Rev Recon Summary'!$C$1:$C$500,"*"&amp;B128&amp;"*",'Rev Recon Summary'!$B$1:$B$500,"*"&amp;$B$101&amp;"*")</f>
        <v>262406.24</v>
      </c>
      <c r="F128" s="751"/>
      <c r="G128" s="751"/>
      <c r="H128" s="751"/>
      <c r="I128" s="751"/>
      <c r="J128" s="751"/>
      <c r="K128" s="84"/>
      <c r="L128" s="756"/>
      <c r="M128" s="751"/>
      <c r="N128" s="751"/>
      <c r="O128" s="84"/>
      <c r="P128" s="90"/>
      <c r="Q128" s="90"/>
      <c r="R128" s="751"/>
      <c r="S128" s="752"/>
      <c r="T128" s="752"/>
      <c r="U128" s="752"/>
      <c r="V128" s="751"/>
      <c r="W128" s="752"/>
      <c r="X128" s="752"/>
      <c r="Y128" s="752"/>
      <c r="Z128" s="751"/>
      <c r="AC128" s="752"/>
      <c r="AD128" s="32"/>
    </row>
    <row r="129" spans="1:30">
      <c r="A129" s="1225">
        <v>124</v>
      </c>
      <c r="B129" s="8" t="s">
        <v>170</v>
      </c>
      <c r="E129" s="1416">
        <f>SUMIFS('Rev Recon Summary'!$P$1:$P$500,'Rev Recon Summary'!$C$1:$C$500,"*"&amp;B129&amp;"*",'Rev Recon Summary'!$B$1:$B$500,"*"&amp;$B$101&amp;"*")</f>
        <v>13979.8</v>
      </c>
      <c r="F129" s="751"/>
      <c r="G129" s="751"/>
      <c r="H129" s="751"/>
      <c r="I129" s="751"/>
      <c r="J129" s="751"/>
      <c r="K129" s="84"/>
      <c r="L129" s="756"/>
      <c r="M129" s="751"/>
      <c r="N129" s="751"/>
      <c r="O129" s="84"/>
      <c r="P129" s="90"/>
      <c r="Q129" s="90"/>
      <c r="R129" s="751"/>
      <c r="S129" s="752"/>
      <c r="T129" s="752"/>
      <c r="U129" s="752"/>
      <c r="V129" s="751"/>
      <c r="W129" s="752"/>
      <c r="X129" s="752"/>
      <c r="Y129" s="752"/>
      <c r="Z129" s="751"/>
      <c r="AC129" s="752"/>
      <c r="AD129" s="32"/>
    </row>
    <row r="130" spans="1:30">
      <c r="A130" s="1225">
        <v>125</v>
      </c>
      <c r="B130" s="8" t="s">
        <v>152</v>
      </c>
      <c r="E130" s="1417">
        <f>SUM(E115:E129)</f>
        <v>2642614.0399999991</v>
      </c>
      <c r="F130" s="751"/>
      <c r="G130" s="751"/>
      <c r="H130" s="751"/>
      <c r="I130" s="751"/>
      <c r="J130" s="751"/>
      <c r="K130" s="84"/>
      <c r="L130" s="756"/>
      <c r="M130" s="751"/>
      <c r="N130" s="751"/>
      <c r="O130" s="84"/>
      <c r="P130" s="90"/>
      <c r="Q130" s="90"/>
      <c r="R130" s="751"/>
      <c r="S130" s="752"/>
      <c r="T130" s="752"/>
      <c r="U130" s="752"/>
      <c r="V130" s="751"/>
      <c r="W130" s="752"/>
      <c r="X130" s="752"/>
      <c r="Y130" s="752"/>
      <c r="Z130" s="751"/>
      <c r="AC130" s="752"/>
      <c r="AD130" s="32"/>
    </row>
    <row r="131" spans="1:30">
      <c r="A131" s="1225">
        <v>126</v>
      </c>
      <c r="B131" s="1" t="s">
        <v>152</v>
      </c>
      <c r="E131" s="37"/>
      <c r="F131" s="1"/>
      <c r="G131" s="1"/>
      <c r="H131" s="1"/>
      <c r="I131" s="1"/>
      <c r="J131" s="1"/>
      <c r="K131" s="84"/>
      <c r="L131" s="756"/>
      <c r="M131" s="751"/>
      <c r="N131" s="1"/>
      <c r="O131" s="84"/>
      <c r="P131" s="90"/>
      <c r="Q131" s="90"/>
      <c r="R131" s="1"/>
      <c r="S131" s="752"/>
      <c r="T131" s="752"/>
      <c r="U131" s="752"/>
      <c r="V131" s="1"/>
      <c r="W131" s="752"/>
      <c r="X131" s="752"/>
      <c r="Y131" s="752"/>
      <c r="Z131" s="1"/>
      <c r="AC131" s="752"/>
      <c r="AD131" s="32"/>
    </row>
    <row r="132" spans="1:30">
      <c r="A132" s="1225">
        <v>127</v>
      </c>
      <c r="E132" s="1416"/>
      <c r="F132" s="752"/>
      <c r="G132" s="752"/>
      <c r="H132" s="752"/>
      <c r="I132" s="752"/>
      <c r="J132" s="752"/>
      <c r="K132" s="84"/>
      <c r="L132" s="756"/>
      <c r="M132" s="751"/>
      <c r="N132" s="752"/>
      <c r="O132" s="84"/>
      <c r="P132" s="90"/>
      <c r="Q132" s="90"/>
      <c r="R132" s="752"/>
      <c r="S132" s="752"/>
      <c r="T132" s="752"/>
      <c r="U132" s="752"/>
      <c r="V132" s="752"/>
      <c r="W132" s="752"/>
      <c r="X132" s="752"/>
      <c r="Y132" s="752"/>
      <c r="Z132" s="752"/>
      <c r="AC132" s="752"/>
      <c r="AD132" s="32"/>
    </row>
    <row r="133" spans="1:30">
      <c r="A133" s="1225">
        <v>128</v>
      </c>
      <c r="B133" s="639" t="s">
        <v>171</v>
      </c>
      <c r="C133" s="764">
        <f>E133-'Rev Recon Summary'!P82</f>
        <v>0</v>
      </c>
      <c r="D133" s="765" t="s">
        <v>149</v>
      </c>
      <c r="E133" s="1418">
        <f>SUM(E110,E112,E130)</f>
        <v>10836478.039999999</v>
      </c>
      <c r="F133" s="764"/>
      <c r="G133" s="764">
        <f>E133*'Exh MCG-4, Conversion Factor'!$I$12</f>
        <v>0</v>
      </c>
      <c r="H133" s="764"/>
      <c r="I133" s="764"/>
      <c r="J133" s="764"/>
      <c r="K133" s="631"/>
      <c r="L133" s="766"/>
      <c r="M133" s="764"/>
      <c r="N133" s="764"/>
      <c r="O133" s="631"/>
      <c r="P133" s="633"/>
      <c r="Q133" s="633"/>
      <c r="R133" s="764"/>
      <c r="S133" s="761"/>
      <c r="T133" s="761"/>
      <c r="U133" s="761"/>
      <c r="V133" s="764"/>
      <c r="W133" s="761"/>
      <c r="X133" s="761"/>
      <c r="Y133" s="761"/>
      <c r="Z133" s="764"/>
      <c r="AA133" s="770"/>
      <c r="AB133" s="770"/>
      <c r="AC133" s="761"/>
      <c r="AD133" s="32"/>
    </row>
    <row r="134" spans="1:30">
      <c r="A134" s="1225">
        <v>129</v>
      </c>
      <c r="B134" s="11"/>
      <c r="C134" s="751"/>
      <c r="E134" s="1416"/>
      <c r="F134" s="751"/>
      <c r="G134" s="751"/>
      <c r="H134" s="751"/>
      <c r="I134" s="751"/>
      <c r="J134" s="751"/>
      <c r="K134" s="84"/>
      <c r="L134" s="756"/>
      <c r="M134" s="751"/>
      <c r="N134" s="751"/>
      <c r="O134" s="84"/>
      <c r="P134" s="90"/>
      <c r="Q134" s="90"/>
      <c r="R134" s="751"/>
      <c r="S134" s="752"/>
      <c r="T134" s="752"/>
      <c r="U134" s="752"/>
      <c r="V134" s="751"/>
      <c r="W134" s="752"/>
      <c r="X134" s="752"/>
      <c r="Y134" s="752"/>
      <c r="Z134" s="751"/>
      <c r="AA134" s="767"/>
      <c r="AB134" s="767"/>
      <c r="AC134" s="752"/>
      <c r="AD134" s="32"/>
    </row>
    <row r="135" spans="1:30">
      <c r="A135" s="1225">
        <v>130</v>
      </c>
      <c r="B135" s="777" t="s">
        <v>172</v>
      </c>
      <c r="E135" s="1416"/>
      <c r="F135" s="752"/>
      <c r="G135" s="752" t="s">
        <v>173</v>
      </c>
      <c r="H135" s="752"/>
      <c r="I135" s="752"/>
      <c r="J135" s="752"/>
      <c r="K135" s="84"/>
      <c r="L135" s="756"/>
      <c r="M135" s="751"/>
      <c r="N135" s="752"/>
      <c r="O135" s="84"/>
      <c r="P135" s="90"/>
      <c r="Q135" s="90"/>
      <c r="R135" s="752"/>
      <c r="S135" s="752"/>
      <c r="T135" s="752"/>
      <c r="U135" s="752"/>
      <c r="V135" s="752"/>
      <c r="W135" s="752"/>
      <c r="X135" s="752"/>
      <c r="Y135" s="752"/>
      <c r="Z135" s="752"/>
      <c r="AC135" s="752"/>
      <c r="AD135" s="32"/>
    </row>
    <row r="136" spans="1:30">
      <c r="A136" s="1225">
        <v>131</v>
      </c>
      <c r="B136" s="1" t="s">
        <v>124</v>
      </c>
      <c r="C136" s="778">
        <f>E136/D136</f>
        <v>12</v>
      </c>
      <c r="D136" s="751">
        <v>13</v>
      </c>
      <c r="E136" s="1416">
        <f>SUMIFS('1501 Summary'!$P$1:$P$600,'1501 Summary'!$C$1:$C$600,"*"&amp;B136&amp;"*",'1501 Summary'!$B$1:$B$600,"*"&amp;$B$135&amp;"*")</f>
        <v>156</v>
      </c>
      <c r="F136" s="751"/>
      <c r="G136" s="753">
        <f>-C136</f>
        <v>-12</v>
      </c>
      <c r="H136" s="751">
        <f>D136</f>
        <v>13</v>
      </c>
      <c r="I136" s="752">
        <f>H136*G136</f>
        <v>-156</v>
      </c>
      <c r="J136" s="751"/>
      <c r="K136" s="779">
        <f>C136+G136</f>
        <v>0</v>
      </c>
      <c r="L136" s="751">
        <f>D136</f>
        <v>13</v>
      </c>
      <c r="M136" s="752">
        <f>L136*K136</f>
        <v>0</v>
      </c>
      <c r="N136" s="751"/>
      <c r="O136" s="84"/>
      <c r="P136" s="90"/>
      <c r="Q136" s="90"/>
      <c r="R136" s="751"/>
      <c r="S136" s="752"/>
      <c r="T136" s="752"/>
      <c r="U136" s="752"/>
      <c r="V136" s="751"/>
      <c r="W136" s="86"/>
      <c r="X136" s="86"/>
      <c r="Y136" s="86"/>
      <c r="Z136" s="751"/>
      <c r="AA136" s="84"/>
      <c r="AB136" s="84"/>
      <c r="AC136" s="86"/>
      <c r="AD136" s="32"/>
    </row>
    <row r="137" spans="1:30">
      <c r="A137" s="1225">
        <v>132</v>
      </c>
      <c r="B137" s="754" t="s">
        <v>125</v>
      </c>
      <c r="C137" s="778">
        <f>E137/D137</f>
        <v>9438.9853945207851</v>
      </c>
      <c r="D137" s="755">
        <v>0.23141999999999999</v>
      </c>
      <c r="E137" s="1416">
        <f>SUMIFS('1501 Summary'!$P$1:$P$600,'1501 Summary'!$C$1:$C$600,"*"&amp;B137&amp;"*",'1501 Summary'!$B$1:$B$600,"*"&amp;$B$135&amp;"*")</f>
        <v>2184.37</v>
      </c>
      <c r="F137" s="751"/>
      <c r="G137" s="753">
        <f>-C137</f>
        <v>-9438.9853945207851</v>
      </c>
      <c r="H137" s="756">
        <f>D137</f>
        <v>0.23141999999999999</v>
      </c>
      <c r="I137" s="752">
        <f>H137*G137</f>
        <v>-2184.37</v>
      </c>
      <c r="J137" s="751"/>
      <c r="K137" s="779">
        <f>C137+G137</f>
        <v>0</v>
      </c>
      <c r="L137" s="756">
        <f>D137</f>
        <v>0.23141999999999999</v>
      </c>
      <c r="M137" s="752">
        <f>L137*K137</f>
        <v>0</v>
      </c>
      <c r="N137" s="751"/>
      <c r="O137" s="84"/>
      <c r="P137" s="90"/>
      <c r="Q137" s="90"/>
      <c r="R137" s="751"/>
      <c r="S137" s="752"/>
      <c r="T137" s="752"/>
      <c r="U137" s="752"/>
      <c r="V137" s="751"/>
      <c r="W137" s="86"/>
      <c r="X137" s="86"/>
      <c r="Y137" s="86"/>
      <c r="Z137" s="751"/>
      <c r="AA137" s="84"/>
      <c r="AB137" s="84"/>
      <c r="AC137" s="86"/>
      <c r="AD137" s="32"/>
    </row>
    <row r="138" spans="1:30">
      <c r="A138" s="1225">
        <v>133</v>
      </c>
      <c r="B138" s="754" t="s">
        <v>126</v>
      </c>
      <c r="C138" s="778">
        <f>E138/D138</f>
        <v>28570.397249809015</v>
      </c>
      <c r="D138" s="755">
        <v>0.26179999999999998</v>
      </c>
      <c r="E138" s="1418">
        <f>SUMIFS('1501 Summary'!$P$1:$P$600,'1501 Summary'!$C$1:$C$600,"*"&amp;B138&amp;"*",'1501 Summary'!$B$1:$B$600,"*"&amp;$B$135&amp;"*")</f>
        <v>7479.73</v>
      </c>
      <c r="F138" s="751"/>
      <c r="G138" s="753">
        <f>-C138</f>
        <v>-28570.397249809015</v>
      </c>
      <c r="H138" s="756">
        <f>D138</f>
        <v>0.26179999999999998</v>
      </c>
      <c r="I138" s="761">
        <f>H138*G138</f>
        <v>-7479.73</v>
      </c>
      <c r="J138" s="751"/>
      <c r="K138" s="779"/>
      <c r="L138" s="756">
        <f>D138</f>
        <v>0.26179999999999998</v>
      </c>
      <c r="M138" s="761">
        <f>L138*K138</f>
        <v>0</v>
      </c>
      <c r="N138" s="751"/>
      <c r="O138" s="84"/>
      <c r="P138" s="90"/>
      <c r="Q138" s="90"/>
      <c r="R138" s="751"/>
      <c r="S138" s="752"/>
      <c r="T138" s="752"/>
      <c r="U138" s="752"/>
      <c r="V138" s="751"/>
      <c r="W138" s="86"/>
      <c r="X138" s="86"/>
      <c r="Y138" s="86"/>
      <c r="Z138" s="751"/>
      <c r="AA138" s="84"/>
      <c r="AB138" s="84"/>
      <c r="AC138" s="86"/>
      <c r="AD138" s="32"/>
    </row>
    <row r="139" spans="1:30">
      <c r="A139" s="1225">
        <v>134</v>
      </c>
      <c r="B139" s="1" t="s">
        <v>127</v>
      </c>
      <c r="E139" s="1416">
        <f>SUM(E136:E138)</f>
        <v>9820.0999999999985</v>
      </c>
      <c r="F139" s="751"/>
      <c r="G139" s="751"/>
      <c r="H139" s="751"/>
      <c r="I139" s="752">
        <f>SUM(I136:I138)</f>
        <v>-9820.0999999999985</v>
      </c>
      <c r="J139" s="751"/>
      <c r="K139" s="779"/>
      <c r="L139" s="756"/>
      <c r="M139" s="752">
        <f>SUM(M136:M137)</f>
        <v>0</v>
      </c>
      <c r="N139" s="751"/>
      <c r="O139" s="84"/>
      <c r="P139" s="90"/>
      <c r="Q139" s="90"/>
      <c r="R139" s="751"/>
      <c r="S139" s="752"/>
      <c r="T139" s="752"/>
      <c r="U139" s="752"/>
      <c r="V139" s="751"/>
      <c r="W139" s="86"/>
      <c r="X139" s="86"/>
      <c r="Y139" s="86"/>
      <c r="Z139" s="751"/>
      <c r="AC139" s="86"/>
      <c r="AD139" s="32"/>
    </row>
    <row r="140" spans="1:30">
      <c r="A140" s="1225">
        <v>135</v>
      </c>
      <c r="D140" s="755"/>
      <c r="E140" s="1416"/>
      <c r="F140" s="752"/>
      <c r="G140" s="752"/>
      <c r="H140" s="752"/>
      <c r="I140" s="752"/>
      <c r="J140" s="752"/>
      <c r="K140" s="779"/>
      <c r="L140" s="756"/>
      <c r="M140" s="752"/>
      <c r="N140" s="752"/>
      <c r="O140" s="84"/>
      <c r="P140" s="90"/>
      <c r="Q140" s="90"/>
      <c r="R140" s="752"/>
      <c r="S140" s="752"/>
      <c r="T140" s="752"/>
      <c r="U140" s="752"/>
      <c r="V140" s="752"/>
      <c r="W140" s="752"/>
      <c r="X140" s="752"/>
      <c r="Y140" s="752"/>
      <c r="Z140" s="752"/>
      <c r="AC140" s="752"/>
      <c r="AD140" s="32"/>
    </row>
    <row r="141" spans="1:30">
      <c r="A141" s="1225">
        <v>136</v>
      </c>
      <c r="B141" s="1" t="s">
        <v>129</v>
      </c>
      <c r="E141" s="1416">
        <f>SUMIFS('1501 Summary'!$P$1:$P$600,'1501 Summary'!$C$1:$C$600,"*"&amp;B141&amp;"*",'1501 Summary'!$B$1:$B$600,"*"&amp;$B$135&amp;"*")</f>
        <v>16771.14</v>
      </c>
      <c r="F141" s="752"/>
      <c r="G141" s="752"/>
      <c r="H141" s="752"/>
      <c r="I141" s="752"/>
      <c r="J141" s="752"/>
      <c r="K141" s="84"/>
      <c r="L141" s="756"/>
      <c r="M141" s="752"/>
      <c r="N141" s="752"/>
      <c r="O141" s="84"/>
      <c r="P141" s="90"/>
      <c r="Q141" s="90"/>
      <c r="R141" s="752"/>
      <c r="S141" s="752"/>
      <c r="T141" s="752"/>
      <c r="U141" s="752"/>
      <c r="V141" s="752"/>
      <c r="W141" s="752"/>
      <c r="X141" s="752"/>
      <c r="Y141" s="752"/>
      <c r="Z141" s="752"/>
      <c r="AC141" s="752"/>
      <c r="AD141" s="32"/>
    </row>
    <row r="142" spans="1:30">
      <c r="A142" s="1225">
        <v>137</v>
      </c>
      <c r="E142" s="1416"/>
      <c r="F142" s="752"/>
      <c r="G142" s="752"/>
      <c r="H142" s="752"/>
      <c r="I142" s="752"/>
      <c r="J142" s="752"/>
      <c r="K142" s="84"/>
      <c r="L142" s="756"/>
      <c r="M142" s="752"/>
      <c r="N142" s="752"/>
      <c r="O142" s="84"/>
      <c r="P142" s="90"/>
      <c r="Q142" s="90"/>
      <c r="R142" s="752"/>
      <c r="S142" s="752"/>
      <c r="T142" s="752"/>
      <c r="U142" s="752"/>
      <c r="V142" s="752"/>
      <c r="W142" s="752"/>
      <c r="X142" s="752"/>
      <c r="Y142" s="752"/>
      <c r="Z142" s="752"/>
      <c r="AC142" s="752"/>
      <c r="AD142" s="32"/>
    </row>
    <row r="143" spans="1:30">
      <c r="A143" s="1225">
        <v>138</v>
      </c>
      <c r="B143" s="1" t="s">
        <v>130</v>
      </c>
      <c r="E143" s="1416"/>
      <c r="F143" s="752"/>
      <c r="G143" s="752"/>
      <c r="H143" s="752"/>
      <c r="I143" s="752"/>
      <c r="J143" s="752"/>
      <c r="K143" s="84"/>
      <c r="L143" s="756"/>
      <c r="M143" s="752"/>
      <c r="N143" s="752"/>
      <c r="O143" s="84"/>
      <c r="P143" s="90"/>
      <c r="Q143" s="90"/>
      <c r="R143" s="752"/>
      <c r="S143" s="752"/>
      <c r="T143" s="752"/>
      <c r="U143" s="752"/>
      <c r="V143" s="752"/>
      <c r="W143" s="752"/>
      <c r="X143" s="752"/>
      <c r="Y143" s="752"/>
      <c r="Z143" s="752"/>
      <c r="AC143" s="752"/>
      <c r="AD143" s="32"/>
    </row>
    <row r="144" spans="1:30">
      <c r="A144" s="1225">
        <v>139</v>
      </c>
      <c r="B144" s="1" t="s">
        <v>132</v>
      </c>
      <c r="E144" s="1416">
        <f>SUMIFS('1501 Summary'!$P$1:$P$600,'1501 Summary'!$C$1:$C$600,"*"&amp;B144&amp;"*",'1501 Summary'!$B$1:$B$600,"*"&amp;$B$135&amp;"*")</f>
        <v>5294.96</v>
      </c>
      <c r="F144" s="752"/>
      <c r="G144" s="752"/>
      <c r="H144" s="752"/>
      <c r="I144" s="752"/>
      <c r="J144" s="752"/>
      <c r="K144" s="84"/>
      <c r="L144" s="756"/>
      <c r="M144" s="752"/>
      <c r="N144" s="752"/>
      <c r="O144" s="84"/>
      <c r="P144" s="90"/>
      <c r="Q144" s="90"/>
      <c r="R144" s="752"/>
      <c r="S144" s="752"/>
      <c r="T144" s="752"/>
      <c r="U144" s="752"/>
      <c r="V144" s="752"/>
      <c r="W144" s="752"/>
      <c r="X144" s="752"/>
      <c r="Y144" s="752"/>
      <c r="Z144" s="752"/>
      <c r="AC144" s="752"/>
      <c r="AD144" s="32"/>
    </row>
    <row r="145" spans="1:30">
      <c r="A145" s="1225">
        <v>140</v>
      </c>
      <c r="B145" s="1" t="s">
        <v>133</v>
      </c>
      <c r="E145" s="1416">
        <f>SUMIFS('1501 Summary'!$P$1:$P$600,'1501 Summary'!$C$1:$C$600,"*"&amp;B145&amp;"*",'1501 Summary'!$B$1:$B$600,"*"&amp;$B$135&amp;"*")</f>
        <v>103.71000000000001</v>
      </c>
      <c r="F145" s="751"/>
      <c r="G145" s="751"/>
      <c r="H145" s="751"/>
      <c r="I145" s="751"/>
      <c r="J145" s="751"/>
      <c r="K145" s="84"/>
      <c r="L145" s="756"/>
      <c r="M145" s="752"/>
      <c r="N145" s="751"/>
      <c r="O145" s="84"/>
      <c r="P145" s="90"/>
      <c r="Q145" s="90"/>
      <c r="R145" s="751"/>
      <c r="S145" s="752"/>
      <c r="T145" s="752"/>
      <c r="U145" s="752"/>
      <c r="V145" s="751"/>
      <c r="W145" s="1"/>
      <c r="X145" s="1"/>
      <c r="Y145" s="1"/>
      <c r="Z145" s="751"/>
      <c r="AC145" s="1"/>
      <c r="AD145" s="32"/>
    </row>
    <row r="146" spans="1:30">
      <c r="A146" s="1225">
        <v>141</v>
      </c>
      <c r="B146" s="1" t="s">
        <v>134</v>
      </c>
      <c r="E146" s="1416">
        <f>SUMIFS('1501 Summary'!$P$1:$P$600,'1501 Summary'!$C$1:$C$600,"*"&amp;B146&amp;"*",'1501 Summary'!$B$1:$B$600,"*"&amp;$B$135&amp;"*")</f>
        <v>214.28</v>
      </c>
      <c r="F146" s="751"/>
      <c r="G146" s="751"/>
      <c r="H146" s="751"/>
      <c r="I146" s="751"/>
      <c r="J146" s="751"/>
      <c r="K146" s="84"/>
      <c r="L146" s="756"/>
      <c r="M146" s="752"/>
      <c r="N146" s="751"/>
      <c r="O146" s="84"/>
      <c r="P146" s="90"/>
      <c r="Q146" s="90"/>
      <c r="R146" s="751"/>
      <c r="S146" s="752"/>
      <c r="T146" s="752"/>
      <c r="U146" s="752"/>
      <c r="V146" s="751"/>
      <c r="W146" s="8"/>
      <c r="X146" s="8"/>
      <c r="Y146" s="8"/>
      <c r="Z146" s="751"/>
      <c r="AC146" s="8"/>
      <c r="AD146" s="32"/>
    </row>
    <row r="147" spans="1:30">
      <c r="A147" s="1225">
        <v>142</v>
      </c>
      <c r="B147" s="1" t="s">
        <v>135</v>
      </c>
      <c r="E147" s="1416">
        <f>SUMIFS('1501 Summary'!$P$1:$P$600,'1501 Summary'!$C$1:$C$600,"*"&amp;B147&amp;"*",'1501 Summary'!$B$1:$B$600,"*"&amp;$B$135&amp;"*")</f>
        <v>-109.94000000000001</v>
      </c>
      <c r="F147" s="751"/>
      <c r="G147" s="751"/>
      <c r="H147" s="751"/>
      <c r="I147" s="751"/>
      <c r="J147" s="751"/>
      <c r="K147" s="84"/>
      <c r="L147" s="756"/>
      <c r="M147" s="752"/>
      <c r="N147" s="751"/>
      <c r="O147" s="84"/>
      <c r="P147" s="90"/>
      <c r="Q147" s="90"/>
      <c r="R147" s="751"/>
      <c r="S147" s="752"/>
      <c r="T147" s="752"/>
      <c r="U147" s="752"/>
      <c r="V147" s="751"/>
      <c r="W147" s="8"/>
      <c r="X147" s="8"/>
      <c r="Y147" s="8"/>
      <c r="Z147" s="751"/>
      <c r="AC147" s="8"/>
      <c r="AD147" s="32"/>
    </row>
    <row r="148" spans="1:30">
      <c r="A148" s="1225">
        <v>143</v>
      </c>
      <c r="B148" s="1" t="s">
        <v>136</v>
      </c>
      <c r="E148" s="1416">
        <f>SUMIFS('1501 Summary'!$P$1:$P$600,'1501 Summary'!$C$1:$C$600,"*"&amp;B148&amp;"*",'1501 Summary'!$B$1:$B$600,"*"&amp;$B$135&amp;"*")</f>
        <v>1013.73</v>
      </c>
      <c r="F148" s="751"/>
      <c r="G148" s="751"/>
      <c r="H148" s="751"/>
      <c r="I148" s="751"/>
      <c r="J148" s="751"/>
      <c r="K148" s="84"/>
      <c r="L148" s="756"/>
      <c r="M148" s="752"/>
      <c r="N148" s="751"/>
      <c r="O148" s="84"/>
      <c r="P148" s="90"/>
      <c r="Q148" s="90"/>
      <c r="R148" s="751"/>
      <c r="S148" s="752"/>
      <c r="T148" s="752"/>
      <c r="U148" s="752"/>
      <c r="V148" s="751"/>
      <c r="W148" s="8"/>
      <c r="X148" s="8"/>
      <c r="Y148" s="8"/>
      <c r="Z148" s="751"/>
      <c r="AC148" s="8"/>
      <c r="AD148" s="32"/>
    </row>
    <row r="149" spans="1:30">
      <c r="A149" s="1225">
        <v>144</v>
      </c>
      <c r="B149" s="913" t="s">
        <v>137</v>
      </c>
      <c r="E149" s="1416">
        <f>SUMIFS('1501 Summary'!$P$1:$P$600,'1501 Summary'!$C$1:$C$600,"*"&amp;B149&amp;"*",'1501 Summary'!$B$1:$B$600,"*"&amp;$B$135&amp;"*")</f>
        <v>-234.83</v>
      </c>
      <c r="F149" s="751"/>
      <c r="G149" s="751"/>
      <c r="H149" s="751"/>
      <c r="I149" s="751"/>
      <c r="J149" s="751"/>
      <c r="K149" s="84"/>
      <c r="L149" s="756"/>
      <c r="M149" s="752"/>
      <c r="N149" s="751"/>
      <c r="O149" s="84"/>
      <c r="P149" s="90"/>
      <c r="Q149" s="90"/>
      <c r="R149" s="751"/>
      <c r="S149" s="752"/>
      <c r="T149" s="752"/>
      <c r="U149" s="752"/>
      <c r="V149" s="751"/>
      <c r="W149" s="914"/>
      <c r="X149" s="914"/>
      <c r="Y149" s="914"/>
      <c r="Z149" s="751"/>
      <c r="AC149" s="914"/>
      <c r="AD149" s="32"/>
    </row>
    <row r="150" spans="1:30">
      <c r="A150" s="1225">
        <v>145</v>
      </c>
      <c r="B150" s="913" t="s">
        <v>138</v>
      </c>
      <c r="E150" s="1416">
        <f>SUMIFS('1501 Summary'!$P$1:$P$600,'1501 Summary'!$C$1:$C$600,"*"&amp;B150&amp;"*",'1501 Summary'!$B$1:$B$600,"*"&amp;$B$135&amp;"*")</f>
        <v>-91.97999999999999</v>
      </c>
      <c r="F150" s="751"/>
      <c r="G150" s="751"/>
      <c r="H150" s="751"/>
      <c r="I150" s="751"/>
      <c r="J150" s="751"/>
      <c r="K150" s="84"/>
      <c r="L150" s="756"/>
      <c r="M150" s="752"/>
      <c r="N150" s="751"/>
      <c r="O150" s="84"/>
      <c r="P150" s="90"/>
      <c r="Q150" s="90"/>
      <c r="R150" s="751"/>
      <c r="S150" s="752"/>
      <c r="T150" s="752"/>
      <c r="U150" s="752"/>
      <c r="V150" s="751"/>
      <c r="W150" s="914"/>
      <c r="X150" s="914"/>
      <c r="Y150" s="914"/>
      <c r="Z150" s="751"/>
      <c r="AC150" s="914"/>
      <c r="AD150" s="32"/>
    </row>
    <row r="151" spans="1:30">
      <c r="A151" s="1225">
        <v>146</v>
      </c>
      <c r="B151" s="1" t="s">
        <v>140</v>
      </c>
      <c r="E151" s="1416">
        <f>SUMIFS('1501 Summary'!$P$1:$P$600,'1501 Summary'!$C$1:$C$600,"*"&amp;B151&amp;"*",'1501 Summary'!$B$1:$B$600,"*"&amp;$B$135&amp;"*")</f>
        <v>1966.87</v>
      </c>
      <c r="F151" s="751"/>
      <c r="G151" s="751"/>
      <c r="H151" s="751"/>
      <c r="I151" s="751"/>
      <c r="J151" s="751"/>
      <c r="K151" s="84"/>
      <c r="L151" s="756"/>
      <c r="M151" s="752"/>
      <c r="N151" s="751"/>
      <c r="O151" s="84"/>
      <c r="P151" s="90"/>
      <c r="Q151" s="90"/>
      <c r="R151" s="751"/>
      <c r="S151" s="752"/>
      <c r="T151" s="752"/>
      <c r="U151" s="752"/>
      <c r="V151" s="751"/>
      <c r="W151" s="8"/>
      <c r="X151" s="8"/>
      <c r="Y151" s="8"/>
      <c r="Z151" s="751"/>
      <c r="AC151" s="8"/>
      <c r="AD151" s="32"/>
    </row>
    <row r="152" spans="1:30">
      <c r="A152" s="1225">
        <v>147</v>
      </c>
      <c r="B152" s="1" t="s">
        <v>143</v>
      </c>
      <c r="E152" s="1420">
        <f>SUMIFS('Rev Recon Summary'!$P$1:$P$500,'Rev Recon Summary'!$C$1:$C$500,"*"&amp;B152&amp;"*",'Rev Recon Summary'!$B$1:$B$500,"*"&amp;$B$135&amp;"*")</f>
        <v>0</v>
      </c>
      <c r="F152" s="751"/>
      <c r="G152" s="751"/>
      <c r="H152" s="751"/>
      <c r="I152" s="751"/>
      <c r="J152" s="751"/>
      <c r="K152" s="84"/>
      <c r="L152" s="756"/>
      <c r="M152" s="752"/>
      <c r="N152" s="751"/>
      <c r="O152" s="84"/>
      <c r="P152" s="90"/>
      <c r="Q152" s="90"/>
      <c r="R152" s="751"/>
      <c r="S152" s="752"/>
      <c r="T152" s="752"/>
      <c r="U152" s="752"/>
      <c r="V152" s="751"/>
      <c r="W152" s="913"/>
      <c r="X152" s="913"/>
      <c r="Y152" s="913"/>
      <c r="Z152" s="751"/>
      <c r="AC152" s="913"/>
      <c r="AD152" s="32"/>
    </row>
    <row r="153" spans="1:30">
      <c r="A153" s="1225">
        <v>148</v>
      </c>
      <c r="B153" s="1" t="s">
        <v>144</v>
      </c>
      <c r="E153" s="1420">
        <f>SUMIFS('Rev Recon Summary'!$P$1:$P$500,'Rev Recon Summary'!$C$1:$C$500,"*"&amp;B153&amp;"*",'Rev Recon Summary'!$B$1:$B$500,"*"&amp;$B$135&amp;"*")</f>
        <v>0</v>
      </c>
      <c r="F153" s="751"/>
      <c r="G153" s="751"/>
      <c r="H153" s="751"/>
      <c r="I153" s="751"/>
      <c r="J153" s="751"/>
      <c r="K153" s="84"/>
      <c r="L153" s="756"/>
      <c r="M153" s="752"/>
      <c r="N153" s="751"/>
      <c r="O153" s="84"/>
      <c r="P153" s="90"/>
      <c r="Q153" s="90"/>
      <c r="R153" s="751"/>
      <c r="S153" s="752"/>
      <c r="T153" s="752"/>
      <c r="U153" s="752"/>
      <c r="V153" s="751"/>
      <c r="W153" s="1"/>
      <c r="X153" s="1"/>
      <c r="Y153" s="1"/>
      <c r="Z153" s="751"/>
      <c r="AC153" s="1"/>
      <c r="AD153" s="32"/>
    </row>
    <row r="154" spans="1:30">
      <c r="A154" s="1225">
        <v>149</v>
      </c>
      <c r="B154" s="1" t="s">
        <v>145</v>
      </c>
      <c r="E154" s="1416">
        <f>SUMIFS('Rev Recon Summary'!$P$1:$P$500,'Rev Recon Summary'!$C$1:$C$500,"*"&amp;B154&amp;"*",'Rev Recon Summary'!$B$1:$B$500,"*"&amp;$B$135&amp;"*")</f>
        <v>-11828.920000000002</v>
      </c>
      <c r="F154" s="751"/>
      <c r="G154" s="751"/>
      <c r="H154" s="751"/>
      <c r="I154" s="751"/>
      <c r="J154" s="751"/>
      <c r="K154" s="84"/>
      <c r="L154" s="756"/>
      <c r="M154" s="752"/>
      <c r="N154" s="751"/>
      <c r="O154" s="84"/>
      <c r="P154" s="90"/>
      <c r="Q154" s="90"/>
      <c r="R154" s="751"/>
      <c r="S154" s="752"/>
      <c r="T154" s="752"/>
      <c r="U154" s="752"/>
      <c r="V154" s="751"/>
      <c r="W154" s="752"/>
      <c r="X154" s="752"/>
      <c r="Y154" s="752"/>
      <c r="Z154" s="751"/>
      <c r="AC154" s="752"/>
      <c r="AD154" s="32"/>
    </row>
    <row r="155" spans="1:30">
      <c r="A155" s="1225">
        <v>150</v>
      </c>
      <c r="B155" s="1" t="s">
        <v>146</v>
      </c>
      <c r="E155" s="1416">
        <f>SUMIFS('Rev Recon Summary'!$P$1:$P$500,'Rev Recon Summary'!$C$1:$C$500,"*"&amp;B155&amp;"*",'Rev Recon Summary'!$B$1:$B$500,"*"&amp;$B$135&amp;"*")</f>
        <v>196.45999999999998</v>
      </c>
      <c r="F155" s="751"/>
      <c r="G155" s="751"/>
      <c r="H155" s="751"/>
      <c r="I155" s="751"/>
      <c r="J155" s="751"/>
      <c r="K155" s="84"/>
      <c r="L155" s="756"/>
      <c r="M155" s="752"/>
      <c r="N155" s="751"/>
      <c r="O155" s="84"/>
      <c r="P155" s="90"/>
      <c r="Q155" s="90"/>
      <c r="R155" s="751"/>
      <c r="S155" s="752"/>
      <c r="T155" s="752"/>
      <c r="U155" s="752"/>
      <c r="V155" s="751"/>
      <c r="W155" s="752"/>
      <c r="X155" s="752"/>
      <c r="Y155" s="752"/>
      <c r="Z155" s="751"/>
      <c r="AC155" s="752"/>
      <c r="AD155" s="32"/>
    </row>
    <row r="156" spans="1:30">
      <c r="A156" s="1225">
        <v>151</v>
      </c>
      <c r="B156" s="1" t="s">
        <v>170</v>
      </c>
      <c r="E156" s="1416">
        <f>SUMIFS('Rev Recon Summary'!$P$1:$P$500,'Rev Recon Summary'!$C$1:$C$500,"*"&amp;B156&amp;"*",'Rev Recon Summary'!$B$1:$B$500,"*"&amp;$B$135&amp;"*")</f>
        <v>25265.43</v>
      </c>
      <c r="F156" s="751"/>
      <c r="G156" s="751"/>
      <c r="H156" s="751"/>
      <c r="I156" s="751"/>
      <c r="J156" s="751"/>
      <c r="K156" s="84"/>
      <c r="L156" s="756"/>
      <c r="M156" s="752"/>
      <c r="N156" s="751"/>
      <c r="O156" s="84"/>
      <c r="P156" s="90"/>
      <c r="Q156" s="90"/>
      <c r="R156" s="751"/>
      <c r="S156" s="752"/>
      <c r="T156" s="752"/>
      <c r="U156" s="752"/>
      <c r="V156" s="751"/>
      <c r="W156" s="752"/>
      <c r="X156" s="752"/>
      <c r="Y156" s="752"/>
      <c r="Z156" s="751"/>
      <c r="AC156" s="752"/>
      <c r="AD156" s="32"/>
    </row>
    <row r="157" spans="1:30">
      <c r="A157" s="1225">
        <v>152</v>
      </c>
      <c r="B157" s="34" t="s">
        <v>174</v>
      </c>
      <c r="E157" s="1416">
        <f>SUMIFS('Rev Recon Summary'!$P$1:$P$500,'Rev Recon Summary'!$C$1:$C$500,"*"&amp;B157&amp;"*",'Rev Recon Summary'!$B$1:$B$500,"*"&amp;$B$135&amp;"*")</f>
        <v>15.9</v>
      </c>
      <c r="F157" s="751"/>
      <c r="G157" s="751"/>
      <c r="H157" s="751"/>
      <c r="I157" s="751"/>
      <c r="J157" s="751"/>
      <c r="K157" s="84"/>
      <c r="L157" s="756"/>
      <c r="M157" s="752"/>
      <c r="N157" s="751"/>
      <c r="O157" s="84"/>
      <c r="P157" s="90"/>
      <c r="Q157" s="90"/>
      <c r="R157" s="751"/>
      <c r="S157" s="752"/>
      <c r="T157" s="752"/>
      <c r="U157" s="752"/>
      <c r="V157" s="751"/>
      <c r="W157" s="752"/>
      <c r="X157" s="752"/>
      <c r="Y157" s="752"/>
      <c r="Z157" s="751"/>
      <c r="AC157" s="752"/>
      <c r="AD157" s="32"/>
    </row>
    <row r="158" spans="1:30">
      <c r="A158" s="1225">
        <v>153</v>
      </c>
      <c r="B158" s="34" t="s">
        <v>175</v>
      </c>
      <c r="E158" s="1420">
        <f>SUMIFS('Rev Recon Summary'!$P$1:$P$500,'Rev Recon Summary'!$C$1:$C$500,"*"&amp;B158&amp;"*",'Rev Recon Summary'!$B$1:$B$500,"*"&amp;$B$135&amp;"*")</f>
        <v>-34644.33</v>
      </c>
      <c r="F158" s="751"/>
      <c r="G158" s="751"/>
      <c r="H158" s="751"/>
      <c r="I158" s="751"/>
      <c r="J158" s="751"/>
      <c r="K158" s="84"/>
      <c r="L158" s="756"/>
      <c r="M158" s="752"/>
      <c r="N158" s="751"/>
      <c r="O158" s="84"/>
      <c r="P158" s="90"/>
      <c r="Q158" s="90"/>
      <c r="R158" s="751"/>
      <c r="S158" s="752"/>
      <c r="T158" s="752"/>
      <c r="U158" s="752"/>
      <c r="V158" s="751"/>
      <c r="W158" s="752"/>
      <c r="X158" s="752"/>
      <c r="Y158" s="752"/>
      <c r="Z158" s="751"/>
      <c r="AC158" s="752"/>
      <c r="AD158" s="32"/>
    </row>
    <row r="159" spans="1:30">
      <c r="A159" s="1225">
        <v>154</v>
      </c>
      <c r="B159" s="34" t="s">
        <v>176</v>
      </c>
      <c r="E159" s="1422">
        <f>SUMIFS('Rev Recon Summary'!$P$1:$P$500,'Rev Recon Summary'!$C$1:$C$500,"*"&amp;B159&amp;"*",'Rev Recon Summary'!$B$1:$B$500,"*"&amp;$B$135&amp;"*")</f>
        <v>37359.380000000005</v>
      </c>
      <c r="F159" s="751"/>
      <c r="G159" s="751"/>
      <c r="H159" s="751"/>
      <c r="I159" s="751"/>
      <c r="J159" s="751"/>
      <c r="K159" s="84"/>
      <c r="L159" s="756"/>
      <c r="M159" s="752"/>
      <c r="N159" s="751"/>
      <c r="O159" s="84"/>
      <c r="P159" s="90"/>
      <c r="Q159" s="90"/>
      <c r="R159" s="751"/>
      <c r="S159" s="752"/>
      <c r="T159" s="752"/>
      <c r="U159" s="752"/>
      <c r="V159" s="751"/>
      <c r="W159" s="752"/>
      <c r="X159" s="752"/>
      <c r="Y159" s="752"/>
      <c r="Z159" s="751"/>
      <c r="AC159" s="752"/>
      <c r="AD159" s="32"/>
    </row>
    <row r="160" spans="1:30">
      <c r="A160" s="1225">
        <v>155</v>
      </c>
      <c r="B160" s="1" t="s">
        <v>152</v>
      </c>
      <c r="E160" s="1416">
        <f>SUM(E144:E159)</f>
        <v>24520.720000000001</v>
      </c>
      <c r="F160" s="751"/>
      <c r="G160" s="751"/>
      <c r="H160" s="751"/>
      <c r="I160" s="751"/>
      <c r="J160" s="751"/>
      <c r="K160" s="84"/>
      <c r="L160" s="756"/>
      <c r="M160" s="752"/>
      <c r="N160" s="751"/>
      <c r="O160" s="84"/>
      <c r="P160" s="90"/>
      <c r="Q160" s="90"/>
      <c r="R160" s="751"/>
      <c r="S160" s="752"/>
      <c r="T160" s="752"/>
      <c r="U160" s="752"/>
      <c r="V160" s="751"/>
      <c r="W160" s="752"/>
      <c r="X160" s="752"/>
      <c r="Y160" s="752"/>
      <c r="Z160" s="751"/>
      <c r="AC160" s="752"/>
      <c r="AD160" s="32"/>
    </row>
    <row r="161" spans="1:30">
      <c r="A161" s="1225">
        <v>156</v>
      </c>
      <c r="E161" s="1416"/>
      <c r="F161" s="751"/>
      <c r="G161" s="751"/>
      <c r="H161" s="751"/>
      <c r="I161" s="751"/>
      <c r="J161" s="751"/>
      <c r="K161" s="84"/>
      <c r="L161" s="756"/>
      <c r="M161" s="752"/>
      <c r="N161" s="751"/>
      <c r="O161" s="84"/>
      <c r="P161" s="90"/>
      <c r="Q161" s="90"/>
      <c r="R161" s="751"/>
      <c r="S161" s="752"/>
      <c r="T161" s="752"/>
      <c r="U161" s="752"/>
      <c r="V161" s="751"/>
      <c r="W161" s="752"/>
      <c r="X161" s="752"/>
      <c r="Y161" s="752"/>
      <c r="Z161" s="751"/>
      <c r="AC161" s="752"/>
      <c r="AD161" s="32"/>
    </row>
    <row r="162" spans="1:30">
      <c r="A162" s="1225">
        <v>157</v>
      </c>
      <c r="B162" s="639" t="s">
        <v>177</v>
      </c>
      <c r="C162" s="764">
        <f>E162-'Rev Recon Summary'!P102</f>
        <v>0</v>
      </c>
      <c r="D162" s="765" t="s">
        <v>149</v>
      </c>
      <c r="E162" s="1418">
        <f>SUM(E139,E141,E160)</f>
        <v>51111.96</v>
      </c>
      <c r="F162" s="764"/>
      <c r="G162" s="764">
        <f>E162*'Exh MCG-4, Conversion Factor'!$I$12</f>
        <v>0</v>
      </c>
      <c r="H162" s="764"/>
      <c r="I162" s="764"/>
      <c r="J162" s="764"/>
      <c r="K162" s="631"/>
      <c r="L162" s="766"/>
      <c r="M162" s="761"/>
      <c r="N162" s="764"/>
      <c r="O162" s="631"/>
      <c r="P162" s="633"/>
      <c r="Q162" s="633"/>
      <c r="R162" s="764"/>
      <c r="S162" s="761"/>
      <c r="T162" s="761"/>
      <c r="U162" s="761"/>
      <c r="V162" s="764"/>
      <c r="W162" s="761"/>
      <c r="X162" s="761"/>
      <c r="Y162" s="761"/>
      <c r="Z162" s="764"/>
      <c r="AA162" s="780"/>
      <c r="AB162" s="780"/>
      <c r="AC162" s="761"/>
      <c r="AD162" s="32"/>
    </row>
    <row r="163" spans="1:30">
      <c r="A163" s="1225">
        <v>158</v>
      </c>
      <c r="B163" s="11"/>
      <c r="C163" s="751"/>
      <c r="E163" s="1416"/>
      <c r="F163" s="751"/>
      <c r="G163" s="751"/>
      <c r="H163" s="751"/>
      <c r="I163" s="751"/>
      <c r="J163" s="751"/>
      <c r="K163" s="84"/>
      <c r="L163" s="756"/>
      <c r="M163" s="752"/>
      <c r="N163" s="751"/>
      <c r="O163" s="84"/>
      <c r="P163" s="90"/>
      <c r="Q163" s="90"/>
      <c r="R163" s="751"/>
      <c r="S163" s="752"/>
      <c r="T163" s="752"/>
      <c r="U163" s="752"/>
      <c r="V163" s="751"/>
      <c r="W163" s="752"/>
      <c r="X163" s="752"/>
      <c r="Y163" s="752"/>
      <c r="Z163" s="751"/>
      <c r="AA163" s="781"/>
      <c r="AB163" s="781"/>
      <c r="AC163" s="752"/>
      <c r="AD163" s="32"/>
    </row>
    <row r="164" spans="1:30">
      <c r="A164" s="1225">
        <v>159</v>
      </c>
      <c r="B164" s="777" t="s">
        <v>178</v>
      </c>
      <c r="C164" s="751"/>
      <c r="E164" s="1416"/>
      <c r="F164" s="751"/>
      <c r="G164" s="751" t="s">
        <v>179</v>
      </c>
      <c r="H164" s="751"/>
      <c r="I164" s="751"/>
      <c r="J164" s="751"/>
      <c r="K164" s="84"/>
      <c r="L164" s="756"/>
      <c r="M164" s="752"/>
      <c r="N164" s="751"/>
      <c r="O164" s="84"/>
      <c r="P164" s="90"/>
      <c r="Q164" s="90"/>
      <c r="R164" s="751"/>
      <c r="S164" s="752"/>
      <c r="T164" s="752"/>
      <c r="U164" s="752"/>
      <c r="V164" s="751"/>
      <c r="W164" s="752"/>
      <c r="X164" s="752"/>
      <c r="Y164" s="752"/>
      <c r="Z164" s="751"/>
      <c r="AA164" s="781"/>
      <c r="AB164" s="781"/>
      <c r="AC164" s="752"/>
      <c r="AD164" s="32"/>
    </row>
    <row r="165" spans="1:30">
      <c r="A165" s="1225">
        <v>160</v>
      </c>
      <c r="B165" s="1" t="s">
        <v>124</v>
      </c>
      <c r="C165" s="778">
        <f t="shared" ref="C165:C171" si="19">E165/D165</f>
        <v>12</v>
      </c>
      <c r="D165" s="751">
        <v>60</v>
      </c>
      <c r="E165" s="1416">
        <f>SUMIFS('1501 Summary'!$P$1:$P$600,'1501 Summary'!$C$1:$C$600,"*"&amp;B165&amp;"*",'1501 Summary'!$B$1:$B$600,"*"&amp;$B$164&amp;"*")</f>
        <v>720</v>
      </c>
      <c r="F165" s="751"/>
      <c r="G165" s="753">
        <f t="shared" ref="G165:G171" si="20">-C165</f>
        <v>-12</v>
      </c>
      <c r="H165" s="751">
        <f t="shared" ref="H165:H171" si="21">D165</f>
        <v>60</v>
      </c>
      <c r="I165" s="752">
        <f t="shared" ref="I165:I171" si="22">H165*G165</f>
        <v>-720</v>
      </c>
      <c r="J165" s="751"/>
      <c r="K165" s="84">
        <f t="shared" ref="K165:K171" si="23">C165+G165</f>
        <v>0</v>
      </c>
      <c r="L165" s="751">
        <f>D165</f>
        <v>60</v>
      </c>
      <c r="M165" s="752">
        <f>L165*K165</f>
        <v>0</v>
      </c>
      <c r="N165" s="751"/>
      <c r="O165" s="84"/>
      <c r="P165" s="90"/>
      <c r="Q165" s="90"/>
      <c r="R165" s="751"/>
      <c r="S165" s="752"/>
      <c r="T165" s="752"/>
      <c r="U165" s="752"/>
      <c r="V165" s="751"/>
      <c r="W165" s="752"/>
      <c r="X165" s="752"/>
      <c r="Y165" s="752"/>
      <c r="Z165" s="751"/>
      <c r="AA165" s="781"/>
      <c r="AB165" s="781"/>
      <c r="AC165" s="752"/>
      <c r="AD165" s="32"/>
    </row>
    <row r="166" spans="1:30">
      <c r="A166" s="1225">
        <v>161</v>
      </c>
      <c r="B166" s="3" t="s">
        <v>155</v>
      </c>
      <c r="C166" s="778">
        <f t="shared" si="19"/>
        <v>345.97501540529947</v>
      </c>
      <c r="D166" s="772">
        <v>0.17851</v>
      </c>
      <c r="E166" s="1416">
        <f>SUMIFS('1501 Summary'!$P$1:$P$600,'1501 Summary'!$C$1:$C$600,"*"&amp;B166&amp;"*",'1501 Summary'!$B$1:$B$600,"*"&amp;$B$164&amp;"*")</f>
        <v>61.760000000000005</v>
      </c>
      <c r="F166" s="751"/>
      <c r="G166" s="753">
        <f t="shared" si="20"/>
        <v>-345.97501540529947</v>
      </c>
      <c r="H166" s="756">
        <f t="shared" si="21"/>
        <v>0.17851</v>
      </c>
      <c r="I166" s="752">
        <f t="shared" si="22"/>
        <v>-61.760000000000012</v>
      </c>
      <c r="J166" s="751"/>
      <c r="K166" s="84">
        <f t="shared" si="23"/>
        <v>0</v>
      </c>
      <c r="L166" s="756">
        <f t="shared" ref="L166:L171" si="24">D166</f>
        <v>0.17851</v>
      </c>
      <c r="M166" s="752">
        <f t="shared" ref="M166:M171" si="25">L166*K166</f>
        <v>0</v>
      </c>
      <c r="N166" s="751"/>
      <c r="O166" s="84"/>
      <c r="P166" s="90"/>
      <c r="Q166" s="90"/>
      <c r="R166" s="751"/>
      <c r="S166" s="752"/>
      <c r="T166" s="752"/>
      <c r="U166" s="752"/>
      <c r="V166" s="751"/>
      <c r="W166" s="752"/>
      <c r="X166" s="752"/>
      <c r="Y166" s="752"/>
      <c r="Z166" s="751"/>
      <c r="AA166" s="781"/>
      <c r="AB166" s="781"/>
      <c r="AC166" s="752"/>
      <c r="AD166" s="32"/>
    </row>
    <row r="167" spans="1:30">
      <c r="A167" s="1225">
        <v>162</v>
      </c>
      <c r="B167" s="3" t="s">
        <v>156</v>
      </c>
      <c r="C167" s="778">
        <f t="shared" si="19"/>
        <v>676.69508326724826</v>
      </c>
      <c r="D167" s="772">
        <v>0.20175999999999999</v>
      </c>
      <c r="E167" s="1416">
        <f>SUMIFS('1501 Summary'!$P$1:$P$600,'1501 Summary'!$C$1:$C$600,"*"&amp;B167&amp;"*",'1501 Summary'!$B$1:$B$600,"*"&amp;$B$164&amp;"*")</f>
        <v>136.53</v>
      </c>
      <c r="F167" s="751"/>
      <c r="G167" s="753">
        <f t="shared" si="20"/>
        <v>-676.69508326724826</v>
      </c>
      <c r="H167" s="756">
        <f t="shared" si="21"/>
        <v>0.20175999999999999</v>
      </c>
      <c r="I167" s="752">
        <f t="shared" si="22"/>
        <v>-136.53</v>
      </c>
      <c r="J167" s="751"/>
      <c r="K167" s="84">
        <f t="shared" si="23"/>
        <v>0</v>
      </c>
      <c r="L167" s="756">
        <f t="shared" si="24"/>
        <v>0.20175999999999999</v>
      </c>
      <c r="M167" s="752">
        <f t="shared" si="25"/>
        <v>0</v>
      </c>
      <c r="N167" s="751"/>
      <c r="O167" s="84"/>
      <c r="P167" s="90"/>
      <c r="Q167" s="90"/>
      <c r="R167" s="751"/>
      <c r="S167" s="752"/>
      <c r="T167" s="752"/>
      <c r="U167" s="752"/>
      <c r="V167" s="751"/>
      <c r="W167" s="752"/>
      <c r="X167" s="752"/>
      <c r="Y167" s="752"/>
      <c r="Z167" s="751"/>
      <c r="AA167" s="781"/>
      <c r="AB167" s="781"/>
      <c r="AC167" s="752"/>
      <c r="AD167" s="32"/>
    </row>
    <row r="168" spans="1:30">
      <c r="A168" s="1225">
        <v>163</v>
      </c>
      <c r="B168" s="3" t="s">
        <v>157</v>
      </c>
      <c r="C168" s="778">
        <f t="shared" si="19"/>
        <v>0</v>
      </c>
      <c r="D168" s="772">
        <v>0.14457</v>
      </c>
      <c r="E168" s="1416">
        <f>SUMIFS('1501 Summary'!$P$1:$P$600,'1501 Summary'!$C$1:$C$600,"*"&amp;B168&amp;"*",'1501 Summary'!$B$1:$B$600,"*"&amp;$B$164&amp;"*")</f>
        <v>0</v>
      </c>
      <c r="F168" s="751"/>
      <c r="G168" s="753">
        <f t="shared" si="20"/>
        <v>0</v>
      </c>
      <c r="H168" s="756">
        <f t="shared" si="21"/>
        <v>0.14457</v>
      </c>
      <c r="I168" s="752">
        <f t="shared" si="22"/>
        <v>0</v>
      </c>
      <c r="J168" s="751"/>
      <c r="K168" s="84">
        <f t="shared" si="23"/>
        <v>0</v>
      </c>
      <c r="L168" s="756">
        <f t="shared" si="24"/>
        <v>0.14457</v>
      </c>
      <c r="M168" s="752">
        <f t="shared" si="25"/>
        <v>0</v>
      </c>
      <c r="N168" s="751"/>
      <c r="O168" s="84"/>
      <c r="P168" s="90"/>
      <c r="Q168" s="90"/>
      <c r="R168" s="751"/>
      <c r="S168" s="752"/>
      <c r="T168" s="752"/>
      <c r="U168" s="752"/>
      <c r="V168" s="751"/>
      <c r="W168" s="752"/>
      <c r="X168" s="752"/>
      <c r="Y168" s="752"/>
      <c r="Z168" s="751"/>
      <c r="AA168" s="781"/>
      <c r="AB168" s="781"/>
      <c r="AC168" s="752"/>
      <c r="AD168" s="32"/>
    </row>
    <row r="169" spans="1:30">
      <c r="A169" s="1225">
        <v>164</v>
      </c>
      <c r="B169" s="3" t="s">
        <v>158</v>
      </c>
      <c r="C169" s="778">
        <f t="shared" si="19"/>
        <v>0</v>
      </c>
      <c r="D169" s="772">
        <v>0.16481000000000001</v>
      </c>
      <c r="E169" s="1416">
        <f>SUMIFS('1501 Summary'!$P$1:$P$600,'1501 Summary'!$C$1:$C$600,"*"&amp;B169&amp;"*",'1501 Summary'!$B$1:$B$600,"*"&amp;$B$164&amp;"*")</f>
        <v>0</v>
      </c>
      <c r="F169" s="751"/>
      <c r="G169" s="753">
        <f t="shared" si="20"/>
        <v>0</v>
      </c>
      <c r="H169" s="756">
        <f t="shared" si="21"/>
        <v>0.16481000000000001</v>
      </c>
      <c r="I169" s="752">
        <f t="shared" si="22"/>
        <v>0</v>
      </c>
      <c r="J169" s="751"/>
      <c r="K169" s="84">
        <f t="shared" si="23"/>
        <v>0</v>
      </c>
      <c r="L169" s="756">
        <f t="shared" si="24"/>
        <v>0.16481000000000001</v>
      </c>
      <c r="M169" s="752">
        <f t="shared" si="25"/>
        <v>0</v>
      </c>
      <c r="N169" s="751"/>
      <c r="O169" s="84"/>
      <c r="P169" s="90"/>
      <c r="Q169" s="90"/>
      <c r="R169" s="751"/>
      <c r="S169" s="752"/>
      <c r="T169" s="752"/>
      <c r="U169" s="752"/>
      <c r="V169" s="751"/>
      <c r="W169" s="752"/>
      <c r="X169" s="752"/>
      <c r="Y169" s="752"/>
      <c r="Z169" s="751"/>
      <c r="AA169" s="781"/>
      <c r="AB169" s="781"/>
      <c r="AC169" s="752"/>
      <c r="AD169" s="32"/>
    </row>
    <row r="170" spans="1:30">
      <c r="A170" s="1225">
        <v>165</v>
      </c>
      <c r="B170" s="3" t="s">
        <v>159</v>
      </c>
      <c r="C170" s="778">
        <f t="shared" si="19"/>
        <v>0</v>
      </c>
      <c r="D170" s="772">
        <v>0.13944000000000001</v>
      </c>
      <c r="E170" s="1416">
        <f>SUMIFS('1501 Summary'!$P$1:$P$600,'1501 Summary'!$C$1:$C$600,"*"&amp;B170&amp;"*",'1501 Summary'!$B$1:$B$600,"*"&amp;$B$164&amp;"*")</f>
        <v>0</v>
      </c>
      <c r="F170" s="751"/>
      <c r="G170" s="753">
        <f t="shared" si="20"/>
        <v>0</v>
      </c>
      <c r="H170" s="756">
        <f t="shared" si="21"/>
        <v>0.13944000000000001</v>
      </c>
      <c r="I170" s="752">
        <f t="shared" si="22"/>
        <v>0</v>
      </c>
      <c r="J170" s="751"/>
      <c r="K170" s="84">
        <f t="shared" si="23"/>
        <v>0</v>
      </c>
      <c r="L170" s="756">
        <f t="shared" si="24"/>
        <v>0.13944000000000001</v>
      </c>
      <c r="M170" s="752">
        <f t="shared" si="25"/>
        <v>0</v>
      </c>
      <c r="N170" s="751"/>
      <c r="O170" s="84"/>
      <c r="P170" s="90"/>
      <c r="Q170" s="90"/>
      <c r="R170" s="751"/>
      <c r="S170" s="752"/>
      <c r="T170" s="752"/>
      <c r="U170" s="752"/>
      <c r="V170" s="751"/>
      <c r="W170" s="752"/>
      <c r="X170" s="752"/>
      <c r="Y170" s="752"/>
      <c r="Z170" s="751"/>
      <c r="AA170" s="781"/>
      <c r="AB170" s="781"/>
      <c r="AC170" s="752"/>
      <c r="AD170" s="32"/>
    </row>
    <row r="171" spans="1:30">
      <c r="A171" s="1225">
        <v>166</v>
      </c>
      <c r="B171" s="3" t="s">
        <v>160</v>
      </c>
      <c r="C171" s="778">
        <f t="shared" si="19"/>
        <v>0</v>
      </c>
      <c r="D171" s="91">
        <v>0.15923000000000001</v>
      </c>
      <c r="E171" s="1418">
        <f>SUMIFS('1501 Summary'!$P$1:$P$600,'1501 Summary'!$C$1:$C$600,"*"&amp;B171&amp;"*",'1501 Summary'!$B$1:$B$600,"*"&amp;$B$164&amp;"*")</f>
        <v>0</v>
      </c>
      <c r="F171" s="764"/>
      <c r="G171" s="753">
        <f t="shared" si="20"/>
        <v>0</v>
      </c>
      <c r="H171" s="756">
        <f t="shared" si="21"/>
        <v>0.15923000000000001</v>
      </c>
      <c r="I171" s="761">
        <f t="shared" si="22"/>
        <v>0</v>
      </c>
      <c r="J171" s="751"/>
      <c r="K171" s="84">
        <f t="shared" si="23"/>
        <v>0</v>
      </c>
      <c r="L171" s="756">
        <f t="shared" si="24"/>
        <v>0.15923000000000001</v>
      </c>
      <c r="M171" s="761">
        <f t="shared" si="25"/>
        <v>0</v>
      </c>
      <c r="N171" s="764"/>
      <c r="O171" s="84"/>
      <c r="P171" s="90"/>
      <c r="Q171" s="90"/>
      <c r="R171" s="751"/>
      <c r="S171" s="752"/>
      <c r="T171" s="752"/>
      <c r="U171" s="752"/>
      <c r="V171" s="751"/>
      <c r="W171" s="752"/>
      <c r="X171" s="752"/>
      <c r="Y171" s="752"/>
      <c r="Z171" s="751"/>
      <c r="AA171" s="781"/>
      <c r="AB171" s="781"/>
      <c r="AC171" s="752"/>
      <c r="AD171" s="32"/>
    </row>
    <row r="172" spans="1:30">
      <c r="A172" s="1225">
        <v>167</v>
      </c>
      <c r="B172" s="1" t="s">
        <v>127</v>
      </c>
      <c r="C172" s="751"/>
      <c r="E172" s="1416">
        <f>SUM(E165:E171)</f>
        <v>918.29</v>
      </c>
      <c r="F172" s="751"/>
      <c r="G172" s="751"/>
      <c r="H172" s="751"/>
      <c r="I172" s="752">
        <f>SUM(I165:I171)</f>
        <v>-918.29</v>
      </c>
      <c r="J172" s="751"/>
      <c r="K172" s="779"/>
      <c r="L172" s="756"/>
      <c r="M172" s="752">
        <f>SUM(M165:M171)</f>
        <v>0</v>
      </c>
      <c r="N172" s="751"/>
      <c r="O172" s="84"/>
      <c r="P172" s="90"/>
      <c r="Q172" s="90"/>
      <c r="R172" s="751"/>
      <c r="S172" s="752"/>
      <c r="T172" s="752"/>
      <c r="U172" s="752"/>
      <c r="V172" s="751"/>
      <c r="W172" s="752"/>
      <c r="X172" s="752"/>
      <c r="Y172" s="752"/>
      <c r="Z172" s="751"/>
      <c r="AA172" s="781"/>
      <c r="AB172" s="781"/>
      <c r="AC172" s="752"/>
      <c r="AD172" s="32"/>
    </row>
    <row r="173" spans="1:30">
      <c r="A173" s="1225">
        <v>168</v>
      </c>
      <c r="C173" s="751"/>
      <c r="E173" s="1416"/>
      <c r="F173" s="751"/>
      <c r="G173" s="751"/>
      <c r="H173" s="751"/>
      <c r="I173" s="751"/>
      <c r="J173" s="751"/>
      <c r="K173" s="84"/>
      <c r="L173" s="756"/>
      <c r="M173" s="752"/>
      <c r="N173" s="751"/>
      <c r="O173" s="84"/>
      <c r="P173" s="90"/>
      <c r="Q173" s="90"/>
      <c r="R173" s="751"/>
      <c r="S173" s="752"/>
      <c r="T173" s="752"/>
      <c r="U173" s="752"/>
      <c r="V173" s="751"/>
      <c r="W173" s="752"/>
      <c r="X173" s="752"/>
      <c r="Y173" s="752"/>
      <c r="Z173" s="751"/>
      <c r="AA173" s="781"/>
      <c r="AB173" s="781"/>
      <c r="AC173" s="752"/>
      <c r="AD173" s="32"/>
    </row>
    <row r="174" spans="1:30">
      <c r="A174" s="1225">
        <v>169</v>
      </c>
      <c r="B174" s="1" t="s">
        <v>129</v>
      </c>
      <c r="C174" s="751"/>
      <c r="E174" s="1416">
        <f>SUMIFS('1501 Summary'!$P$1:$P$600,'1501 Summary'!$C$1:$C$600,"*"&amp;B174&amp;"*",'1501 Summary'!$B$1:$B$600,"*"&amp;$B$164&amp;"*")</f>
        <v>448.13</v>
      </c>
      <c r="F174" s="751"/>
      <c r="G174" s="751"/>
      <c r="H174" s="751"/>
      <c r="I174" s="751"/>
      <c r="J174" s="751"/>
      <c r="K174" s="84"/>
      <c r="L174" s="756"/>
      <c r="M174" s="752"/>
      <c r="N174" s="751"/>
      <c r="O174" s="84"/>
      <c r="P174" s="90"/>
      <c r="Q174" s="90"/>
      <c r="R174" s="751"/>
      <c r="S174" s="752"/>
      <c r="T174" s="752"/>
      <c r="U174" s="752"/>
      <c r="V174" s="751"/>
      <c r="W174" s="752"/>
      <c r="X174" s="752"/>
      <c r="Y174" s="752"/>
      <c r="Z174" s="751"/>
      <c r="AA174" s="781"/>
      <c r="AB174" s="781"/>
      <c r="AC174" s="752"/>
      <c r="AD174" s="32"/>
    </row>
    <row r="175" spans="1:30">
      <c r="A175" s="1225">
        <v>170</v>
      </c>
      <c r="C175" s="751"/>
      <c r="E175" s="1416"/>
      <c r="F175" s="751"/>
      <c r="G175" s="751"/>
      <c r="H175" s="751"/>
      <c r="I175" s="751"/>
      <c r="J175" s="751"/>
      <c r="K175" s="84"/>
      <c r="L175" s="756"/>
      <c r="M175" s="752"/>
      <c r="N175" s="751"/>
      <c r="O175" s="84"/>
      <c r="P175" s="90"/>
      <c r="Q175" s="90"/>
      <c r="R175" s="751"/>
      <c r="S175" s="752"/>
      <c r="T175" s="752"/>
      <c r="U175" s="752"/>
      <c r="V175" s="751"/>
      <c r="W175" s="752"/>
      <c r="X175" s="752"/>
      <c r="Y175" s="752"/>
      <c r="Z175" s="751"/>
      <c r="AA175" s="781"/>
      <c r="AB175" s="781"/>
      <c r="AC175" s="752"/>
      <c r="AD175" s="32"/>
    </row>
    <row r="176" spans="1:30">
      <c r="A176" s="1225">
        <v>171</v>
      </c>
      <c r="B176" s="1" t="s">
        <v>130</v>
      </c>
      <c r="C176" s="751"/>
      <c r="E176" s="1416"/>
      <c r="F176" s="751"/>
      <c r="G176" s="751"/>
      <c r="H176" s="751"/>
      <c r="I176" s="751"/>
      <c r="J176" s="751"/>
      <c r="K176" s="84"/>
      <c r="L176" s="756"/>
      <c r="M176" s="752"/>
      <c r="N176" s="751"/>
      <c r="O176" s="84"/>
      <c r="P176" s="90"/>
      <c r="Q176" s="90"/>
      <c r="R176" s="751"/>
      <c r="S176" s="752"/>
      <c r="T176" s="752"/>
      <c r="U176" s="752"/>
      <c r="V176" s="751"/>
      <c r="W176" s="752"/>
      <c r="X176" s="752"/>
      <c r="Y176" s="752"/>
      <c r="Z176" s="751"/>
      <c r="AA176" s="781"/>
      <c r="AB176" s="781"/>
      <c r="AC176" s="752"/>
      <c r="AD176" s="32"/>
    </row>
    <row r="177" spans="1:30">
      <c r="A177" s="1225">
        <v>172</v>
      </c>
      <c r="B177" s="1" t="s">
        <v>132</v>
      </c>
      <c r="C177" s="751"/>
      <c r="E177" s="1416">
        <f>SUMIFS('1501 Summary'!$P$1:$P$600,'1501 Summary'!$C$1:$C$600,"*"&amp;B177&amp;"*",'1501 Summary'!$B$1:$B$600,"*"&amp;$B$164&amp;"*")</f>
        <v>143.68</v>
      </c>
      <c r="F177" s="751"/>
      <c r="G177" s="751"/>
      <c r="H177" s="751"/>
      <c r="I177" s="751"/>
      <c r="J177" s="751"/>
      <c r="K177" s="84"/>
      <c r="L177" s="756"/>
      <c r="M177" s="752"/>
      <c r="N177" s="751"/>
      <c r="O177" s="84"/>
      <c r="P177" s="90"/>
      <c r="Q177" s="90"/>
      <c r="R177" s="751"/>
      <c r="S177" s="752"/>
      <c r="T177" s="752"/>
      <c r="U177" s="752"/>
      <c r="V177" s="751"/>
      <c r="W177" s="752"/>
      <c r="X177" s="752"/>
      <c r="Y177" s="752"/>
      <c r="Z177" s="751"/>
      <c r="AA177" s="781"/>
      <c r="AB177" s="781"/>
      <c r="AC177" s="752"/>
      <c r="AD177" s="32"/>
    </row>
    <row r="178" spans="1:30">
      <c r="A178" s="1225">
        <v>173</v>
      </c>
      <c r="B178" s="1" t="s">
        <v>133</v>
      </c>
      <c r="C178" s="751"/>
      <c r="E178" s="1416">
        <f>SUMIFS('1501 Summary'!$P$1:$P$600,'1501 Summary'!$C$1:$C$600,"*"&amp;B178&amp;"*",'1501 Summary'!$B$1:$B$600,"*"&amp;$B$164&amp;"*")</f>
        <v>1.77</v>
      </c>
      <c r="F178" s="751"/>
      <c r="G178" s="751"/>
      <c r="H178" s="751"/>
      <c r="I178" s="751"/>
      <c r="J178" s="751"/>
      <c r="K178" s="84"/>
      <c r="L178" s="756"/>
      <c r="M178" s="752"/>
      <c r="N178" s="751"/>
      <c r="O178" s="84"/>
      <c r="P178" s="90"/>
      <c r="Q178" s="90"/>
      <c r="R178" s="751"/>
      <c r="S178" s="752"/>
      <c r="T178" s="752"/>
      <c r="U178" s="752"/>
      <c r="V178" s="751"/>
      <c r="W178" s="752"/>
      <c r="X178" s="752"/>
      <c r="Y178" s="752"/>
      <c r="Z178" s="751"/>
      <c r="AA178" s="781"/>
      <c r="AB178" s="781"/>
      <c r="AC178" s="752"/>
      <c r="AD178" s="32"/>
    </row>
    <row r="179" spans="1:30">
      <c r="A179" s="1225">
        <v>174</v>
      </c>
      <c r="B179" s="1" t="s">
        <v>134</v>
      </c>
      <c r="C179" s="751"/>
      <c r="E179" s="1416">
        <f>SUMIFS('1501 Summary'!$P$1:$P$600,'1501 Summary'!$C$1:$C$600,"*"&amp;B179&amp;"*",'1501 Summary'!$B$1:$B$600,"*"&amp;$B$164&amp;"*")</f>
        <v>6.59</v>
      </c>
      <c r="F179" s="751"/>
      <c r="G179" s="751"/>
      <c r="H179" s="751"/>
      <c r="I179" s="751"/>
      <c r="J179" s="751"/>
      <c r="K179" s="84"/>
      <c r="L179" s="756"/>
      <c r="M179" s="752"/>
      <c r="N179" s="751"/>
      <c r="O179" s="84"/>
      <c r="P179" s="90"/>
      <c r="Q179" s="90"/>
      <c r="R179" s="751"/>
      <c r="S179" s="752"/>
      <c r="T179" s="752"/>
      <c r="U179" s="752"/>
      <c r="V179" s="751"/>
      <c r="W179" s="752"/>
      <c r="X179" s="752"/>
      <c r="Y179" s="752"/>
      <c r="Z179" s="751"/>
      <c r="AA179" s="781"/>
      <c r="AB179" s="781"/>
      <c r="AC179" s="752"/>
      <c r="AD179" s="32"/>
    </row>
    <row r="180" spans="1:30">
      <c r="A180" s="1225">
        <v>175</v>
      </c>
      <c r="B180" s="1" t="s">
        <v>135</v>
      </c>
      <c r="C180" s="751"/>
      <c r="E180" s="1416">
        <f>SUMIFS('1501 Summary'!$P$1:$P$600,'1501 Summary'!$C$1:$C$600,"*"&amp;B180&amp;"*",'1501 Summary'!$B$1:$B$600,"*"&amp;$B$164&amp;"*")</f>
        <v>-6.21</v>
      </c>
      <c r="F180" s="751"/>
      <c r="G180" s="751"/>
      <c r="H180" s="751"/>
      <c r="I180" s="751"/>
      <c r="J180" s="751"/>
      <c r="K180" s="84"/>
      <c r="L180" s="756"/>
      <c r="M180" s="752"/>
      <c r="N180" s="751"/>
      <c r="O180" s="84"/>
      <c r="P180" s="90"/>
      <c r="Q180" s="90"/>
      <c r="R180" s="751"/>
      <c r="S180" s="752"/>
      <c r="T180" s="752"/>
      <c r="U180" s="752"/>
      <c r="V180" s="751"/>
      <c r="W180" s="752"/>
      <c r="X180" s="752"/>
      <c r="Y180" s="752"/>
      <c r="Z180" s="751"/>
      <c r="AA180" s="781"/>
      <c r="AB180" s="781"/>
      <c r="AC180" s="752"/>
      <c r="AD180" s="32"/>
    </row>
    <row r="181" spans="1:30">
      <c r="A181" s="1225">
        <v>176</v>
      </c>
      <c r="B181" s="1" t="s">
        <v>180</v>
      </c>
      <c r="C181" s="751"/>
      <c r="E181" s="1416">
        <f>SUMIFS('1501 Summary'!$P$1:$P$600,'1501 Summary'!$C$1:$C$600,"*"&amp;B181&amp;"*",'1501 Summary'!$B$1:$B$600,"*"&amp;$B$164&amp;"*")</f>
        <v>0</v>
      </c>
      <c r="F181" s="751"/>
      <c r="G181" s="751"/>
      <c r="H181" s="751"/>
      <c r="I181" s="751"/>
      <c r="J181" s="751"/>
      <c r="K181" s="84"/>
      <c r="L181" s="756"/>
      <c r="M181" s="752"/>
      <c r="N181" s="751"/>
      <c r="O181" s="84"/>
      <c r="P181" s="90"/>
      <c r="Q181" s="90"/>
      <c r="R181" s="751"/>
      <c r="S181" s="752"/>
      <c r="T181" s="752"/>
      <c r="U181" s="752"/>
      <c r="V181" s="751"/>
      <c r="W181" s="752"/>
      <c r="X181" s="752"/>
      <c r="Y181" s="752"/>
      <c r="Z181" s="751"/>
      <c r="AA181" s="781"/>
      <c r="AB181" s="781"/>
      <c r="AC181" s="752"/>
      <c r="AD181" s="32"/>
    </row>
    <row r="182" spans="1:30">
      <c r="A182" s="1225">
        <v>177</v>
      </c>
      <c r="B182" s="1" t="s">
        <v>136</v>
      </c>
      <c r="C182" s="751"/>
      <c r="E182" s="1416">
        <f>SUMIFS('1501 Summary'!$P$1:$P$600,'1501 Summary'!$C$1:$C$600,"*"&amp;B182&amp;"*",'1501 Summary'!$B$1:$B$600,"*"&amp;$B$164&amp;"*")</f>
        <v>27.939999999999998</v>
      </c>
      <c r="F182" s="751"/>
      <c r="G182" s="751"/>
      <c r="H182" s="751"/>
      <c r="I182" s="751"/>
      <c r="J182" s="751"/>
      <c r="K182" s="84"/>
      <c r="L182" s="756"/>
      <c r="M182" s="752"/>
      <c r="N182" s="751"/>
      <c r="O182" s="84"/>
      <c r="P182" s="90"/>
      <c r="Q182" s="90"/>
      <c r="R182" s="751"/>
      <c r="S182" s="752"/>
      <c r="T182" s="752"/>
      <c r="U182" s="752"/>
      <c r="V182" s="751"/>
      <c r="W182" s="752"/>
      <c r="X182" s="752"/>
      <c r="Y182" s="752"/>
      <c r="Z182" s="751"/>
      <c r="AA182" s="781"/>
      <c r="AB182" s="781"/>
      <c r="AC182" s="752"/>
      <c r="AD182" s="32"/>
    </row>
    <row r="183" spans="1:30">
      <c r="A183" s="1225">
        <v>178</v>
      </c>
      <c r="B183" s="913" t="s">
        <v>137</v>
      </c>
      <c r="C183" s="751"/>
      <c r="E183" s="1416">
        <f>SUMIFS('1501 Summary'!$P$1:$P$600,'1501 Summary'!$C$1:$C$600,"*"&amp;B183&amp;"*",'1501 Summary'!$B$1:$B$600,"*"&amp;$B$164&amp;"*")</f>
        <v>-4.16</v>
      </c>
      <c r="F183" s="751"/>
      <c r="G183" s="751"/>
      <c r="H183" s="751"/>
      <c r="I183" s="751"/>
      <c r="J183" s="751"/>
      <c r="K183" s="84"/>
      <c r="L183" s="756"/>
      <c r="M183" s="752"/>
      <c r="N183" s="751"/>
      <c r="O183" s="84"/>
      <c r="P183" s="90"/>
      <c r="Q183" s="90"/>
      <c r="R183" s="751"/>
      <c r="S183" s="752"/>
      <c r="T183" s="752"/>
      <c r="U183" s="752"/>
      <c r="V183" s="751"/>
      <c r="W183" s="752"/>
      <c r="X183" s="752"/>
      <c r="Y183" s="752"/>
      <c r="Z183" s="751"/>
      <c r="AA183" s="781"/>
      <c r="AB183" s="781"/>
      <c r="AC183" s="752"/>
      <c r="AD183" s="32"/>
    </row>
    <row r="184" spans="1:30">
      <c r="A184" s="1225">
        <v>179</v>
      </c>
      <c r="B184" s="913" t="s">
        <v>138</v>
      </c>
      <c r="C184" s="751"/>
      <c r="E184" s="1416">
        <f>SUMIFS('1501 Summary'!$P$1:$P$600,'1501 Summary'!$C$1:$C$600,"*"&amp;B184&amp;"*",'1501 Summary'!$B$1:$B$600,"*"&amp;$B$164&amp;"*")</f>
        <v>-1.55</v>
      </c>
      <c r="F184" s="751"/>
      <c r="G184" s="751"/>
      <c r="H184" s="751"/>
      <c r="I184" s="751"/>
      <c r="J184" s="751"/>
      <c r="K184" s="84"/>
      <c r="L184" s="756"/>
      <c r="M184" s="752"/>
      <c r="N184" s="751"/>
      <c r="O184" s="84"/>
      <c r="P184" s="90"/>
      <c r="Q184" s="90"/>
      <c r="R184" s="751"/>
      <c r="S184" s="752"/>
      <c r="T184" s="752"/>
      <c r="U184" s="752"/>
      <c r="V184" s="751"/>
      <c r="W184" s="752"/>
      <c r="X184" s="752"/>
      <c r="Y184" s="752"/>
      <c r="Z184" s="751"/>
      <c r="AA184" s="781"/>
      <c r="AB184" s="781"/>
      <c r="AC184" s="752"/>
      <c r="AD184" s="32"/>
    </row>
    <row r="185" spans="1:30">
      <c r="A185" s="1225">
        <v>180</v>
      </c>
      <c r="B185" s="1" t="s">
        <v>143</v>
      </c>
      <c r="C185" s="751"/>
      <c r="E185" s="1420">
        <f>SUMIFS('Rev Recon Summary'!$P$1:$P$500,'Rev Recon Summary'!$C$1:$C$500,"*"&amp;B185&amp;"*",'Rev Recon Summary'!$B$1:$B$500,"*"&amp;$B$164&amp;"*")</f>
        <v>0</v>
      </c>
      <c r="F185" s="751"/>
      <c r="G185" s="751"/>
      <c r="H185" s="751"/>
      <c r="I185" s="751"/>
      <c r="J185" s="751"/>
      <c r="K185" s="84"/>
      <c r="L185" s="756"/>
      <c r="M185" s="752"/>
      <c r="N185" s="751"/>
      <c r="O185" s="84"/>
      <c r="P185" s="90"/>
      <c r="Q185" s="90"/>
      <c r="R185" s="751"/>
      <c r="S185" s="752"/>
      <c r="T185" s="752"/>
      <c r="U185" s="752"/>
      <c r="V185" s="751"/>
      <c r="W185" s="752"/>
      <c r="X185" s="752"/>
      <c r="Y185" s="752"/>
      <c r="Z185" s="751"/>
      <c r="AA185" s="781"/>
      <c r="AB185" s="781"/>
      <c r="AC185" s="752"/>
      <c r="AD185" s="32"/>
    </row>
    <row r="186" spans="1:30">
      <c r="A186" s="1225">
        <v>181</v>
      </c>
      <c r="B186" s="1" t="s">
        <v>144</v>
      </c>
      <c r="C186" s="751"/>
      <c r="E186" s="1420">
        <f>SUMIFS('Rev Recon Summary'!$P$1:$P$500,'Rev Recon Summary'!$C$1:$C$500,"*"&amp;B186&amp;"*",'Rev Recon Summary'!$B$1:$B$500,"*"&amp;$B$164&amp;"*")</f>
        <v>0</v>
      </c>
      <c r="F186" s="751"/>
      <c r="G186" s="751"/>
      <c r="H186" s="751"/>
      <c r="I186" s="751"/>
      <c r="J186" s="751"/>
      <c r="K186" s="84"/>
      <c r="L186" s="756"/>
      <c r="M186" s="752"/>
      <c r="N186" s="751"/>
      <c r="O186" s="84"/>
      <c r="P186" s="90"/>
      <c r="Q186" s="90"/>
      <c r="R186" s="751"/>
      <c r="S186" s="752"/>
      <c r="T186" s="752"/>
      <c r="U186" s="752"/>
      <c r="V186" s="751"/>
      <c r="W186" s="752"/>
      <c r="X186" s="752"/>
      <c r="Y186" s="752"/>
      <c r="Z186" s="751"/>
      <c r="AA186" s="781"/>
      <c r="AB186" s="781"/>
      <c r="AC186" s="752"/>
      <c r="AD186" s="32"/>
    </row>
    <row r="187" spans="1:30">
      <c r="A187" s="1225">
        <v>182</v>
      </c>
      <c r="B187" s="1" t="s">
        <v>145</v>
      </c>
      <c r="C187" s="751"/>
      <c r="E187" s="1416">
        <f>SUMIFS('Rev Recon Summary'!$P$1:$P$500,'Rev Recon Summary'!$C$1:$C$500,"*"&amp;B187&amp;"*",'Rev Recon Summary'!$B$1:$B$500,"*"&amp;$B$164&amp;"*")</f>
        <v>4001.8099999999995</v>
      </c>
      <c r="F187" s="751"/>
      <c r="G187" s="751"/>
      <c r="H187" s="751"/>
      <c r="I187" s="751"/>
      <c r="J187" s="751"/>
      <c r="K187" s="84"/>
      <c r="L187" s="756"/>
      <c r="M187" s="752"/>
      <c r="N187" s="751"/>
      <c r="O187" s="84"/>
      <c r="P187" s="90"/>
      <c r="Q187" s="90"/>
      <c r="R187" s="751"/>
      <c r="S187" s="752"/>
      <c r="T187" s="752"/>
      <c r="U187" s="752"/>
      <c r="V187" s="751"/>
      <c r="W187" s="752"/>
      <c r="X187" s="752"/>
      <c r="Y187" s="752"/>
      <c r="Z187" s="751"/>
      <c r="AA187" s="781"/>
      <c r="AB187" s="781"/>
      <c r="AC187" s="752"/>
      <c r="AD187" s="32"/>
    </row>
    <row r="188" spans="1:30">
      <c r="A188" s="1225">
        <v>183</v>
      </c>
      <c r="B188" s="1" t="s">
        <v>146</v>
      </c>
      <c r="C188" s="751"/>
      <c r="E188" s="1416">
        <f>SUMIFS('Rev Recon Summary'!$P$1:$P$500,'Rev Recon Summary'!$C$1:$C$500,"*"&amp;B188&amp;"*",'Rev Recon Summary'!$B$1:$B$500,"*"&amp;$B$164&amp;"*")</f>
        <v>2.97</v>
      </c>
      <c r="F188" s="751"/>
      <c r="G188" s="751"/>
      <c r="H188" s="751"/>
      <c r="I188" s="751"/>
      <c r="J188" s="751"/>
      <c r="K188" s="84"/>
      <c r="L188" s="756"/>
      <c r="M188" s="752"/>
      <c r="N188" s="751"/>
      <c r="O188" s="84"/>
      <c r="P188" s="90"/>
      <c r="Q188" s="90"/>
      <c r="R188" s="751"/>
      <c r="S188" s="752"/>
      <c r="T188" s="752"/>
      <c r="U188" s="752"/>
      <c r="V188" s="751"/>
      <c r="W188" s="752"/>
      <c r="X188" s="752"/>
      <c r="Y188" s="752"/>
      <c r="Z188" s="751"/>
      <c r="AA188" s="781"/>
      <c r="AB188" s="781"/>
      <c r="AC188" s="752"/>
      <c r="AD188" s="32"/>
    </row>
    <row r="189" spans="1:30">
      <c r="A189" s="1225">
        <v>184</v>
      </c>
      <c r="B189" s="34" t="s">
        <v>174</v>
      </c>
      <c r="C189" s="751"/>
      <c r="E189" s="1416">
        <f>SUMIFS('Rev Recon Summary'!$P$1:$P$500,'Rev Recon Summary'!$C$1:$C$500,"*"&amp;B189&amp;"*",'Rev Recon Summary'!$B$1:$B$500,"*"&amp;$B$164&amp;"*")</f>
        <v>-15.9</v>
      </c>
      <c r="F189" s="751"/>
      <c r="G189" s="751"/>
      <c r="H189" s="751"/>
      <c r="I189" s="751"/>
      <c r="J189" s="751"/>
      <c r="K189" s="84"/>
      <c r="L189" s="756"/>
      <c r="M189" s="752"/>
      <c r="N189" s="751"/>
      <c r="O189" s="84"/>
      <c r="P189" s="90"/>
      <c r="Q189" s="90"/>
      <c r="R189" s="751"/>
      <c r="S189" s="752"/>
      <c r="T189" s="752"/>
      <c r="U189" s="752"/>
      <c r="V189" s="751"/>
      <c r="W189" s="752"/>
      <c r="X189" s="752"/>
      <c r="Y189" s="752"/>
      <c r="Z189" s="751"/>
      <c r="AA189" s="781"/>
      <c r="AB189" s="781"/>
      <c r="AC189" s="752"/>
      <c r="AD189" s="32"/>
    </row>
    <row r="190" spans="1:30">
      <c r="A190" s="1225">
        <v>185</v>
      </c>
      <c r="B190" s="34" t="s">
        <v>175</v>
      </c>
      <c r="C190" s="751"/>
      <c r="E190" s="1420">
        <f>SUMIFS('Rev Recon Summary'!$P$1:$P$500,'Rev Recon Summary'!$C$1:$C$500,"*"&amp;B190&amp;"*",'Rev Recon Summary'!$B$1:$B$500,"*"&amp;$B$164&amp;"*")</f>
        <v>-1532.71</v>
      </c>
      <c r="F190" s="751"/>
      <c r="G190" s="751"/>
      <c r="H190" s="751"/>
      <c r="I190" s="751"/>
      <c r="J190" s="751"/>
      <c r="K190" s="84"/>
      <c r="L190" s="756"/>
      <c r="M190" s="752"/>
      <c r="N190" s="751"/>
      <c r="O190" s="84"/>
      <c r="P190" s="90"/>
      <c r="Q190" s="90"/>
      <c r="R190" s="751"/>
      <c r="S190" s="752"/>
      <c r="T190" s="752"/>
      <c r="U190" s="752"/>
      <c r="V190" s="751"/>
      <c r="W190" s="752"/>
      <c r="X190" s="752"/>
      <c r="Y190" s="752"/>
      <c r="Z190" s="751"/>
      <c r="AA190" s="781"/>
      <c r="AB190" s="781"/>
      <c r="AC190" s="752"/>
      <c r="AD190" s="32"/>
    </row>
    <row r="191" spans="1:30">
      <c r="A191" s="1225">
        <v>186</v>
      </c>
      <c r="B191" s="34" t="s">
        <v>176</v>
      </c>
      <c r="C191" s="751"/>
      <c r="E191" s="1422">
        <f>SUMIFS('Rev Recon Summary'!$P$1:$P$500,'Rev Recon Summary'!$C$1:$C$500,"*"&amp;B191&amp;"*",'Rev Recon Summary'!$B$1:$B$500,"*"&amp;$B$164&amp;"*")</f>
        <v>1334.52</v>
      </c>
      <c r="F191" s="751"/>
      <c r="G191" s="751"/>
      <c r="H191" s="751"/>
      <c r="I191" s="751"/>
      <c r="J191" s="751"/>
      <c r="K191" s="84"/>
      <c r="L191" s="756"/>
      <c r="M191" s="752"/>
      <c r="N191" s="751"/>
      <c r="O191" s="84"/>
      <c r="P191" s="90"/>
      <c r="Q191" s="90"/>
      <c r="R191" s="751"/>
      <c r="S191" s="752"/>
      <c r="T191" s="752"/>
      <c r="U191" s="752"/>
      <c r="V191" s="751"/>
      <c r="W191" s="752"/>
      <c r="X191" s="752"/>
      <c r="Y191" s="752"/>
      <c r="Z191" s="751"/>
      <c r="AA191" s="781"/>
      <c r="AB191" s="781"/>
      <c r="AC191" s="752"/>
      <c r="AD191" s="32"/>
    </row>
    <row r="192" spans="1:30">
      <c r="A192" s="1225">
        <v>187</v>
      </c>
      <c r="B192" s="1" t="s">
        <v>152</v>
      </c>
      <c r="C192" s="751"/>
      <c r="E192" s="1416">
        <f>SUM(E177:E191)</f>
        <v>3958.7500000000005</v>
      </c>
      <c r="F192" s="751"/>
      <c r="G192" s="751"/>
      <c r="H192" s="751"/>
      <c r="I192" s="751"/>
      <c r="J192" s="751"/>
      <c r="K192" s="84"/>
      <c r="L192" s="756"/>
      <c r="M192" s="752"/>
      <c r="N192" s="751"/>
      <c r="O192" s="84"/>
      <c r="P192" s="90"/>
      <c r="Q192" s="90"/>
      <c r="R192" s="751"/>
      <c r="S192" s="752"/>
      <c r="T192" s="752"/>
      <c r="U192" s="752"/>
      <c r="V192" s="751"/>
      <c r="W192" s="752"/>
      <c r="X192" s="752"/>
      <c r="Y192" s="752"/>
      <c r="Z192" s="751"/>
      <c r="AA192" s="781"/>
      <c r="AB192" s="781"/>
      <c r="AC192" s="752"/>
      <c r="AD192" s="32"/>
    </row>
    <row r="193" spans="1:30">
      <c r="A193" s="1225">
        <v>188</v>
      </c>
      <c r="C193" s="751"/>
      <c r="E193" s="1416"/>
      <c r="F193" s="751"/>
      <c r="G193" s="751"/>
      <c r="H193" s="751"/>
      <c r="I193" s="751"/>
      <c r="J193" s="751"/>
      <c r="K193" s="84"/>
      <c r="L193" s="756"/>
      <c r="M193" s="752"/>
      <c r="N193" s="751"/>
      <c r="O193" s="779"/>
      <c r="P193" s="782"/>
      <c r="Q193" s="782"/>
      <c r="R193" s="751"/>
      <c r="S193" s="752"/>
      <c r="T193" s="752"/>
      <c r="U193" s="752"/>
      <c r="V193" s="751"/>
      <c r="W193" s="752"/>
      <c r="X193" s="752"/>
      <c r="Y193" s="752"/>
      <c r="Z193" s="751"/>
      <c r="AA193" s="781"/>
      <c r="AB193" s="781"/>
      <c r="AC193" s="752"/>
      <c r="AD193" s="32"/>
    </row>
    <row r="194" spans="1:30">
      <c r="A194" s="1225">
        <v>189</v>
      </c>
      <c r="B194" s="639" t="s">
        <v>181</v>
      </c>
      <c r="C194" s="764">
        <f>E194-'Rev Recon Summary'!P122</f>
        <v>0</v>
      </c>
      <c r="D194" s="765" t="s">
        <v>149</v>
      </c>
      <c r="E194" s="1418">
        <f>SUM(E172,E174,E192)</f>
        <v>5325.17</v>
      </c>
      <c r="F194" s="764"/>
      <c r="G194" s="764">
        <f>E194*'Exh MCG-4, Conversion Factor'!$I$12</f>
        <v>0</v>
      </c>
      <c r="H194" s="764"/>
      <c r="I194" s="764"/>
      <c r="J194" s="764"/>
      <c r="K194" s="631"/>
      <c r="L194" s="766"/>
      <c r="M194" s="761"/>
      <c r="N194" s="764"/>
      <c r="O194" s="631"/>
      <c r="P194" s="633"/>
      <c r="Q194" s="633"/>
      <c r="R194" s="764"/>
      <c r="S194" s="761"/>
      <c r="T194" s="761"/>
      <c r="U194" s="761"/>
      <c r="V194" s="764"/>
      <c r="W194" s="761"/>
      <c r="X194" s="761"/>
      <c r="Y194" s="761"/>
      <c r="Z194" s="764"/>
      <c r="AA194" s="780"/>
      <c r="AB194" s="780"/>
      <c r="AC194" s="761"/>
      <c r="AD194" s="32"/>
    </row>
    <row r="195" spans="1:30">
      <c r="A195" s="1225">
        <v>190</v>
      </c>
      <c r="B195" s="11"/>
      <c r="C195" s="751"/>
      <c r="E195" s="1416"/>
      <c r="F195" s="751"/>
      <c r="G195" s="751"/>
      <c r="H195" s="751"/>
      <c r="I195" s="751"/>
      <c r="J195" s="751"/>
      <c r="K195" s="84"/>
      <c r="L195" s="756"/>
      <c r="M195" s="752"/>
      <c r="N195" s="751"/>
      <c r="O195" s="84"/>
      <c r="P195" s="90"/>
      <c r="Q195" s="90"/>
      <c r="R195" s="751"/>
      <c r="S195" s="752"/>
      <c r="T195" s="752"/>
      <c r="U195" s="752"/>
      <c r="V195" s="751"/>
      <c r="W195" s="752"/>
      <c r="X195" s="752"/>
      <c r="Y195" s="752"/>
      <c r="Z195" s="751"/>
      <c r="AA195" s="781"/>
      <c r="AB195" s="781"/>
      <c r="AC195" s="752"/>
      <c r="AD195" s="32"/>
    </row>
    <row r="196" spans="1:30">
      <c r="A196" s="1225">
        <v>191</v>
      </c>
      <c r="B196" s="783" t="s">
        <v>182</v>
      </c>
      <c r="E196" s="1416"/>
      <c r="F196" s="752"/>
      <c r="G196" s="784" t="s">
        <v>183</v>
      </c>
      <c r="H196" s="752"/>
      <c r="I196" s="752"/>
      <c r="J196" s="752"/>
      <c r="K196" s="84"/>
      <c r="L196" s="756"/>
      <c r="M196" s="752"/>
      <c r="N196" s="752"/>
      <c r="O196" s="84"/>
      <c r="P196" s="90"/>
      <c r="Q196" s="90"/>
      <c r="R196" s="752"/>
      <c r="T196" s="752"/>
      <c r="U196" s="752"/>
      <c r="V196" s="752"/>
      <c r="Z196" s="752"/>
      <c r="AD196" s="32"/>
    </row>
    <row r="197" spans="1:30">
      <c r="A197" s="1225">
        <v>192</v>
      </c>
      <c r="B197" s="1" t="s">
        <v>124</v>
      </c>
      <c r="C197" s="778">
        <f>E197/D197</f>
        <v>74</v>
      </c>
      <c r="D197" s="90">
        <v>125</v>
      </c>
      <c r="E197" s="1416">
        <f>SUMIFS('1501 Summary'!$P$1:$P$600,'1501 Summary'!$C$1:$C$600,"*"&amp;B197&amp;"*",'1501 Summary'!$B$1:$B$600,"*"&amp;$B$196&amp;"*")</f>
        <v>9250</v>
      </c>
      <c r="F197" s="751"/>
      <c r="G197" s="753">
        <f t="shared" ref="G197:G203" si="26">-C197-G208</f>
        <v>-24</v>
      </c>
      <c r="H197" s="751">
        <f t="shared" ref="H197:H203" si="27">D197</f>
        <v>125</v>
      </c>
      <c r="I197" s="752">
        <f>H197*G197</f>
        <v>-3000</v>
      </c>
      <c r="J197" s="751"/>
      <c r="K197" s="84">
        <f t="shared" ref="K197:K203" si="28">C197+G197+G208</f>
        <v>0</v>
      </c>
      <c r="L197" s="751">
        <f t="shared" ref="L197:L203" si="29">D197</f>
        <v>125</v>
      </c>
      <c r="M197" s="752">
        <f>L197*K197</f>
        <v>0</v>
      </c>
      <c r="N197" s="751"/>
      <c r="O197" s="84"/>
      <c r="P197" s="90"/>
      <c r="Q197" s="90"/>
      <c r="R197" s="751"/>
      <c r="T197" s="752"/>
      <c r="U197" s="752"/>
      <c r="V197" s="751"/>
      <c r="W197" s="752"/>
      <c r="X197" s="752"/>
      <c r="Y197" s="752"/>
      <c r="Z197" s="751"/>
      <c r="AA197" s="781"/>
      <c r="AB197" s="781"/>
      <c r="AC197" s="752"/>
      <c r="AD197" s="32"/>
    </row>
    <row r="198" spans="1:30">
      <c r="A198" s="1225">
        <v>193</v>
      </c>
      <c r="B198" s="1" t="s">
        <v>163</v>
      </c>
      <c r="C198" s="778">
        <f t="shared" ref="C198:C203" si="30">E198/D198</f>
        <v>275193.99860432657</v>
      </c>
      <c r="D198" s="755">
        <v>0.14330000000000001</v>
      </c>
      <c r="E198" s="1416">
        <f>SUMIFS('1501 Summary'!$P$1:$P$600,'1501 Summary'!$C$1:$C$600,"*"&amp;B198&amp;"*",'1501 Summary'!$B$1:$B$600,"*"&amp;$B$196&amp;"*")</f>
        <v>39435.300000000003</v>
      </c>
      <c r="F198" s="752"/>
      <c r="G198" s="753">
        <f t="shared" si="26"/>
        <v>-235193.99860432657</v>
      </c>
      <c r="H198" s="756">
        <f t="shared" si="27"/>
        <v>0.14330000000000001</v>
      </c>
      <c r="I198" s="752">
        <f t="shared" ref="I198:I203" si="31">H198*G198</f>
        <v>-33703.300000000003</v>
      </c>
      <c r="J198" s="752"/>
      <c r="K198" s="84">
        <f t="shared" si="28"/>
        <v>0</v>
      </c>
      <c r="L198" s="756">
        <f t="shared" si="29"/>
        <v>0.14330000000000001</v>
      </c>
      <c r="M198" s="752">
        <f t="shared" ref="M198:M203" si="32">L198*K198</f>
        <v>0</v>
      </c>
      <c r="N198" s="752"/>
      <c r="O198" s="84"/>
      <c r="P198" s="90"/>
      <c r="Q198" s="90"/>
      <c r="R198" s="752"/>
      <c r="T198" s="752"/>
      <c r="U198" s="752"/>
      <c r="V198" s="752"/>
      <c r="Z198" s="752"/>
      <c r="AD198" s="32"/>
    </row>
    <row r="199" spans="1:30">
      <c r="A199" s="1225">
        <v>194</v>
      </c>
      <c r="B199" s="1" t="s">
        <v>164</v>
      </c>
      <c r="C199" s="778">
        <f t="shared" si="30"/>
        <v>868138.27344380331</v>
      </c>
      <c r="D199" s="755">
        <v>0.16113</v>
      </c>
      <c r="E199" s="1416">
        <f>SUMIFS('1501 Summary'!$P$1:$P$600,'1501 Summary'!$C$1:$C$600,"*"&amp;B199&amp;"*",'1501 Summary'!$B$1:$B$600,"*"&amp;$B$196&amp;"*")</f>
        <v>139883.12000000002</v>
      </c>
      <c r="F199" s="752"/>
      <c r="G199" s="753">
        <f t="shared" si="26"/>
        <v>-708138.27344380331</v>
      </c>
      <c r="H199" s="756">
        <f t="shared" si="27"/>
        <v>0.16113</v>
      </c>
      <c r="I199" s="752">
        <f t="shared" si="31"/>
        <v>-114102.32000000002</v>
      </c>
      <c r="J199" s="752"/>
      <c r="K199" s="84">
        <f t="shared" si="28"/>
        <v>0</v>
      </c>
      <c r="L199" s="756">
        <f t="shared" si="29"/>
        <v>0.16113</v>
      </c>
      <c r="M199" s="752">
        <f t="shared" si="32"/>
        <v>0</v>
      </c>
      <c r="N199" s="752"/>
      <c r="O199" s="84"/>
      <c r="P199" s="90"/>
      <c r="Q199" s="90"/>
      <c r="R199" s="752"/>
      <c r="T199" s="752"/>
      <c r="U199" s="752"/>
      <c r="V199" s="752"/>
      <c r="Z199" s="752"/>
      <c r="AD199" s="32"/>
    </row>
    <row r="200" spans="1:30">
      <c r="A200" s="1225">
        <v>195</v>
      </c>
      <c r="B200" s="1" t="s">
        <v>165</v>
      </c>
      <c r="C200" s="778">
        <f t="shared" si="30"/>
        <v>756857.06482155866</v>
      </c>
      <c r="D200" s="755">
        <v>0.10983999999999999</v>
      </c>
      <c r="E200" s="1416">
        <f>SUMIFS('1501 Summary'!$P$1:$P$600,'1501 Summary'!$C$1:$C$600,"*"&amp;B200&amp;"*",'1501 Summary'!$B$1:$B$600,"*"&amp;$B$196&amp;"*")</f>
        <v>83133.179999999993</v>
      </c>
      <c r="F200" s="752"/>
      <c r="G200" s="753">
        <f t="shared" si="26"/>
        <v>-596857.06482155866</v>
      </c>
      <c r="H200" s="756">
        <f t="shared" si="27"/>
        <v>0.10983999999999999</v>
      </c>
      <c r="I200" s="752">
        <f t="shared" si="31"/>
        <v>-65558.78</v>
      </c>
      <c r="J200" s="752"/>
      <c r="K200" s="84">
        <f t="shared" si="28"/>
        <v>0</v>
      </c>
      <c r="L200" s="756">
        <f t="shared" si="29"/>
        <v>0.10983999999999999</v>
      </c>
      <c r="M200" s="752">
        <f t="shared" si="32"/>
        <v>0</v>
      </c>
      <c r="N200" s="752"/>
      <c r="O200" s="84"/>
      <c r="P200" s="90"/>
      <c r="Q200" s="90"/>
      <c r="R200" s="752"/>
      <c r="T200" s="752"/>
      <c r="U200" s="752"/>
      <c r="V200" s="752"/>
      <c r="Z200" s="752"/>
      <c r="AD200" s="32"/>
    </row>
    <row r="201" spans="1:30">
      <c r="A201" s="1225">
        <v>196</v>
      </c>
      <c r="B201" s="1" t="s">
        <v>166</v>
      </c>
      <c r="C201" s="778">
        <f t="shared" si="30"/>
        <v>1827149.2262047948</v>
      </c>
      <c r="D201" s="755">
        <v>0.12471</v>
      </c>
      <c r="E201" s="1416">
        <f>SUMIFS('1501 Summary'!$P$1:$P$600,'1501 Summary'!$C$1:$C$600,"*"&amp;B201&amp;"*",'1501 Summary'!$B$1:$B$600,"*"&amp;$B$196&amp;"*")</f>
        <v>227863.77999999997</v>
      </c>
      <c r="F201" s="752"/>
      <c r="G201" s="753">
        <f t="shared" si="26"/>
        <v>-1187149.2262047948</v>
      </c>
      <c r="H201" s="756">
        <f t="shared" si="27"/>
        <v>0.12471</v>
      </c>
      <c r="I201" s="752">
        <f t="shared" si="31"/>
        <v>-148049.37999999998</v>
      </c>
      <c r="J201" s="752"/>
      <c r="K201" s="84">
        <f t="shared" si="28"/>
        <v>0</v>
      </c>
      <c r="L201" s="756">
        <f t="shared" si="29"/>
        <v>0.12471</v>
      </c>
      <c r="M201" s="752">
        <f t="shared" si="32"/>
        <v>0</v>
      </c>
      <c r="N201" s="752"/>
      <c r="O201" s="84"/>
      <c r="P201" s="90"/>
      <c r="Q201" s="90"/>
      <c r="R201" s="752"/>
      <c r="T201" s="752"/>
      <c r="U201" s="752"/>
      <c r="V201" s="752"/>
      <c r="Z201" s="752"/>
      <c r="AD201" s="32"/>
    </row>
    <row r="202" spans="1:30">
      <c r="A202" s="1225">
        <v>197</v>
      </c>
      <c r="B202" s="1" t="s">
        <v>167</v>
      </c>
      <c r="C202" s="778">
        <f t="shared" si="30"/>
        <v>2440094.1306755259</v>
      </c>
      <c r="D202" s="755">
        <v>2.7089999999999999E-2</v>
      </c>
      <c r="E202" s="1416">
        <f>SUMIFS('1501 Summary'!$P$1:$P$600,'1501 Summary'!$C$1:$C$600,"*"&amp;B202&amp;"*",'1501 Summary'!$B$1:$B$600,"*"&amp;$B$196&amp;"*")</f>
        <v>66102.149999999994</v>
      </c>
      <c r="F202" s="752"/>
      <c r="G202" s="753">
        <f t="shared" si="26"/>
        <v>-769131.13067552587</v>
      </c>
      <c r="H202" s="756">
        <f t="shared" si="27"/>
        <v>2.7089999999999999E-2</v>
      </c>
      <c r="I202" s="752">
        <f t="shared" si="31"/>
        <v>-20835.762329999994</v>
      </c>
      <c r="J202" s="752"/>
      <c r="K202" s="84">
        <f t="shared" si="28"/>
        <v>0</v>
      </c>
      <c r="L202" s="756">
        <f t="shared" si="29"/>
        <v>2.7089999999999999E-2</v>
      </c>
      <c r="M202" s="752">
        <f t="shared" si="32"/>
        <v>0</v>
      </c>
      <c r="N202" s="752"/>
      <c r="O202" s="84"/>
      <c r="P202" s="90"/>
      <c r="Q202" s="90"/>
      <c r="R202" s="752"/>
      <c r="T202" s="752"/>
      <c r="U202" s="752"/>
      <c r="V202" s="752"/>
      <c r="Z202" s="752"/>
      <c r="AD202" s="32"/>
    </row>
    <row r="203" spans="1:30">
      <c r="A203" s="1225">
        <v>198</v>
      </c>
      <c r="B203" s="785" t="s">
        <v>168</v>
      </c>
      <c r="C203" s="778">
        <f t="shared" si="30"/>
        <v>6404206.697459585</v>
      </c>
      <c r="D203" s="755">
        <v>3.4639999999999997E-2</v>
      </c>
      <c r="E203" s="1418">
        <f>SUMIFS('1501 Summary'!$P$1:$P$600,'1501 Summary'!$C$1:$C$600,"*"&amp;B203&amp;"*",'1501 Summary'!$B$1:$B$600,"*"&amp;$B$196&amp;"*")</f>
        <v>221841.72</v>
      </c>
      <c r="F203" s="761"/>
      <c r="G203" s="753">
        <f t="shared" si="26"/>
        <v>-2475819.697459585</v>
      </c>
      <c r="H203" s="756">
        <f t="shared" si="27"/>
        <v>3.4639999999999997E-2</v>
      </c>
      <c r="I203" s="761">
        <f t="shared" si="31"/>
        <v>-85762.394320000021</v>
      </c>
      <c r="J203" s="752"/>
      <c r="K203" s="84">
        <f t="shared" si="28"/>
        <v>0</v>
      </c>
      <c r="L203" s="756">
        <f t="shared" si="29"/>
        <v>3.4639999999999997E-2</v>
      </c>
      <c r="M203" s="761">
        <f t="shared" si="32"/>
        <v>0</v>
      </c>
      <c r="N203" s="761"/>
      <c r="O203" s="84"/>
      <c r="P203" s="90"/>
      <c r="Q203" s="90"/>
      <c r="R203" s="752"/>
      <c r="T203" s="752"/>
      <c r="U203" s="752"/>
      <c r="V203" s="752"/>
      <c r="Z203" s="752"/>
      <c r="AD203" s="32"/>
    </row>
    <row r="204" spans="1:30">
      <c r="A204" s="1225">
        <v>199</v>
      </c>
      <c r="C204" s="753">
        <f>SUM(C198:C203)</f>
        <v>12571639.391209595</v>
      </c>
      <c r="E204" s="1416">
        <f>SUM(E197:E203)</f>
        <v>787509.25</v>
      </c>
      <c r="F204" s="751"/>
      <c r="G204" s="753"/>
      <c r="H204" s="751"/>
      <c r="I204" s="752">
        <f>SUM(I197:I203)</f>
        <v>-471011.93665000005</v>
      </c>
      <c r="J204" s="751"/>
      <c r="K204" s="751"/>
      <c r="M204" s="752">
        <f>SUM(M197:M197)</f>
        <v>0</v>
      </c>
      <c r="N204" s="751"/>
      <c r="O204" s="84"/>
      <c r="P204" s="90"/>
      <c r="Q204" s="90"/>
      <c r="R204" s="751"/>
      <c r="T204" s="752"/>
      <c r="U204" s="752"/>
      <c r="V204" s="751"/>
      <c r="W204" s="752"/>
      <c r="X204" s="752"/>
      <c r="Y204" s="752"/>
      <c r="Z204" s="751"/>
      <c r="AA204" s="781"/>
      <c r="AB204" s="781"/>
      <c r="AC204" s="752"/>
      <c r="AD204" s="32"/>
    </row>
    <row r="205" spans="1:30">
      <c r="A205" s="1225">
        <v>200</v>
      </c>
      <c r="E205" s="1416"/>
      <c r="F205" s="752"/>
      <c r="G205" s="752"/>
      <c r="H205" s="752"/>
      <c r="I205" s="752"/>
      <c r="J205" s="752"/>
      <c r="K205" s="84"/>
      <c r="L205" s="756"/>
      <c r="M205" s="752"/>
      <c r="N205" s="752"/>
      <c r="O205" s="84"/>
      <c r="P205" s="90"/>
      <c r="Q205" s="90"/>
      <c r="R205" s="752"/>
      <c r="S205" s="752"/>
      <c r="T205" s="752"/>
      <c r="U205" s="752"/>
      <c r="V205" s="752"/>
      <c r="Z205" s="752"/>
      <c r="AD205" s="32"/>
    </row>
    <row r="206" spans="1:30">
      <c r="A206" s="1225">
        <v>201</v>
      </c>
      <c r="B206" s="1" t="s">
        <v>129</v>
      </c>
      <c r="C206" s="751"/>
      <c r="E206" s="1416">
        <f>SUMIFS('1501 Summary'!$P$1:$P$600,'1501 Summary'!$C$1:$C$600,"*"&amp;B206&amp;"*",'1501 Summary'!$B$1:$B$600,"*"&amp;$B$196&amp;"*")</f>
        <v>5010668.51</v>
      </c>
      <c r="F206" s="751"/>
      <c r="G206" s="751"/>
      <c r="H206" s="751"/>
      <c r="I206" s="751"/>
      <c r="J206" s="751"/>
      <c r="K206" s="84"/>
      <c r="L206" s="756"/>
      <c r="M206" s="752"/>
      <c r="N206" s="751"/>
      <c r="O206" s="84"/>
      <c r="P206" s="90"/>
      <c r="Q206" s="90"/>
      <c r="R206" s="751"/>
      <c r="S206" s="752"/>
      <c r="T206" s="752"/>
      <c r="U206" s="752"/>
      <c r="V206" s="751"/>
      <c r="W206" s="752"/>
      <c r="X206" s="752"/>
      <c r="Y206" s="752"/>
      <c r="Z206" s="751"/>
      <c r="AA206" s="781"/>
      <c r="AB206" s="781"/>
      <c r="AC206" s="752"/>
      <c r="AD206" s="32"/>
    </row>
    <row r="207" spans="1:30">
      <c r="A207" s="1225">
        <v>202</v>
      </c>
      <c r="E207" s="1416"/>
      <c r="F207" s="752"/>
      <c r="G207" s="784" t="s">
        <v>184</v>
      </c>
      <c r="H207" s="752"/>
      <c r="I207" s="752"/>
      <c r="J207" s="752"/>
      <c r="K207" s="84"/>
      <c r="L207" s="756"/>
      <c r="M207" s="752"/>
      <c r="N207" s="752"/>
      <c r="O207" s="84"/>
      <c r="P207" s="90"/>
      <c r="Q207" s="90"/>
      <c r="R207" s="752"/>
      <c r="S207" s="752"/>
      <c r="T207" s="752"/>
      <c r="U207" s="752"/>
      <c r="V207" s="752"/>
      <c r="Z207" s="752"/>
      <c r="AD207" s="32"/>
    </row>
    <row r="208" spans="1:30">
      <c r="A208" s="1225">
        <v>203</v>
      </c>
      <c r="B208" s="1" t="s">
        <v>130</v>
      </c>
      <c r="C208" s="751"/>
      <c r="E208" s="1416"/>
      <c r="F208" s="751"/>
      <c r="G208" s="1040">
        <f>-5*10</f>
        <v>-50</v>
      </c>
      <c r="H208" s="751">
        <f>H197</f>
        <v>125</v>
      </c>
      <c r="I208" s="752">
        <f>H208*G208</f>
        <v>-6250</v>
      </c>
      <c r="J208" s="751"/>
      <c r="K208" s="84"/>
      <c r="L208" s="756"/>
      <c r="M208" s="752"/>
      <c r="N208" s="751"/>
      <c r="O208" s="84"/>
      <c r="P208" s="90"/>
      <c r="Q208" s="90"/>
      <c r="R208" s="751"/>
      <c r="S208" s="752"/>
      <c r="T208" s="752"/>
      <c r="U208" s="752"/>
      <c r="V208" s="751"/>
      <c r="W208" s="752"/>
      <c r="X208" s="752"/>
      <c r="Y208" s="752"/>
      <c r="Z208" s="751"/>
      <c r="AA208" s="781"/>
      <c r="AB208" s="781"/>
      <c r="AC208" s="752"/>
      <c r="AD208" s="32"/>
    </row>
    <row r="209" spans="1:30">
      <c r="A209" s="1225">
        <v>204</v>
      </c>
      <c r="B209" s="1" t="s">
        <v>132</v>
      </c>
      <c r="E209" s="1416">
        <f>SUMIFS('1501 Summary'!$P$1:$P$600,'1501 Summary'!$C$1:$C$600,"*"&amp;B209&amp;"*",'1501 Summary'!$B$1:$B$600,"*"&amp;$B$196&amp;"*")</f>
        <v>1607704.21</v>
      </c>
      <c r="F209" s="752"/>
      <c r="G209" s="1040">
        <f>-SUM('663 - 511 Transfer'!B36:C36)</f>
        <v>-40000</v>
      </c>
      <c r="H209" s="756">
        <f t="shared" ref="H209:H214" si="33">H198</f>
        <v>0.14330000000000001</v>
      </c>
      <c r="I209" s="752">
        <f t="shared" ref="I209:I214" si="34">H209*G209</f>
        <v>-5732</v>
      </c>
      <c r="J209" s="752"/>
      <c r="K209" s="84"/>
      <c r="L209" s="756"/>
      <c r="M209" s="752"/>
      <c r="N209" s="752"/>
      <c r="O209" s="84"/>
      <c r="P209" s="90"/>
      <c r="Q209" s="90"/>
      <c r="R209" s="752"/>
      <c r="S209" s="752"/>
      <c r="T209" s="752"/>
      <c r="U209" s="752"/>
      <c r="V209" s="752"/>
      <c r="Z209" s="752"/>
      <c r="AD209" s="32"/>
    </row>
    <row r="210" spans="1:30">
      <c r="A210" s="1225">
        <v>205</v>
      </c>
      <c r="B210" s="1" t="s">
        <v>133</v>
      </c>
      <c r="C210" s="751"/>
      <c r="E210" s="1416">
        <f>SUMIFS('1501 Summary'!$P$1:$P$600,'1501 Summary'!$C$1:$C$600,"*"&amp;B210&amp;"*",'1501 Summary'!$B$1:$B$600,"*"&amp;$B$196&amp;"*")</f>
        <v>16743.690000000002</v>
      </c>
      <c r="F210" s="751"/>
      <c r="G210" s="1040">
        <f>-SUM('663 - 511 Transfer'!D36:K36)</f>
        <v>-160000</v>
      </c>
      <c r="H210" s="756">
        <f t="shared" si="33"/>
        <v>0.16113</v>
      </c>
      <c r="I210" s="752">
        <f t="shared" si="34"/>
        <v>-25780.799999999999</v>
      </c>
      <c r="J210" s="751"/>
      <c r="K210" s="84"/>
      <c r="L210" s="756"/>
      <c r="M210" s="752"/>
      <c r="N210" s="751"/>
      <c r="O210" s="84"/>
      <c r="P210" s="90"/>
      <c r="Q210" s="90"/>
      <c r="R210" s="751"/>
      <c r="S210" s="752"/>
      <c r="T210" s="752"/>
      <c r="U210" s="752"/>
      <c r="V210" s="751"/>
      <c r="W210" s="752"/>
      <c r="X210" s="752"/>
      <c r="Y210" s="752"/>
      <c r="Z210" s="751"/>
      <c r="AA210" s="781"/>
      <c r="AB210" s="781"/>
      <c r="AC210" s="752"/>
      <c r="AD210" s="32"/>
    </row>
    <row r="211" spans="1:30">
      <c r="A211" s="1225">
        <v>206</v>
      </c>
      <c r="B211" s="1" t="s">
        <v>134</v>
      </c>
      <c r="E211" s="1416">
        <f>SUMIFS('1501 Summary'!$P$1:$P$600,'1501 Summary'!$C$1:$C$600,"*"&amp;B211&amp;"*",'1501 Summary'!$B$1:$B$600,"*"&amp;$B$196&amp;"*")</f>
        <v>37724.46</v>
      </c>
      <c r="F211" s="752"/>
      <c r="G211" s="1040">
        <f>-SUM('663 - 511 Transfer'!B37:C37)</f>
        <v>-160000</v>
      </c>
      <c r="H211" s="756">
        <f t="shared" si="33"/>
        <v>0.10983999999999999</v>
      </c>
      <c r="I211" s="752">
        <f t="shared" si="34"/>
        <v>-17574.399999999998</v>
      </c>
      <c r="J211" s="752"/>
      <c r="K211" s="84"/>
      <c r="L211" s="756"/>
      <c r="M211" s="752"/>
      <c r="N211" s="752"/>
      <c r="O211" s="84"/>
      <c r="P211" s="90"/>
      <c r="Q211" s="90"/>
      <c r="R211" s="752"/>
      <c r="S211" s="752"/>
      <c r="T211" s="752"/>
      <c r="U211" s="752"/>
      <c r="V211" s="752"/>
      <c r="Z211" s="752"/>
      <c r="AD211" s="32"/>
    </row>
    <row r="212" spans="1:30">
      <c r="A212" s="1225">
        <v>207</v>
      </c>
      <c r="B212" s="1" t="s">
        <v>135</v>
      </c>
      <c r="C212" s="751"/>
      <c r="E212" s="1416">
        <f>SUMIFS('1501 Summary'!$P$1:$P$600,'1501 Summary'!$C$1:$C$600,"*"&amp;B212&amp;"*",'1501 Summary'!$B$1:$B$600,"*"&amp;$B$196&amp;"*")</f>
        <v>-232003.18000000002</v>
      </c>
      <c r="F212" s="751"/>
      <c r="G212" s="1040">
        <f>-SUM('663 - 511 Transfer'!D37:K37)</f>
        <v>-640000</v>
      </c>
      <c r="H212" s="756">
        <f t="shared" si="33"/>
        <v>0.12471</v>
      </c>
      <c r="I212" s="752">
        <f t="shared" si="34"/>
        <v>-79814.399999999994</v>
      </c>
      <c r="J212" s="751"/>
      <c r="K212" s="84"/>
      <c r="L212" s="756"/>
      <c r="M212" s="752"/>
      <c r="N212" s="751"/>
      <c r="O212" s="84"/>
      <c r="P212" s="90"/>
      <c r="Q212" s="90"/>
      <c r="R212" s="751"/>
      <c r="S212" s="752"/>
      <c r="T212" s="752"/>
      <c r="U212" s="752"/>
      <c r="V212" s="751"/>
      <c r="W212" s="752"/>
      <c r="X212" s="752"/>
      <c r="Y212" s="752"/>
      <c r="Z212" s="751"/>
      <c r="AA212" s="781"/>
      <c r="AB212" s="781"/>
      <c r="AC212" s="752"/>
      <c r="AD212" s="32"/>
    </row>
    <row r="213" spans="1:30">
      <c r="A213" s="1225">
        <v>208</v>
      </c>
      <c r="B213" s="1" t="s">
        <v>136</v>
      </c>
      <c r="C213" s="751"/>
      <c r="E213" s="1416">
        <f>SUMIFS('1501 Summary'!$P$1:$P$600,'1501 Summary'!$C$1:$C$600,"*"&amp;B213&amp;"*",'1501 Summary'!$B$1:$B$600,"*"&amp;$B$196&amp;"*")</f>
        <v>312309.97000000009</v>
      </c>
      <c r="F213" s="751"/>
      <c r="G213" s="1040">
        <f>-SUM('663 - 511 Transfer'!B38:C38)</f>
        <v>-1670963</v>
      </c>
      <c r="H213" s="756">
        <f t="shared" si="33"/>
        <v>2.7089999999999999E-2</v>
      </c>
      <c r="I213" s="752">
        <f t="shared" si="34"/>
        <v>-45266.387669999996</v>
      </c>
      <c r="J213" s="751"/>
      <c r="K213" s="84"/>
      <c r="L213" s="756"/>
      <c r="M213" s="752"/>
      <c r="N213" s="751"/>
      <c r="O213" s="84"/>
      <c r="P213" s="90"/>
      <c r="Q213" s="90"/>
      <c r="R213" s="751"/>
      <c r="S213" s="752"/>
      <c r="T213" s="752"/>
      <c r="U213" s="752"/>
      <c r="V213" s="751"/>
      <c r="W213" s="752"/>
      <c r="X213" s="752"/>
      <c r="Y213" s="752"/>
      <c r="Z213" s="751"/>
      <c r="AA213" s="781"/>
      <c r="AB213" s="781"/>
      <c r="AC213" s="752"/>
      <c r="AD213" s="32"/>
    </row>
    <row r="214" spans="1:30">
      <c r="A214" s="1225">
        <v>209</v>
      </c>
      <c r="B214" s="913" t="s">
        <v>137</v>
      </c>
      <c r="E214" s="1416">
        <f>SUMIFS('1501 Summary'!$P$1:$P$600,'1501 Summary'!$C$1:$C$600,"*"&amp;B214&amp;"*",'1501 Summary'!$B$1:$B$600,"*"&amp;$B$196&amp;"*")</f>
        <v>-38093.770000000011</v>
      </c>
      <c r="F214" s="752"/>
      <c r="G214" s="1040">
        <f>-SUM('663 - 511 Transfer'!D38:K38)</f>
        <v>-3928387</v>
      </c>
      <c r="H214" s="756">
        <f t="shared" si="33"/>
        <v>3.4639999999999997E-2</v>
      </c>
      <c r="I214" s="761">
        <f t="shared" si="34"/>
        <v>-136079.32567999998</v>
      </c>
      <c r="J214" s="752"/>
      <c r="K214" s="84"/>
      <c r="L214" s="756"/>
      <c r="M214" s="752"/>
      <c r="N214" s="752"/>
      <c r="O214" s="84"/>
      <c r="P214" s="90"/>
      <c r="Q214" s="90"/>
      <c r="R214" s="752"/>
      <c r="S214" s="752"/>
      <c r="T214" s="752"/>
      <c r="U214" s="752"/>
      <c r="V214" s="752"/>
      <c r="Z214" s="752"/>
      <c r="AD214" s="32"/>
    </row>
    <row r="215" spans="1:30">
      <c r="A215" s="1225">
        <v>210</v>
      </c>
      <c r="B215" s="913" t="s">
        <v>138</v>
      </c>
      <c r="C215" s="751"/>
      <c r="E215" s="1416">
        <f>SUMIFS('1501 Summary'!$P$1:$P$600,'1501 Summary'!$C$1:$C$600,"*"&amp;B215&amp;"*",'1501 Summary'!$B$1:$B$600,"*"&amp;$B$196&amp;"*")</f>
        <v>-14236.47</v>
      </c>
      <c r="F215" s="751"/>
      <c r="G215" s="753"/>
      <c r="H215" s="751"/>
      <c r="I215" s="752">
        <f>SUM(I208:I214)</f>
        <v>-316497.31334999995</v>
      </c>
      <c r="J215" s="751"/>
      <c r="K215" s="84"/>
      <c r="L215" s="756"/>
      <c r="M215" s="752"/>
      <c r="N215" s="751"/>
      <c r="O215" s="84"/>
      <c r="P215" s="90"/>
      <c r="Q215" s="90"/>
      <c r="R215" s="751"/>
      <c r="S215" s="752"/>
      <c r="T215" s="752"/>
      <c r="U215" s="752"/>
      <c r="V215" s="751"/>
      <c r="W215" s="752"/>
      <c r="X215" s="752"/>
      <c r="Y215" s="752"/>
      <c r="Z215" s="751"/>
      <c r="AA215" s="781"/>
      <c r="AB215" s="781"/>
      <c r="AC215" s="752"/>
      <c r="AD215" s="32"/>
    </row>
    <row r="216" spans="1:30">
      <c r="A216" s="1225">
        <v>211</v>
      </c>
      <c r="B216" s="1" t="s">
        <v>140</v>
      </c>
      <c r="C216" s="751"/>
      <c r="E216" s="1416">
        <f>SUMIFS('1501 Summary'!$P$1:$P$600,'1501 Summary'!$C$1:$C$600,"*"&amp;B216&amp;"*",'1501 Summary'!$B$1:$B$600,"*"&amp;$B$196&amp;"*")</f>
        <v>301633.07</v>
      </c>
      <c r="F216" s="751"/>
      <c r="G216" s="751"/>
      <c r="H216" s="751"/>
      <c r="I216" s="751"/>
      <c r="J216" s="751"/>
      <c r="K216" s="84"/>
      <c r="L216" s="756"/>
      <c r="M216" s="752"/>
      <c r="N216" s="751"/>
      <c r="O216" s="84"/>
      <c r="P216" s="90"/>
      <c r="Q216" s="90"/>
      <c r="R216" s="751"/>
      <c r="S216" s="752"/>
      <c r="T216" s="752"/>
      <c r="U216" s="752"/>
      <c r="V216" s="751"/>
      <c r="W216" s="752"/>
      <c r="X216" s="752"/>
      <c r="Y216" s="752"/>
      <c r="Z216" s="751"/>
      <c r="AA216" s="781"/>
      <c r="AB216" s="781"/>
      <c r="AC216" s="752"/>
      <c r="AD216" s="32"/>
    </row>
    <row r="217" spans="1:30">
      <c r="A217" s="1225">
        <v>212</v>
      </c>
      <c r="B217" s="1" t="s">
        <v>143</v>
      </c>
      <c r="C217" s="751"/>
      <c r="E217" s="1420">
        <f>SUMIFS('Rev Recon Summary'!$P$1:$P$500,'Rev Recon Summary'!$C$1:$C$500,"*"&amp;B217&amp;"*",'Rev Recon Summary'!$B$1:$B$500,"*"&amp;$B$196&amp;"*")</f>
        <v>0</v>
      </c>
      <c r="F217" s="751"/>
      <c r="G217" s="751"/>
      <c r="H217" s="751"/>
      <c r="I217" s="751"/>
      <c r="J217" s="751"/>
      <c r="K217" s="84"/>
      <c r="L217" s="756"/>
      <c r="M217" s="752"/>
      <c r="N217" s="751"/>
      <c r="O217" s="84"/>
      <c r="P217" s="90"/>
      <c r="Q217" s="90"/>
      <c r="R217" s="751"/>
      <c r="S217" s="752"/>
      <c r="T217" s="752"/>
      <c r="U217" s="752"/>
      <c r="V217" s="751"/>
      <c r="W217" s="752"/>
      <c r="X217" s="752"/>
      <c r="Y217" s="752"/>
      <c r="Z217" s="751"/>
      <c r="AA217" s="781"/>
      <c r="AB217" s="781"/>
      <c r="AC217" s="752"/>
      <c r="AD217" s="32"/>
    </row>
    <row r="218" spans="1:30">
      <c r="A218" s="1225">
        <v>213</v>
      </c>
      <c r="B218" s="1" t="s">
        <v>144</v>
      </c>
      <c r="E218" s="1420">
        <f>SUMIFS('Rev Recon Summary'!$P$1:$P$500,'Rev Recon Summary'!$C$1:$C$500,"*"&amp;B218&amp;"*",'Rev Recon Summary'!$B$1:$B$500,"*"&amp;$B$196&amp;"*")</f>
        <v>0</v>
      </c>
      <c r="F218" s="752"/>
      <c r="G218" s="752"/>
      <c r="H218" s="752"/>
      <c r="I218" s="752"/>
      <c r="J218" s="752"/>
      <c r="K218" s="84"/>
      <c r="L218" s="756"/>
      <c r="M218" s="752"/>
      <c r="N218" s="752"/>
      <c r="O218" s="84"/>
      <c r="P218" s="90"/>
      <c r="Q218" s="90"/>
      <c r="R218" s="752"/>
      <c r="S218" s="752"/>
      <c r="T218" s="752"/>
      <c r="U218" s="752"/>
      <c r="V218" s="752"/>
      <c r="Z218" s="752"/>
      <c r="AD218" s="32"/>
    </row>
    <row r="219" spans="1:30">
      <c r="A219" s="1225">
        <v>214</v>
      </c>
      <c r="B219" s="1" t="s">
        <v>145</v>
      </c>
      <c r="C219" s="751"/>
      <c r="E219" s="1416">
        <f>SUMIFS('Rev Recon Summary'!$P$1:$P$500,'Rev Recon Summary'!$C$1:$C$500,"*"&amp;B219&amp;"*",'Rev Recon Summary'!$B$1:$B$500,"*"&amp;$B$196&amp;"*")</f>
        <v>-581963.03999999992</v>
      </c>
      <c r="F219" s="751"/>
      <c r="G219" s="751"/>
      <c r="H219" s="751"/>
      <c r="I219" s="751"/>
      <c r="J219" s="751"/>
      <c r="K219" s="84"/>
      <c r="L219" s="756"/>
      <c r="M219" s="752"/>
      <c r="N219" s="751"/>
      <c r="O219" s="84"/>
      <c r="P219" s="90"/>
      <c r="Q219" s="90"/>
      <c r="R219" s="751"/>
      <c r="S219" s="752"/>
      <c r="T219" s="752"/>
      <c r="U219" s="752"/>
      <c r="V219" s="751"/>
      <c r="W219" s="752"/>
      <c r="X219" s="752"/>
      <c r="Y219" s="752"/>
      <c r="Z219" s="751"/>
      <c r="AA219" s="781"/>
      <c r="AB219" s="781"/>
      <c r="AC219" s="752"/>
      <c r="AD219" s="32"/>
    </row>
    <row r="220" spans="1:30">
      <c r="A220" s="1225">
        <v>215</v>
      </c>
      <c r="B220" s="1" t="s">
        <v>146</v>
      </c>
      <c r="E220" s="1416">
        <f>SUMIFS('Rev Recon Summary'!$P$1:$P$500,'Rev Recon Summary'!$C$1:$C$500,"*"&amp;B220&amp;"*",'Rev Recon Summary'!$B$1:$B$500,"*"&amp;$B$196&amp;"*")</f>
        <v>184807.62</v>
      </c>
      <c r="F220" s="752"/>
      <c r="G220" s="752"/>
      <c r="H220" s="752"/>
      <c r="I220" s="752"/>
      <c r="J220" s="752"/>
      <c r="K220" s="84"/>
      <c r="L220" s="756"/>
      <c r="M220" s="752"/>
      <c r="N220" s="752"/>
      <c r="O220" s="84"/>
      <c r="P220" s="90"/>
      <c r="Q220" s="90"/>
      <c r="R220" s="752"/>
      <c r="S220" s="752"/>
      <c r="T220" s="752"/>
      <c r="U220" s="752"/>
      <c r="V220" s="752"/>
      <c r="Z220" s="752"/>
      <c r="AD220" s="32"/>
    </row>
    <row r="221" spans="1:30">
      <c r="A221" s="1225">
        <v>216</v>
      </c>
      <c r="B221" s="34" t="s">
        <v>175</v>
      </c>
      <c r="C221" s="751"/>
      <c r="E221" s="1420">
        <f>SUMIFS('Rev Recon Summary'!$P$1:$P$500,'Rev Recon Summary'!$C$1:$C$500,"*"&amp;B221&amp;"*",'Rev Recon Summary'!$B$1:$B$500,"*"&amp;$B$196&amp;"*")</f>
        <v>-7773216.0500000007</v>
      </c>
      <c r="F221" s="751"/>
      <c r="G221" s="751"/>
      <c r="H221" s="751"/>
      <c r="I221" s="751"/>
      <c r="J221" s="751"/>
      <c r="K221" s="84"/>
      <c r="L221" s="756"/>
      <c r="M221" s="752"/>
      <c r="N221" s="751"/>
      <c r="O221" s="84"/>
      <c r="P221" s="90"/>
      <c r="Q221" s="90"/>
      <c r="R221" s="751"/>
      <c r="S221" s="752"/>
      <c r="T221" s="752"/>
      <c r="U221" s="752"/>
      <c r="V221" s="751"/>
      <c r="W221" s="752"/>
      <c r="X221" s="752"/>
      <c r="Y221" s="752"/>
      <c r="Z221" s="751"/>
      <c r="AA221" s="781"/>
      <c r="AB221" s="781"/>
      <c r="AC221" s="752"/>
      <c r="AD221" s="32"/>
    </row>
    <row r="222" spans="1:30">
      <c r="A222" s="1225">
        <v>217</v>
      </c>
      <c r="B222" s="34" t="s">
        <v>176</v>
      </c>
      <c r="E222" s="1422">
        <f>SUMIFS('Rev Recon Summary'!$P$1:$P$500,'Rev Recon Summary'!$C$1:$C$500,"*"&amp;B222&amp;"*",'Rev Recon Summary'!$B$1:$B$500,"*"&amp;$B$196&amp;"*")</f>
        <v>6756062.7800000003</v>
      </c>
      <c r="F222" s="752"/>
      <c r="G222" s="752"/>
      <c r="H222" s="752"/>
      <c r="I222" s="752"/>
      <c r="J222" s="752"/>
      <c r="K222" s="84"/>
      <c r="L222" s="756"/>
      <c r="M222" s="752"/>
      <c r="N222" s="752"/>
      <c r="O222" s="84"/>
      <c r="P222" s="90"/>
      <c r="Q222" s="90"/>
      <c r="R222" s="752"/>
      <c r="S222" s="752"/>
      <c r="T222" s="752"/>
      <c r="U222" s="752"/>
      <c r="V222" s="752"/>
      <c r="Z222" s="752"/>
      <c r="AD222" s="32"/>
    </row>
    <row r="223" spans="1:30">
      <c r="A223" s="1225">
        <v>218</v>
      </c>
      <c r="B223" s="1" t="s">
        <v>152</v>
      </c>
      <c r="C223" s="751"/>
      <c r="E223" s="1416">
        <f>SUM(E209:E222)</f>
        <v>577473.29</v>
      </c>
      <c r="F223" s="751"/>
      <c r="G223" s="751"/>
      <c r="H223" s="751"/>
      <c r="I223" s="751"/>
      <c r="J223" s="751"/>
      <c r="K223" s="84"/>
      <c r="L223" s="756"/>
      <c r="M223" s="752"/>
      <c r="N223" s="751"/>
      <c r="O223" s="84"/>
      <c r="P223" s="90"/>
      <c r="Q223" s="90"/>
      <c r="R223" s="751"/>
      <c r="S223" s="752"/>
      <c r="T223" s="752"/>
      <c r="U223" s="752"/>
      <c r="V223" s="751"/>
      <c r="W223" s="752"/>
      <c r="X223" s="752"/>
      <c r="Y223" s="752"/>
      <c r="Z223" s="751"/>
      <c r="AA223" s="781"/>
      <c r="AB223" s="781"/>
      <c r="AC223" s="752"/>
      <c r="AD223" s="32"/>
    </row>
    <row r="224" spans="1:30">
      <c r="A224" s="1225">
        <v>219</v>
      </c>
      <c r="E224" s="1416"/>
      <c r="F224" s="752"/>
      <c r="G224" s="752"/>
      <c r="H224" s="752"/>
      <c r="I224" s="752"/>
      <c r="J224" s="752"/>
      <c r="K224" s="84"/>
      <c r="L224" s="756"/>
      <c r="M224" s="752"/>
      <c r="N224" s="752"/>
      <c r="O224" s="84"/>
      <c r="P224" s="90"/>
      <c r="Q224" s="90"/>
      <c r="R224" s="752"/>
      <c r="S224" s="752"/>
      <c r="T224" s="752"/>
      <c r="U224" s="752"/>
      <c r="V224" s="752"/>
      <c r="Z224" s="752"/>
      <c r="AD224" s="32"/>
    </row>
    <row r="225" spans="1:30">
      <c r="A225" s="1225">
        <v>220</v>
      </c>
      <c r="B225" s="639" t="s">
        <v>185</v>
      </c>
      <c r="C225" s="764">
        <f>E225-'Rev Recon Summary'!P402</f>
        <v>0</v>
      </c>
      <c r="D225" s="765" t="s">
        <v>149</v>
      </c>
      <c r="E225" s="1418">
        <f>SUM(E204,E206,E223)</f>
        <v>6375651.0499999998</v>
      </c>
      <c r="F225" s="764"/>
      <c r="G225" s="764">
        <f>E225*'Exh MCG-4, Conversion Factor'!$I$12</f>
        <v>0</v>
      </c>
      <c r="H225" s="764"/>
      <c r="I225" s="764"/>
      <c r="J225" s="764"/>
      <c r="K225" s="631"/>
      <c r="L225" s="766"/>
      <c r="M225" s="761"/>
      <c r="N225" s="764"/>
      <c r="O225" s="631"/>
      <c r="P225" s="633"/>
      <c r="Q225" s="633"/>
      <c r="R225" s="764"/>
      <c r="S225" s="761"/>
      <c r="T225" s="761"/>
      <c r="U225" s="761"/>
      <c r="V225" s="764"/>
      <c r="W225" s="761"/>
      <c r="X225" s="761"/>
      <c r="Y225" s="761"/>
      <c r="Z225" s="764"/>
      <c r="AA225" s="780"/>
      <c r="AB225" s="780"/>
      <c r="AC225" s="761"/>
      <c r="AD225" s="32"/>
    </row>
    <row r="226" spans="1:30">
      <c r="A226" s="1225">
        <v>221</v>
      </c>
      <c r="E226" s="1416"/>
      <c r="F226" s="752"/>
      <c r="G226" s="752"/>
      <c r="H226" s="752"/>
      <c r="I226" s="752"/>
      <c r="J226" s="752"/>
      <c r="K226" s="84"/>
      <c r="L226" s="756"/>
      <c r="M226" s="752"/>
      <c r="N226" s="752"/>
      <c r="O226" s="84"/>
      <c r="P226" s="90"/>
      <c r="Q226" s="90"/>
      <c r="R226" s="752"/>
      <c r="S226" s="752"/>
      <c r="T226" s="752"/>
      <c r="U226" s="752"/>
      <c r="V226" s="752"/>
      <c r="Z226" s="752"/>
      <c r="AD226" s="32"/>
    </row>
    <row r="227" spans="1:30">
      <c r="A227" s="1225">
        <v>222</v>
      </c>
      <c r="B227" s="11" t="s">
        <v>186</v>
      </c>
      <c r="E227" s="1416"/>
      <c r="G227" s="18"/>
      <c r="K227" s="84"/>
      <c r="L227" s="756"/>
      <c r="M227" s="752"/>
      <c r="O227" s="84"/>
      <c r="P227" s="90"/>
      <c r="Q227" s="90"/>
      <c r="S227" s="752"/>
      <c r="T227" s="752"/>
      <c r="U227" s="752"/>
      <c r="AD227" s="32"/>
    </row>
    <row r="228" spans="1:30">
      <c r="A228" s="1225">
        <v>223</v>
      </c>
      <c r="B228" s="1" t="s">
        <v>124</v>
      </c>
      <c r="C228" s="786">
        <f>E228/D228</f>
        <v>89.611963190184042</v>
      </c>
      <c r="D228" s="751">
        <v>163</v>
      </c>
      <c r="E228" s="1416">
        <f>SUMIFS('1501 Summary'!$P$1:$P$600,'1501 Summary'!$C$1:$C$600,"*"&amp;B228&amp;"*",'1501 Summary'!$B$1:$B$600,"*"&amp;$B$227&amp;"*")</f>
        <v>14606.75</v>
      </c>
      <c r="F228" s="752"/>
      <c r="G228" s="753"/>
      <c r="H228" s="787"/>
      <c r="I228" s="788"/>
      <c r="J228" s="752"/>
      <c r="K228" s="84">
        <f>C228+G228</f>
        <v>89.611963190184042</v>
      </c>
      <c r="L228" s="751">
        <f>D228</f>
        <v>163</v>
      </c>
      <c r="M228" s="752">
        <f>L228*K228</f>
        <v>14606.749999999998</v>
      </c>
      <c r="N228" s="752"/>
      <c r="O228" s="84">
        <f>K228</f>
        <v>89.611963190184042</v>
      </c>
      <c r="P228" s="90">
        <v>163</v>
      </c>
      <c r="Q228" s="86">
        <f>M228</f>
        <v>14606.749999999998</v>
      </c>
      <c r="R228" s="752"/>
      <c r="S228" s="84">
        <f>'EOP Calculations'!Q119</f>
        <v>84</v>
      </c>
      <c r="T228" s="752">
        <f>ROUND(S228*P228, 2)</f>
        <v>13692</v>
      </c>
      <c r="U228" s="752">
        <f t="shared" ref="U228:U233" si="35">T228-Q228</f>
        <v>-914.74999999999818</v>
      </c>
      <c r="V228" s="752"/>
      <c r="W228" s="86"/>
      <c r="X228" s="86"/>
      <c r="Y228" s="86"/>
      <c r="Z228" s="752"/>
      <c r="AA228" s="90">
        <f>'Exh IDM-4, Class Rates'!F33</f>
        <v>163</v>
      </c>
      <c r="AB228" s="86">
        <f>ROUND(AA228*S228, 2)</f>
        <v>13692</v>
      </c>
      <c r="AC228" s="86">
        <f>AB228-T228</f>
        <v>0</v>
      </c>
      <c r="AD228" s="32"/>
    </row>
    <row r="229" spans="1:30">
      <c r="A229" s="1225">
        <v>224</v>
      </c>
      <c r="B229" s="1" t="s">
        <v>187</v>
      </c>
      <c r="C229" s="779">
        <f>E229/D229</f>
        <v>237120.96263457878</v>
      </c>
      <c r="D229" s="772">
        <v>7.8950000000000006E-2</v>
      </c>
      <c r="E229" s="1416">
        <f>SUMIFS('1501 Summary'!$P$1:$P$600,'1501 Summary'!$C$1:$C$600,"*"&amp;B229&amp;"*",'1501 Summary'!$B$1:$B$600,"*"&amp;$B$227&amp;"*")</f>
        <v>18720.699999999997</v>
      </c>
      <c r="F229" s="752"/>
      <c r="G229" s="753"/>
      <c r="H229" s="787"/>
      <c r="I229" s="752"/>
      <c r="J229" s="752"/>
      <c r="K229" s="84">
        <f>C229+G229</f>
        <v>237120.96263457878</v>
      </c>
      <c r="L229" s="756">
        <f>D229</f>
        <v>7.8950000000000006E-2</v>
      </c>
      <c r="M229" s="752">
        <f>L229*K229</f>
        <v>18720.699999999997</v>
      </c>
      <c r="N229" s="752"/>
      <c r="O229" s="84">
        <f>K229</f>
        <v>237120.96263457878</v>
      </c>
      <c r="P229" s="90"/>
      <c r="Q229" s="86"/>
      <c r="R229" s="752"/>
      <c r="S229" s="84"/>
      <c r="T229" s="752"/>
      <c r="U229" s="752"/>
      <c r="V229" s="752"/>
      <c r="W229" s="84"/>
      <c r="X229" s="88"/>
      <c r="Y229" s="86"/>
      <c r="Z229" s="752"/>
      <c r="AA229" s="88"/>
      <c r="AB229" s="86"/>
      <c r="AC229" s="86"/>
      <c r="AD229" s="32"/>
    </row>
    <row r="230" spans="1:30">
      <c r="A230" s="1225">
        <v>225</v>
      </c>
      <c r="B230" s="1" t="s">
        <v>188</v>
      </c>
      <c r="C230" s="779">
        <f>E230/D230</f>
        <v>913730.14279339591</v>
      </c>
      <c r="D230" s="772">
        <v>8.9639999999999997E-2</v>
      </c>
      <c r="E230" s="1416">
        <f>SUMIFS('1501 Summary'!$P$1:$P$600,'1501 Summary'!$C$1:$C$600,"*"&amp;B230&amp;"*",'1501 Summary'!$B$1:$B$600,"*"&amp;$B$227&amp;"*")</f>
        <v>81906.77</v>
      </c>
      <c r="F230" s="752"/>
      <c r="G230" s="753"/>
      <c r="H230" s="787"/>
      <c r="I230" s="752"/>
      <c r="J230" s="752"/>
      <c r="K230" s="84">
        <f>C230+G230</f>
        <v>913730.14279339591</v>
      </c>
      <c r="L230" s="756">
        <f>D230</f>
        <v>8.9639999999999997E-2</v>
      </c>
      <c r="M230" s="752">
        <f>L230*K230</f>
        <v>81906.77</v>
      </c>
      <c r="N230" s="752"/>
      <c r="O230" s="84">
        <f>K230</f>
        <v>913730.14279339591</v>
      </c>
      <c r="P230" s="88">
        <v>9.0410000000000004E-2</v>
      </c>
      <c r="Q230" s="86">
        <f>SUM(O229:O230)*P230</f>
        <v>104048.4484417432</v>
      </c>
      <c r="R230" s="752"/>
      <c r="S230" s="84">
        <f>'EOP Calculations'!P119</f>
        <v>1088197.0819555386</v>
      </c>
      <c r="T230" s="752">
        <f>ROUND(S230*P230, 2)</f>
        <v>98383.9</v>
      </c>
      <c r="U230" s="752">
        <f t="shared" si="35"/>
        <v>-5664.5484417432017</v>
      </c>
      <c r="V230" s="752"/>
      <c r="W230" s="84">
        <f>S230</f>
        <v>1088197.0819555386</v>
      </c>
      <c r="X230" s="88">
        <v>1.8E-3</v>
      </c>
      <c r="Y230" s="776">
        <f>X230*W230</f>
        <v>1958.7547475199694</v>
      </c>
      <c r="Z230" s="752"/>
      <c r="AA230" s="88">
        <f>'Exh IDM-4, Class Rates'!F34</f>
        <v>9.8530210927804257E-2</v>
      </c>
      <c r="AB230" s="86">
        <f>ROUND(AA230*S230, 2)</f>
        <v>107220.29</v>
      </c>
      <c r="AC230" s="86">
        <f>AB230-T230</f>
        <v>8836.39</v>
      </c>
      <c r="AD230" s="32"/>
    </row>
    <row r="231" spans="1:30">
      <c r="A231" s="1225">
        <v>226</v>
      </c>
      <c r="B231" s="1" t="s">
        <v>189</v>
      </c>
      <c r="C231" s="779">
        <f>E231/D231</f>
        <v>273096.53024911031</v>
      </c>
      <c r="D231" s="772">
        <v>2.248E-2</v>
      </c>
      <c r="E231" s="1416">
        <f>SUMIFS('1501 Summary'!$P$1:$P$600,'1501 Summary'!$C$1:$C$600,"*"&amp;B231&amp;"*",'1501 Summary'!$B$1:$B$600,"*"&amp;$B$227&amp;"*")</f>
        <v>6139.21</v>
      </c>
      <c r="F231" s="752"/>
      <c r="G231" s="753"/>
      <c r="H231" s="787"/>
      <c r="I231" s="752"/>
      <c r="J231" s="752"/>
      <c r="K231" s="84">
        <f>C231+G231</f>
        <v>273096.53024911031</v>
      </c>
      <c r="L231" s="756">
        <f>D231</f>
        <v>2.248E-2</v>
      </c>
      <c r="M231" s="752">
        <f>L231*K231</f>
        <v>6139.21</v>
      </c>
      <c r="N231" s="752"/>
      <c r="O231" s="84">
        <f>K231</f>
        <v>273096.53024911031</v>
      </c>
      <c r="P231" s="90"/>
      <c r="Q231" s="86"/>
      <c r="R231" s="752"/>
      <c r="S231" s="84"/>
      <c r="T231" s="752"/>
      <c r="U231" s="752"/>
      <c r="V231" s="752"/>
      <c r="W231" s="84"/>
      <c r="X231" s="88"/>
      <c r="Y231" s="776"/>
      <c r="Z231" s="752"/>
      <c r="AA231" s="88"/>
      <c r="AB231" s="86"/>
      <c r="AC231" s="86"/>
      <c r="AD231" s="32"/>
    </row>
    <row r="232" spans="1:30">
      <c r="A232" s="1225">
        <v>227</v>
      </c>
      <c r="B232" s="754" t="s">
        <v>190</v>
      </c>
      <c r="C232" s="631">
        <f>E232/D232</f>
        <v>646168.26411075599</v>
      </c>
      <c r="D232" s="772">
        <v>2.8170000000000001E-2</v>
      </c>
      <c r="E232" s="1418">
        <f>SUMIFS('1501 Summary'!$P$1:$P$600,'1501 Summary'!$C$1:$C$600,"*"&amp;B232&amp;"*",'1501 Summary'!$B$1:$B$600,"*"&amp;$B$227&amp;"*")</f>
        <v>18202.559999999998</v>
      </c>
      <c r="F232" s="761"/>
      <c r="G232" s="753"/>
      <c r="H232" s="787"/>
      <c r="I232" s="752"/>
      <c r="J232" s="752"/>
      <c r="K232" s="84">
        <f>C232+G232</f>
        <v>646168.26411075599</v>
      </c>
      <c r="L232" s="756">
        <f>D232</f>
        <v>2.8170000000000001E-2</v>
      </c>
      <c r="M232" s="761">
        <f>L232*K232</f>
        <v>18202.559999999998</v>
      </c>
      <c r="N232" s="752"/>
      <c r="O232" s="84">
        <f>K232</f>
        <v>646168.26411075599</v>
      </c>
      <c r="P232" s="88">
        <v>2.9229999999999999E-2</v>
      </c>
      <c r="Q232" s="630">
        <f>SUM(O231:O232)*P232</f>
        <v>26870.109939138893</v>
      </c>
      <c r="R232" s="752"/>
      <c r="S232" s="84">
        <f>'EOP Calculations'!P120</f>
        <v>863404.25424245116</v>
      </c>
      <c r="T232" s="761">
        <f>ROUND(S232*P232, 2)</f>
        <v>25237.31</v>
      </c>
      <c r="U232" s="761">
        <f t="shared" si="35"/>
        <v>-1632.7999391388912</v>
      </c>
      <c r="V232" s="752"/>
      <c r="W232" s="84">
        <f>S232</f>
        <v>863404.25424245116</v>
      </c>
      <c r="X232" s="88">
        <v>1.8E-3</v>
      </c>
      <c r="Y232" s="630">
        <f>X232*W232</f>
        <v>1554.1276576364121</v>
      </c>
      <c r="Z232" s="752"/>
      <c r="AA232" s="88">
        <f>'Exh IDM-4, Class Rates'!F35</f>
        <v>3.1855305192986093E-2</v>
      </c>
      <c r="AB232" s="630">
        <f>ROUND(AA232*S232, 2)</f>
        <v>27504.01</v>
      </c>
      <c r="AC232" s="630">
        <f>AB232-T232</f>
        <v>2266.6999999999971</v>
      </c>
      <c r="AD232" s="32"/>
    </row>
    <row r="233" spans="1:30">
      <c r="A233" s="1225">
        <v>228</v>
      </c>
      <c r="B233" s="1" t="s">
        <v>127</v>
      </c>
      <c r="C233" s="758">
        <f>SUM(C229:C232)</f>
        <v>2070115.8997878409</v>
      </c>
      <c r="E233" s="1416">
        <f>SUM(E228:E232)</f>
        <v>139575.99</v>
      </c>
      <c r="F233" s="752"/>
      <c r="G233" s="752"/>
      <c r="H233" s="752"/>
      <c r="I233" s="752"/>
      <c r="J233" s="752"/>
      <c r="K233" s="779"/>
      <c r="L233" s="756"/>
      <c r="M233" s="752">
        <f>SUM(M228:M232)</f>
        <v>139575.99</v>
      </c>
      <c r="N233" s="752"/>
      <c r="O233" s="84"/>
      <c r="P233" s="90"/>
      <c r="Q233" s="86">
        <f>SUM(Q228:Q232)</f>
        <v>145525.30838088208</v>
      </c>
      <c r="R233" s="752"/>
      <c r="S233" s="752"/>
      <c r="T233" s="752">
        <f>SUM(T228:T232)</f>
        <v>137313.21</v>
      </c>
      <c r="U233" s="752">
        <f t="shared" si="35"/>
        <v>-8212.0983808820893</v>
      </c>
      <c r="V233" s="752"/>
      <c r="W233" s="86"/>
      <c r="X233" s="86"/>
      <c r="Y233" s="86">
        <f>SUM(Y229:Y232)</f>
        <v>3512.8824051563815</v>
      </c>
      <c r="Z233" s="752"/>
      <c r="AB233" s="86">
        <f>SUM(AB228:AB232)</f>
        <v>148416.29999999999</v>
      </c>
      <c r="AC233" s="86">
        <f>SUM(AC228:AC232)</f>
        <v>11103.089999999997</v>
      </c>
      <c r="AD233" s="32"/>
    </row>
    <row r="234" spans="1:30">
      <c r="A234" s="1225">
        <v>229</v>
      </c>
      <c r="E234" s="1416"/>
      <c r="K234" s="84"/>
      <c r="L234" s="756"/>
      <c r="M234" s="752"/>
      <c r="O234" s="84" t="s">
        <v>131</v>
      </c>
      <c r="P234" s="90"/>
      <c r="Q234" s="86">
        <f>Q233-M233</f>
        <v>5949.3183808820904</v>
      </c>
      <c r="S234" s="752"/>
      <c r="T234" s="752"/>
      <c r="U234" s="752"/>
      <c r="AD234" s="32"/>
    </row>
    <row r="235" spans="1:30">
      <c r="A235" s="1225">
        <v>230</v>
      </c>
      <c r="B235" s="1" t="s">
        <v>129</v>
      </c>
      <c r="E235" s="1416">
        <f>SUMIFS('1501 Summary'!$P$1:$P$600,'1501 Summary'!$C$1:$C$600,"*"&amp;B235&amp;"*",'1501 Summary'!$B$1:$B$600,"*"&amp;$B$227&amp;"*")</f>
        <v>860257.34999999986</v>
      </c>
      <c r="F235" s="752"/>
      <c r="G235" s="752"/>
      <c r="H235" s="752"/>
      <c r="I235" s="752"/>
      <c r="J235" s="752"/>
      <c r="K235" s="84"/>
      <c r="L235" s="756"/>
      <c r="M235" s="752"/>
      <c r="N235" s="752"/>
      <c r="O235" s="84"/>
      <c r="P235" s="90"/>
      <c r="Q235" s="90"/>
      <c r="R235" s="752"/>
      <c r="S235" s="752"/>
      <c r="T235" s="752"/>
      <c r="U235" s="752"/>
      <c r="V235" s="752"/>
      <c r="Z235" s="752"/>
      <c r="AA235" s="12" t="s">
        <v>191</v>
      </c>
      <c r="AD235" s="32"/>
    </row>
    <row r="236" spans="1:30">
      <c r="A236" s="1225">
        <v>231</v>
      </c>
      <c r="E236" s="1416"/>
      <c r="K236" s="84"/>
      <c r="L236" s="756"/>
      <c r="M236" s="752"/>
      <c r="O236" s="84"/>
      <c r="P236" s="90"/>
      <c r="Q236" s="90"/>
      <c r="S236" s="752"/>
      <c r="T236" s="752"/>
      <c r="U236" s="752"/>
      <c r="AD236" s="32"/>
    </row>
    <row r="237" spans="1:30">
      <c r="A237" s="1225">
        <v>232</v>
      </c>
      <c r="B237" s="1" t="s">
        <v>130</v>
      </c>
      <c r="E237" s="1416"/>
      <c r="K237" s="84"/>
      <c r="L237" s="756"/>
      <c r="M237" s="752"/>
      <c r="O237" s="84"/>
      <c r="P237" s="90"/>
      <c r="Q237" s="90"/>
      <c r="S237" s="752"/>
      <c r="T237" s="752"/>
      <c r="U237" s="752"/>
      <c r="AD237" s="32"/>
    </row>
    <row r="238" spans="1:30">
      <c r="A238" s="1225">
        <v>233</v>
      </c>
      <c r="B238" s="1" t="s">
        <v>132</v>
      </c>
      <c r="E238" s="1416">
        <f>SUMIFS('1501 Summary'!$P$1:$P$600,'1501 Summary'!$C$1:$C$600,"*"&amp;B238&amp;"*",'1501 Summary'!$B$1:$B$600,"*"&amp;$B$227&amp;"*")</f>
        <v>288241.41000000003</v>
      </c>
      <c r="K238" s="84"/>
      <c r="L238" s="756"/>
      <c r="M238" s="752"/>
      <c r="O238" s="84"/>
      <c r="P238" s="90"/>
      <c r="Q238" s="90"/>
      <c r="S238" s="752"/>
      <c r="T238" s="752"/>
      <c r="U238" s="752"/>
      <c r="AD238" s="32"/>
    </row>
    <row r="239" spans="1:30">
      <c r="A239" s="1225">
        <v>234</v>
      </c>
      <c r="B239" s="1" t="s">
        <v>133</v>
      </c>
      <c r="E239" s="1416">
        <f>SUMIFS('1501 Summary'!$P$1:$P$600,'1501 Summary'!$C$1:$C$600,"*"&amp;B239&amp;"*",'1501 Summary'!$B$1:$B$600,"*"&amp;$B$227&amp;"*")</f>
        <v>1053.78</v>
      </c>
      <c r="F239" s="752"/>
      <c r="G239" s="752"/>
      <c r="H239" s="752"/>
      <c r="I239" s="752"/>
      <c r="J239" s="752"/>
      <c r="K239" s="84"/>
      <c r="L239" s="756"/>
      <c r="M239" s="752"/>
      <c r="N239" s="752"/>
      <c r="O239" s="84"/>
      <c r="P239" s="90"/>
      <c r="Q239" s="90"/>
      <c r="R239" s="752"/>
      <c r="S239" s="752"/>
      <c r="T239" s="752"/>
      <c r="U239" s="752"/>
      <c r="V239" s="752"/>
      <c r="Z239" s="752"/>
      <c r="AA239" s="1"/>
      <c r="AB239" s="1"/>
      <c r="AD239" s="32"/>
    </row>
    <row r="240" spans="1:30">
      <c r="A240" s="1225">
        <v>235</v>
      </c>
      <c r="B240" s="1" t="s">
        <v>134</v>
      </c>
      <c r="E240" s="1416">
        <f>SUMIFS('1501 Summary'!$P$1:$P$600,'1501 Summary'!$C$1:$C$600,"*"&amp;B240&amp;"*",'1501 Summary'!$B$1:$B$600,"*"&amp;$B$227&amp;"*")</f>
        <v>5884.17</v>
      </c>
      <c r="F240" s="752"/>
      <c r="G240" s="752"/>
      <c r="H240" s="752"/>
      <c r="I240" s="752"/>
      <c r="J240" s="752"/>
      <c r="K240" s="84"/>
      <c r="L240" s="756"/>
      <c r="M240" s="752"/>
      <c r="N240" s="752"/>
      <c r="O240" s="84"/>
      <c r="P240" s="90"/>
      <c r="Q240" s="90"/>
      <c r="R240" s="752"/>
      <c r="S240" s="752"/>
      <c r="T240" s="752"/>
      <c r="U240" s="752"/>
      <c r="V240" s="752"/>
      <c r="Z240" s="752"/>
      <c r="AA240" s="1"/>
      <c r="AB240" s="1"/>
      <c r="AD240" s="32"/>
    </row>
    <row r="241" spans="1:30">
      <c r="A241" s="1225">
        <v>236</v>
      </c>
      <c r="B241" s="1" t="s">
        <v>135</v>
      </c>
      <c r="E241" s="1416">
        <f>SUMIFS('1501 Summary'!$P$1:$P$600,'1501 Summary'!$C$1:$C$600,"*"&amp;B241&amp;"*",'1501 Summary'!$B$1:$B$600,"*"&amp;$B$227&amp;"*")</f>
        <v>38612.700000000004</v>
      </c>
      <c r="F241" s="752"/>
      <c r="G241" s="752"/>
      <c r="H241" s="752"/>
      <c r="I241" s="752"/>
      <c r="J241" s="752"/>
      <c r="K241" s="84"/>
      <c r="L241" s="756"/>
      <c r="M241" s="752"/>
      <c r="N241" s="752"/>
      <c r="O241" s="84"/>
      <c r="P241" s="90"/>
      <c r="Q241" s="90"/>
      <c r="R241" s="752"/>
      <c r="S241" s="752"/>
      <c r="T241" s="752"/>
      <c r="U241" s="752"/>
      <c r="V241" s="752"/>
      <c r="Z241" s="752"/>
      <c r="AA241" s="1"/>
      <c r="AB241" s="1"/>
      <c r="AD241" s="32"/>
    </row>
    <row r="242" spans="1:30">
      <c r="A242" s="1225">
        <v>237</v>
      </c>
      <c r="B242" s="1" t="s">
        <v>180</v>
      </c>
      <c r="E242" s="1416">
        <f>SUMIFS('1501 Summary'!$P$1:$P$600,'1501 Summary'!$C$1:$C$600,"*"&amp;B242&amp;"*",'1501 Summary'!$B$1:$B$600,"*"&amp;$B$227&amp;"*")</f>
        <v>0</v>
      </c>
      <c r="F242" s="752"/>
      <c r="G242" s="752"/>
      <c r="H242" s="752"/>
      <c r="I242" s="752"/>
      <c r="J242" s="752"/>
      <c r="K242" s="84"/>
      <c r="L242" s="756"/>
      <c r="M242" s="752"/>
      <c r="N242" s="752"/>
      <c r="O242" s="84"/>
      <c r="P242" s="90"/>
      <c r="Q242" s="90"/>
      <c r="R242" s="752"/>
      <c r="S242" s="752"/>
      <c r="T242" s="752"/>
      <c r="U242" s="752"/>
      <c r="V242" s="752"/>
      <c r="Z242" s="752"/>
      <c r="AA242" s="1"/>
      <c r="AB242" s="1"/>
      <c r="AD242" s="32"/>
    </row>
    <row r="243" spans="1:30">
      <c r="A243" s="1225">
        <v>238</v>
      </c>
      <c r="B243" s="1" t="s">
        <v>136</v>
      </c>
      <c r="E243" s="1416">
        <f>SUMIFS('1501 Summary'!$P$1:$P$600,'1501 Summary'!$C$1:$C$600,"*"&amp;B243&amp;"*",'1501 Summary'!$B$1:$B$600,"*"&amp;$B$227&amp;"*")</f>
        <v>55424.76</v>
      </c>
      <c r="F243" s="752"/>
      <c r="G243" s="752"/>
      <c r="H243" s="752"/>
      <c r="I243" s="752"/>
      <c r="J243" s="752"/>
      <c r="K243" s="84"/>
      <c r="L243" s="756"/>
      <c r="M243" s="752"/>
      <c r="N243" s="752"/>
      <c r="O243" s="84"/>
      <c r="P243" s="90"/>
      <c r="Q243" s="90"/>
      <c r="R243" s="752"/>
      <c r="S243" s="752"/>
      <c r="T243" s="752"/>
      <c r="U243" s="752"/>
      <c r="V243" s="752"/>
      <c r="Z243" s="752"/>
      <c r="AA243" s="1"/>
      <c r="AB243" s="1"/>
      <c r="AD243" s="32"/>
    </row>
    <row r="244" spans="1:30">
      <c r="A244" s="1225">
        <v>239</v>
      </c>
      <c r="B244" s="1" t="s">
        <v>137</v>
      </c>
      <c r="E244" s="1416">
        <f>SUMIFS('1501 Summary'!$P$1:$P$600,'1501 Summary'!$C$1:$C$600,"*"&amp;B244&amp;"*",'1501 Summary'!$B$1:$B$600,"*"&amp;$B$227&amp;"*")</f>
        <v>-2479.36</v>
      </c>
      <c r="F244" s="752"/>
      <c r="G244" s="752"/>
      <c r="H244" s="752"/>
      <c r="I244" s="752"/>
      <c r="J244" s="752"/>
      <c r="K244" s="84"/>
      <c r="L244" s="756"/>
      <c r="M244" s="752"/>
      <c r="N244" s="752"/>
      <c r="O244" s="84"/>
      <c r="P244" s="90"/>
      <c r="Q244" s="90"/>
      <c r="R244" s="752"/>
      <c r="S244" s="752"/>
      <c r="T244" s="752"/>
      <c r="U244" s="752"/>
      <c r="V244" s="752"/>
      <c r="Z244" s="752"/>
      <c r="AA244" s="1"/>
      <c r="AB244" s="1"/>
      <c r="AD244" s="32"/>
    </row>
    <row r="245" spans="1:30">
      <c r="A245" s="1225">
        <v>240</v>
      </c>
      <c r="B245" s="1" t="s">
        <v>138</v>
      </c>
      <c r="E245" s="1416">
        <f>SUMIFS('1501 Summary'!$P$1:$P$600,'1501 Summary'!$C$1:$C$600,"*"&amp;B245&amp;"*",'1501 Summary'!$B$1:$B$600,"*"&amp;$B$227&amp;"*")</f>
        <v>-953.43</v>
      </c>
      <c r="F245" s="752"/>
      <c r="G245" s="752"/>
      <c r="H245" s="752"/>
      <c r="I245" s="752"/>
      <c r="J245" s="752"/>
      <c r="K245" s="84"/>
      <c r="L245" s="756"/>
      <c r="M245" s="752"/>
      <c r="N245" s="752"/>
      <c r="O245" s="84"/>
      <c r="P245" s="90"/>
      <c r="Q245" s="90"/>
      <c r="R245" s="752"/>
      <c r="S245" s="752"/>
      <c r="T245" s="752"/>
      <c r="U245" s="752"/>
      <c r="V245" s="752"/>
      <c r="Z245" s="752"/>
      <c r="AA245" s="1"/>
      <c r="AB245" s="1"/>
      <c r="AD245" s="32"/>
    </row>
    <row r="246" spans="1:30">
      <c r="A246" s="1225">
        <v>241</v>
      </c>
      <c r="B246" s="1" t="s">
        <v>139</v>
      </c>
      <c r="E246" s="1416">
        <f>SUMIFS('1501 Summary'!$P$1:$P$600,'1501 Summary'!$C$1:$C$600,"*"&amp;B246&amp;"*",'1501 Summary'!$B$1:$B$600,"*"&amp;$B$227&amp;"*")</f>
        <v>0</v>
      </c>
      <c r="F246" s="752"/>
      <c r="G246" s="752"/>
      <c r="H246" s="752"/>
      <c r="I246" s="752"/>
      <c r="J246" s="752"/>
      <c r="K246" s="84"/>
      <c r="L246" s="756"/>
      <c r="M246" s="752"/>
      <c r="N246" s="752"/>
      <c r="O246" s="84"/>
      <c r="P246" s="90"/>
      <c r="Q246" s="90"/>
      <c r="R246" s="752"/>
      <c r="S246" s="752"/>
      <c r="T246" s="752"/>
      <c r="U246" s="752"/>
      <c r="V246" s="752"/>
      <c r="Z246" s="752"/>
      <c r="AA246" s="1"/>
      <c r="AB246" s="1"/>
      <c r="AD246" s="32"/>
    </row>
    <row r="247" spans="1:30">
      <c r="A247" s="1225">
        <v>242</v>
      </c>
      <c r="B247" s="1" t="s">
        <v>140</v>
      </c>
      <c r="E247" s="1416">
        <f>SUMIFS('1501 Summary'!$P$1:$P$600,'1501 Summary'!$C$1:$C$600,"*"&amp;B247&amp;"*",'1501 Summary'!$B$1:$B$600,"*"&amp;$B$227&amp;"*")</f>
        <v>16883.12</v>
      </c>
      <c r="F247" s="752"/>
      <c r="G247" s="752"/>
      <c r="H247" s="752"/>
      <c r="I247" s="752"/>
      <c r="J247" s="752"/>
      <c r="K247" s="84"/>
      <c r="L247" s="756"/>
      <c r="M247" s="752"/>
      <c r="N247" s="752"/>
      <c r="O247" s="84"/>
      <c r="P247" s="90"/>
      <c r="Q247" s="90"/>
      <c r="R247" s="752"/>
      <c r="S247" s="752"/>
      <c r="T247" s="752"/>
      <c r="U247" s="752"/>
      <c r="V247" s="752"/>
      <c r="Z247" s="752"/>
      <c r="AA247" s="1"/>
      <c r="AB247" s="1"/>
      <c r="AD247" s="32"/>
    </row>
    <row r="248" spans="1:30">
      <c r="A248" s="1225">
        <v>243</v>
      </c>
      <c r="B248" s="8" t="s">
        <v>142</v>
      </c>
      <c r="E248" s="1416">
        <f>SUMIFS('1501 Summary'!$P$1:$P$600,'1501 Summary'!$C$1:$C$600,"*"&amp;B248&amp;"*",'1501 Summary'!$B$1:$B$600,"*"&amp;$B$227&amp;"*")</f>
        <v>896.27999999999986</v>
      </c>
      <c r="F248" s="752"/>
      <c r="G248" s="752"/>
      <c r="H248" s="752"/>
      <c r="I248" s="752"/>
      <c r="J248" s="752"/>
      <c r="K248" s="84"/>
      <c r="L248" s="756"/>
      <c r="M248" s="752"/>
      <c r="N248" s="752"/>
      <c r="O248" s="84"/>
      <c r="P248" s="90"/>
      <c r="Q248" s="90"/>
      <c r="R248" s="752"/>
      <c r="S248" s="752"/>
      <c r="T248" s="752"/>
      <c r="U248" s="752"/>
      <c r="V248" s="752"/>
      <c r="Z248" s="752"/>
      <c r="AA248" s="1"/>
      <c r="AB248" s="1"/>
      <c r="AD248" s="32"/>
    </row>
    <row r="249" spans="1:30">
      <c r="A249" s="1225">
        <v>244</v>
      </c>
      <c r="B249" s="8" t="s">
        <v>143</v>
      </c>
      <c r="C249" s="8"/>
      <c r="E249" s="1420">
        <f>SUMIFS('Rev Recon Summary'!$P$1:$P$500,'Rev Recon Summary'!$C$1:$C$500,"*"&amp;B249&amp;"*",'Rev Recon Summary'!$B$1:$B$500,"*"&amp;$B$227&amp;"*")</f>
        <v>0</v>
      </c>
      <c r="F249" s="752"/>
      <c r="G249" s="752"/>
      <c r="H249" s="752"/>
      <c r="I249" s="752"/>
      <c r="J249" s="752"/>
      <c r="K249" s="84"/>
      <c r="L249" s="756"/>
      <c r="M249" s="752"/>
      <c r="N249" s="752"/>
      <c r="O249" s="84"/>
      <c r="P249" s="90"/>
      <c r="Q249" s="90"/>
      <c r="R249" s="752"/>
      <c r="S249" s="752"/>
      <c r="T249" s="752"/>
      <c r="U249" s="752"/>
      <c r="V249" s="752"/>
      <c r="Z249" s="752"/>
      <c r="AA249" s="1"/>
      <c r="AB249" s="1"/>
      <c r="AD249" s="32"/>
    </row>
    <row r="250" spans="1:30">
      <c r="A250" s="1225">
        <v>245</v>
      </c>
      <c r="B250" s="8" t="s">
        <v>144</v>
      </c>
      <c r="E250" s="1420">
        <f>SUMIFS('Rev Recon Summary'!$P$1:$P$500,'Rev Recon Summary'!$C$1:$C$500,"*"&amp;B250&amp;"*",'Rev Recon Summary'!$B$1:$B$500,"*"&amp;$B$227&amp;"*")</f>
        <v>0</v>
      </c>
      <c r="F250" s="752"/>
      <c r="G250" s="752"/>
      <c r="H250" s="752"/>
      <c r="I250" s="752"/>
      <c r="J250" s="752"/>
      <c r="K250" s="84"/>
      <c r="L250" s="756"/>
      <c r="M250" s="752"/>
      <c r="N250" s="752"/>
      <c r="O250" s="84"/>
      <c r="P250" s="90"/>
      <c r="Q250" s="90"/>
      <c r="R250" s="752"/>
      <c r="S250" s="752"/>
      <c r="T250" s="752"/>
      <c r="U250" s="752"/>
      <c r="V250" s="752"/>
      <c r="Z250" s="752"/>
      <c r="AA250" s="1"/>
      <c r="AB250" s="1"/>
      <c r="AD250" s="32"/>
    </row>
    <row r="251" spans="1:30">
      <c r="A251" s="1225">
        <v>246</v>
      </c>
      <c r="B251" s="8" t="s">
        <v>145</v>
      </c>
      <c r="E251" s="1416">
        <f>SUMIFS('Rev Recon Summary'!$P$1:$P$500,'Rev Recon Summary'!$C$1:$C$500,"*"&amp;B251&amp;"*",'Rev Recon Summary'!$B$1:$B$500,"*"&amp;$B$227&amp;"*")</f>
        <v>4097.8800000000019</v>
      </c>
      <c r="F251" s="752"/>
      <c r="G251" s="752"/>
      <c r="H251" s="752"/>
      <c r="I251" s="752"/>
      <c r="J251" s="752"/>
      <c r="K251" s="84"/>
      <c r="L251" s="756"/>
      <c r="M251" s="752"/>
      <c r="N251" s="752"/>
      <c r="O251" s="84"/>
      <c r="P251" s="90"/>
      <c r="Q251" s="90"/>
      <c r="R251" s="752"/>
      <c r="S251" s="752"/>
      <c r="T251" s="752"/>
      <c r="U251" s="752"/>
      <c r="V251" s="752"/>
      <c r="Z251" s="752"/>
      <c r="AA251" s="1"/>
      <c r="AB251" s="1"/>
      <c r="AD251" s="32"/>
    </row>
    <row r="252" spans="1:30">
      <c r="A252" s="1225">
        <v>247</v>
      </c>
      <c r="B252" s="8" t="s">
        <v>146</v>
      </c>
      <c r="E252" s="1416">
        <f>SUMIFS('Rev Recon Summary'!$P$1:$P$500,'Rev Recon Summary'!$C$1:$C$500,"*"&amp;B252&amp;"*",'Rev Recon Summary'!$B$1:$B$500,"*"&amp;$B$227&amp;"*")</f>
        <v>-37713.999999999993</v>
      </c>
      <c r="F252" s="752"/>
      <c r="G252" s="752"/>
      <c r="H252" s="752"/>
      <c r="I252" s="752"/>
      <c r="J252" s="752"/>
      <c r="K252" s="84"/>
      <c r="L252" s="756"/>
      <c r="M252" s="752"/>
      <c r="N252" s="752"/>
      <c r="O252" s="84"/>
      <c r="P252" s="90"/>
      <c r="Q252" s="90"/>
      <c r="R252" s="752"/>
      <c r="S252" s="752"/>
      <c r="T252" s="752"/>
      <c r="U252" s="752"/>
      <c r="V252" s="752"/>
      <c r="Z252" s="752"/>
      <c r="AA252" s="1"/>
      <c r="AB252" s="1"/>
      <c r="AD252" s="32"/>
    </row>
    <row r="253" spans="1:30">
      <c r="A253" s="1225">
        <v>248</v>
      </c>
      <c r="B253" s="8" t="s">
        <v>170</v>
      </c>
      <c r="E253" s="1416">
        <f>SUMIFS('Rev Recon Summary'!$P$1:$P$500,'Rev Recon Summary'!$C$1:$C$500,"*"&amp;B253&amp;"*",'Rev Recon Summary'!$B$1:$B$500,"*"&amp;$B$227&amp;"*")</f>
        <v>0</v>
      </c>
      <c r="F253" s="752"/>
      <c r="G253" s="752"/>
      <c r="H253" s="752"/>
      <c r="I253" s="752"/>
      <c r="J253" s="752"/>
      <c r="K253" s="84"/>
      <c r="L253" s="756"/>
      <c r="M253" s="752"/>
      <c r="N253" s="752"/>
      <c r="O253" s="84"/>
      <c r="P253" s="90"/>
      <c r="Q253" s="90"/>
      <c r="R253" s="752"/>
      <c r="S253" s="752"/>
      <c r="T253" s="752"/>
      <c r="U253" s="752"/>
      <c r="V253" s="752"/>
      <c r="Z253" s="752"/>
      <c r="AA253" s="1"/>
      <c r="AB253" s="1"/>
      <c r="AD253" s="32"/>
    </row>
    <row r="254" spans="1:30">
      <c r="A254" s="1225">
        <v>249</v>
      </c>
      <c r="B254" s="8" t="s">
        <v>192</v>
      </c>
      <c r="E254" s="1416">
        <f>SUMIFS('Rev Recon Summary'!$P$1:$P$500,'Rev Recon Summary'!$C$1:$C$500,"*"&amp;B254&amp;"*",'Rev Recon Summary'!$B$1:$B$500,"*"&amp;$B$227&amp;"*")</f>
        <v>0</v>
      </c>
      <c r="F254" s="752"/>
      <c r="G254" s="752"/>
      <c r="H254" s="752"/>
      <c r="I254" s="752"/>
      <c r="J254" s="752"/>
      <c r="K254" s="84"/>
      <c r="L254" s="756"/>
      <c r="M254" s="752"/>
      <c r="N254" s="752"/>
      <c r="O254" s="84"/>
      <c r="P254" s="90"/>
      <c r="Q254" s="90"/>
      <c r="R254" s="752"/>
      <c r="S254" s="752"/>
      <c r="T254" s="752"/>
      <c r="U254" s="752"/>
      <c r="V254" s="752"/>
      <c r="Z254" s="752"/>
      <c r="AA254" s="1"/>
      <c r="AB254" s="1"/>
      <c r="AD254" s="32"/>
    </row>
    <row r="255" spans="1:30">
      <c r="A255" s="1225">
        <v>250</v>
      </c>
      <c r="B255" s="34" t="s">
        <v>175</v>
      </c>
      <c r="E255" s="1420">
        <f>SUMIFS('Rev Recon Summary'!$P$1:$P$500,'Rev Recon Summary'!$C$1:$C$500,"*"&amp;B255&amp;"*",'Rev Recon Summary'!$B$1:$B$500,"*"&amp;$B$227&amp;"*")</f>
        <v>-1402153.88</v>
      </c>
      <c r="F255" s="752"/>
      <c r="G255" s="752"/>
      <c r="H255" s="752"/>
      <c r="I255" s="752"/>
      <c r="J255" s="752"/>
      <c r="K255" s="84"/>
      <c r="L255" s="756"/>
      <c r="M255" s="752"/>
      <c r="N255" s="752"/>
      <c r="O255" s="84"/>
      <c r="P255" s="90"/>
      <c r="Q255" s="90"/>
      <c r="R255" s="752"/>
      <c r="S255" s="752"/>
      <c r="T255" s="752"/>
      <c r="U255" s="752"/>
      <c r="V255" s="752"/>
      <c r="Z255" s="752"/>
      <c r="AA255" s="1"/>
      <c r="AB255" s="1"/>
      <c r="AD255" s="32"/>
    </row>
    <row r="256" spans="1:30">
      <c r="A256" s="1225">
        <v>251</v>
      </c>
      <c r="B256" s="34" t="s">
        <v>176</v>
      </c>
      <c r="E256" s="1422">
        <f>SUMIFS('Rev Recon Summary'!$P$1:$P$500,'Rev Recon Summary'!$C$1:$C$500,"*"&amp;B256&amp;"*",'Rev Recon Summary'!$B$1:$B$500,"*"&amp;$B$227&amp;"*")</f>
        <v>1397034.71</v>
      </c>
      <c r="F256" s="752"/>
      <c r="G256" s="752"/>
      <c r="H256" s="752"/>
      <c r="I256" s="752"/>
      <c r="J256" s="752"/>
      <c r="K256" s="84"/>
      <c r="L256" s="756"/>
      <c r="M256" s="752"/>
      <c r="N256" s="752"/>
      <c r="O256" s="84"/>
      <c r="P256" s="90"/>
      <c r="Q256" s="90"/>
      <c r="R256" s="752"/>
      <c r="S256" s="752"/>
      <c r="T256" s="752"/>
      <c r="U256" s="752"/>
      <c r="V256" s="752"/>
      <c r="Z256" s="752"/>
      <c r="AA256" s="1"/>
      <c r="AB256" s="1"/>
      <c r="AD256" s="32"/>
    </row>
    <row r="257" spans="1:30">
      <c r="A257" s="1225">
        <v>252</v>
      </c>
      <c r="B257" s="8" t="s">
        <v>152</v>
      </c>
      <c r="E257" s="1416">
        <f>SUM(E238:E256)</f>
        <v>364828.14000000013</v>
      </c>
      <c r="F257" s="752"/>
      <c r="G257" s="752"/>
      <c r="H257" s="752"/>
      <c r="I257" s="752"/>
      <c r="J257" s="752"/>
      <c r="K257" s="84"/>
      <c r="L257" s="756"/>
      <c r="M257" s="752"/>
      <c r="N257" s="752"/>
      <c r="O257" s="84"/>
      <c r="P257" s="90"/>
      <c r="Q257" s="90"/>
      <c r="R257" s="752"/>
      <c r="S257" s="752"/>
      <c r="T257" s="752"/>
      <c r="U257" s="752"/>
      <c r="V257" s="752"/>
      <c r="Z257" s="752"/>
      <c r="AA257" s="8"/>
      <c r="AB257" s="8"/>
      <c r="AD257" s="32"/>
    </row>
    <row r="258" spans="1:30">
      <c r="A258" s="1225">
        <v>253</v>
      </c>
      <c r="B258" s="8"/>
      <c r="E258" s="1416"/>
      <c r="F258" s="752"/>
      <c r="G258" s="752"/>
      <c r="H258" s="752"/>
      <c r="I258" s="752"/>
      <c r="J258" s="752"/>
      <c r="K258" s="84"/>
      <c r="L258" s="756"/>
      <c r="M258" s="752"/>
      <c r="N258" s="752"/>
      <c r="O258" s="84"/>
      <c r="P258" s="90"/>
      <c r="Q258" s="90"/>
      <c r="R258" s="752"/>
      <c r="S258" s="752"/>
      <c r="T258" s="752"/>
      <c r="U258" s="752"/>
      <c r="V258" s="752"/>
      <c r="Z258" s="752"/>
      <c r="AA258" s="8"/>
      <c r="AB258" s="8"/>
      <c r="AD258" s="32"/>
    </row>
    <row r="259" spans="1:30">
      <c r="A259" s="1225">
        <v>254</v>
      </c>
      <c r="B259" s="639" t="str">
        <f>"Total "&amp;LEFT(B227,17)&amp;" Revenue"</f>
        <v>Total CNGWA570 Revenue</v>
      </c>
      <c r="C259" s="770">
        <f>E259-'Rev Recon Summary'!P142</f>
        <v>0</v>
      </c>
      <c r="D259" s="775" t="s">
        <v>149</v>
      </c>
      <c r="E259" s="1418">
        <f>SUM(E233,E235,E257)</f>
        <v>1364661.48</v>
      </c>
      <c r="F259" s="764"/>
      <c r="G259" s="764">
        <f>E259*'Exh MCG-4, Conversion Factor'!$I$12</f>
        <v>0</v>
      </c>
      <c r="H259" s="764"/>
      <c r="I259" s="764"/>
      <c r="J259" s="764"/>
      <c r="K259" s="631"/>
      <c r="L259" s="766"/>
      <c r="M259" s="761"/>
      <c r="N259" s="764"/>
      <c r="O259" s="631"/>
      <c r="P259" s="633"/>
      <c r="Q259" s="633"/>
      <c r="R259" s="764"/>
      <c r="S259" s="761"/>
      <c r="T259" s="761"/>
      <c r="U259" s="761"/>
      <c r="V259" s="764"/>
      <c r="W259" s="761"/>
      <c r="X259" s="761"/>
      <c r="Y259" s="761"/>
      <c r="Z259" s="764"/>
      <c r="AA259" s="764"/>
      <c r="AB259" s="764"/>
      <c r="AC259" s="761"/>
      <c r="AD259" s="32"/>
    </row>
    <row r="260" spans="1:30">
      <c r="A260" s="1225">
        <v>255</v>
      </c>
      <c r="B260" s="11"/>
      <c r="D260" s="1"/>
      <c r="E260" s="84"/>
      <c r="F260" s="89"/>
      <c r="G260" s="89"/>
      <c r="H260" s="89"/>
      <c r="I260" s="89"/>
      <c r="J260" s="89"/>
      <c r="K260" s="84"/>
      <c r="L260" s="756"/>
      <c r="M260" s="752"/>
      <c r="N260" s="89"/>
      <c r="O260" s="84"/>
      <c r="P260" s="90"/>
      <c r="Q260" s="90"/>
      <c r="R260" s="89"/>
      <c r="S260" s="752"/>
      <c r="T260" s="752"/>
      <c r="U260" s="752"/>
      <c r="V260" s="89"/>
      <c r="Z260" s="89"/>
      <c r="AD260" s="32"/>
    </row>
    <row r="261" spans="1:30">
      <c r="A261" s="1225">
        <v>256</v>
      </c>
      <c r="B261" s="783" t="s">
        <v>193</v>
      </c>
      <c r="C261" s="783" t="s">
        <v>194</v>
      </c>
      <c r="E261" s="1416"/>
      <c r="G261" s="18" t="s">
        <v>195</v>
      </c>
      <c r="K261" s="84"/>
      <c r="L261" s="756"/>
      <c r="M261" s="751"/>
      <c r="O261" s="84"/>
      <c r="P261" s="90"/>
      <c r="Q261" s="90"/>
      <c r="S261" s="752"/>
      <c r="T261" s="752"/>
      <c r="U261" s="752"/>
      <c r="AB261" s="1"/>
      <c r="AC261" s="1"/>
      <c r="AD261" s="32"/>
    </row>
    <row r="262" spans="1:30">
      <c r="A262" s="1225">
        <v>257</v>
      </c>
      <c r="B262" s="1" t="s">
        <v>196</v>
      </c>
      <c r="C262" s="84">
        <f t="shared" ref="C262:C272" si="36">E262/D262</f>
        <v>2231</v>
      </c>
      <c r="D262" s="164">
        <v>625</v>
      </c>
      <c r="E262" s="1416">
        <f>SUMIFS('1501 Summary'!$P$1:$P$600,'1501 Summary'!$C$1:$C$600,"*"&amp;B262&amp;"*",'1501 Summary'!$B$1:$B$600,"*"&amp;$B$261&amp;"*")</f>
        <v>1394375</v>
      </c>
      <c r="F262" s="752"/>
      <c r="G262" s="84">
        <f>-SUM(G297,G374,G402,G432,G208)</f>
        <v>81</v>
      </c>
      <c r="H262" s="752">
        <f>D262</f>
        <v>625</v>
      </c>
      <c r="I262" s="84">
        <f>G262*H262</f>
        <v>50625</v>
      </c>
      <c r="J262" s="752"/>
      <c r="K262" s="84">
        <f>C262+G262</f>
        <v>2312</v>
      </c>
      <c r="L262" s="751">
        <f>D262</f>
        <v>625</v>
      </c>
      <c r="M262" s="752">
        <f>L262*K262</f>
        <v>1445000</v>
      </c>
      <c r="N262" s="752"/>
      <c r="O262" s="84">
        <f>K262</f>
        <v>2312</v>
      </c>
      <c r="P262" s="90">
        <v>625</v>
      </c>
      <c r="Q262" s="86">
        <f>P262*O262</f>
        <v>1445000</v>
      </c>
      <c r="R262" s="752"/>
      <c r="S262" s="84">
        <f>'EOP Calculations'!Q123</f>
        <v>2376</v>
      </c>
      <c r="T262" s="752">
        <f>ROUND(S262*P262, 2)</f>
        <v>1485000</v>
      </c>
      <c r="U262" s="752">
        <f t="shared" ref="U262:U274" si="37">T262-Q262</f>
        <v>40000</v>
      </c>
      <c r="V262" s="752"/>
      <c r="W262" s="86"/>
      <c r="X262" s="86"/>
      <c r="Y262" s="776"/>
      <c r="Z262" s="752"/>
      <c r="AA262" s="90">
        <f>'Exh IDM-4, Class Rates'!F39</f>
        <v>625</v>
      </c>
      <c r="AB262" s="86">
        <f>ROUND(AA262*S262, 2)</f>
        <v>1485000</v>
      </c>
      <c r="AC262" s="86">
        <f>AB262-T262</f>
        <v>0</v>
      </c>
      <c r="AD262" s="32"/>
    </row>
    <row r="263" spans="1:30">
      <c r="A263" s="1225">
        <v>258</v>
      </c>
      <c r="B263" s="1" t="s">
        <v>197</v>
      </c>
      <c r="C263" s="84">
        <f>E263/D263</f>
        <v>23983138.699999999</v>
      </c>
      <c r="D263" s="91">
        <v>0.2</v>
      </c>
      <c r="E263" s="1416">
        <f>SUMIFS('1501 Summary'!$P$1:$P$600,'1501 Summary'!$C$1:$C$600,"*"&amp;B263&amp;"*",'1501 Summary'!$B$1:$B$600,"*"&amp;$B$261&amp;"*")</f>
        <v>4796627.74</v>
      </c>
      <c r="F263" s="752"/>
      <c r="G263" s="84">
        <f>-SUM(G298,G375,G403,G433)</f>
        <v>6573621.75</v>
      </c>
      <c r="H263" s="756">
        <f>D263</f>
        <v>0.2</v>
      </c>
      <c r="I263" s="84">
        <f>G263*H263</f>
        <v>1314724.3500000001</v>
      </c>
      <c r="J263" s="752"/>
      <c r="K263" s="84">
        <f>C263+G263</f>
        <v>30556760.449999999</v>
      </c>
      <c r="L263" s="756">
        <f>D263</f>
        <v>0.2</v>
      </c>
      <c r="M263" s="752">
        <f>L263*K263</f>
        <v>6111352.0899999999</v>
      </c>
      <c r="N263" s="752"/>
      <c r="O263" s="84">
        <f t="shared" ref="O263:O272" si="38">K263</f>
        <v>30556760.449999999</v>
      </c>
      <c r="P263" s="90">
        <v>0.2</v>
      </c>
      <c r="Q263" s="86">
        <f>P263*O263</f>
        <v>6111352.0899999999</v>
      </c>
      <c r="R263" s="752"/>
      <c r="S263" s="84">
        <f>O263</f>
        <v>30556760.449999999</v>
      </c>
      <c r="T263" s="752">
        <f>ROUND(S263*P263, 2)</f>
        <v>6111352.0899999999</v>
      </c>
      <c r="U263" s="752">
        <f t="shared" si="37"/>
        <v>0</v>
      </c>
      <c r="V263" s="752"/>
      <c r="W263" s="86"/>
      <c r="X263" s="86"/>
      <c r="Y263" s="776"/>
      <c r="Z263" s="752"/>
      <c r="AA263" s="88">
        <f>'Exh IDM-4, Class Rates'!F40</f>
        <v>0.2</v>
      </c>
      <c r="AB263" s="86">
        <f>ROUND(AA263*S263, 2)</f>
        <v>6111352.0899999999</v>
      </c>
      <c r="AC263" s="86">
        <f>AB263-T263</f>
        <v>0</v>
      </c>
      <c r="AD263" s="32"/>
    </row>
    <row r="264" spans="1:30">
      <c r="A264" s="1225">
        <v>259</v>
      </c>
      <c r="B264" s="1" t="s">
        <v>198</v>
      </c>
      <c r="C264" s="84">
        <f t="shared" si="36"/>
        <v>506788999.99999994</v>
      </c>
      <c r="D264" s="755">
        <v>4.0000000000000002E-4</v>
      </c>
      <c r="E264" s="1416">
        <f>SUMIFS('1501 Summary'!$P$1:$P$600,'1501 Summary'!$C$1:$C$600,"*"&amp;B264&amp;"*",'1501 Summary'!$B$1:$B$600,"*"&amp;$B$261&amp;"*")</f>
        <v>202715.59999999998</v>
      </c>
      <c r="F264" s="752"/>
      <c r="G264" s="84">
        <f>-SUM(G299,G376,G404,G434)</f>
        <v>141716625</v>
      </c>
      <c r="H264" s="756">
        <f>D264</f>
        <v>4.0000000000000002E-4</v>
      </c>
      <c r="I264" s="84">
        <f>G264*H264</f>
        <v>56686.65</v>
      </c>
      <c r="J264" s="752"/>
      <c r="K264" s="84">
        <f t="shared" ref="K264:K272" si="39">C264+G264</f>
        <v>648505625</v>
      </c>
      <c r="L264" s="756">
        <f>D264</f>
        <v>4.0000000000000002E-4</v>
      </c>
      <c r="M264" s="752">
        <f>L264*K264</f>
        <v>259402.25</v>
      </c>
      <c r="N264" s="752"/>
      <c r="O264" s="84">
        <f t="shared" si="38"/>
        <v>648505625</v>
      </c>
      <c r="P264" s="97">
        <v>4.0000000000000002E-4</v>
      </c>
      <c r="Q264" s="86">
        <f>P264*O264</f>
        <v>259402.25</v>
      </c>
      <c r="R264" s="752"/>
      <c r="S264" s="84">
        <f>SUM(S265:S272)</f>
        <v>679252242.35660779</v>
      </c>
      <c r="T264" s="752">
        <f>ROUND(S264*P264, 2)</f>
        <v>271700.90000000002</v>
      </c>
      <c r="U264" s="752">
        <f t="shared" si="37"/>
        <v>12298.650000000023</v>
      </c>
      <c r="V264" s="752"/>
      <c r="W264" s="86"/>
      <c r="X264" s="1"/>
      <c r="Y264" s="1"/>
      <c r="Z264" s="752"/>
      <c r="AA264" s="88">
        <f>'Exh IDM-4, Class Rates'!F41</f>
        <v>4.0000000000000002E-4</v>
      </c>
      <c r="AB264" s="86">
        <f>ROUND(AA264*S264, 2)</f>
        <v>271700.90000000002</v>
      </c>
      <c r="AC264" s="86">
        <f>AB264-T264</f>
        <v>0</v>
      </c>
      <c r="AD264" s="32"/>
    </row>
    <row r="265" spans="1:30">
      <c r="A265" s="1225">
        <v>260</v>
      </c>
      <c r="B265" s="1026" t="s">
        <v>199</v>
      </c>
      <c r="C265" s="84">
        <f t="shared" si="36"/>
        <v>15957054.398799475</v>
      </c>
      <c r="D265" s="772">
        <v>5.3310000000000003E-2</v>
      </c>
      <c r="E265" s="1416">
        <f>SUMIFS('1501 Summary'!$P$1:$P$600,'1501 Summary'!$C$1:$C$600,"*"&amp;B265&amp;"*",'1501 Summary'!$B$1:$B$600,"*"&amp;$B$261&amp;"*")</f>
        <v>850670.57000000007</v>
      </c>
      <c r="F265" s="752"/>
      <c r="G265" s="84">
        <f>-SUM(G300,G377,G405,G435, SUM('663 - 511 Transfer'!B30:C30))</f>
        <v>400000</v>
      </c>
      <c r="H265" s="756">
        <f t="shared" ref="H265:H270" si="40">D265</f>
        <v>5.3310000000000003E-2</v>
      </c>
      <c r="I265" s="84">
        <f t="shared" ref="I265:I270" si="41">G265*H265</f>
        <v>21324</v>
      </c>
      <c r="J265" s="752"/>
      <c r="K265" s="84">
        <f t="shared" si="39"/>
        <v>16357054.398799475</v>
      </c>
      <c r="L265" s="756">
        <f t="shared" ref="L265:L272" si="42">D265</f>
        <v>5.3310000000000003E-2</v>
      </c>
      <c r="M265" s="752">
        <f t="shared" ref="M265:M272" si="43">L265*K265</f>
        <v>871994.57000000007</v>
      </c>
      <c r="N265" s="752"/>
      <c r="O265" s="84">
        <f t="shared" si="38"/>
        <v>16357054.398799475</v>
      </c>
      <c r="P265" s="88"/>
      <c r="Q265" s="90"/>
      <c r="R265" s="752"/>
      <c r="S265" s="84"/>
      <c r="T265" s="752"/>
      <c r="U265" s="752"/>
      <c r="V265" s="752"/>
      <c r="W265" s="84"/>
      <c r="X265" s="88"/>
      <c r="Y265" s="776"/>
      <c r="Z265" s="752"/>
      <c r="AA265" s="88"/>
      <c r="AB265" s="86"/>
      <c r="AC265" s="86"/>
      <c r="AD265" s="32"/>
    </row>
    <row r="266" spans="1:30">
      <c r="A266" s="1225">
        <v>261</v>
      </c>
      <c r="B266" s="1026" t="s">
        <v>200</v>
      </c>
      <c r="C266" s="84">
        <f t="shared" si="36"/>
        <v>74558383.870429128</v>
      </c>
      <c r="D266" s="772">
        <v>5.9889999999999999E-2</v>
      </c>
      <c r="E266" s="1416">
        <f>SUMIFS('1501 Summary'!$P$1:$P$600,'1501 Summary'!$C$1:$C$600,"*"&amp;B266&amp;"*",'1501 Summary'!$B$1:$B$600,"*"&amp;$B$261&amp;"*")</f>
        <v>4465301.6100000003</v>
      </c>
      <c r="F266" s="752"/>
      <c r="G266" s="84">
        <f>-SUM(G301,G378,G406,G436, SUM('663 - 511 Transfer'!D30:K30))</f>
        <v>1678026.3816997828</v>
      </c>
      <c r="H266" s="756">
        <f t="shared" si="40"/>
        <v>5.9889999999999999E-2</v>
      </c>
      <c r="I266" s="84">
        <f t="shared" si="41"/>
        <v>100496.99999999999</v>
      </c>
      <c r="J266" s="752"/>
      <c r="K266" s="84">
        <f t="shared" si="39"/>
        <v>76236410.252128914</v>
      </c>
      <c r="L266" s="756">
        <f t="shared" si="42"/>
        <v>5.9889999999999999E-2</v>
      </c>
      <c r="M266" s="752">
        <f t="shared" si="43"/>
        <v>4565798.6100000003</v>
      </c>
      <c r="N266" s="752"/>
      <c r="O266" s="84">
        <f t="shared" si="38"/>
        <v>76236410.252128914</v>
      </c>
      <c r="P266" s="88">
        <v>0.06</v>
      </c>
      <c r="Q266" s="86">
        <f>SUM(O265:O266)*P266</f>
        <v>5555607.8790557031</v>
      </c>
      <c r="R266" s="752"/>
      <c r="S266" s="84">
        <f>'EOP Calculations'!P123</f>
        <v>98870371.993092954</v>
      </c>
      <c r="T266" s="752">
        <f>ROUND(S266*P266, 2)</f>
        <v>5932222.3200000003</v>
      </c>
      <c r="U266" s="752">
        <f t="shared" si="37"/>
        <v>376614.44094429724</v>
      </c>
      <c r="V266" s="752"/>
      <c r="W266" s="84">
        <f>S266</f>
        <v>98870371.993092954</v>
      </c>
      <c r="X266" s="88">
        <v>5.1999999999999995E-4</v>
      </c>
      <c r="Y266" s="776">
        <f>X266*W266</f>
        <v>51412.59343640833</v>
      </c>
      <c r="Z266" s="752"/>
      <c r="AA266" s="88">
        <f>'Exh IDM-4, Class Rates'!F42</f>
        <v>6.5388926017189458E-2</v>
      </c>
      <c r="AB266" s="86">
        <f>ROUND(AA266*S266, 2)</f>
        <v>6465027.4400000004</v>
      </c>
      <c r="AC266" s="86">
        <f>AB266-T266</f>
        <v>532805.12000000011</v>
      </c>
      <c r="AD266" s="32"/>
    </row>
    <row r="267" spans="1:30">
      <c r="A267" s="1225">
        <v>262</v>
      </c>
      <c r="B267" s="1026" t="s">
        <v>201</v>
      </c>
      <c r="C267" s="84">
        <f t="shared" si="36"/>
        <v>10698859.12596401</v>
      </c>
      <c r="D267" s="772">
        <v>1.9449999999999999E-2</v>
      </c>
      <c r="E267" s="1416">
        <f>SUMIFS('1501 Summary'!$P$1:$P$600,'1501 Summary'!$C$1:$C$600,"*"&amp;B267&amp;"*",'1501 Summary'!$B$1:$B$600,"*"&amp;$B$261&amp;"*")</f>
        <v>208092.81</v>
      </c>
      <c r="F267" s="752"/>
      <c r="G267" s="84">
        <f>-SUM(G302,G379,G407,G437, SUM('663 - 511 Transfer'!B31:C31))</f>
        <v>800000</v>
      </c>
      <c r="H267" s="756">
        <f t="shared" si="40"/>
        <v>1.9449999999999999E-2</v>
      </c>
      <c r="I267" s="84">
        <f t="shared" si="41"/>
        <v>15559.999999999998</v>
      </c>
      <c r="J267" s="752"/>
      <c r="K267" s="84">
        <f t="shared" si="39"/>
        <v>11498859.12596401</v>
      </c>
      <c r="L267" s="756">
        <f t="shared" si="42"/>
        <v>1.9449999999999999E-2</v>
      </c>
      <c r="M267" s="752">
        <f t="shared" si="43"/>
        <v>223652.80999999997</v>
      </c>
      <c r="N267" s="752"/>
      <c r="O267" s="84">
        <f t="shared" si="38"/>
        <v>11498859.12596401</v>
      </c>
      <c r="P267" s="88"/>
      <c r="Q267" s="90"/>
      <c r="R267" s="752"/>
      <c r="S267" s="84"/>
      <c r="T267" s="752"/>
      <c r="U267" s="752"/>
      <c r="V267" s="752"/>
      <c r="W267" s="84"/>
      <c r="X267" s="88"/>
      <c r="Y267" s="776"/>
      <c r="Z267" s="752"/>
      <c r="AA267" s="88"/>
      <c r="AB267" s="86"/>
      <c r="AC267" s="86"/>
      <c r="AD267" s="32"/>
    </row>
    <row r="268" spans="1:30">
      <c r="A268" s="1225">
        <v>263</v>
      </c>
      <c r="B268" s="1026" t="s">
        <v>202</v>
      </c>
      <c r="C268" s="84">
        <f t="shared" si="36"/>
        <v>52265693.877551034</v>
      </c>
      <c r="D268" s="772">
        <v>2.3029999999999998E-2</v>
      </c>
      <c r="E268" s="1416">
        <f>SUMIFS('1501 Summary'!$P$1:$P$600,'1501 Summary'!$C$1:$C$600,"*"&amp;B268&amp;"*",'1501 Summary'!$B$1:$B$600,"*"&amp;$B$261&amp;"*")</f>
        <v>1203678.9300000002</v>
      </c>
      <c r="F268" s="752"/>
      <c r="G268" s="84">
        <f>-SUM(G303,G380,G408,G438,SUM('663 - 511 Transfer'!D31:K31))</f>
        <v>3337820.2344767693</v>
      </c>
      <c r="H268" s="756">
        <f t="shared" si="40"/>
        <v>2.3029999999999998E-2</v>
      </c>
      <c r="I268" s="84">
        <f t="shared" si="41"/>
        <v>76869.999999999985</v>
      </c>
      <c r="J268" s="752"/>
      <c r="K268" s="84">
        <f t="shared" si="39"/>
        <v>55603514.112027802</v>
      </c>
      <c r="L268" s="756">
        <f t="shared" si="42"/>
        <v>2.3029999999999998E-2</v>
      </c>
      <c r="M268" s="752">
        <f t="shared" si="43"/>
        <v>1280548.9300000002</v>
      </c>
      <c r="N268" s="752"/>
      <c r="O268" s="84">
        <f t="shared" si="38"/>
        <v>55603514.112027802</v>
      </c>
      <c r="P268" s="88">
        <v>2.3310000000000001E-2</v>
      </c>
      <c r="Q268" s="86">
        <f>SUM(O267:O268)*P268</f>
        <v>1564156.3201775891</v>
      </c>
      <c r="R268" s="752"/>
      <c r="S268" s="84">
        <f>'EOP Calculations'!P124</f>
        <v>74558946.611349955</v>
      </c>
      <c r="T268" s="752">
        <f>ROUND(S268*P268, 2)</f>
        <v>1737969.05</v>
      </c>
      <c r="U268" s="752">
        <f t="shared" si="37"/>
        <v>173812.72982241097</v>
      </c>
      <c r="V268" s="752"/>
      <c r="W268" s="84">
        <f>S268</f>
        <v>74558946.611349955</v>
      </c>
      <c r="X268" s="88">
        <v>5.1999999999999995E-4</v>
      </c>
      <c r="Y268" s="776">
        <f>X268*W268</f>
        <v>38770.652237901973</v>
      </c>
      <c r="Z268" s="752"/>
      <c r="AA268" s="88">
        <f>'Exh IDM-4, Class Rates'!F43</f>
        <v>2.5403597706127164E-2</v>
      </c>
      <c r="AB268" s="86">
        <f>ROUND(AA268*S268, 2)</f>
        <v>1894065.49</v>
      </c>
      <c r="AC268" s="86">
        <f>AB268-T268</f>
        <v>156096.43999999994</v>
      </c>
      <c r="AD268" s="32"/>
    </row>
    <row r="269" spans="1:30">
      <c r="A269" s="1225">
        <v>264</v>
      </c>
      <c r="B269" s="1026" t="s">
        <v>203</v>
      </c>
      <c r="C269" s="84">
        <f t="shared" si="36"/>
        <v>5535900.1692047371</v>
      </c>
      <c r="D269" s="772">
        <v>1.1820000000000001E-2</v>
      </c>
      <c r="E269" s="1416">
        <f>SUMIFS('1501 Summary'!$P$1:$P$600,'1501 Summary'!$C$1:$C$600,"*"&amp;B269&amp;"*",'1501 Summary'!$B$1:$B$600,"*"&amp;$B$261&amp;"*")</f>
        <v>65434.34</v>
      </c>
      <c r="F269" s="752"/>
      <c r="G269" s="84">
        <f>-SUM(G304,G381,G409,G439, SUM('663 - 511 Transfer'!B32:C32))</f>
        <v>662330.79526226735</v>
      </c>
      <c r="H269" s="756">
        <f t="shared" si="40"/>
        <v>1.1820000000000001E-2</v>
      </c>
      <c r="I269" s="84">
        <f t="shared" si="41"/>
        <v>7828.7500000000009</v>
      </c>
      <c r="J269" s="752"/>
      <c r="K269" s="84">
        <f t="shared" si="39"/>
        <v>6198230.9644670039</v>
      </c>
      <c r="L269" s="756">
        <f t="shared" si="42"/>
        <v>1.1820000000000001E-2</v>
      </c>
      <c r="M269" s="752">
        <f t="shared" si="43"/>
        <v>73263.09</v>
      </c>
      <c r="N269" s="752"/>
      <c r="O269" s="84">
        <f t="shared" si="38"/>
        <v>6198230.9644670039</v>
      </c>
      <c r="P269" s="88"/>
      <c r="Q269" s="90"/>
      <c r="R269" s="752"/>
      <c r="S269" s="84"/>
      <c r="T269" s="752"/>
      <c r="U269" s="752"/>
      <c r="V269" s="752"/>
      <c r="W269" s="84"/>
      <c r="X269" s="88"/>
      <c r="Y269" s="776"/>
      <c r="Z269" s="752"/>
      <c r="AA269" s="88"/>
      <c r="AB269" s="86"/>
      <c r="AC269" s="86"/>
      <c r="AD269" s="32"/>
    </row>
    <row r="270" spans="1:30">
      <c r="A270" s="1225">
        <v>265</v>
      </c>
      <c r="B270" s="1026" t="s">
        <v>204</v>
      </c>
      <c r="C270" s="84">
        <f t="shared" si="36"/>
        <v>25364690.427698575</v>
      </c>
      <c r="D270" s="772">
        <v>1.473E-2</v>
      </c>
      <c r="E270" s="1416">
        <f>SUMIFS('1501 Summary'!$P$1:$P$600,'1501 Summary'!$C$1:$C$600,"*"&amp;B270&amp;"*",'1501 Summary'!$B$1:$B$600,"*"&amp;$B$261&amp;"*")</f>
        <v>373621.89</v>
      </c>
      <c r="F270" s="752"/>
      <c r="G270" s="84">
        <f>-SUM(G305,G382,G410,G440, SUM('663 - 511 Transfer'!D32:K32))</f>
        <v>3736126.710794298</v>
      </c>
      <c r="H270" s="756">
        <f t="shared" si="40"/>
        <v>1.473E-2</v>
      </c>
      <c r="I270" s="84">
        <f t="shared" si="41"/>
        <v>55033.146450000007</v>
      </c>
      <c r="J270" s="752"/>
      <c r="K270" s="84">
        <f t="shared" si="39"/>
        <v>29100817.138492875</v>
      </c>
      <c r="L270" s="756">
        <f t="shared" si="42"/>
        <v>1.473E-2</v>
      </c>
      <c r="M270" s="752">
        <f t="shared" si="43"/>
        <v>428655.03645000007</v>
      </c>
      <c r="N270" s="752"/>
      <c r="O270" s="84">
        <f t="shared" si="38"/>
        <v>29100817.138492875</v>
      </c>
      <c r="P270" s="88">
        <v>1.5049999999999999E-2</v>
      </c>
      <c r="Q270" s="86">
        <f>SUM(O269:O270)*P270</f>
        <v>531250.67394954618</v>
      </c>
      <c r="R270" s="752"/>
      <c r="S270" s="84">
        <f>'EOP Calculations'!P125</f>
        <v>40341807.040468045</v>
      </c>
      <c r="T270" s="752">
        <f>ROUND(S270*P270, 2)</f>
        <v>607144.19999999995</v>
      </c>
      <c r="U270" s="752">
        <f t="shared" si="37"/>
        <v>75893.526050453773</v>
      </c>
      <c r="V270" s="752"/>
      <c r="W270" s="84">
        <f>S270</f>
        <v>40341807.040468045</v>
      </c>
      <c r="X270" s="88">
        <v>5.1999999999999995E-4</v>
      </c>
      <c r="Y270" s="776">
        <f>X270*W270</f>
        <v>20977.739661043383</v>
      </c>
      <c r="Z270" s="752"/>
      <c r="AA270" s="88">
        <f>'Exh IDM-4, Class Rates'!F44</f>
        <v>1.6401722286073058E-2</v>
      </c>
      <c r="AB270" s="86">
        <f>ROUND(AA270*S270, 2)</f>
        <v>661675.12</v>
      </c>
      <c r="AC270" s="86">
        <f>AB270-T270</f>
        <v>54530.920000000042</v>
      </c>
      <c r="AD270" s="32"/>
    </row>
    <row r="271" spans="1:30">
      <c r="A271" s="1225">
        <v>266</v>
      </c>
      <c r="B271" s="1026" t="s">
        <v>205</v>
      </c>
      <c r="C271" s="84">
        <f t="shared" si="36"/>
        <v>58260482.206405699</v>
      </c>
      <c r="D271" s="772">
        <v>5.62E-3</v>
      </c>
      <c r="E271" s="1416">
        <f>SUMIFS('1501 Summary'!$P$1:$P$600,'1501 Summary'!$C$1:$C$600,"*"&amp;B271&amp;"*",'1501 Summary'!$B$1:$B$600,"*"&amp;$B$261&amp;"*")</f>
        <v>327423.91000000003</v>
      </c>
      <c r="F271" s="752"/>
      <c r="G271" s="84">
        <f>-SUM(G306,G383,G411, SUM('663 - 511 Transfer'!B33:C33))</f>
        <v>29098104.533807829</v>
      </c>
      <c r="H271" s="756">
        <f>D271</f>
        <v>5.62E-3</v>
      </c>
      <c r="I271" s="84">
        <f>G271*H271</f>
        <v>163531.34748</v>
      </c>
      <c r="J271" s="752"/>
      <c r="K271" s="84">
        <f t="shared" si="39"/>
        <v>87358586.740213528</v>
      </c>
      <c r="L271" s="756">
        <f t="shared" si="42"/>
        <v>5.62E-3</v>
      </c>
      <c r="M271" s="752">
        <f t="shared" si="43"/>
        <v>490955.25748000003</v>
      </c>
      <c r="N271" s="752"/>
      <c r="O271" s="84">
        <f t="shared" si="38"/>
        <v>87358586.740213528</v>
      </c>
      <c r="P271" s="88"/>
      <c r="Q271" s="90"/>
      <c r="R271" s="752"/>
      <c r="S271" s="84"/>
      <c r="T271" s="752"/>
      <c r="U271" s="752"/>
      <c r="V271" s="752"/>
      <c r="W271" s="84"/>
      <c r="X271" s="88"/>
      <c r="Y271" s="776"/>
      <c r="Z271" s="752"/>
      <c r="AA271" s="88"/>
      <c r="AB271" s="86"/>
      <c r="AC271" s="86"/>
      <c r="AD271" s="32"/>
    </row>
    <row r="272" spans="1:30">
      <c r="A272" s="1225">
        <v>267</v>
      </c>
      <c r="B272" s="1026" t="s">
        <v>206</v>
      </c>
      <c r="C272" s="84">
        <f t="shared" si="36"/>
        <v>254439964.91228077</v>
      </c>
      <c r="D272" s="772">
        <v>7.9799999999999992E-3</v>
      </c>
      <c r="E272" s="1416">
        <f>SUMIFS('1501 Summary'!$P$1:$P$600,'1501 Summary'!$C$1:$C$600,"*"&amp;B272&amp;"*",'1501 Summary'!$B$1:$B$600,"*"&amp;$B$261&amp;"*")</f>
        <v>2030430.9200000004</v>
      </c>
      <c r="F272" s="752"/>
      <c r="G272" s="84">
        <f>-SUM(G307,G384,G412,G442, SUM('663 - 511 Transfer'!D33:K33))</f>
        <v>92314767.894736856</v>
      </c>
      <c r="H272" s="756">
        <f>D272</f>
        <v>7.9799999999999992E-3</v>
      </c>
      <c r="I272" s="779">
        <f>G272*H272</f>
        <v>736671.84779999999</v>
      </c>
      <c r="J272" s="752"/>
      <c r="K272" s="84">
        <f t="shared" si="39"/>
        <v>346754732.80701762</v>
      </c>
      <c r="L272" s="756">
        <f t="shared" si="42"/>
        <v>7.9799999999999992E-3</v>
      </c>
      <c r="M272" s="752">
        <f t="shared" si="43"/>
        <v>2767102.7678000005</v>
      </c>
      <c r="N272" s="752"/>
      <c r="O272" s="84">
        <f t="shared" si="38"/>
        <v>346754732.80701762</v>
      </c>
      <c r="P272" s="88">
        <v>8.3300000000000006E-3</v>
      </c>
      <c r="Q272" s="86">
        <f>SUM(O271:O272)*P272</f>
        <v>3616163.9518284355</v>
      </c>
      <c r="R272" s="752"/>
      <c r="S272" s="84">
        <f>'EOP Calculations'!P126</f>
        <v>465481116.71169686</v>
      </c>
      <c r="T272" s="752">
        <f>ROUND(S272*P272, 2)</f>
        <v>3877457.7</v>
      </c>
      <c r="U272" s="752">
        <f t="shared" si="37"/>
        <v>261293.74817156466</v>
      </c>
      <c r="V272" s="752"/>
      <c r="W272" s="84">
        <f>S272</f>
        <v>465481116.71169686</v>
      </c>
      <c r="X272" s="88">
        <v>5.1999999999999995E-4</v>
      </c>
      <c r="Y272" s="776">
        <f>X272*W272</f>
        <v>242050.18069008234</v>
      </c>
      <c r="Z272" s="752"/>
      <c r="AA272" s="88">
        <f>'Exh IDM-4, Class Rates'!F45</f>
        <v>9.0781625520247461E-3</v>
      </c>
      <c r="AB272" s="630">
        <f>ROUND(AA272*S272, 2)</f>
        <v>4225713.24</v>
      </c>
      <c r="AC272" s="630">
        <f>AB272-T272</f>
        <v>348255.54000000004</v>
      </c>
      <c r="AD272" s="32"/>
    </row>
    <row r="273" spans="1:30">
      <c r="A273" s="1225">
        <v>268</v>
      </c>
      <c r="B273" s="754" t="s">
        <v>207</v>
      </c>
      <c r="C273" s="84"/>
      <c r="D273" s="772"/>
      <c r="E273" s="1418">
        <f>SUMIFS('1501 Summary'!$P$1:$P$600,'1501 Summary'!$C$1:$C$600,"*"&amp;B273&amp;"*",'1501 Summary'!$B$1:$B$600,"*"&amp;$B$261&amp;"*")</f>
        <v>1742.49</v>
      </c>
      <c r="F273" s="752"/>
      <c r="G273" s="84"/>
      <c r="H273" s="756"/>
      <c r="I273" s="631"/>
      <c r="J273" s="752"/>
      <c r="K273" s="84"/>
      <c r="L273" s="756"/>
      <c r="M273" s="761">
        <f>E273</f>
        <v>1742.49</v>
      </c>
      <c r="N273" s="752"/>
      <c r="O273" s="84"/>
      <c r="P273" s="90"/>
      <c r="Q273" s="633"/>
      <c r="R273" s="752"/>
      <c r="S273" s="84"/>
      <c r="T273" s="761"/>
      <c r="U273" s="761"/>
      <c r="V273" s="752"/>
      <c r="W273" s="84"/>
      <c r="X273" s="88"/>
      <c r="Y273" s="630"/>
      <c r="Z273" s="752"/>
      <c r="AA273" s="88"/>
      <c r="AB273" s="86"/>
      <c r="AC273" s="776"/>
      <c r="AD273" s="32"/>
    </row>
    <row r="274" spans="1:30">
      <c r="A274" s="1225">
        <v>269</v>
      </c>
      <c r="B274" s="1" t="s">
        <v>127</v>
      </c>
      <c r="E274" s="1416">
        <f>SUM(E262:E273)</f>
        <v>15920115.810000001</v>
      </c>
      <c r="F274" s="751"/>
      <c r="G274" s="751"/>
      <c r="H274" s="751"/>
      <c r="I274" s="751">
        <f>SUM(I262:I272)</f>
        <v>2599352.09173</v>
      </c>
      <c r="J274" s="751"/>
      <c r="K274" s="84"/>
      <c r="L274" s="756"/>
      <c r="M274" s="752">
        <f>SUM(M262:M273)</f>
        <v>18519467.901729997</v>
      </c>
      <c r="N274" s="751"/>
      <c r="O274" s="84"/>
      <c r="P274" s="90"/>
      <c r="Q274" s="752">
        <f>SUM(Q262:Q273)</f>
        <v>19082933.165011272</v>
      </c>
      <c r="R274" s="751"/>
      <c r="S274" s="751"/>
      <c r="T274" s="752">
        <f>SUM(T262:T272)</f>
        <v>20022846.260000002</v>
      </c>
      <c r="U274" s="752">
        <f t="shared" si="37"/>
        <v>939913.0949887298</v>
      </c>
      <c r="V274" s="751"/>
      <c r="W274" s="90"/>
      <c r="X274" s="90"/>
      <c r="Y274" s="86">
        <f>SUM(Y265:Y272)</f>
        <v>353211.16602543602</v>
      </c>
      <c r="Z274" s="751"/>
      <c r="AB274" s="86">
        <f>SUM(AB262:AB272)</f>
        <v>21114534.280000001</v>
      </c>
      <c r="AC274" s="86">
        <f>SUM(AC262:AC272)</f>
        <v>1091688.02</v>
      </c>
      <c r="AD274" s="32"/>
    </row>
    <row r="275" spans="1:30">
      <c r="A275" s="1225">
        <v>270</v>
      </c>
      <c r="E275" s="1416"/>
      <c r="F275" s="751"/>
      <c r="G275" s="751"/>
      <c r="H275" s="751"/>
      <c r="I275" s="751"/>
      <c r="J275" s="751"/>
      <c r="K275" s="84"/>
      <c r="L275" s="756"/>
      <c r="M275" s="752"/>
      <c r="N275" s="751"/>
      <c r="O275" s="84" t="s">
        <v>131</v>
      </c>
      <c r="P275" s="90"/>
      <c r="Q275" s="95">
        <f>Q274-M274</f>
        <v>563465.26328127459</v>
      </c>
      <c r="R275" s="751"/>
      <c r="S275" s="752"/>
      <c r="T275" s="752"/>
      <c r="U275" s="752"/>
      <c r="V275" s="751"/>
      <c r="W275" s="752"/>
      <c r="X275" s="752"/>
      <c r="Y275" s="752"/>
      <c r="Z275" s="751"/>
      <c r="AC275" s="752"/>
      <c r="AD275" s="32"/>
    </row>
    <row r="276" spans="1:30">
      <c r="A276" s="1225">
        <v>271</v>
      </c>
      <c r="B276" s="1" t="s">
        <v>130</v>
      </c>
      <c r="E276" s="1416"/>
      <c r="K276" s="84"/>
      <c r="L276" s="756"/>
      <c r="M276" s="752"/>
      <c r="O276" s="90"/>
      <c r="P276" s="90"/>
      <c r="Q276" s="90"/>
      <c r="S276" s="752"/>
      <c r="T276" s="752"/>
      <c r="U276" s="752"/>
      <c r="W276" s="1"/>
      <c r="X276" s="1"/>
      <c r="Y276" s="1"/>
      <c r="AC276" s="1"/>
      <c r="AD276" s="32"/>
    </row>
    <row r="277" spans="1:30">
      <c r="A277" s="1225">
        <v>272</v>
      </c>
      <c r="B277" s="914" t="s">
        <v>208</v>
      </c>
      <c r="E277" s="1416">
        <f>SUMIFS('1501 Summary'!$P$1:$P$600,'1501 Summary'!$C$1:$C$600,"*"&amp;B277&amp;"*",'1501 Summary'!$B$1:$B$600,"*"&amp;$B$261&amp;"*")</f>
        <v>-356323.18999999994</v>
      </c>
      <c r="F277" s="787"/>
      <c r="G277" s="787"/>
      <c r="H277" s="787"/>
      <c r="I277" s="787"/>
      <c r="J277" s="787"/>
      <c r="K277" s="84"/>
      <c r="L277" s="756"/>
      <c r="M277" s="752"/>
      <c r="N277" s="787"/>
      <c r="O277" s="90"/>
      <c r="P277" s="90"/>
      <c r="Q277" s="90"/>
      <c r="R277" s="787"/>
      <c r="S277" s="752"/>
      <c r="T277" s="752"/>
      <c r="U277" s="752"/>
      <c r="V277" s="787"/>
      <c r="W277" s="1"/>
      <c r="X277" s="1"/>
      <c r="Y277" s="1"/>
      <c r="Z277" s="787"/>
      <c r="AC277" s="1"/>
      <c r="AD277" s="32"/>
    </row>
    <row r="278" spans="1:30">
      <c r="A278" s="1225">
        <v>273</v>
      </c>
      <c r="B278" s="914" t="s">
        <v>209</v>
      </c>
      <c r="E278" s="1416">
        <f>SUMIFS('1501 Summary'!$P$1:$P$600,'1501 Summary'!$C$1:$C$600,"*"&amp;B278&amp;"*",'1501 Summary'!$B$1:$B$600,"*"&amp;$B$261&amp;"*")</f>
        <v>-134876.42000000001</v>
      </c>
      <c r="F278" s="787"/>
      <c r="G278" s="787"/>
      <c r="H278" s="787"/>
      <c r="I278" s="787"/>
      <c r="J278" s="787"/>
      <c r="K278" s="84"/>
      <c r="L278" s="756"/>
      <c r="M278" s="752"/>
      <c r="N278" s="787"/>
      <c r="O278" s="90"/>
      <c r="P278" s="90"/>
      <c r="Q278" s="90"/>
      <c r="R278" s="787"/>
      <c r="S278" s="752"/>
      <c r="T278" s="752"/>
      <c r="U278" s="752"/>
      <c r="V278" s="787"/>
      <c r="W278" s="1"/>
      <c r="X278" s="1"/>
      <c r="Y278" s="1"/>
      <c r="Z278" s="787"/>
      <c r="AC278" s="1"/>
      <c r="AD278" s="32"/>
    </row>
    <row r="279" spans="1:30">
      <c r="A279" s="1225">
        <v>274</v>
      </c>
      <c r="B279" s="914" t="s">
        <v>139</v>
      </c>
      <c r="E279" s="1416">
        <f>SUMIFS('1501 Summary'!$P$1:$P$600,'1501 Summary'!$C$1:$C$600,"*"&amp;B279&amp;"*",'1501 Summary'!$B$1:$B$600,"*"&amp;$B$261&amp;"*")</f>
        <v>449.84000000000009</v>
      </c>
      <c r="F279" s="787"/>
      <c r="G279" s="787"/>
      <c r="H279" s="787"/>
      <c r="I279" s="787"/>
      <c r="J279" s="787"/>
      <c r="K279" s="84"/>
      <c r="L279" s="756"/>
      <c r="M279" s="752"/>
      <c r="N279" s="787"/>
      <c r="O279" s="90"/>
      <c r="P279" s="90"/>
      <c r="Q279" s="90"/>
      <c r="R279" s="787"/>
      <c r="S279" s="752"/>
      <c r="T279" s="752"/>
      <c r="U279" s="752"/>
      <c r="V279" s="787"/>
      <c r="W279" s="1"/>
      <c r="X279" s="1"/>
      <c r="Y279" s="1"/>
      <c r="Z279" s="787"/>
      <c r="AC279" s="1"/>
      <c r="AD279" s="32"/>
    </row>
    <row r="280" spans="1:30">
      <c r="A280" s="1225">
        <v>275</v>
      </c>
      <c r="B280" s="18" t="s">
        <v>133</v>
      </c>
      <c r="E280" s="1416">
        <f>SUMIFS('1501 Summary'!$P$1:$P$600,'1501 Summary'!$C$1:$C$600,"*"&amp;B280&amp;"*",'1501 Summary'!$B$1:$B$600,"*"&amp;$B$261&amp;"*")</f>
        <v>152028.44999999998</v>
      </c>
      <c r="F280" s="787"/>
      <c r="G280" s="787"/>
      <c r="H280" s="787"/>
      <c r="I280" s="787"/>
      <c r="J280" s="787"/>
      <c r="K280" s="84"/>
      <c r="L280" s="756"/>
      <c r="M280" s="752"/>
      <c r="N280" s="787"/>
      <c r="O280" s="90"/>
      <c r="P280" s="90"/>
      <c r="Q280" s="90"/>
      <c r="R280" s="787"/>
      <c r="S280" s="752"/>
      <c r="T280" s="752"/>
      <c r="U280" s="752"/>
      <c r="V280" s="787"/>
      <c r="W280" s="1"/>
      <c r="X280" s="1"/>
      <c r="Y280" s="1"/>
      <c r="Z280" s="787"/>
      <c r="AC280" s="1"/>
      <c r="AD280" s="32"/>
    </row>
    <row r="281" spans="1:30">
      <c r="A281" s="1225">
        <v>276</v>
      </c>
      <c r="B281" s="18" t="s">
        <v>134</v>
      </c>
      <c r="E281" s="1416">
        <f>SUMIFS('1501 Summary'!$P$1:$P$600,'1501 Summary'!$C$1:$C$600,"*"&amp;B281&amp;"*",'1501 Summary'!$B$1:$B$600,"*"&amp;$B$261&amp;"*")</f>
        <v>390772.39999999991</v>
      </c>
      <c r="F281" s="787"/>
      <c r="G281" s="787"/>
      <c r="H281" s="787"/>
      <c r="I281" s="787"/>
      <c r="J281" s="787"/>
      <c r="K281" s="84"/>
      <c r="L281" s="756"/>
      <c r="M281" s="752"/>
      <c r="N281" s="787"/>
      <c r="O281" s="90"/>
      <c r="P281" s="90"/>
      <c r="Q281" s="90"/>
      <c r="R281" s="787"/>
      <c r="S281" s="752"/>
      <c r="T281" s="752"/>
      <c r="U281" s="752"/>
      <c r="V281" s="787"/>
      <c r="W281" s="1"/>
      <c r="X281" s="1"/>
      <c r="Y281" s="1"/>
      <c r="Z281" s="787"/>
      <c r="AC281" s="1"/>
      <c r="AD281" s="32"/>
    </row>
    <row r="282" spans="1:30">
      <c r="A282" s="1225">
        <v>277</v>
      </c>
      <c r="B282" s="18" t="s">
        <v>210</v>
      </c>
      <c r="E282" s="1416">
        <f>SUMIFS('1501 Summary'!$P$1:$P$600,'1501 Summary'!$C$1:$C$600,"*"&amp;B282&amp;"*",'1501 Summary'!$B$1:$B$600,"*"&amp;$B$261&amp;"*")</f>
        <v>22500</v>
      </c>
      <c r="F282" s="787"/>
      <c r="G282" s="787"/>
      <c r="H282" s="787"/>
      <c r="I282" s="787"/>
      <c r="J282" s="787"/>
      <c r="K282" s="84"/>
      <c r="L282" s="756"/>
      <c r="M282" s="752"/>
      <c r="N282" s="787"/>
      <c r="O282" s="90"/>
      <c r="P282" s="90"/>
      <c r="Q282" s="90"/>
      <c r="R282" s="787"/>
      <c r="S282" s="752"/>
      <c r="T282" s="752"/>
      <c r="U282" s="752"/>
      <c r="V282" s="787"/>
      <c r="W282" s="1"/>
      <c r="X282" s="1"/>
      <c r="Y282" s="1"/>
      <c r="Z282" s="787"/>
      <c r="AC282" s="1"/>
      <c r="AD282" s="32"/>
    </row>
    <row r="283" spans="1:30">
      <c r="A283" s="1225">
        <v>278</v>
      </c>
      <c r="B283" s="18" t="s">
        <v>211</v>
      </c>
      <c r="E283" s="1416">
        <f>SUMIFS('1501 Summary'!$P$1:$P$600,'1501 Summary'!$C$1:$C$600,"*"&amp;B283&amp;"*",'1501 Summary'!$B$1:$B$600,"*"&amp;$B$261&amp;"*")</f>
        <v>697979.23999997706</v>
      </c>
      <c r="F283" s="787"/>
      <c r="G283" s="787"/>
      <c r="H283" s="787"/>
      <c r="I283" s="787"/>
      <c r="J283" s="787"/>
      <c r="K283" s="84"/>
      <c r="L283" s="756"/>
      <c r="M283" s="752"/>
      <c r="N283" s="787"/>
      <c r="O283" s="90"/>
      <c r="P283" s="90"/>
      <c r="Q283" s="90"/>
      <c r="R283" s="787"/>
      <c r="S283" s="752"/>
      <c r="T283" s="752"/>
      <c r="U283" s="752"/>
      <c r="V283" s="787"/>
      <c r="W283" s="1"/>
      <c r="X283" s="1"/>
      <c r="Y283" s="1"/>
      <c r="Z283" s="787"/>
      <c r="AC283" s="1"/>
      <c r="AD283" s="32"/>
    </row>
    <row r="284" spans="1:30">
      <c r="A284" s="1225">
        <v>279</v>
      </c>
      <c r="B284" s="18" t="s">
        <v>140</v>
      </c>
      <c r="E284" s="1416">
        <f>SUMIFS('1501 Summary'!$P$1:$P$600,'1501 Summary'!$C$1:$C$600,"*"&amp;B284&amp;"*",'1501 Summary'!$B$1:$B$600,"*"&amp;$B$261&amp;"*")</f>
        <v>426653.9200000001</v>
      </c>
      <c r="F284" s="787"/>
      <c r="G284" s="787"/>
      <c r="H284" s="787"/>
      <c r="I284" s="787"/>
      <c r="J284" s="787"/>
      <c r="K284" s="84"/>
      <c r="L284" s="756"/>
      <c r="M284" s="752"/>
      <c r="N284" s="787"/>
      <c r="O284" s="90"/>
      <c r="P284" s="90"/>
      <c r="Q284" s="90"/>
      <c r="R284" s="787"/>
      <c r="S284" s="752"/>
      <c r="T284" s="752"/>
      <c r="U284" s="752"/>
      <c r="V284" s="787"/>
      <c r="W284" s="1"/>
      <c r="X284" s="1"/>
      <c r="Y284" s="1"/>
      <c r="Z284" s="787"/>
      <c r="AC284" s="1"/>
      <c r="AD284" s="32"/>
    </row>
    <row r="285" spans="1:30">
      <c r="A285" s="1225">
        <v>280</v>
      </c>
      <c r="B285" s="18" t="s">
        <v>141</v>
      </c>
      <c r="E285" s="1416">
        <f>SUMIFS('1501 Summary'!$P$1:$P$600,'1501 Summary'!$C$1:$C$600,"*"&amp;B285&amp;"*",'1501 Summary'!$B$1:$B$600,"*"&amp;$B$261&amp;"*")</f>
        <v>-2035.07</v>
      </c>
      <c r="F285" s="787"/>
      <c r="G285" s="787"/>
      <c r="H285" s="787"/>
      <c r="I285" s="787"/>
      <c r="J285" s="787"/>
      <c r="K285" s="84"/>
      <c r="L285" s="756"/>
      <c r="M285" s="752"/>
      <c r="N285" s="787"/>
      <c r="O285" s="90"/>
      <c r="P285" s="90"/>
      <c r="Q285" s="90"/>
      <c r="R285" s="787"/>
      <c r="S285" s="752"/>
      <c r="T285" s="752"/>
      <c r="U285" s="752"/>
      <c r="V285" s="787"/>
      <c r="W285" s="1"/>
      <c r="X285" s="1"/>
      <c r="Y285" s="1"/>
      <c r="Z285" s="787"/>
      <c r="AC285" s="1"/>
      <c r="AD285" s="32"/>
    </row>
    <row r="286" spans="1:30">
      <c r="A286" s="1225">
        <v>281</v>
      </c>
      <c r="B286" s="1" t="s">
        <v>142</v>
      </c>
      <c r="E286" s="1416">
        <f>SUMIFS('1501 Summary'!$P$1:$P$600,'1501 Summary'!$C$1:$C$600,"*"&amp;B286&amp;"*",'1501 Summary'!$B$1:$B$600,"*"&amp;$B$261&amp;"*")</f>
        <v>9627.8100000000013</v>
      </c>
      <c r="F286" s="787"/>
      <c r="G286" s="787"/>
      <c r="H286" s="787"/>
      <c r="I286" s="787"/>
      <c r="J286" s="787"/>
      <c r="K286" s="84"/>
      <c r="L286" s="756"/>
      <c r="M286" s="752"/>
      <c r="N286" s="787"/>
      <c r="O286" s="90"/>
      <c r="P286" s="90"/>
      <c r="Q286" s="90"/>
      <c r="R286" s="787"/>
      <c r="S286" s="752"/>
      <c r="T286" s="752"/>
      <c r="U286" s="752"/>
      <c r="V286" s="787"/>
      <c r="W286" s="1"/>
      <c r="X286" s="1"/>
      <c r="Y286" s="1"/>
      <c r="Z286" s="787"/>
      <c r="AC286" s="1"/>
      <c r="AD286" s="32"/>
    </row>
    <row r="287" spans="1:30">
      <c r="A287" s="1225">
        <v>282</v>
      </c>
      <c r="B287" s="1" t="s">
        <v>143</v>
      </c>
      <c r="E287" s="1420">
        <f>SUMIFS('Rev Recon Summary'!$P$1:$P$500,'Rev Recon Summary'!$C$1:$C$500,"*"&amp;B287&amp;"*",'Rev Recon Summary'!$B$1:$B$500,"*"&amp;$B$261&amp;"*")</f>
        <v>0</v>
      </c>
      <c r="F287" s="752"/>
      <c r="G287" s="752"/>
      <c r="H287" s="752"/>
      <c r="I287" s="752"/>
      <c r="J287" s="752"/>
      <c r="K287" s="84"/>
      <c r="L287" s="756"/>
      <c r="M287" s="752"/>
      <c r="N287" s="752"/>
      <c r="O287" s="90"/>
      <c r="P287" s="90"/>
      <c r="Q287" s="90"/>
      <c r="R287" s="752"/>
      <c r="S287" s="752"/>
      <c r="T287" s="752"/>
      <c r="U287" s="752"/>
      <c r="V287" s="752"/>
      <c r="W287" s="1"/>
      <c r="X287" s="1"/>
      <c r="Y287" s="1"/>
      <c r="Z287" s="752"/>
      <c r="AC287" s="1"/>
      <c r="AD287" s="32"/>
    </row>
    <row r="288" spans="1:30">
      <c r="A288" s="1225">
        <v>283</v>
      </c>
      <c r="B288" s="1" t="s">
        <v>144</v>
      </c>
      <c r="E288" s="1420">
        <f>SUMIFS('Rev Recon Summary'!$P$1:$P$500,'Rev Recon Summary'!$C$1:$C$500,"*"&amp;B288&amp;"*",'Rev Recon Summary'!$B$1:$B$500,"*"&amp;$B$261&amp;"*")</f>
        <v>0</v>
      </c>
      <c r="F288" s="752"/>
      <c r="G288" s="752"/>
      <c r="H288" s="752"/>
      <c r="I288" s="752"/>
      <c r="J288" s="752"/>
      <c r="K288" s="84"/>
      <c r="L288" s="756"/>
      <c r="M288" s="752"/>
      <c r="N288" s="752"/>
      <c r="O288" s="90"/>
      <c r="P288" s="90"/>
      <c r="Q288" s="90"/>
      <c r="R288" s="752"/>
      <c r="S288" s="752"/>
      <c r="T288" s="752"/>
      <c r="U288" s="752"/>
      <c r="V288" s="752"/>
      <c r="W288" s="752"/>
      <c r="X288" s="752"/>
      <c r="Y288" s="752"/>
      <c r="Z288" s="752"/>
      <c r="AC288" s="752"/>
      <c r="AD288" s="32"/>
    </row>
    <row r="289" spans="1:30">
      <c r="A289" s="1225">
        <v>284</v>
      </c>
      <c r="B289" s="1" t="s">
        <v>146</v>
      </c>
      <c r="E289" s="1416">
        <f>SUMIFS('Rev Recon Summary'!$P$1:$P$500,'Rev Recon Summary'!$C$1:$C$500,"*"&amp;B289&amp;"*",'Rev Recon Summary'!$B$1:$B$500,"*"&amp;$B$261&amp;"*")</f>
        <v>-182541.95</v>
      </c>
      <c r="F289" s="752"/>
      <c r="G289" s="752"/>
      <c r="H289" s="752"/>
      <c r="I289" s="752"/>
      <c r="J289" s="752"/>
      <c r="K289" s="84"/>
      <c r="L289" s="756"/>
      <c r="M289" s="752"/>
      <c r="N289" s="752"/>
      <c r="O289" s="90"/>
      <c r="P289" s="90"/>
      <c r="Q289" s="90"/>
      <c r="R289" s="752"/>
      <c r="S289" s="752"/>
      <c r="T289" s="752"/>
      <c r="U289" s="752"/>
      <c r="V289" s="752"/>
      <c r="W289" s="752"/>
      <c r="X289" s="752"/>
      <c r="Y289" s="752"/>
      <c r="Z289" s="752"/>
      <c r="AC289" s="752"/>
      <c r="AD289" s="32"/>
    </row>
    <row r="290" spans="1:30">
      <c r="A290" s="1225">
        <v>285</v>
      </c>
      <c r="B290" s="34" t="s">
        <v>175</v>
      </c>
      <c r="E290" s="1420">
        <f>SUMIFS('Rev Recon Summary'!$P$1:$P$500,'Rev Recon Summary'!$C$1:$C$500,"*"&amp;B290&amp;"*",'Rev Recon Summary'!$B$1:$B$500,"*"&amp;$B$261&amp;"*")</f>
        <v>-16986280.16</v>
      </c>
      <c r="F290" s="752"/>
      <c r="G290" s="752"/>
      <c r="H290" s="752"/>
      <c r="I290" s="752"/>
      <c r="J290" s="752"/>
      <c r="K290" s="84"/>
      <c r="L290" s="756"/>
      <c r="M290" s="752"/>
      <c r="N290" s="752"/>
      <c r="O290" s="90"/>
      <c r="P290" s="90"/>
      <c r="Q290" s="90"/>
      <c r="R290" s="752"/>
      <c r="S290" s="752"/>
      <c r="T290" s="752"/>
      <c r="U290" s="752"/>
      <c r="V290" s="752"/>
      <c r="W290" s="752"/>
      <c r="X290" s="752"/>
      <c r="Y290" s="752"/>
      <c r="Z290" s="752"/>
      <c r="AC290" s="752"/>
      <c r="AD290" s="32"/>
    </row>
    <row r="291" spans="1:30">
      <c r="A291" s="1225">
        <v>286</v>
      </c>
      <c r="B291" s="34" t="s">
        <v>176</v>
      </c>
      <c r="E291" s="1422">
        <f>SUMIFS('Rev Recon Summary'!$P$1:$P$500,'Rev Recon Summary'!$C$1:$C$500,"*"&amp;B291&amp;"*",'Rev Recon Summary'!$B$1:$B$500,"*"&amp;$B$261&amp;"*")</f>
        <v>17223519.490000002</v>
      </c>
      <c r="F291" s="752"/>
      <c r="G291" s="752"/>
      <c r="H291" s="752"/>
      <c r="I291" s="752"/>
      <c r="J291" s="752"/>
      <c r="K291" s="84"/>
      <c r="L291" s="756"/>
      <c r="M291" s="752"/>
      <c r="N291" s="752"/>
      <c r="O291" s="90"/>
      <c r="P291" s="90"/>
      <c r="Q291" s="90"/>
      <c r="R291" s="752"/>
      <c r="S291" s="752"/>
      <c r="T291" s="752"/>
      <c r="U291" s="752"/>
      <c r="V291" s="752"/>
      <c r="W291" s="752"/>
      <c r="X291" s="752"/>
      <c r="Y291" s="752"/>
      <c r="Z291" s="752"/>
      <c r="AC291" s="752"/>
      <c r="AD291" s="32"/>
    </row>
    <row r="292" spans="1:30">
      <c r="A292" s="1225">
        <v>287</v>
      </c>
      <c r="B292" s="1" t="s">
        <v>152</v>
      </c>
      <c r="E292" s="1416">
        <f>SUM(E277:E291)</f>
        <v>1261474.3599999789</v>
      </c>
      <c r="F292" s="752"/>
      <c r="G292" s="752"/>
      <c r="H292" s="752"/>
      <c r="I292" s="752"/>
      <c r="J292" s="752"/>
      <c r="K292" s="84"/>
      <c r="L292" s="756"/>
      <c r="M292" s="752"/>
      <c r="N292" s="752"/>
      <c r="O292" s="90"/>
      <c r="P292" s="90"/>
      <c r="Q292" s="90"/>
      <c r="R292" s="752"/>
      <c r="S292" s="752"/>
      <c r="T292" s="752"/>
      <c r="U292" s="752"/>
      <c r="V292" s="752"/>
      <c r="W292" s="752"/>
      <c r="X292" s="752"/>
      <c r="Y292" s="752"/>
      <c r="Z292" s="752"/>
      <c r="AC292" s="752"/>
      <c r="AD292" s="32"/>
    </row>
    <row r="293" spans="1:30">
      <c r="A293" s="1225">
        <v>288</v>
      </c>
      <c r="B293" s="8"/>
      <c r="E293" s="1416"/>
      <c r="F293" s="752"/>
      <c r="G293" s="752"/>
      <c r="H293" s="752"/>
      <c r="I293" s="752"/>
      <c r="J293" s="752"/>
      <c r="K293" s="84"/>
      <c r="L293" s="756"/>
      <c r="M293" s="752"/>
      <c r="N293" s="752"/>
      <c r="O293" s="90"/>
      <c r="P293" s="90"/>
      <c r="Q293" s="90"/>
      <c r="R293" s="752"/>
      <c r="S293" s="752"/>
      <c r="T293" s="752"/>
      <c r="U293" s="752"/>
      <c r="V293" s="752"/>
      <c r="W293" s="752"/>
      <c r="X293" s="752"/>
      <c r="Y293" s="752"/>
      <c r="Z293" s="752"/>
      <c r="AC293" s="752"/>
      <c r="AD293" s="32"/>
    </row>
    <row r="294" spans="1:30">
      <c r="A294" s="1225">
        <v>289</v>
      </c>
      <c r="B294" s="639" t="s">
        <v>212</v>
      </c>
      <c r="C294" s="764">
        <f>E294-'Rev Recon Summary'!P422</f>
        <v>0</v>
      </c>
      <c r="D294" s="765" t="s">
        <v>149</v>
      </c>
      <c r="E294" s="1418">
        <f>SUM(E274,E292)</f>
        <v>17181590.169999979</v>
      </c>
      <c r="F294" s="761"/>
      <c r="G294" s="761"/>
      <c r="H294" s="761"/>
      <c r="I294" s="761"/>
      <c r="J294" s="761"/>
      <c r="K294" s="631"/>
      <c r="L294" s="766"/>
      <c r="M294" s="761"/>
      <c r="N294" s="761"/>
      <c r="O294" s="633"/>
      <c r="P294" s="633"/>
      <c r="Q294" s="633"/>
      <c r="R294" s="761"/>
      <c r="S294" s="761"/>
      <c r="T294" s="761"/>
      <c r="U294" s="761"/>
      <c r="V294" s="761"/>
      <c r="W294" s="761"/>
      <c r="X294" s="761"/>
      <c r="Y294" s="761"/>
      <c r="Z294" s="761"/>
      <c r="AA294" s="764"/>
      <c r="AB294" s="764"/>
      <c r="AC294" s="761"/>
      <c r="AD294" s="32"/>
    </row>
    <row r="295" spans="1:30">
      <c r="A295" s="1225">
        <v>290</v>
      </c>
      <c r="D295" s="768"/>
      <c r="E295" s="84"/>
      <c r="F295" s="89"/>
      <c r="G295" s="89"/>
      <c r="H295" s="89"/>
      <c r="I295" s="89"/>
      <c r="J295" s="89"/>
      <c r="K295" s="84"/>
      <c r="L295" s="756"/>
      <c r="M295" s="752"/>
      <c r="N295" s="89"/>
      <c r="O295" s="90"/>
      <c r="P295" s="90"/>
      <c r="Q295" s="90"/>
      <c r="R295" s="89"/>
      <c r="S295" s="752"/>
      <c r="T295" s="752"/>
      <c r="U295" s="752"/>
      <c r="V295" s="89"/>
      <c r="Z295" s="89"/>
      <c r="AD295" s="32"/>
    </row>
    <row r="296" spans="1:30">
      <c r="A296" s="1225">
        <v>291</v>
      </c>
      <c r="B296" s="783" t="s">
        <v>213</v>
      </c>
      <c r="E296" s="1416"/>
      <c r="G296" s="18" t="s">
        <v>214</v>
      </c>
      <c r="K296" s="84"/>
      <c r="L296" s="756"/>
      <c r="M296" s="752"/>
      <c r="O296" s="90"/>
      <c r="P296" s="90"/>
      <c r="Q296" s="90"/>
      <c r="S296" s="752"/>
      <c r="T296" s="752"/>
      <c r="U296" s="752"/>
      <c r="AA296" s="90"/>
      <c r="AD296" s="32"/>
    </row>
    <row r="297" spans="1:30">
      <c r="A297" s="1225">
        <v>292</v>
      </c>
      <c r="B297" s="1" t="s">
        <v>196</v>
      </c>
      <c r="C297" s="84">
        <f>E297/D297</f>
        <v>5</v>
      </c>
      <c r="D297" s="751">
        <v>625</v>
      </c>
      <c r="E297" s="1416">
        <f>SUMIFS('1501 Summary'!$P$1:$P$600,'1501 Summary'!$C$1:$C$600,"*"&amp;B297&amp;"*",'1501 Summary'!$B$1:$B$600,"*"&amp;$B$296&amp;"*")</f>
        <v>3125</v>
      </c>
      <c r="F297" s="751"/>
      <c r="G297" s="753">
        <f>-C297</f>
        <v>-5</v>
      </c>
      <c r="H297" s="751">
        <f>D297</f>
        <v>625</v>
      </c>
      <c r="I297" s="752">
        <f>H297*G297</f>
        <v>-3125</v>
      </c>
      <c r="J297" s="751"/>
      <c r="K297" s="84">
        <f>C297+G297</f>
        <v>0</v>
      </c>
      <c r="L297" s="751">
        <f>D297</f>
        <v>625</v>
      </c>
      <c r="M297" s="752">
        <f>L297*K297</f>
        <v>0</v>
      </c>
      <c r="N297" s="751"/>
      <c r="O297" s="90"/>
      <c r="P297" s="90"/>
      <c r="Q297" s="90"/>
      <c r="R297" s="751"/>
      <c r="S297" s="84"/>
      <c r="T297" s="751"/>
      <c r="U297" s="752"/>
      <c r="V297" s="751"/>
      <c r="W297" s="86"/>
      <c r="X297" s="86"/>
      <c r="Y297" s="86"/>
      <c r="Z297" s="751"/>
      <c r="AA297" s="90"/>
      <c r="AB297" s="86"/>
      <c r="AC297" s="86"/>
      <c r="AD297" s="32"/>
    </row>
    <row r="298" spans="1:30">
      <c r="A298" s="1225">
        <v>293</v>
      </c>
      <c r="B298" s="1" t="s">
        <v>197</v>
      </c>
      <c r="C298" s="84">
        <f>E298/D298</f>
        <v>333621.75</v>
      </c>
      <c r="D298" s="90">
        <v>0.2</v>
      </c>
      <c r="E298" s="1416">
        <f>SUMIFS('1501 Summary'!$P$1:$P$600,'1501 Summary'!$C$1:$C$600,"*"&amp;B298&amp;"*",'1501 Summary'!$B$1:$B$600,"*"&amp;$B$296&amp;"*")</f>
        <v>66724.350000000006</v>
      </c>
      <c r="F298" s="751"/>
      <c r="G298" s="753">
        <f>-C298</f>
        <v>-333621.75</v>
      </c>
      <c r="H298" s="751">
        <f>D298</f>
        <v>0.2</v>
      </c>
      <c r="I298" s="752">
        <f>H298*G298</f>
        <v>-66724.350000000006</v>
      </c>
      <c r="J298" s="751"/>
      <c r="K298" s="84">
        <f>C298+G298</f>
        <v>0</v>
      </c>
      <c r="L298" s="751">
        <f>H298</f>
        <v>0.2</v>
      </c>
      <c r="M298" s="752">
        <f>L298*K298</f>
        <v>0</v>
      </c>
      <c r="N298" s="751"/>
      <c r="O298" s="90"/>
      <c r="P298" s="90"/>
      <c r="Q298" s="90"/>
      <c r="R298" s="751"/>
      <c r="S298" s="84"/>
      <c r="T298" s="751"/>
      <c r="U298" s="752"/>
      <c r="V298" s="751"/>
      <c r="W298" s="86"/>
      <c r="X298" s="86"/>
      <c r="Y298" s="86"/>
      <c r="Z298" s="751"/>
      <c r="AA298" s="90"/>
      <c r="AB298" s="86"/>
      <c r="AC298" s="86"/>
      <c r="AD298" s="32"/>
    </row>
    <row r="299" spans="1:30">
      <c r="A299" s="1225">
        <v>294</v>
      </c>
      <c r="B299" s="1" t="s">
        <v>198</v>
      </c>
      <c r="C299" s="84">
        <f>E299/D299</f>
        <v>19051050</v>
      </c>
      <c r="D299" s="97">
        <v>4.0000000000000002E-4</v>
      </c>
      <c r="E299" s="1416">
        <f>SUMIFS('1501 Summary'!$P$1:$P$600,'1501 Summary'!$C$1:$C$600,"*"&amp;B299&amp;"*",'1501 Summary'!$B$1:$B$600,"*"&amp;$B$296&amp;"*")</f>
        <v>7620.42</v>
      </c>
      <c r="F299" s="751"/>
      <c r="G299" s="753">
        <f>-C299</f>
        <v>-19051050</v>
      </c>
      <c r="H299" s="789">
        <f>D299</f>
        <v>4.0000000000000002E-4</v>
      </c>
      <c r="I299" s="752">
        <f>H299*G299</f>
        <v>-7620.42</v>
      </c>
      <c r="J299" s="751"/>
      <c r="K299" s="84">
        <f>C299+G299</f>
        <v>0</v>
      </c>
      <c r="L299" s="789">
        <f>H299</f>
        <v>4.0000000000000002E-4</v>
      </c>
      <c r="M299" s="752">
        <f>L299*K299</f>
        <v>0</v>
      </c>
      <c r="N299" s="751"/>
      <c r="O299" s="90"/>
      <c r="P299" s="90"/>
      <c r="Q299" s="90"/>
      <c r="R299" s="751"/>
      <c r="S299" s="84"/>
      <c r="T299" s="752"/>
      <c r="U299" s="752"/>
      <c r="V299" s="751"/>
      <c r="W299" s="86"/>
      <c r="X299" s="86"/>
      <c r="Y299" s="86"/>
      <c r="Z299" s="751"/>
      <c r="AA299" s="90"/>
      <c r="AB299" s="86"/>
      <c r="AC299" s="86"/>
      <c r="AD299" s="32"/>
    </row>
    <row r="300" spans="1:30">
      <c r="A300" s="1225">
        <v>295</v>
      </c>
      <c r="B300" s="1" t="s">
        <v>215</v>
      </c>
      <c r="C300" s="84">
        <f>E300/D300</f>
        <v>20244154.012793526</v>
      </c>
      <c r="D300" s="1039">
        <v>1.4679299999999999E-2</v>
      </c>
      <c r="E300" s="1418">
        <f>SUMIFS('1501 Summary'!$P$1:$P$600,'1501 Summary'!$C$1:$C$600,"*"&amp;B300&amp;"*",'1501 Summary'!$B$1:$B$600,"*"&amp;$B$296&amp;"*")</f>
        <v>297170.01</v>
      </c>
      <c r="F300" s="751"/>
      <c r="G300" s="84">
        <f>-SUM('EOP Calculations'!D88:E88)</f>
        <v>-200000</v>
      </c>
      <c r="H300" s="756">
        <v>5.3310000000000003E-2</v>
      </c>
      <c r="I300" s="752">
        <f>H300*G300</f>
        <v>-10662</v>
      </c>
      <c r="J300" s="751"/>
      <c r="K300" s="84">
        <v>0</v>
      </c>
      <c r="L300" s="12">
        <v>1.4679299999999999E-2</v>
      </c>
      <c r="M300" s="929">
        <f>L300*K300</f>
        <v>0</v>
      </c>
      <c r="N300" s="751"/>
      <c r="O300" s="90"/>
      <c r="P300" s="90"/>
      <c r="Q300" s="90"/>
      <c r="R300" s="751"/>
      <c r="S300" s="84"/>
      <c r="T300" s="751"/>
      <c r="U300" s="752"/>
      <c r="V300" s="751"/>
      <c r="W300" s="86"/>
      <c r="X300" s="86"/>
      <c r="Y300" s="86"/>
      <c r="Z300" s="751"/>
      <c r="AA300" s="88"/>
      <c r="AB300" s="86"/>
      <c r="AC300" s="86"/>
      <c r="AD300" s="32"/>
    </row>
    <row r="301" spans="1:30">
      <c r="A301" s="1225">
        <v>296</v>
      </c>
      <c r="B301" s="1" t="s">
        <v>127</v>
      </c>
      <c r="C301" s="84"/>
      <c r="D301" s="790"/>
      <c r="E301" s="1416">
        <f>SUM(E297:E300)</f>
        <v>374639.78</v>
      </c>
      <c r="F301" s="751"/>
      <c r="G301" s="84">
        <f>-SUM('EOP Calculations'!F88:H88)</f>
        <v>-300000</v>
      </c>
      <c r="H301" s="756">
        <v>5.9889999999999999E-2</v>
      </c>
      <c r="I301" s="752">
        <f t="shared" ref="I301:I307" si="44">H301*G301</f>
        <v>-17967</v>
      </c>
      <c r="J301" s="751"/>
      <c r="K301" s="84"/>
      <c r="L301" s="789"/>
      <c r="M301" s="752">
        <f>SUM(M297:M300)</f>
        <v>0</v>
      </c>
      <c r="N301" s="751"/>
      <c r="O301" s="90"/>
      <c r="P301" s="90"/>
      <c r="Q301" s="90"/>
      <c r="R301" s="751"/>
      <c r="S301" s="751"/>
      <c r="T301" s="751"/>
      <c r="U301" s="752"/>
      <c r="V301" s="751"/>
      <c r="W301" s="86"/>
      <c r="X301" s="86"/>
      <c r="Y301" s="86"/>
      <c r="Z301" s="751"/>
      <c r="AA301" s="90"/>
      <c r="AB301" s="86"/>
      <c r="AC301" s="86"/>
      <c r="AD301" s="32"/>
    </row>
    <row r="302" spans="1:30">
      <c r="A302" s="1225">
        <v>297</v>
      </c>
      <c r="E302" s="1416"/>
      <c r="F302" s="752"/>
      <c r="G302" s="84">
        <f>-SUM('EOP Calculations'!D89:E89)</f>
        <v>-400000</v>
      </c>
      <c r="H302" s="756">
        <v>1.9449999999999999E-2</v>
      </c>
      <c r="I302" s="752">
        <f t="shared" si="44"/>
        <v>-7779.9999999999991</v>
      </c>
      <c r="J302" s="752"/>
      <c r="K302" s="84"/>
      <c r="L302" s="789"/>
      <c r="M302" s="752"/>
      <c r="N302" s="752"/>
      <c r="O302" s="90"/>
      <c r="P302" s="90"/>
      <c r="Q302" s="90"/>
      <c r="R302" s="752"/>
      <c r="S302" s="752"/>
      <c r="T302" s="752"/>
      <c r="U302" s="752"/>
      <c r="V302" s="752"/>
      <c r="W302" s="752"/>
      <c r="X302" s="752"/>
      <c r="Y302" s="752"/>
      <c r="Z302" s="752"/>
      <c r="AA302" s="90"/>
      <c r="AB302" s="86"/>
      <c r="AC302" s="752"/>
      <c r="AD302" s="32"/>
    </row>
    <row r="303" spans="1:30">
      <c r="A303" s="1225">
        <v>298</v>
      </c>
      <c r="B303" s="1" t="s">
        <v>130</v>
      </c>
      <c r="E303" s="1416"/>
      <c r="F303" s="752"/>
      <c r="G303" s="84">
        <f>-SUM('EOP Calculations'!F89:H89)</f>
        <v>-600000</v>
      </c>
      <c r="H303" s="756">
        <v>2.3029999999999998E-2</v>
      </c>
      <c r="I303" s="752">
        <f t="shared" si="44"/>
        <v>-13817.999999999998</v>
      </c>
      <c r="J303" s="752"/>
      <c r="K303" s="84"/>
      <c r="L303" s="789"/>
      <c r="M303" s="752"/>
      <c r="N303" s="752"/>
      <c r="O303" s="90"/>
      <c r="P303" s="90"/>
      <c r="Q303" s="90"/>
      <c r="R303" s="752"/>
      <c r="S303" s="752"/>
      <c r="T303" s="752"/>
      <c r="U303" s="752"/>
      <c r="V303" s="752"/>
      <c r="W303" s="752"/>
      <c r="X303" s="752"/>
      <c r="Y303" s="752"/>
      <c r="Z303" s="752"/>
      <c r="AA303" s="90"/>
      <c r="AB303" s="86"/>
      <c r="AC303" s="752"/>
      <c r="AD303" s="32"/>
    </row>
    <row r="304" spans="1:30">
      <c r="A304" s="1225">
        <v>299</v>
      </c>
      <c r="B304" s="1" t="s">
        <v>211</v>
      </c>
      <c r="E304" s="1416">
        <f>SUMIFS('1501 Summary'!$P$1:$P$600,'1501 Summary'!$C$1:$C$600,"*"&amp;B304&amp;"*",'1501 Summary'!$B$1:$B$600,"*"&amp;$B$296&amp;"*")</f>
        <v>16504.93</v>
      </c>
      <c r="F304" s="751"/>
      <c r="G304" s="84">
        <f>-SUM('EOP Calculations'!D90:E90)</f>
        <v>-400000</v>
      </c>
      <c r="H304" s="756">
        <v>1.1820000000000001E-2</v>
      </c>
      <c r="I304" s="752">
        <f t="shared" si="44"/>
        <v>-4728</v>
      </c>
      <c r="J304" s="751"/>
      <c r="K304" s="84"/>
      <c r="L304" s="789"/>
      <c r="M304" s="752"/>
      <c r="N304" s="751"/>
      <c r="O304" s="90"/>
      <c r="P304" s="90"/>
      <c r="Q304" s="90"/>
      <c r="R304" s="751"/>
      <c r="S304" s="752"/>
      <c r="T304" s="752"/>
      <c r="U304" s="752"/>
      <c r="V304" s="751"/>
      <c r="W304" s="752"/>
      <c r="X304" s="752"/>
      <c r="Y304" s="752"/>
      <c r="Z304" s="751"/>
      <c r="AA304" s="90"/>
      <c r="AB304" s="86"/>
      <c r="AC304" s="752"/>
      <c r="AD304" s="32"/>
    </row>
    <row r="305" spans="1:30">
      <c r="A305" s="1225">
        <v>300</v>
      </c>
      <c r="B305" s="1" t="s">
        <v>192</v>
      </c>
      <c r="E305" s="1416">
        <f>SUMIFS('1501 Summary'!$P$1:$P$600,'1501 Summary'!$C$1:$C$600,"*"&amp;B305&amp;"*",'1501 Summary'!$B$1:$B$600,"*"&amp;$B$296&amp;"*")</f>
        <v>0</v>
      </c>
      <c r="F305" s="752"/>
      <c r="G305" s="84">
        <f>-SUM('EOP Calculations'!F90:H90)</f>
        <v>-600000</v>
      </c>
      <c r="H305" s="756">
        <v>1.473E-2</v>
      </c>
      <c r="I305" s="752">
        <f t="shared" si="44"/>
        <v>-8838</v>
      </c>
      <c r="J305" s="752"/>
      <c r="K305" s="84"/>
      <c r="L305" s="789"/>
      <c r="M305" s="752"/>
      <c r="N305" s="752"/>
      <c r="O305" s="90"/>
      <c r="P305" s="90"/>
      <c r="Q305" s="90"/>
      <c r="R305" s="752"/>
      <c r="S305" s="752"/>
      <c r="T305" s="752"/>
      <c r="U305" s="752"/>
      <c r="V305" s="752"/>
      <c r="W305" s="752"/>
      <c r="X305" s="752"/>
      <c r="Y305" s="752"/>
      <c r="Z305" s="752"/>
      <c r="AA305" s="90"/>
      <c r="AB305" s="86"/>
      <c r="AC305" s="752"/>
      <c r="AD305" s="32"/>
    </row>
    <row r="306" spans="1:30">
      <c r="A306" s="1225">
        <v>301</v>
      </c>
      <c r="B306" s="34" t="s">
        <v>175</v>
      </c>
      <c r="E306" s="1420">
        <f>SUMIFS('Rev Recon Summary'!$P$1:$P$500,'Rev Recon Summary'!$C$1:$C$500,"*"&amp;B306&amp;"*",'Rev Recon Summary'!$B$1:$B$500,"*"&amp;$B$296&amp;"*")</f>
        <v>-391144.71000000008</v>
      </c>
      <c r="F306" s="752"/>
      <c r="G306" s="84">
        <f>-SUM('EOP Calculations'!D91:E91)</f>
        <v>-7388717</v>
      </c>
      <c r="H306" s="756">
        <v>5.62E-3</v>
      </c>
      <c r="I306" s="752">
        <f t="shared" si="44"/>
        <v>-41524.589540000001</v>
      </c>
      <c r="J306" s="752"/>
      <c r="K306" s="84"/>
      <c r="L306" s="789"/>
      <c r="M306" s="752"/>
      <c r="N306" s="752"/>
      <c r="O306" s="90"/>
      <c r="P306" s="90"/>
      <c r="Q306" s="90"/>
      <c r="R306" s="752"/>
      <c r="S306" s="752"/>
      <c r="T306" s="752"/>
      <c r="U306" s="752"/>
      <c r="V306" s="752"/>
      <c r="W306" s="752"/>
      <c r="X306" s="752"/>
      <c r="Y306" s="752"/>
      <c r="Z306" s="752"/>
      <c r="AA306" s="90"/>
      <c r="AB306" s="86"/>
      <c r="AC306" s="752"/>
      <c r="AD306" s="32"/>
    </row>
    <row r="307" spans="1:30">
      <c r="A307" s="1225">
        <v>302</v>
      </c>
      <c r="B307" s="34" t="s">
        <v>176</v>
      </c>
      <c r="E307" s="1422">
        <f>SUMIFS('Rev Recon Summary'!$P$1:$P$500,'Rev Recon Summary'!$C$1:$C$500,"*"&amp;B307&amp;"*",'Rev Recon Summary'!$B$1:$B$500,"*"&amp;$B$296&amp;"*")</f>
        <v>305728.30000000005</v>
      </c>
      <c r="F307" s="752"/>
      <c r="G307" s="631">
        <f>-SUM('EOP Calculations'!F91:H91)</f>
        <v>-9162362</v>
      </c>
      <c r="H307" s="766">
        <v>7.9799999999999992E-3</v>
      </c>
      <c r="I307" s="761">
        <f t="shared" si="44"/>
        <v>-73115.648759999996</v>
      </c>
      <c r="J307" s="752"/>
      <c r="K307" s="84"/>
      <c r="L307" s="789"/>
      <c r="M307" s="752"/>
      <c r="N307" s="752"/>
      <c r="O307" s="90"/>
      <c r="P307" s="90"/>
      <c r="Q307" s="90"/>
      <c r="R307" s="752"/>
      <c r="S307" s="752"/>
      <c r="T307" s="752"/>
      <c r="U307" s="752"/>
      <c r="V307" s="752"/>
      <c r="W307" s="752"/>
      <c r="X307" s="752"/>
      <c r="Y307" s="752"/>
      <c r="Z307" s="752"/>
      <c r="AA307" s="90"/>
      <c r="AB307" s="86"/>
      <c r="AC307" s="752"/>
      <c r="AD307" s="32"/>
    </row>
    <row r="308" spans="1:30">
      <c r="A308" s="1225">
        <v>303</v>
      </c>
      <c r="B308" s="8" t="s">
        <v>152</v>
      </c>
      <c r="E308" s="1416">
        <f>SUM(E304:E307)</f>
        <v>-68911.48000000004</v>
      </c>
      <c r="F308" s="751"/>
      <c r="G308" s="84">
        <f>SUM(G300:G307)</f>
        <v>-19051079</v>
      </c>
      <c r="H308" s="756"/>
      <c r="I308" s="751">
        <f>SUM(I300:I307)</f>
        <v>-178433.2383</v>
      </c>
      <c r="J308" s="751"/>
      <c r="K308" s="84"/>
      <c r="L308" s="756"/>
      <c r="M308" s="752"/>
      <c r="N308" s="751"/>
      <c r="O308" s="90"/>
      <c r="P308" s="90"/>
      <c r="Q308" s="90"/>
      <c r="R308" s="751"/>
      <c r="S308" s="752"/>
      <c r="T308" s="752"/>
      <c r="U308" s="752"/>
      <c r="V308" s="751"/>
      <c r="W308" s="752"/>
      <c r="X308" s="752"/>
      <c r="Y308" s="752"/>
      <c r="Z308" s="751"/>
      <c r="AA308" s="90"/>
      <c r="AB308" s="86"/>
      <c r="AC308" s="752"/>
      <c r="AD308" s="32"/>
    </row>
    <row r="309" spans="1:30">
      <c r="A309" s="1225">
        <v>304</v>
      </c>
      <c r="E309" s="1416"/>
      <c r="F309" s="752"/>
      <c r="G309" s="752"/>
      <c r="H309" s="752"/>
      <c r="I309" s="752"/>
      <c r="J309" s="752"/>
      <c r="K309" s="84"/>
      <c r="L309" s="756"/>
      <c r="M309" s="752"/>
      <c r="N309" s="752"/>
      <c r="O309" s="782"/>
      <c r="P309" s="782"/>
      <c r="Q309" s="782"/>
      <c r="R309" s="752"/>
      <c r="S309" s="752"/>
      <c r="T309" s="752"/>
      <c r="U309" s="752"/>
      <c r="V309" s="752"/>
      <c r="W309" s="752"/>
      <c r="X309" s="752"/>
      <c r="Y309" s="752"/>
      <c r="Z309" s="752"/>
      <c r="AA309" s="90"/>
      <c r="AB309" s="86"/>
      <c r="AC309" s="752"/>
      <c r="AD309" s="32"/>
    </row>
    <row r="310" spans="1:30">
      <c r="A310" s="1225">
        <v>305</v>
      </c>
      <c r="B310" s="639" t="str">
        <f>"Total "&amp;LEFT(B296,17)&amp;" Revenue"</f>
        <v>Total CNGWA906 Revenue</v>
      </c>
      <c r="C310" s="764">
        <f>E310-'Rev Recon Summary'!P182</f>
        <v>0</v>
      </c>
      <c r="D310" s="765" t="s">
        <v>149</v>
      </c>
      <c r="E310" s="1418">
        <f>SUM(E301,E308)</f>
        <v>305728.3</v>
      </c>
      <c r="F310" s="764"/>
      <c r="G310" s="764"/>
      <c r="H310" s="764"/>
      <c r="I310" s="764"/>
      <c r="J310" s="764"/>
      <c r="K310" s="631"/>
      <c r="L310" s="766"/>
      <c r="M310" s="761"/>
      <c r="N310" s="764"/>
      <c r="O310" s="633"/>
      <c r="P310" s="633"/>
      <c r="Q310" s="633"/>
      <c r="R310" s="764"/>
      <c r="S310" s="761"/>
      <c r="T310" s="761"/>
      <c r="U310" s="761"/>
      <c r="V310" s="764"/>
      <c r="W310" s="761"/>
      <c r="X310" s="761"/>
      <c r="Y310" s="761"/>
      <c r="Z310" s="764"/>
      <c r="AA310" s="633"/>
      <c r="AB310" s="630"/>
      <c r="AC310" s="761"/>
      <c r="AD310" s="32"/>
    </row>
    <row r="311" spans="1:30">
      <c r="A311" s="1225">
        <v>306</v>
      </c>
      <c r="E311" s="1416"/>
      <c r="K311" s="84"/>
      <c r="L311" s="756"/>
      <c r="M311" s="752"/>
      <c r="O311" s="90"/>
      <c r="P311" s="90"/>
      <c r="Q311" s="90"/>
      <c r="S311" s="752"/>
      <c r="T311" s="752"/>
      <c r="U311" s="752"/>
      <c r="AA311" s="90"/>
      <c r="AB311" s="86"/>
      <c r="AD311" s="32"/>
    </row>
    <row r="312" spans="1:30">
      <c r="A312" s="1225">
        <v>307</v>
      </c>
      <c r="B312" s="783" t="s">
        <v>216</v>
      </c>
      <c r="E312" s="1416"/>
      <c r="K312" s="84"/>
      <c r="L312" s="756"/>
      <c r="M312" s="752"/>
      <c r="O312" s="90"/>
      <c r="P312" s="90"/>
      <c r="Q312" s="90"/>
      <c r="U312" s="752"/>
      <c r="AA312" s="90"/>
      <c r="AB312" s="86"/>
      <c r="AD312" s="32"/>
    </row>
    <row r="313" spans="1:30">
      <c r="A313" s="1225">
        <v>308</v>
      </c>
      <c r="B313" s="1" t="s">
        <v>196</v>
      </c>
      <c r="C313" s="84">
        <f>E313/D313</f>
        <v>12</v>
      </c>
      <c r="D313" s="751">
        <v>625</v>
      </c>
      <c r="E313" s="1416">
        <f>SUMIFS('1501 Summary'!$P$1:$P$600,'1501 Summary'!$C$1:$C$600,"*"&amp;B313&amp;"*",'1501 Summary'!$B$1:$B$600,"*"&amp;$B$312&amp;"*")</f>
        <v>7500</v>
      </c>
      <c r="F313" s="751"/>
      <c r="G313" s="751"/>
      <c r="H313" s="751"/>
      <c r="I313" s="751"/>
      <c r="J313" s="751"/>
      <c r="K313" s="84">
        <f>C313+G313</f>
        <v>12</v>
      </c>
      <c r="L313" s="751">
        <f>D313</f>
        <v>625</v>
      </c>
      <c r="M313" s="752">
        <f>L313*K313</f>
        <v>7500</v>
      </c>
      <c r="N313" s="751"/>
      <c r="O313" s="90"/>
      <c r="P313" s="90"/>
      <c r="Q313" s="90"/>
      <c r="R313" s="751"/>
      <c r="S313" s="753"/>
      <c r="T313" s="751"/>
      <c r="U313" s="752"/>
      <c r="V313" s="751"/>
      <c r="W313" s="86"/>
      <c r="X313" s="86"/>
      <c r="Y313" s="86"/>
      <c r="Z313" s="751"/>
      <c r="AA313" s="90"/>
      <c r="AB313" s="86"/>
      <c r="AC313" s="86"/>
      <c r="AD313" s="32"/>
    </row>
    <row r="314" spans="1:30">
      <c r="A314" s="1225">
        <v>309</v>
      </c>
      <c r="B314" s="1" t="s">
        <v>197</v>
      </c>
      <c r="C314" s="84">
        <f>E314/D314</f>
        <v>12</v>
      </c>
      <c r="D314" s="751">
        <v>2000</v>
      </c>
      <c r="E314" s="1416">
        <f>SUMIFS('1501 Summary'!$P$1:$P$600,'1501 Summary'!$C$1:$C$600,"*"&amp;B314&amp;"*",'1501 Summary'!$B$1:$B$600,"*"&amp;$B$312&amp;"*")</f>
        <v>24000</v>
      </c>
      <c r="F314" s="751"/>
      <c r="G314" s="751"/>
      <c r="H314" s="751"/>
      <c r="I314" s="751"/>
      <c r="J314" s="751"/>
      <c r="K314" s="84">
        <f>C314+G314</f>
        <v>12</v>
      </c>
      <c r="L314" s="751">
        <f>D314</f>
        <v>2000</v>
      </c>
      <c r="M314" s="752">
        <f>L314*K314</f>
        <v>24000</v>
      </c>
      <c r="N314" s="751"/>
      <c r="O314" s="90"/>
      <c r="P314" s="90"/>
      <c r="Q314" s="90"/>
      <c r="R314" s="751"/>
      <c r="S314" s="753"/>
      <c r="T314" s="751"/>
      <c r="U314" s="752"/>
      <c r="V314" s="751"/>
      <c r="W314" s="86"/>
      <c r="X314" s="86"/>
      <c r="Y314" s="86"/>
      <c r="Z314" s="751"/>
      <c r="AA314" s="90"/>
      <c r="AB314" s="86"/>
      <c r="AC314" s="86"/>
      <c r="AD314" s="32"/>
    </row>
    <row r="315" spans="1:30">
      <c r="A315" s="1225">
        <v>310</v>
      </c>
      <c r="B315" s="1" t="s">
        <v>198</v>
      </c>
      <c r="C315" s="84">
        <f>E315/D315</f>
        <v>38003475</v>
      </c>
      <c r="D315" s="97">
        <v>4.0000000000000002E-4</v>
      </c>
      <c r="E315" s="1416">
        <f>SUMIFS('1501 Summary'!$P$1:$P$600,'1501 Summary'!$C$1:$C$600,"*"&amp;B315&amp;"*",'1501 Summary'!$B$1:$B$600,"*"&amp;$B$312&amp;"*")</f>
        <v>15201.39</v>
      </c>
      <c r="F315" s="751"/>
      <c r="G315" s="751"/>
      <c r="H315" s="751"/>
      <c r="I315" s="751"/>
      <c r="J315" s="751"/>
      <c r="K315" s="84">
        <f>C315+G315</f>
        <v>38003475</v>
      </c>
      <c r="L315" s="751">
        <f>D315</f>
        <v>4.0000000000000002E-4</v>
      </c>
      <c r="M315" s="752">
        <f>L315*K315</f>
        <v>15201.390000000001</v>
      </c>
      <c r="N315" s="751"/>
      <c r="O315" s="90"/>
      <c r="P315" s="90"/>
      <c r="Q315" s="90"/>
      <c r="R315" s="751"/>
      <c r="S315" s="753"/>
      <c r="T315" s="751"/>
      <c r="U315" s="752"/>
      <c r="V315" s="751"/>
      <c r="W315" s="86"/>
      <c r="X315" s="86"/>
      <c r="Y315" s="86"/>
      <c r="Z315" s="751"/>
      <c r="AA315" s="88"/>
      <c r="AB315" s="86"/>
      <c r="AC315" s="86"/>
      <c r="AD315" s="32"/>
    </row>
    <row r="316" spans="1:30">
      <c r="A316" s="1225">
        <v>311</v>
      </c>
      <c r="B316" s="1" t="s">
        <v>215</v>
      </c>
      <c r="C316" s="84">
        <f>E316/D316</f>
        <v>37684194.996233799</v>
      </c>
      <c r="D316" s="98">
        <v>1.6063899999999999E-2</v>
      </c>
      <c r="E316" s="1418">
        <f>SUMIFS('1501 Summary'!$P$1:$P$600,'1501 Summary'!$C$1:$C$600,"*"&amp;B316&amp;"*",'1501 Summary'!$B$1:$B$600,"*"&amp;$B$312&amp;"*")</f>
        <v>605355.14000000013</v>
      </c>
      <c r="F316" s="751"/>
      <c r="G316" s="751"/>
      <c r="H316" s="751"/>
      <c r="I316" s="751"/>
      <c r="J316" s="751"/>
      <c r="K316" s="84">
        <f>C316+G316</f>
        <v>37684194.996233799</v>
      </c>
      <c r="L316" s="751">
        <f>D316</f>
        <v>1.6063899999999999E-2</v>
      </c>
      <c r="M316" s="761">
        <f>L316*K316</f>
        <v>605355.14000000013</v>
      </c>
      <c r="N316" s="751"/>
      <c r="O316" s="90"/>
      <c r="P316" s="90"/>
      <c r="Q316" s="90"/>
      <c r="R316" s="751"/>
      <c r="S316" s="753"/>
      <c r="T316" s="751"/>
      <c r="U316" s="752"/>
      <c r="V316" s="751"/>
      <c r="W316" s="86"/>
      <c r="X316" s="86"/>
      <c r="Y316" s="86"/>
      <c r="Z316" s="751"/>
      <c r="AA316" s="88"/>
      <c r="AB316" s="86"/>
      <c r="AC316" s="86"/>
      <c r="AD316" s="32"/>
    </row>
    <row r="317" spans="1:30">
      <c r="A317" s="1225">
        <v>312</v>
      </c>
      <c r="B317" s="1" t="s">
        <v>127</v>
      </c>
      <c r="E317" s="1416">
        <f>SUM(E313:E316)</f>
        <v>652056.53000000014</v>
      </c>
      <c r="F317" s="751"/>
      <c r="G317" s="751"/>
      <c r="H317" s="751"/>
      <c r="I317" s="751"/>
      <c r="J317" s="751"/>
      <c r="K317" s="84"/>
      <c r="L317" s="756"/>
      <c r="M317" s="752">
        <f>SUM(M313:M316)</f>
        <v>652056.53000000014</v>
      </c>
      <c r="N317" s="751"/>
      <c r="O317" s="90"/>
      <c r="P317" s="90"/>
      <c r="Q317" s="90"/>
      <c r="R317" s="751"/>
      <c r="S317" s="751"/>
      <c r="T317" s="751"/>
      <c r="U317" s="752"/>
      <c r="V317" s="751"/>
      <c r="W317" s="86"/>
      <c r="X317" s="86"/>
      <c r="Y317" s="86"/>
      <c r="Z317" s="751"/>
      <c r="AA317" s="90"/>
      <c r="AB317" s="86"/>
      <c r="AC317" s="86"/>
      <c r="AD317" s="32"/>
    </row>
    <row r="318" spans="1:30">
      <c r="A318" s="1225">
        <v>313</v>
      </c>
      <c r="E318" s="1416"/>
      <c r="F318" s="752"/>
      <c r="G318" s="752"/>
      <c r="H318" s="752"/>
      <c r="I318" s="752"/>
      <c r="J318" s="752"/>
      <c r="K318" s="84"/>
      <c r="L318" s="756"/>
      <c r="M318" s="751"/>
      <c r="N318" s="752"/>
      <c r="O318" s="90"/>
      <c r="P318" s="90"/>
      <c r="Q318" s="90"/>
      <c r="R318" s="752"/>
      <c r="S318" s="752"/>
      <c r="T318" s="752"/>
      <c r="U318" s="752"/>
      <c r="V318" s="752"/>
      <c r="Z318" s="752"/>
      <c r="AA318" s="90"/>
      <c r="AB318" s="86"/>
      <c r="AD318" s="32"/>
    </row>
    <row r="319" spans="1:30">
      <c r="A319" s="1225">
        <v>314</v>
      </c>
      <c r="B319" s="1" t="s">
        <v>130</v>
      </c>
      <c r="E319" s="1416"/>
      <c r="F319" s="752"/>
      <c r="G319" s="752"/>
      <c r="H319" s="752"/>
      <c r="I319" s="752"/>
      <c r="J319" s="752"/>
      <c r="K319" s="84"/>
      <c r="L319" s="756"/>
      <c r="M319" s="751"/>
      <c r="N319" s="752"/>
      <c r="O319" s="90"/>
      <c r="P319" s="90"/>
      <c r="Q319" s="90"/>
      <c r="R319" s="752"/>
      <c r="S319" s="752"/>
      <c r="T319" s="752"/>
      <c r="U319" s="752"/>
      <c r="V319" s="752"/>
      <c r="Z319" s="752"/>
      <c r="AA319" s="90"/>
      <c r="AB319" s="86"/>
      <c r="AD319" s="32"/>
    </row>
    <row r="320" spans="1:30">
      <c r="A320" s="1225">
        <v>315</v>
      </c>
      <c r="B320" s="1" t="s">
        <v>211</v>
      </c>
      <c r="E320" s="1416">
        <f>SUMIFS('1501 Summary'!$P$1:$P$600,'1501 Summary'!$C$1:$C$600,"*"&amp;B320&amp;"*",'1501 Summary'!$B$1:$B$600,"*"&amp;$B$312&amp;"*")</f>
        <v>28552.75</v>
      </c>
      <c r="F320" s="752"/>
      <c r="G320" s="752"/>
      <c r="H320" s="752"/>
      <c r="I320" s="752"/>
      <c r="J320" s="752"/>
      <c r="K320" s="84"/>
      <c r="L320" s="756"/>
      <c r="M320" s="751"/>
      <c r="N320" s="752"/>
      <c r="O320" s="90"/>
      <c r="P320" s="90"/>
      <c r="Q320" s="90"/>
      <c r="R320" s="752"/>
      <c r="S320" s="752"/>
      <c r="T320" s="752"/>
      <c r="U320" s="752"/>
      <c r="V320" s="752"/>
      <c r="Z320" s="752"/>
      <c r="AA320" s="90"/>
      <c r="AB320" s="86"/>
      <c r="AD320" s="32"/>
    </row>
    <row r="321" spans="1:30">
      <c r="A321" s="1225">
        <v>316</v>
      </c>
      <c r="B321" s="34" t="s">
        <v>175</v>
      </c>
      <c r="E321" s="1420">
        <f>SUMIFS('Rev Recon Summary'!$P$1:$P$500,'Rev Recon Summary'!$C$1:$C$500,"*"&amp;B321&amp;"*",'Rev Recon Summary'!$B$1:$B$500,"*"&amp;$B$312&amp;"*")</f>
        <v>-680609.28000000003</v>
      </c>
      <c r="F321" s="752"/>
      <c r="G321" s="752"/>
      <c r="H321" s="752"/>
      <c r="I321" s="752"/>
      <c r="J321" s="752"/>
      <c r="K321" s="84"/>
      <c r="L321" s="756"/>
      <c r="M321" s="751"/>
      <c r="N321" s="752"/>
      <c r="O321" s="90"/>
      <c r="P321" s="90"/>
      <c r="Q321" s="90"/>
      <c r="R321" s="752"/>
      <c r="S321" s="752"/>
      <c r="T321" s="752"/>
      <c r="U321" s="752"/>
      <c r="V321" s="752"/>
      <c r="W321" s="752"/>
      <c r="X321" s="752"/>
      <c r="Y321" s="752"/>
      <c r="Z321" s="752"/>
      <c r="AA321" s="90"/>
      <c r="AB321" s="86"/>
      <c r="AC321" s="752"/>
      <c r="AD321" s="32"/>
    </row>
    <row r="322" spans="1:30">
      <c r="A322" s="1225">
        <v>317</v>
      </c>
      <c r="B322" s="34" t="s">
        <v>176</v>
      </c>
      <c r="E322" s="1422">
        <f>SUMIFS('Rev Recon Summary'!$P$1:$P$500,'Rev Recon Summary'!$C$1:$C$500,"*"&amp;B322&amp;"*",'Rev Recon Summary'!$B$1:$B$500,"*"&amp;$B$312&amp;"*")</f>
        <v>695859.76</v>
      </c>
      <c r="F322" s="752"/>
      <c r="G322" s="752"/>
      <c r="H322" s="752"/>
      <c r="I322" s="752"/>
      <c r="J322" s="752"/>
      <c r="K322" s="84"/>
      <c r="L322" s="756"/>
      <c r="M322" s="751"/>
      <c r="N322" s="752"/>
      <c r="O322" s="90"/>
      <c r="P322" s="90"/>
      <c r="Q322" s="90"/>
      <c r="R322" s="752"/>
      <c r="S322" s="752"/>
      <c r="T322" s="752"/>
      <c r="U322" s="752"/>
      <c r="V322" s="752"/>
      <c r="Z322" s="752"/>
      <c r="AA322" s="90"/>
      <c r="AB322" s="86"/>
      <c r="AD322" s="32"/>
    </row>
    <row r="323" spans="1:30">
      <c r="A323" s="1225">
        <v>318</v>
      </c>
      <c r="B323" s="8" t="s">
        <v>152</v>
      </c>
      <c r="E323" s="1416">
        <f>SUM(E320:E322)</f>
        <v>43803.229999999981</v>
      </c>
      <c r="F323" s="752"/>
      <c r="G323" s="752"/>
      <c r="H323" s="752"/>
      <c r="I323" s="752"/>
      <c r="J323" s="752"/>
      <c r="K323" s="84"/>
      <c r="L323" s="756"/>
      <c r="M323" s="751"/>
      <c r="N323" s="752"/>
      <c r="O323" s="90"/>
      <c r="P323" s="90"/>
      <c r="Q323" s="90"/>
      <c r="R323" s="752"/>
      <c r="S323" s="752"/>
      <c r="T323" s="752"/>
      <c r="U323" s="752"/>
      <c r="V323" s="752"/>
      <c r="W323" s="752"/>
      <c r="X323" s="752"/>
      <c r="Y323" s="752"/>
      <c r="Z323" s="752"/>
      <c r="AA323" s="90"/>
      <c r="AB323" s="86"/>
      <c r="AC323" s="752"/>
      <c r="AD323" s="32"/>
    </row>
    <row r="324" spans="1:30">
      <c r="A324" s="1225">
        <v>319</v>
      </c>
      <c r="D324" s="768"/>
      <c r="E324" s="84"/>
      <c r="F324" s="89"/>
      <c r="G324" s="89"/>
      <c r="H324" s="89"/>
      <c r="I324" s="89"/>
      <c r="J324" s="89"/>
      <c r="K324" s="84"/>
      <c r="L324" s="756"/>
      <c r="M324" s="751"/>
      <c r="N324" s="89"/>
      <c r="O324" s="90"/>
      <c r="P324" s="90"/>
      <c r="Q324" s="90"/>
      <c r="R324" s="89"/>
      <c r="S324" s="752"/>
      <c r="T324" s="752"/>
      <c r="U324" s="752"/>
      <c r="V324" s="89"/>
      <c r="Z324" s="89"/>
      <c r="AA324" s="90"/>
      <c r="AB324" s="86"/>
      <c r="AD324" s="32"/>
    </row>
    <row r="325" spans="1:30">
      <c r="A325" s="1225">
        <v>320</v>
      </c>
      <c r="B325" s="639" t="str">
        <f>"Total "&amp;LEFT(B312,17)&amp;" Revenue"</f>
        <v>Total CNGWA909 Revenue</v>
      </c>
      <c r="C325" s="764">
        <f>E325-'Rev Recon Summary'!P202</f>
        <v>0</v>
      </c>
      <c r="D325" s="765" t="s">
        <v>149</v>
      </c>
      <c r="E325" s="631">
        <f>SUM(E317,E323)</f>
        <v>695859.76000000013</v>
      </c>
      <c r="F325" s="634"/>
      <c r="G325" s="634"/>
      <c r="H325" s="634"/>
      <c r="I325" s="634"/>
      <c r="J325" s="634"/>
      <c r="K325" s="631"/>
      <c r="L325" s="766"/>
      <c r="M325" s="764"/>
      <c r="N325" s="634"/>
      <c r="O325" s="633"/>
      <c r="P325" s="633"/>
      <c r="Q325" s="633"/>
      <c r="R325" s="634"/>
      <c r="S325" s="761"/>
      <c r="T325" s="761"/>
      <c r="U325" s="761"/>
      <c r="V325" s="634"/>
      <c r="W325" s="765"/>
      <c r="X325" s="765"/>
      <c r="Y325" s="765"/>
      <c r="Z325" s="634"/>
      <c r="AA325" s="633"/>
      <c r="AB325" s="630"/>
      <c r="AC325" s="765"/>
      <c r="AD325" s="32"/>
    </row>
    <row r="326" spans="1:30">
      <c r="A326" s="1225">
        <v>321</v>
      </c>
      <c r="D326" s="768"/>
      <c r="E326" s="84"/>
      <c r="F326" s="89"/>
      <c r="G326" s="89"/>
      <c r="H326" s="89"/>
      <c r="I326" s="89"/>
      <c r="J326" s="89"/>
      <c r="K326" s="84"/>
      <c r="L326" s="756"/>
      <c r="M326" s="751"/>
      <c r="N326" s="89"/>
      <c r="O326" s="90"/>
      <c r="P326" s="90"/>
      <c r="Q326" s="90"/>
      <c r="R326" s="89"/>
      <c r="S326" s="752"/>
      <c r="T326" s="752"/>
      <c r="U326" s="752"/>
      <c r="V326" s="89"/>
      <c r="Z326" s="89"/>
      <c r="AA326" s="90"/>
      <c r="AB326" s="86"/>
      <c r="AD326" s="32"/>
    </row>
    <row r="327" spans="1:30">
      <c r="A327" s="1225">
        <v>322</v>
      </c>
      <c r="B327" s="783" t="s">
        <v>217</v>
      </c>
      <c r="E327" s="1416"/>
      <c r="K327" s="84"/>
      <c r="L327" s="756"/>
      <c r="M327" s="751"/>
      <c r="O327" s="90"/>
      <c r="P327" s="90"/>
      <c r="Q327" s="90"/>
      <c r="S327" s="752"/>
      <c r="T327" s="752"/>
      <c r="U327" s="752"/>
      <c r="AA327" s="90"/>
      <c r="AB327" s="86"/>
      <c r="AD327" s="32"/>
    </row>
    <row r="328" spans="1:30">
      <c r="A328" s="1225">
        <v>323</v>
      </c>
      <c r="B328" s="1" t="s">
        <v>196</v>
      </c>
      <c r="C328" s="12">
        <f>E328/D328</f>
        <v>12</v>
      </c>
      <c r="D328" s="12">
        <v>625</v>
      </c>
      <c r="E328" s="1416">
        <f>SUMIFS('1501 Summary'!$P$1:$P$600,'1501 Summary'!$C$1:$C$600,"*"&amp;B328&amp;"*",'1501 Summary'!$B$1:$B$600,"*"&amp;$B$327&amp;"*")</f>
        <v>7500</v>
      </c>
      <c r="F328" s="787"/>
      <c r="G328" s="787"/>
      <c r="H328" s="787"/>
      <c r="I328" s="787"/>
      <c r="J328" s="787"/>
      <c r="K328" s="84">
        <f>C328+G328</f>
        <v>12</v>
      </c>
      <c r="L328" s="751">
        <f>D328</f>
        <v>625</v>
      </c>
      <c r="M328" s="752">
        <f>L328*K328</f>
        <v>7500</v>
      </c>
      <c r="N328" s="787"/>
      <c r="O328" s="90"/>
      <c r="P328" s="90"/>
      <c r="Q328" s="90"/>
      <c r="R328" s="787"/>
      <c r="S328" s="753"/>
      <c r="T328" s="781"/>
      <c r="U328" s="752"/>
      <c r="V328" s="787"/>
      <c r="W328" s="86"/>
      <c r="X328" s="86"/>
      <c r="Y328" s="86"/>
      <c r="Z328" s="787"/>
      <c r="AA328" s="90"/>
      <c r="AB328" s="86"/>
      <c r="AC328" s="86"/>
      <c r="AD328" s="32"/>
    </row>
    <row r="329" spans="1:30">
      <c r="A329" s="1225">
        <v>324</v>
      </c>
      <c r="B329" s="1" t="s">
        <v>197</v>
      </c>
      <c r="C329" s="12">
        <f>E329/D329</f>
        <v>12</v>
      </c>
      <c r="D329" s="751">
        <v>2250</v>
      </c>
      <c r="E329" s="1416">
        <f>SUMIFS('1501 Summary'!$P$1:$P$600,'1501 Summary'!$C$1:$C$600,"*"&amp;B329&amp;"*",'1501 Summary'!$B$1:$B$600,"*"&amp;$B$327&amp;"*")</f>
        <v>27000</v>
      </c>
      <c r="F329" s="787"/>
      <c r="G329" s="787"/>
      <c r="H329" s="787"/>
      <c r="I329" s="787"/>
      <c r="J329" s="787"/>
      <c r="K329" s="84">
        <f>C329+G329</f>
        <v>12</v>
      </c>
      <c r="L329" s="751">
        <f>D329</f>
        <v>2250</v>
      </c>
      <c r="M329" s="752">
        <f>L329*K329</f>
        <v>27000</v>
      </c>
      <c r="N329" s="787"/>
      <c r="O329" s="90"/>
      <c r="P329" s="90"/>
      <c r="Q329" s="90"/>
      <c r="R329" s="787"/>
      <c r="S329" s="753"/>
      <c r="T329" s="781"/>
      <c r="U329" s="752"/>
      <c r="V329" s="787"/>
      <c r="W329" s="86"/>
      <c r="X329" s="86"/>
      <c r="Y329" s="86"/>
      <c r="Z329" s="787"/>
      <c r="AA329" s="90"/>
      <c r="AB329" s="86"/>
      <c r="AC329" s="86"/>
      <c r="AD329" s="32"/>
    </row>
    <row r="330" spans="1:30">
      <c r="A330" s="1225">
        <v>325</v>
      </c>
      <c r="B330" s="1" t="s">
        <v>198</v>
      </c>
      <c r="C330" s="84">
        <f>E330/D330</f>
        <v>7587174.9999999991</v>
      </c>
      <c r="D330" s="1038">
        <v>4.0000000000000002E-4</v>
      </c>
      <c r="E330" s="1416">
        <f>SUMIFS('1501 Summary'!$P$1:$P$600,'1501 Summary'!$C$1:$C$600,"*"&amp;B330&amp;"*",'1501 Summary'!$B$1:$B$600,"*"&amp;$B$327&amp;"*")</f>
        <v>3034.87</v>
      </c>
      <c r="F330" s="787"/>
      <c r="G330" s="787"/>
      <c r="H330" s="787"/>
      <c r="I330" s="787"/>
      <c r="J330" s="787"/>
      <c r="K330" s="84">
        <f>C330+G330</f>
        <v>7587174.9999999991</v>
      </c>
      <c r="L330" s="789">
        <f>D330</f>
        <v>4.0000000000000002E-4</v>
      </c>
      <c r="M330" s="752">
        <f>L330*K330</f>
        <v>3034.87</v>
      </c>
      <c r="N330" s="787"/>
      <c r="O330" s="90"/>
      <c r="P330" s="90"/>
      <c r="Q330" s="90"/>
      <c r="R330" s="787"/>
      <c r="S330" s="753"/>
      <c r="T330" s="781"/>
      <c r="U330" s="752"/>
      <c r="V330" s="787"/>
      <c r="W330" s="86"/>
      <c r="X330" s="86"/>
      <c r="Y330" s="86"/>
      <c r="Z330" s="787"/>
      <c r="AA330" s="88"/>
      <c r="AB330" s="86"/>
      <c r="AC330" s="86"/>
      <c r="AD330" s="32"/>
    </row>
    <row r="331" spans="1:30">
      <c r="A331" s="1225">
        <v>326</v>
      </c>
      <c r="B331" s="1" t="s">
        <v>215</v>
      </c>
      <c r="C331" s="84">
        <f>E331/D331</f>
        <v>7595938.6940647028</v>
      </c>
      <c r="D331" s="790">
        <v>1.1776999999999999E-2</v>
      </c>
      <c r="E331" s="1418">
        <f>SUMIFS('1501 Summary'!$P$1:$P$600,'1501 Summary'!$C$1:$C$600,"*"&amp;B331&amp;"*",'1501 Summary'!$B$1:$B$600,"*"&amp;$B$327&amp;"*")</f>
        <v>89457.37</v>
      </c>
      <c r="F331" s="787"/>
      <c r="G331" s="787"/>
      <c r="H331" s="787"/>
      <c r="I331" s="787"/>
      <c r="J331" s="787"/>
      <c r="K331" s="84">
        <f>C331+G331</f>
        <v>7595938.6940647028</v>
      </c>
      <c r="L331" s="790">
        <f>D331</f>
        <v>1.1776999999999999E-2</v>
      </c>
      <c r="M331" s="761">
        <f>L331*K331</f>
        <v>89457.37</v>
      </c>
      <c r="N331" s="787"/>
      <c r="O331" s="90"/>
      <c r="P331" s="90"/>
      <c r="Q331" s="90"/>
      <c r="R331" s="787"/>
      <c r="S331" s="753"/>
      <c r="T331" s="781"/>
      <c r="U331" s="752"/>
      <c r="V331" s="787"/>
      <c r="W331" s="86"/>
      <c r="X331" s="86"/>
      <c r="Y331" s="86"/>
      <c r="Z331" s="787"/>
      <c r="AA331" s="88"/>
      <c r="AB331" s="86"/>
      <c r="AC331" s="86"/>
      <c r="AD331" s="32"/>
    </row>
    <row r="332" spans="1:30">
      <c r="A332" s="1225">
        <v>327</v>
      </c>
      <c r="B332" s="1" t="s">
        <v>127</v>
      </c>
      <c r="E332" s="1416">
        <f>SUM(E328:E331)</f>
        <v>126992.23999999999</v>
      </c>
      <c r="F332" s="787"/>
      <c r="G332" s="787"/>
      <c r="H332" s="787"/>
      <c r="I332" s="787"/>
      <c r="J332" s="787"/>
      <c r="K332" s="84"/>
      <c r="L332" s="756"/>
      <c r="M332" s="752">
        <f>SUM(M328:M331)</f>
        <v>126992.23999999999</v>
      </c>
      <c r="N332" s="787"/>
      <c r="O332" s="90"/>
      <c r="P332" s="90"/>
      <c r="Q332" s="90"/>
      <c r="R332" s="787"/>
      <c r="S332" s="753"/>
      <c r="T332" s="781"/>
      <c r="U332" s="752"/>
      <c r="V332" s="787"/>
      <c r="W332" s="86"/>
      <c r="X332" s="86"/>
      <c r="Y332" s="86"/>
      <c r="Z332" s="787"/>
      <c r="AA332" s="90"/>
      <c r="AB332" s="86"/>
      <c r="AC332" s="86"/>
      <c r="AD332" s="32"/>
    </row>
    <row r="333" spans="1:30">
      <c r="A333" s="1225">
        <v>328</v>
      </c>
      <c r="B333" s="8"/>
      <c r="E333" s="1416"/>
      <c r="K333" s="84"/>
      <c r="L333" s="756"/>
      <c r="M333" s="752"/>
      <c r="O333" s="90"/>
      <c r="P333" s="90"/>
      <c r="Q333" s="90"/>
      <c r="S333" s="752"/>
      <c r="T333" s="752"/>
      <c r="U333" s="752"/>
      <c r="AA333" s="90"/>
      <c r="AB333" s="86"/>
      <c r="AD333" s="32"/>
    </row>
    <row r="334" spans="1:30">
      <c r="A334" s="1225">
        <v>329</v>
      </c>
      <c r="B334" s="1" t="s">
        <v>130</v>
      </c>
      <c r="E334" s="1416"/>
      <c r="K334" s="84"/>
      <c r="L334" s="756"/>
      <c r="M334" s="752"/>
      <c r="O334" s="90"/>
      <c r="P334" s="90"/>
      <c r="Q334" s="90"/>
      <c r="S334" s="752"/>
      <c r="T334" s="752"/>
      <c r="U334" s="752"/>
      <c r="AA334" s="90"/>
      <c r="AB334" s="86"/>
      <c r="AD334" s="32"/>
    </row>
    <row r="335" spans="1:30">
      <c r="A335" s="1225">
        <v>330</v>
      </c>
      <c r="B335" s="1" t="s">
        <v>211</v>
      </c>
      <c r="E335" s="1416">
        <f>SUMIFS('1501 Summary'!$P$1:$P$600,'1501 Summary'!$C$1:$C$600,"*"&amp;B335&amp;"*",'1501 Summary'!$B$1:$B$600,"*"&amp;$B$327&amp;"*")</f>
        <v>5565.5700000000006</v>
      </c>
      <c r="F335" s="781"/>
      <c r="G335" s="781"/>
      <c r="H335" s="781"/>
      <c r="I335" s="781"/>
      <c r="J335" s="781"/>
      <c r="K335" s="84"/>
      <c r="L335" s="756"/>
      <c r="M335" s="752"/>
      <c r="N335" s="781"/>
      <c r="O335" s="90"/>
      <c r="P335" s="90"/>
      <c r="Q335" s="90"/>
      <c r="R335" s="781"/>
      <c r="S335" s="752"/>
      <c r="T335" s="752"/>
      <c r="U335" s="752"/>
      <c r="V335" s="781"/>
      <c r="Z335" s="781"/>
      <c r="AA335" s="90"/>
      <c r="AB335" s="86"/>
      <c r="AD335" s="32"/>
    </row>
    <row r="336" spans="1:30">
      <c r="A336" s="1225">
        <v>331</v>
      </c>
      <c r="B336" s="34" t="s">
        <v>175</v>
      </c>
      <c r="E336" s="1420">
        <f>SUMIFS('Rev Recon Summary'!$P$1:$P$500,'Rev Recon Summary'!$C$1:$C$500,"*"&amp;B336&amp;"*",'Rev Recon Summary'!$B$1:$B$500,"*"&amp;$B$327&amp;"*")</f>
        <v>-132557.81000000003</v>
      </c>
      <c r="F336" s="781"/>
      <c r="G336" s="781"/>
      <c r="H336" s="781"/>
      <c r="I336" s="781"/>
      <c r="J336" s="781"/>
      <c r="K336" s="84"/>
      <c r="L336" s="756"/>
      <c r="M336" s="752"/>
      <c r="N336" s="781"/>
      <c r="O336" s="90"/>
      <c r="P336" s="90"/>
      <c r="Q336" s="90"/>
      <c r="R336" s="781"/>
      <c r="S336" s="752"/>
      <c r="T336" s="752"/>
      <c r="U336" s="752"/>
      <c r="V336" s="781"/>
      <c r="Z336" s="781"/>
      <c r="AA336" s="90"/>
      <c r="AB336" s="86"/>
      <c r="AD336" s="32"/>
    </row>
    <row r="337" spans="1:30">
      <c r="A337" s="1225">
        <v>332</v>
      </c>
      <c r="B337" s="34" t="s">
        <v>176</v>
      </c>
      <c r="E337" s="1422">
        <f>SUMIFS('Rev Recon Summary'!$P$1:$P$500,'Rev Recon Summary'!$C$1:$C$500,"*"&amp;B337&amp;"*",'Rev Recon Summary'!$B$1:$B$500,"*"&amp;$B$327&amp;"*")</f>
        <v>129471.85</v>
      </c>
      <c r="F337" s="781"/>
      <c r="G337" s="781"/>
      <c r="H337" s="781"/>
      <c r="I337" s="781"/>
      <c r="J337" s="781"/>
      <c r="K337" s="84"/>
      <c r="L337" s="756"/>
      <c r="M337" s="752"/>
      <c r="N337" s="781"/>
      <c r="O337" s="90"/>
      <c r="P337" s="90"/>
      <c r="Q337" s="90"/>
      <c r="R337" s="781"/>
      <c r="S337" s="752"/>
      <c r="T337" s="752"/>
      <c r="U337" s="752"/>
      <c r="V337" s="781"/>
      <c r="Z337" s="781"/>
      <c r="AA337" s="90"/>
      <c r="AB337" s="86"/>
      <c r="AD337" s="32"/>
    </row>
    <row r="338" spans="1:30">
      <c r="A338" s="1225">
        <v>333</v>
      </c>
      <c r="B338" s="8" t="s">
        <v>152</v>
      </c>
      <c r="E338" s="1416">
        <f>SUM(E335:E337)</f>
        <v>2479.609999999986</v>
      </c>
      <c r="F338" s="751"/>
      <c r="G338" s="751"/>
      <c r="H338" s="751"/>
      <c r="I338" s="751"/>
      <c r="J338" s="751"/>
      <c r="K338" s="84"/>
      <c r="L338" s="756"/>
      <c r="M338" s="752"/>
      <c r="N338" s="751"/>
      <c r="O338" s="90"/>
      <c r="P338" s="90"/>
      <c r="Q338" s="90"/>
      <c r="R338" s="751"/>
      <c r="S338" s="752"/>
      <c r="T338" s="752"/>
      <c r="U338" s="752"/>
      <c r="V338" s="751"/>
      <c r="Z338" s="751"/>
      <c r="AA338" s="90"/>
      <c r="AB338" s="86"/>
      <c r="AD338" s="32"/>
    </row>
    <row r="339" spans="1:30">
      <c r="A339" s="1225">
        <v>334</v>
      </c>
      <c r="B339" s="8"/>
      <c r="E339" s="1416"/>
      <c r="F339" s="752"/>
      <c r="G339" s="752"/>
      <c r="H339" s="752"/>
      <c r="I339" s="752"/>
      <c r="J339" s="752"/>
      <c r="K339" s="84"/>
      <c r="L339" s="756"/>
      <c r="M339" s="752"/>
      <c r="N339" s="752"/>
      <c r="O339" s="90"/>
      <c r="P339" s="90"/>
      <c r="Q339" s="90"/>
      <c r="R339" s="752"/>
      <c r="S339" s="752"/>
      <c r="T339" s="752"/>
      <c r="U339" s="752"/>
      <c r="V339" s="752"/>
      <c r="Z339" s="752"/>
      <c r="AA339" s="90"/>
      <c r="AB339" s="86"/>
      <c r="AD339" s="32"/>
    </row>
    <row r="340" spans="1:30">
      <c r="A340" s="1225">
        <v>335</v>
      </c>
      <c r="B340" s="639" t="s">
        <v>218</v>
      </c>
      <c r="C340" s="764">
        <f>E340-'Rev Recon Summary'!P222</f>
        <v>0</v>
      </c>
      <c r="D340" s="765" t="s">
        <v>149</v>
      </c>
      <c r="E340" s="1418">
        <f>SUM(E332,E338)</f>
        <v>129471.84999999998</v>
      </c>
      <c r="F340" s="764"/>
      <c r="G340" s="764"/>
      <c r="H340" s="764"/>
      <c r="I340" s="764"/>
      <c r="J340" s="764"/>
      <c r="K340" s="631"/>
      <c r="L340" s="766"/>
      <c r="M340" s="761"/>
      <c r="N340" s="764"/>
      <c r="O340" s="633"/>
      <c r="P340" s="633"/>
      <c r="Q340" s="633"/>
      <c r="R340" s="764"/>
      <c r="S340" s="761"/>
      <c r="T340" s="761"/>
      <c r="U340" s="761"/>
      <c r="V340" s="764"/>
      <c r="W340" s="761"/>
      <c r="X340" s="761"/>
      <c r="Y340" s="761"/>
      <c r="Z340" s="764"/>
      <c r="AA340" s="633"/>
      <c r="AB340" s="630"/>
      <c r="AC340" s="761"/>
      <c r="AD340" s="32"/>
    </row>
    <row r="341" spans="1:30">
      <c r="A341" s="1225">
        <v>336</v>
      </c>
      <c r="E341" s="1416"/>
      <c r="K341" s="84"/>
      <c r="L341" s="756"/>
      <c r="M341" s="752"/>
      <c r="O341" s="90"/>
      <c r="P341" s="90"/>
      <c r="Q341" s="90"/>
      <c r="S341" s="752"/>
      <c r="T341" s="752"/>
      <c r="U341" s="752"/>
      <c r="AA341" s="90"/>
      <c r="AB341" s="86"/>
      <c r="AD341" s="32"/>
    </row>
    <row r="342" spans="1:30">
      <c r="A342" s="1225">
        <v>337</v>
      </c>
      <c r="B342" s="783" t="s">
        <v>219</v>
      </c>
      <c r="E342" s="1416"/>
      <c r="F342" s="752"/>
      <c r="G342" s="752"/>
      <c r="H342" s="752"/>
      <c r="I342" s="752"/>
      <c r="J342" s="752"/>
      <c r="K342" s="84"/>
      <c r="L342" s="756"/>
      <c r="M342" s="752"/>
      <c r="N342" s="752"/>
      <c r="O342" s="90"/>
      <c r="P342" s="90"/>
      <c r="Q342" s="90"/>
      <c r="R342" s="752"/>
      <c r="S342" s="752"/>
      <c r="T342" s="752"/>
      <c r="U342" s="752"/>
      <c r="V342" s="752"/>
      <c r="W342" s="752"/>
      <c r="X342" s="752"/>
      <c r="Y342" s="752"/>
      <c r="Z342" s="752"/>
      <c r="AA342" s="90"/>
      <c r="AB342" s="86"/>
      <c r="AC342" s="752"/>
      <c r="AD342" s="32"/>
    </row>
    <row r="343" spans="1:30">
      <c r="A343" s="1225">
        <v>338</v>
      </c>
      <c r="B343" s="1" t="s">
        <v>196</v>
      </c>
      <c r="C343" s="12">
        <f>E343/D343</f>
        <v>12</v>
      </c>
      <c r="D343" s="90">
        <v>625</v>
      </c>
      <c r="E343" s="1416">
        <f>SUMIFS('1501 Summary'!$P$1:$P$600,'1501 Summary'!$C$1:$C$600,"*"&amp;B343&amp;"*",'1501 Summary'!$B$1:$B$600,"*"&amp;$B$342&amp;"*")</f>
        <v>7500</v>
      </c>
      <c r="F343" s="89"/>
      <c r="G343" s="89"/>
      <c r="H343" s="89"/>
      <c r="I343" s="89"/>
      <c r="J343" s="89"/>
      <c r="K343" s="84">
        <f>C343+G343</f>
        <v>12</v>
      </c>
      <c r="L343" s="751">
        <f>D343</f>
        <v>625</v>
      </c>
      <c r="M343" s="752">
        <f>L343*K343</f>
        <v>7500</v>
      </c>
      <c r="N343" s="89"/>
      <c r="O343" s="90"/>
      <c r="P343" s="90"/>
      <c r="Q343" s="90"/>
      <c r="R343" s="89"/>
      <c r="S343" s="753"/>
      <c r="T343" s="781"/>
      <c r="U343" s="752"/>
      <c r="V343" s="89"/>
      <c r="W343" s="86"/>
      <c r="X343" s="86"/>
      <c r="Y343" s="86"/>
      <c r="Z343" s="89"/>
      <c r="AA343" s="90"/>
      <c r="AB343" s="86"/>
      <c r="AC343" s="86"/>
      <c r="AD343" s="32"/>
    </row>
    <row r="344" spans="1:30">
      <c r="A344" s="1225">
        <v>339</v>
      </c>
      <c r="B344" s="1" t="s">
        <v>197</v>
      </c>
      <c r="C344" s="12">
        <f>E344/D344</f>
        <v>12</v>
      </c>
      <c r="D344" s="90">
        <v>3950</v>
      </c>
      <c r="E344" s="1416">
        <f>SUMIFS('1501 Summary'!$P$1:$P$600,'1501 Summary'!$C$1:$C$600,"*"&amp;B344&amp;"*",'1501 Summary'!$B$1:$B$600,"*"&amp;$B$342&amp;"*")</f>
        <v>47400</v>
      </c>
      <c r="F344" s="767"/>
      <c r="G344" s="767"/>
      <c r="H344" s="767"/>
      <c r="I344" s="767"/>
      <c r="J344" s="767"/>
      <c r="K344" s="84">
        <f>C344+G344</f>
        <v>12</v>
      </c>
      <c r="L344" s="751">
        <f>D344</f>
        <v>3950</v>
      </c>
      <c r="M344" s="752">
        <f>L344*K344</f>
        <v>47400</v>
      </c>
      <c r="N344" s="767"/>
      <c r="O344" s="90"/>
      <c r="P344" s="90"/>
      <c r="Q344" s="90"/>
      <c r="R344" s="767"/>
      <c r="S344" s="753"/>
      <c r="T344" s="781"/>
      <c r="U344" s="752"/>
      <c r="V344" s="767"/>
      <c r="W344" s="86"/>
      <c r="X344" s="86"/>
      <c r="Y344" s="86"/>
      <c r="Z344" s="767"/>
      <c r="AA344" s="90"/>
      <c r="AB344" s="86"/>
      <c r="AC344" s="86"/>
      <c r="AD344" s="32"/>
    </row>
    <row r="345" spans="1:30">
      <c r="A345" s="1225">
        <v>340</v>
      </c>
      <c r="B345" s="1" t="s">
        <v>198</v>
      </c>
      <c r="C345" s="84">
        <f>E345/D345</f>
        <v>4360250</v>
      </c>
      <c r="D345" s="97">
        <v>4.0000000000000002E-4</v>
      </c>
      <c r="E345" s="1416">
        <f>SUMIFS('1501 Summary'!$P$1:$P$600,'1501 Summary'!$C$1:$C$600,"*"&amp;B345&amp;"*",'1501 Summary'!$B$1:$B$600,"*"&amp;$B$342&amp;"*")</f>
        <v>1744.1000000000001</v>
      </c>
      <c r="F345" s="767"/>
      <c r="G345" s="767"/>
      <c r="H345" s="767"/>
      <c r="I345" s="767"/>
      <c r="J345" s="767"/>
      <c r="K345" s="84">
        <f>C345+G345</f>
        <v>4360250</v>
      </c>
      <c r="L345" s="756">
        <f>D345</f>
        <v>4.0000000000000002E-4</v>
      </c>
      <c r="M345" s="752">
        <f>L345*K345</f>
        <v>1744.1000000000001</v>
      </c>
      <c r="N345" s="767"/>
      <c r="O345" s="90"/>
      <c r="P345" s="90"/>
      <c r="Q345" s="90"/>
      <c r="R345" s="767"/>
      <c r="S345" s="753"/>
      <c r="T345" s="781"/>
      <c r="U345" s="752"/>
      <c r="V345" s="767"/>
      <c r="W345" s="86"/>
      <c r="X345" s="86"/>
      <c r="Y345" s="86"/>
      <c r="Z345" s="767"/>
      <c r="AA345" s="88"/>
      <c r="AB345" s="86"/>
      <c r="AC345" s="86"/>
      <c r="AD345" s="32"/>
    </row>
    <row r="346" spans="1:30">
      <c r="A346" s="1225">
        <v>341</v>
      </c>
      <c r="B346" s="1" t="s">
        <v>215</v>
      </c>
      <c r="C346" s="84">
        <f>E346/D346</f>
        <v>4365612.869907096</v>
      </c>
      <c r="D346" s="98">
        <v>1.80079E-2</v>
      </c>
      <c r="E346" s="1418">
        <f>SUMIFS('1501 Summary'!$P$1:$P$600,'1501 Summary'!$C$1:$C$600,"*"&amp;B346&amp;"*",'1501 Summary'!$B$1:$B$600,"*"&amp;$B$342&amp;"*")</f>
        <v>78615.520000000004</v>
      </c>
      <c r="F346" s="767"/>
      <c r="G346" s="767"/>
      <c r="H346" s="767"/>
      <c r="I346" s="767"/>
      <c r="J346" s="767"/>
      <c r="K346" s="84">
        <f>C346+G346</f>
        <v>4365612.869907096</v>
      </c>
      <c r="L346" s="756">
        <f>D346</f>
        <v>1.80079E-2</v>
      </c>
      <c r="M346" s="761">
        <f>L346*K346</f>
        <v>78615.51999999999</v>
      </c>
      <c r="N346" s="767"/>
      <c r="O346" s="90"/>
      <c r="P346" s="90"/>
      <c r="Q346" s="90"/>
      <c r="R346" s="767"/>
      <c r="S346" s="752"/>
      <c r="T346" s="781"/>
      <c r="U346" s="752"/>
      <c r="V346" s="767"/>
      <c r="W346" s="86"/>
      <c r="X346" s="86"/>
      <c r="Y346" s="86"/>
      <c r="Z346" s="767"/>
      <c r="AA346" s="88"/>
      <c r="AB346" s="86"/>
      <c r="AC346" s="86"/>
      <c r="AD346" s="32"/>
    </row>
    <row r="347" spans="1:30">
      <c r="A347" s="1225">
        <v>342</v>
      </c>
      <c r="B347" s="1" t="s">
        <v>127</v>
      </c>
      <c r="E347" s="1416">
        <f>SUM(E343:E346)</f>
        <v>135259.62</v>
      </c>
      <c r="F347" s="767"/>
      <c r="G347" s="767"/>
      <c r="H347" s="767"/>
      <c r="I347" s="767"/>
      <c r="J347" s="767"/>
      <c r="K347" s="84"/>
      <c r="L347" s="756"/>
      <c r="M347" s="752">
        <f>SUM(M343:M346)</f>
        <v>135259.62</v>
      </c>
      <c r="N347" s="767"/>
      <c r="O347" s="90"/>
      <c r="P347" s="90"/>
      <c r="Q347" s="90"/>
      <c r="R347" s="767"/>
      <c r="S347" s="752"/>
      <c r="T347" s="752"/>
      <c r="U347" s="752"/>
      <c r="V347" s="767"/>
      <c r="W347" s="86"/>
      <c r="X347" s="86"/>
      <c r="Y347" s="86"/>
      <c r="Z347" s="767"/>
      <c r="AA347" s="90"/>
      <c r="AB347" s="86"/>
      <c r="AC347" s="86"/>
      <c r="AD347" s="32"/>
    </row>
    <row r="348" spans="1:30">
      <c r="A348" s="1225">
        <v>343</v>
      </c>
      <c r="B348" s="8"/>
      <c r="E348" s="1416"/>
      <c r="F348" s="767"/>
      <c r="G348" s="767"/>
      <c r="H348" s="767"/>
      <c r="I348" s="767"/>
      <c r="J348" s="767"/>
      <c r="K348" s="84"/>
      <c r="L348" s="756"/>
      <c r="M348" s="752"/>
      <c r="N348" s="767"/>
      <c r="O348" s="90"/>
      <c r="P348" s="90"/>
      <c r="Q348" s="90"/>
      <c r="R348" s="767"/>
      <c r="S348" s="752"/>
      <c r="T348" s="752"/>
      <c r="U348" s="752"/>
      <c r="V348" s="767"/>
      <c r="Z348" s="767"/>
      <c r="AA348" s="90"/>
      <c r="AB348" s="86"/>
      <c r="AD348" s="32"/>
    </row>
    <row r="349" spans="1:30">
      <c r="A349" s="1225">
        <v>344</v>
      </c>
      <c r="B349" s="1" t="s">
        <v>130</v>
      </c>
      <c r="E349" s="1416"/>
      <c r="F349" s="767"/>
      <c r="G349" s="767"/>
      <c r="H349" s="767"/>
      <c r="I349" s="767"/>
      <c r="J349" s="767"/>
      <c r="K349" s="84"/>
      <c r="L349" s="756"/>
      <c r="M349" s="752"/>
      <c r="N349" s="767"/>
      <c r="O349" s="90"/>
      <c r="P349" s="90"/>
      <c r="Q349" s="90"/>
      <c r="R349" s="767"/>
      <c r="S349" s="752"/>
      <c r="T349" s="752"/>
      <c r="U349" s="752"/>
      <c r="V349" s="767"/>
      <c r="Z349" s="767"/>
      <c r="AA349" s="90"/>
      <c r="AB349" s="86"/>
      <c r="AD349" s="32"/>
    </row>
    <row r="350" spans="1:30">
      <c r="A350" s="1225">
        <v>345</v>
      </c>
      <c r="B350" s="1" t="s">
        <v>211</v>
      </c>
      <c r="E350" s="1416">
        <f>SUMIFS('1501 Summary'!$P$1:$P$600,'1501 Summary'!$C$1:$C$600,"*"&amp;B350&amp;"*",'1501 Summary'!$B$1:$B$600,"*"&amp;$B$342&amp;"*")</f>
        <v>5924.99</v>
      </c>
      <c r="F350" s="767"/>
      <c r="G350" s="767"/>
      <c r="H350" s="767"/>
      <c r="I350" s="767"/>
      <c r="J350" s="767"/>
      <c r="K350" s="84"/>
      <c r="L350" s="756"/>
      <c r="M350" s="752"/>
      <c r="N350" s="767"/>
      <c r="O350" s="90"/>
      <c r="P350" s="90"/>
      <c r="Q350" s="90"/>
      <c r="R350" s="767"/>
      <c r="S350" s="752"/>
      <c r="T350" s="752"/>
      <c r="U350" s="752"/>
      <c r="V350" s="767"/>
      <c r="Z350" s="767"/>
      <c r="AA350" s="90"/>
      <c r="AB350" s="86"/>
      <c r="AD350" s="32"/>
    </row>
    <row r="351" spans="1:30">
      <c r="A351" s="1225">
        <v>346</v>
      </c>
      <c r="B351" s="34" t="s">
        <v>175</v>
      </c>
      <c r="E351" s="1420">
        <f>SUMIFS('Rev Recon Summary'!$P$1:$P$500,'Rev Recon Summary'!$C$1:$C$500,"*"&amp;B351&amp;"*",'Rev Recon Summary'!$B$1:$B$500,"*"&amp;$B$342&amp;"*")</f>
        <v>-141184.60999999999</v>
      </c>
      <c r="F351" s="767"/>
      <c r="G351" s="767"/>
      <c r="H351" s="767"/>
      <c r="I351" s="767"/>
      <c r="J351" s="767"/>
      <c r="K351" s="84"/>
      <c r="L351" s="756"/>
      <c r="M351" s="752"/>
      <c r="N351" s="767"/>
      <c r="O351" s="90"/>
      <c r="P351" s="90"/>
      <c r="Q351" s="90"/>
      <c r="R351" s="767"/>
      <c r="S351" s="752"/>
      <c r="T351" s="752"/>
      <c r="U351" s="752"/>
      <c r="V351" s="767"/>
      <c r="Z351" s="767"/>
      <c r="AA351" s="90"/>
      <c r="AB351" s="86"/>
      <c r="AD351" s="32"/>
    </row>
    <row r="352" spans="1:30">
      <c r="A352" s="1225">
        <v>347</v>
      </c>
      <c r="B352" s="34" t="s">
        <v>176</v>
      </c>
      <c r="E352" s="1422">
        <f>SUMIFS('Rev Recon Summary'!$P$1:$P$500,'Rev Recon Summary'!$C$1:$C$500,"*"&amp;B352&amp;"*",'Rev Recon Summary'!$B$1:$B$500,"*"&amp;$B$342&amp;"*")</f>
        <v>140105.22</v>
      </c>
      <c r="F352" s="767"/>
      <c r="G352" s="767"/>
      <c r="H352" s="767"/>
      <c r="I352" s="767"/>
      <c r="J352" s="767"/>
      <c r="K352" s="84"/>
      <c r="L352" s="756"/>
      <c r="M352" s="752"/>
      <c r="N352" s="767"/>
      <c r="O352" s="90"/>
      <c r="P352" s="90"/>
      <c r="Q352" s="90"/>
      <c r="R352" s="767"/>
      <c r="S352" s="752"/>
      <c r="T352" s="752"/>
      <c r="U352" s="752"/>
      <c r="V352" s="767"/>
      <c r="Z352" s="767"/>
      <c r="AA352" s="90"/>
      <c r="AB352" s="86"/>
      <c r="AD352" s="32"/>
    </row>
    <row r="353" spans="1:30">
      <c r="A353" s="1225">
        <v>348</v>
      </c>
      <c r="B353" s="8" t="s">
        <v>152</v>
      </c>
      <c r="E353" s="1416">
        <f>SUM(E350:E352)</f>
        <v>4845.6000000000058</v>
      </c>
      <c r="F353" s="767"/>
      <c r="G353" s="767"/>
      <c r="H353" s="767"/>
      <c r="I353" s="767"/>
      <c r="J353" s="767"/>
      <c r="K353" s="84"/>
      <c r="L353" s="756"/>
      <c r="M353" s="752"/>
      <c r="N353" s="767"/>
      <c r="O353" s="90"/>
      <c r="P353" s="90"/>
      <c r="Q353" s="90"/>
      <c r="R353" s="767"/>
      <c r="S353" s="752"/>
      <c r="T353" s="752"/>
      <c r="U353" s="752"/>
      <c r="V353" s="767"/>
      <c r="Z353" s="767"/>
      <c r="AA353" s="90"/>
      <c r="AB353" s="86"/>
      <c r="AD353" s="32"/>
    </row>
    <row r="354" spans="1:30">
      <c r="A354" s="1225">
        <v>349</v>
      </c>
      <c r="B354" s="34"/>
      <c r="E354" s="1416"/>
      <c r="F354" s="767"/>
      <c r="G354" s="767"/>
      <c r="H354" s="767"/>
      <c r="I354" s="767"/>
      <c r="J354" s="767"/>
      <c r="K354" s="84"/>
      <c r="L354" s="756"/>
      <c r="M354" s="752"/>
      <c r="N354" s="767"/>
      <c r="O354" s="90"/>
      <c r="P354" s="90"/>
      <c r="Q354" s="90"/>
      <c r="R354" s="767"/>
      <c r="S354" s="752"/>
      <c r="T354" s="752"/>
      <c r="U354" s="752"/>
      <c r="V354" s="767"/>
      <c r="Z354" s="767"/>
      <c r="AA354" s="90"/>
      <c r="AB354" s="86"/>
      <c r="AD354" s="32"/>
    </row>
    <row r="355" spans="1:30">
      <c r="A355" s="1225">
        <v>350</v>
      </c>
      <c r="B355" s="639" t="s">
        <v>220</v>
      </c>
      <c r="C355" s="764">
        <f>E355-'Rev Recon Summary'!P242</f>
        <v>0</v>
      </c>
      <c r="D355" s="765" t="s">
        <v>149</v>
      </c>
      <c r="E355" s="631">
        <f>SUM(E347,E353)</f>
        <v>140105.22</v>
      </c>
      <c r="F355" s="633"/>
      <c r="G355" s="633"/>
      <c r="H355" s="633"/>
      <c r="I355" s="633"/>
      <c r="J355" s="633"/>
      <c r="K355" s="631"/>
      <c r="L355" s="766"/>
      <c r="M355" s="761"/>
      <c r="N355" s="633"/>
      <c r="O355" s="633"/>
      <c r="P355" s="633"/>
      <c r="Q355" s="633"/>
      <c r="R355" s="633"/>
      <c r="S355" s="761"/>
      <c r="T355" s="761"/>
      <c r="U355" s="761"/>
      <c r="V355" s="633"/>
      <c r="W355" s="765"/>
      <c r="X355" s="765"/>
      <c r="Y355" s="765"/>
      <c r="Z355" s="633"/>
      <c r="AA355" s="633"/>
      <c r="AB355" s="630"/>
      <c r="AC355" s="765"/>
      <c r="AD355" s="32"/>
    </row>
    <row r="356" spans="1:30">
      <c r="A356" s="1225">
        <v>351</v>
      </c>
      <c r="E356" s="84"/>
      <c r="F356" s="87"/>
      <c r="G356" s="87"/>
      <c r="H356" s="87"/>
      <c r="I356" s="87"/>
      <c r="J356" s="87"/>
      <c r="K356" s="84"/>
      <c r="L356" s="756"/>
      <c r="M356" s="752"/>
      <c r="N356" s="87"/>
      <c r="O356" s="90"/>
      <c r="P356" s="90"/>
      <c r="Q356" s="90"/>
      <c r="R356" s="87"/>
      <c r="S356" s="752"/>
      <c r="T356" s="752"/>
      <c r="U356" s="752"/>
      <c r="V356" s="791"/>
      <c r="Z356" s="791"/>
      <c r="AA356" s="90"/>
      <c r="AB356" s="86"/>
      <c r="AD356" s="32"/>
    </row>
    <row r="357" spans="1:30">
      <c r="A357" s="1225">
        <v>352</v>
      </c>
      <c r="B357" s="783" t="s">
        <v>221</v>
      </c>
      <c r="D357" s="768"/>
      <c r="E357" s="84"/>
      <c r="F357" s="87"/>
      <c r="G357" s="87"/>
      <c r="H357" s="87"/>
      <c r="I357" s="87"/>
      <c r="J357" s="87"/>
      <c r="K357" s="84"/>
      <c r="L357" s="756"/>
      <c r="M357" s="752"/>
      <c r="N357" s="87"/>
      <c r="O357" s="90"/>
      <c r="P357" s="90"/>
      <c r="Q357" s="90"/>
      <c r="R357" s="87"/>
      <c r="S357" s="752"/>
      <c r="T357" s="752"/>
      <c r="U357" s="752"/>
      <c r="V357" s="87"/>
      <c r="Z357" s="87"/>
      <c r="AA357" s="90"/>
      <c r="AB357" s="86"/>
      <c r="AD357" s="32"/>
    </row>
    <row r="358" spans="1:30">
      <c r="A358" s="1225">
        <v>353</v>
      </c>
      <c r="B358" s="1" t="s">
        <v>196</v>
      </c>
      <c r="C358" s="792">
        <f>E358/D358</f>
        <v>12</v>
      </c>
      <c r="D358" s="90">
        <v>625</v>
      </c>
      <c r="E358" s="1416">
        <f>SUMIFS('1501 Summary'!$P$1:$P$600,'1501 Summary'!$C$1:$C$600,"*"&amp;B358&amp;"*",'1501 Summary'!$B$1:$B$600,"*"&amp;$B$357&amp;"*")</f>
        <v>7500</v>
      </c>
      <c r="F358" s="787"/>
      <c r="G358" s="787"/>
      <c r="H358" s="787"/>
      <c r="I358" s="787"/>
      <c r="J358" s="787"/>
      <c r="K358" s="84">
        <f>C358+G358</f>
        <v>12</v>
      </c>
      <c r="L358" s="751">
        <f>D358</f>
        <v>625</v>
      </c>
      <c r="M358" s="752">
        <f>L358*K358</f>
        <v>7500</v>
      </c>
      <c r="N358" s="787"/>
      <c r="O358" s="90"/>
      <c r="P358" s="90"/>
      <c r="Q358" s="90"/>
      <c r="R358" s="787"/>
      <c r="S358" s="753"/>
      <c r="T358" s="781"/>
      <c r="U358" s="752"/>
      <c r="V358" s="787"/>
      <c r="W358" s="86"/>
      <c r="X358" s="86"/>
      <c r="Y358" s="86"/>
      <c r="Z358" s="787"/>
      <c r="AA358" s="90"/>
      <c r="AB358" s="86"/>
      <c r="AC358" s="86"/>
      <c r="AD358" s="32"/>
    </row>
    <row r="359" spans="1:30">
      <c r="A359" s="1225">
        <v>354</v>
      </c>
      <c r="B359" s="1" t="s">
        <v>197</v>
      </c>
      <c r="C359" s="792">
        <f>E359/D359</f>
        <v>12</v>
      </c>
      <c r="D359" s="90">
        <v>6725</v>
      </c>
      <c r="E359" s="1416">
        <f>SUMIFS('1501 Summary'!$P$1:$P$600,'1501 Summary'!$C$1:$C$600,"*"&amp;B359&amp;"*",'1501 Summary'!$B$1:$B$600,"*"&amp;$B$357&amp;"*")</f>
        <v>80700</v>
      </c>
      <c r="F359" s="787"/>
      <c r="G359" s="787"/>
      <c r="H359" s="787"/>
      <c r="I359" s="787"/>
      <c r="J359" s="787"/>
      <c r="K359" s="84">
        <f>C359+G359</f>
        <v>12</v>
      </c>
      <c r="L359" s="751">
        <f>D359</f>
        <v>6725</v>
      </c>
      <c r="M359" s="752">
        <f>L359*K359</f>
        <v>80700</v>
      </c>
      <c r="N359" s="787"/>
      <c r="O359" s="90"/>
      <c r="P359" s="90"/>
      <c r="Q359" s="90"/>
      <c r="R359" s="787"/>
      <c r="S359" s="753"/>
      <c r="T359" s="781"/>
      <c r="U359" s="752"/>
      <c r="V359" s="787"/>
      <c r="W359" s="86"/>
      <c r="X359" s="86"/>
      <c r="Y359" s="86"/>
      <c r="Z359" s="787"/>
      <c r="AA359" s="90"/>
      <c r="AB359" s="86"/>
      <c r="AC359" s="86"/>
      <c r="AD359" s="32"/>
    </row>
    <row r="360" spans="1:30">
      <c r="A360" s="1225">
        <v>355</v>
      </c>
      <c r="B360" s="1" t="s">
        <v>198</v>
      </c>
      <c r="C360" s="792">
        <f>E360/D360</f>
        <v>12345625.000000002</v>
      </c>
      <c r="D360" s="97">
        <v>4.0000000000000002E-4</v>
      </c>
      <c r="E360" s="1416">
        <f>SUMIFS('1501 Summary'!$P$1:$P$600,'1501 Summary'!$C$1:$C$600,"*"&amp;B360&amp;"*",'1501 Summary'!$B$1:$B$600,"*"&amp;$B$357&amp;"*")</f>
        <v>4938.2500000000009</v>
      </c>
      <c r="F360" s="787"/>
      <c r="G360" s="787"/>
      <c r="H360" s="787"/>
      <c r="I360" s="787"/>
      <c r="J360" s="787"/>
      <c r="K360" s="84">
        <f>C360+G360</f>
        <v>12345625.000000002</v>
      </c>
      <c r="L360" s="751">
        <f>D360</f>
        <v>4.0000000000000002E-4</v>
      </c>
      <c r="M360" s="752">
        <f>L360*K360</f>
        <v>4938.2500000000009</v>
      </c>
      <c r="N360" s="787"/>
      <c r="O360" s="90"/>
      <c r="P360" s="90"/>
      <c r="Q360" s="90"/>
      <c r="R360" s="787"/>
      <c r="S360" s="753"/>
      <c r="T360" s="781"/>
      <c r="U360" s="752"/>
      <c r="V360" s="787"/>
      <c r="W360" s="86"/>
      <c r="X360" s="86"/>
      <c r="Y360" s="86"/>
      <c r="Z360" s="787"/>
      <c r="AA360" s="88"/>
      <c r="AB360" s="86"/>
      <c r="AC360" s="86"/>
      <c r="AD360" s="32"/>
    </row>
    <row r="361" spans="1:30">
      <c r="A361" s="1225">
        <v>356</v>
      </c>
      <c r="B361" s="1" t="s">
        <v>215</v>
      </c>
      <c r="C361" s="792">
        <f>E361/D361</f>
        <v>12357331.178617474</v>
      </c>
      <c r="D361" s="98">
        <v>1.1014599999999999E-2</v>
      </c>
      <c r="E361" s="1418">
        <f>SUMIFS('1501 Summary'!$P$1:$P$600,'1501 Summary'!$C$1:$C$600,"*"&amp;B361&amp;"*",'1501 Summary'!$B$1:$B$600,"*"&amp;$B$357&amp;"*")</f>
        <v>136111.06000000003</v>
      </c>
      <c r="F361" s="787"/>
      <c r="G361" s="787"/>
      <c r="H361" s="787"/>
      <c r="I361" s="787"/>
      <c r="J361" s="787"/>
      <c r="K361" s="84">
        <f>C361+G361</f>
        <v>12357331.178617474</v>
      </c>
      <c r="L361" s="790">
        <f>D361</f>
        <v>1.1014599999999999E-2</v>
      </c>
      <c r="M361" s="761">
        <f>L361*K361</f>
        <v>136111.06000000003</v>
      </c>
      <c r="N361" s="787"/>
      <c r="O361" s="90"/>
      <c r="P361" s="90"/>
      <c r="Q361" s="90"/>
      <c r="R361" s="787"/>
      <c r="S361" s="752"/>
      <c r="T361" s="781"/>
      <c r="U361" s="752"/>
      <c r="V361" s="787"/>
      <c r="W361" s="86"/>
      <c r="X361" s="86"/>
      <c r="Y361" s="86"/>
      <c r="Z361" s="787"/>
      <c r="AA361" s="88"/>
      <c r="AB361" s="86"/>
      <c r="AC361" s="86"/>
      <c r="AD361" s="32"/>
    </row>
    <row r="362" spans="1:30">
      <c r="A362" s="1225">
        <v>357</v>
      </c>
      <c r="B362" s="1" t="s">
        <v>127</v>
      </c>
      <c r="E362" s="1416">
        <f>SUM(E358:E361)</f>
        <v>229249.31000000003</v>
      </c>
      <c r="F362" s="787"/>
      <c r="G362" s="787"/>
      <c r="H362" s="787"/>
      <c r="I362" s="787"/>
      <c r="J362" s="787"/>
      <c r="K362" s="84"/>
      <c r="L362" s="756"/>
      <c r="M362" s="752">
        <f>SUM(M358:M361)</f>
        <v>229249.31000000003</v>
      </c>
      <c r="N362" s="787"/>
      <c r="O362" s="90"/>
      <c r="P362" s="90"/>
      <c r="Q362" s="90"/>
      <c r="R362" s="787"/>
      <c r="S362" s="752"/>
      <c r="T362" s="752"/>
      <c r="U362" s="752"/>
      <c r="V362" s="787"/>
      <c r="W362" s="762"/>
      <c r="X362" s="762"/>
      <c r="Y362" s="762"/>
      <c r="Z362" s="787"/>
      <c r="AA362" s="90"/>
      <c r="AB362" s="86"/>
      <c r="AC362" s="86"/>
      <c r="AD362" s="32"/>
    </row>
    <row r="363" spans="1:30">
      <c r="A363" s="1225">
        <v>358</v>
      </c>
      <c r="B363" s="8"/>
      <c r="E363" s="1416"/>
      <c r="F363" s="787"/>
      <c r="G363" s="787"/>
      <c r="H363" s="787"/>
      <c r="I363" s="787"/>
      <c r="J363" s="787"/>
      <c r="K363" s="84"/>
      <c r="L363" s="756"/>
      <c r="M363" s="752"/>
      <c r="N363" s="787"/>
      <c r="O363" s="90"/>
      <c r="P363" s="90"/>
      <c r="Q363" s="90"/>
      <c r="R363" s="787"/>
      <c r="S363" s="752"/>
      <c r="T363" s="752"/>
      <c r="U363" s="752"/>
      <c r="V363" s="787"/>
      <c r="Z363" s="787"/>
      <c r="AA363" s="90"/>
      <c r="AB363" s="86"/>
      <c r="AD363" s="32"/>
    </row>
    <row r="364" spans="1:30">
      <c r="A364" s="1225">
        <v>359</v>
      </c>
      <c r="B364" s="1" t="s">
        <v>130</v>
      </c>
      <c r="E364" s="1416"/>
      <c r="F364" s="787"/>
      <c r="G364" s="787"/>
      <c r="H364" s="787"/>
      <c r="I364" s="787"/>
      <c r="J364" s="787"/>
      <c r="K364" s="84"/>
      <c r="L364" s="756"/>
      <c r="M364" s="752"/>
      <c r="N364" s="787"/>
      <c r="O364" s="90"/>
      <c r="P364" s="90"/>
      <c r="Q364" s="90"/>
      <c r="R364" s="787"/>
      <c r="S364" s="752"/>
      <c r="T364" s="752"/>
      <c r="U364" s="752"/>
      <c r="V364" s="787"/>
      <c r="Z364" s="787"/>
      <c r="AA364" s="90"/>
      <c r="AB364" s="86"/>
      <c r="AD364" s="32"/>
    </row>
    <row r="365" spans="1:30">
      <c r="A365" s="1225">
        <v>360</v>
      </c>
      <c r="B365" s="1" t="s">
        <v>211</v>
      </c>
      <c r="E365" s="1416">
        <f>SUMIFS('1501 Summary'!$P$1:$P$600,'1501 Summary'!$C$1:$C$600,"*"&amp;B365&amp;"*",'1501 Summary'!$B$1:$B$600,"*"&amp;$B$357&amp;"*")</f>
        <v>10040.530000000002</v>
      </c>
      <c r="F365" s="787"/>
      <c r="G365" s="787"/>
      <c r="H365" s="787"/>
      <c r="I365" s="787"/>
      <c r="J365" s="787"/>
      <c r="K365" s="84"/>
      <c r="L365" s="756"/>
      <c r="M365" s="752"/>
      <c r="N365" s="787"/>
      <c r="O365" s="90"/>
      <c r="P365" s="90"/>
      <c r="Q365" s="90"/>
      <c r="R365" s="787"/>
      <c r="S365" s="752"/>
      <c r="T365" s="752"/>
      <c r="U365" s="752"/>
      <c r="V365" s="787"/>
      <c r="Z365" s="787"/>
      <c r="AA365" s="90"/>
      <c r="AB365" s="86"/>
      <c r="AD365" s="32"/>
    </row>
    <row r="366" spans="1:30">
      <c r="A366" s="1225">
        <v>361</v>
      </c>
      <c r="B366" s="34" t="s">
        <v>175</v>
      </c>
      <c r="E366" s="1420">
        <f>SUMIFS('Rev Recon Summary'!$P$1:$P$500,'Rev Recon Summary'!$C$1:$C$500,"*"&amp;B366&amp;"*",'Rev Recon Summary'!$B$1:$B$500,"*"&amp;$B$357&amp;"*")</f>
        <v>-239289.84000000003</v>
      </c>
      <c r="F366" s="787"/>
      <c r="G366" s="787"/>
      <c r="H366" s="787"/>
      <c r="I366" s="787"/>
      <c r="J366" s="787"/>
      <c r="K366" s="84"/>
      <c r="L366" s="756"/>
      <c r="M366" s="752"/>
      <c r="N366" s="787"/>
      <c r="O366" s="90"/>
      <c r="P366" s="90"/>
      <c r="Q366" s="90"/>
      <c r="R366" s="787"/>
      <c r="S366" s="752"/>
      <c r="T366" s="752"/>
      <c r="U366" s="752"/>
      <c r="V366" s="787"/>
      <c r="Z366" s="787"/>
      <c r="AA366" s="90"/>
      <c r="AB366" s="86"/>
      <c r="AD366" s="32"/>
    </row>
    <row r="367" spans="1:30">
      <c r="A367" s="1225">
        <v>362</v>
      </c>
      <c r="B367" s="34" t="s">
        <v>176</v>
      </c>
      <c r="E367" s="1422">
        <f>SUMIFS('Rev Recon Summary'!$P$1:$P$500,'Rev Recon Summary'!$C$1:$C$500,"*"&amp;B367&amp;"*",'Rev Recon Summary'!$B$1:$B$500,"*"&amp;$B$357&amp;"*")</f>
        <v>238372.73</v>
      </c>
      <c r="F367" s="787"/>
      <c r="G367" s="787"/>
      <c r="H367" s="787"/>
      <c r="I367" s="787"/>
      <c r="J367" s="787"/>
      <c r="K367" s="84"/>
      <c r="L367" s="756"/>
      <c r="M367" s="752"/>
      <c r="N367" s="787"/>
      <c r="O367" s="90"/>
      <c r="P367" s="90"/>
      <c r="Q367" s="90"/>
      <c r="R367" s="787"/>
      <c r="S367" s="752"/>
      <c r="T367" s="752"/>
      <c r="U367" s="752"/>
      <c r="V367" s="787"/>
      <c r="Z367" s="787"/>
      <c r="AA367" s="90"/>
      <c r="AB367" s="86"/>
      <c r="AD367" s="32"/>
    </row>
    <row r="368" spans="1:30">
      <c r="A368" s="1225">
        <v>363</v>
      </c>
      <c r="B368" s="8" t="s">
        <v>152</v>
      </c>
      <c r="E368" s="1416">
        <f>SUM(E365:E367)</f>
        <v>9123.4199999999837</v>
      </c>
      <c r="F368" s="787"/>
      <c r="G368" s="787"/>
      <c r="H368" s="787"/>
      <c r="I368" s="787"/>
      <c r="J368" s="787"/>
      <c r="K368" s="84"/>
      <c r="L368" s="756"/>
      <c r="M368" s="752"/>
      <c r="N368" s="787"/>
      <c r="O368" s="90"/>
      <c r="P368" s="90"/>
      <c r="Q368" s="90"/>
      <c r="R368" s="787"/>
      <c r="S368" s="752"/>
      <c r="T368" s="752"/>
      <c r="U368" s="752"/>
      <c r="V368" s="787"/>
      <c r="Z368" s="787"/>
      <c r="AA368" s="90"/>
      <c r="AB368" s="86"/>
      <c r="AD368" s="32"/>
    </row>
    <row r="369" spans="1:30">
      <c r="A369" s="1225">
        <v>364</v>
      </c>
      <c r="B369" s="34"/>
      <c r="E369" s="1416"/>
      <c r="F369" s="752"/>
      <c r="G369" s="752"/>
      <c r="H369" s="752"/>
      <c r="I369" s="752"/>
      <c r="J369" s="752"/>
      <c r="K369" s="84"/>
      <c r="L369" s="756"/>
      <c r="M369" s="752"/>
      <c r="N369" s="752"/>
      <c r="O369" s="90"/>
      <c r="P369" s="90"/>
      <c r="Q369" s="90"/>
      <c r="R369" s="752"/>
      <c r="S369" s="752"/>
      <c r="T369" s="752"/>
      <c r="U369" s="752"/>
      <c r="V369" s="752"/>
      <c r="Z369" s="752"/>
      <c r="AA369" s="90"/>
      <c r="AB369" s="86"/>
      <c r="AD369" s="32"/>
    </row>
    <row r="370" spans="1:30">
      <c r="A370" s="1225">
        <v>365</v>
      </c>
      <c r="B370" s="639" t="s">
        <v>222</v>
      </c>
      <c r="C370" s="764">
        <f>E370-'Rev Recon Summary'!P262</f>
        <v>0</v>
      </c>
      <c r="D370" s="765" t="s">
        <v>149</v>
      </c>
      <c r="E370" s="1418">
        <f>SUM(E362,E368)</f>
        <v>238372.73</v>
      </c>
      <c r="F370" s="761"/>
      <c r="G370" s="761"/>
      <c r="H370" s="761"/>
      <c r="I370" s="761"/>
      <c r="J370" s="761"/>
      <c r="K370" s="631"/>
      <c r="L370" s="766"/>
      <c r="M370" s="761"/>
      <c r="N370" s="761"/>
      <c r="O370" s="633"/>
      <c r="P370" s="633"/>
      <c r="Q370" s="633"/>
      <c r="R370" s="761"/>
      <c r="S370" s="761"/>
      <c r="T370" s="761"/>
      <c r="U370" s="761"/>
      <c r="V370" s="761"/>
      <c r="W370" s="765"/>
      <c r="X370" s="765"/>
      <c r="Y370" s="765"/>
      <c r="Z370" s="761"/>
      <c r="AA370" s="633"/>
      <c r="AB370" s="630"/>
      <c r="AC370" s="765"/>
      <c r="AD370" s="32"/>
    </row>
    <row r="371" spans="1:30">
      <c r="A371" s="1225">
        <v>366</v>
      </c>
      <c r="E371" s="1416"/>
      <c r="F371" s="752"/>
      <c r="G371" s="752"/>
      <c r="H371" s="752"/>
      <c r="I371" s="752"/>
      <c r="J371" s="752"/>
      <c r="K371" s="84"/>
      <c r="L371" s="756"/>
      <c r="M371" s="752"/>
      <c r="N371" s="752"/>
      <c r="O371" s="90"/>
      <c r="P371" s="90"/>
      <c r="Q371" s="90"/>
      <c r="R371" s="752"/>
      <c r="S371" s="752"/>
      <c r="T371" s="752"/>
      <c r="U371" s="752"/>
      <c r="V371" s="752"/>
      <c r="Z371" s="752"/>
      <c r="AA371" s="90"/>
      <c r="AB371" s="86"/>
      <c r="AD371" s="32"/>
    </row>
    <row r="372" spans="1:30">
      <c r="A372" s="1225">
        <v>367</v>
      </c>
      <c r="B372" s="8"/>
      <c r="E372" s="1416"/>
      <c r="F372" s="752"/>
      <c r="G372" s="752"/>
      <c r="H372" s="752"/>
      <c r="I372" s="752"/>
      <c r="J372" s="752"/>
      <c r="K372" s="84"/>
      <c r="L372" s="756"/>
      <c r="M372" s="751"/>
      <c r="N372" s="752"/>
      <c r="O372" s="90"/>
      <c r="P372" s="90"/>
      <c r="Q372" s="90"/>
      <c r="R372" s="752"/>
      <c r="S372" s="752"/>
      <c r="T372" s="752"/>
      <c r="U372" s="752"/>
      <c r="V372" s="752"/>
      <c r="W372" s="752"/>
      <c r="X372" s="752"/>
      <c r="Y372" s="752"/>
      <c r="Z372" s="752"/>
      <c r="AA372" s="90"/>
      <c r="AB372" s="86"/>
      <c r="AC372" s="752"/>
      <c r="AD372" s="32"/>
    </row>
    <row r="373" spans="1:30">
      <c r="A373" s="1225">
        <v>368</v>
      </c>
      <c r="B373" s="783" t="s">
        <v>223</v>
      </c>
      <c r="E373" s="1416"/>
      <c r="F373" s="752"/>
      <c r="G373" s="12" t="s">
        <v>224</v>
      </c>
      <c r="H373" s="752"/>
      <c r="I373" s="752"/>
      <c r="J373" s="752"/>
      <c r="K373" s="84"/>
      <c r="L373" s="756"/>
      <c r="M373" s="751"/>
      <c r="N373" s="752"/>
      <c r="O373" s="90"/>
      <c r="P373" s="90"/>
      <c r="Q373" s="90"/>
      <c r="R373" s="752"/>
      <c r="S373" s="752"/>
      <c r="T373" s="752"/>
      <c r="U373" s="752"/>
      <c r="V373" s="752"/>
      <c r="W373" s="752"/>
      <c r="X373" s="752"/>
      <c r="Y373" s="752"/>
      <c r="Z373" s="752"/>
      <c r="AA373" s="90"/>
      <c r="AB373" s="86"/>
      <c r="AC373" s="752"/>
      <c r="AD373" s="32"/>
    </row>
    <row r="374" spans="1:30">
      <c r="A374" s="1225">
        <v>369</v>
      </c>
      <c r="B374" s="1" t="s">
        <v>196</v>
      </c>
      <c r="C374" s="778">
        <f t="shared" ref="C374:C384" si="45">E374/D374</f>
        <v>12</v>
      </c>
      <c r="D374" s="90">
        <v>625</v>
      </c>
      <c r="E374" s="1416">
        <f>SUMIFS('1501 Summary'!$P$1:$P$600,'1501 Summary'!$C$1:$C$600,"*"&amp;B374&amp;"*",'1501 Summary'!$B$1:$B$600,"*"&amp;$B$373&amp;"*")</f>
        <v>7500</v>
      </c>
      <c r="F374" s="752"/>
      <c r="G374" s="99">
        <f>-C374</f>
        <v>-12</v>
      </c>
      <c r="H374" s="752">
        <f>D374</f>
        <v>625</v>
      </c>
      <c r="I374" s="752">
        <f>H374*G374</f>
        <v>-7500</v>
      </c>
      <c r="J374" s="752"/>
      <c r="K374" s="84">
        <f t="shared" ref="K374:K385" si="46">C374+G374</f>
        <v>0</v>
      </c>
      <c r="L374" s="751">
        <f>D374</f>
        <v>625</v>
      </c>
      <c r="M374" s="759">
        <f>L374*K374</f>
        <v>0</v>
      </c>
      <c r="N374" s="752"/>
      <c r="O374" s="90"/>
      <c r="P374" s="90"/>
      <c r="Q374" s="90"/>
      <c r="R374" s="752"/>
      <c r="S374" s="752"/>
      <c r="T374" s="752"/>
      <c r="U374" s="752"/>
      <c r="V374" s="752"/>
      <c r="W374" s="86"/>
      <c r="X374" s="86"/>
      <c r="Y374" s="86"/>
      <c r="Z374" s="752"/>
      <c r="AA374" s="90"/>
      <c r="AB374" s="86"/>
      <c r="AC374" s="86"/>
      <c r="AD374" s="32"/>
    </row>
    <row r="375" spans="1:30">
      <c r="A375" s="1225">
        <v>370</v>
      </c>
      <c r="B375" s="1" t="s">
        <v>197</v>
      </c>
      <c r="C375" s="84">
        <f t="shared" si="45"/>
        <v>6240000</v>
      </c>
      <c r="D375" s="772">
        <v>0.2</v>
      </c>
      <c r="E375" s="1416">
        <f>SUMIFS('1501 Summary'!$P$1:$P$600,'1501 Summary'!$C$1:$C$600,"*"&amp;B375&amp;"*",'1501 Summary'!$B$1:$B$600,"*"&amp;$B$373&amp;"*")</f>
        <v>1248000</v>
      </c>
      <c r="F375" s="752"/>
      <c r="G375" s="99">
        <f t="shared" ref="G375:G385" si="47">-C375</f>
        <v>-6240000</v>
      </c>
      <c r="H375" s="756">
        <f t="shared" ref="H375:H384" si="48">D375</f>
        <v>0.2</v>
      </c>
      <c r="I375" s="752">
        <f t="shared" ref="I375:I384" si="49">H375*G375</f>
        <v>-1248000</v>
      </c>
      <c r="J375" s="752"/>
      <c r="K375" s="84">
        <f t="shared" si="46"/>
        <v>0</v>
      </c>
      <c r="L375" s="756">
        <f>D375</f>
        <v>0.2</v>
      </c>
      <c r="M375" s="759">
        <f>L375*K375</f>
        <v>0</v>
      </c>
      <c r="N375" s="752"/>
      <c r="O375" s="90"/>
      <c r="P375" s="90"/>
      <c r="Q375" s="90"/>
      <c r="R375" s="752"/>
      <c r="S375" s="752"/>
      <c r="T375" s="752"/>
      <c r="U375" s="752"/>
      <c r="V375" s="752"/>
      <c r="W375" s="86"/>
      <c r="X375" s="86"/>
      <c r="Y375" s="86"/>
      <c r="Z375" s="752"/>
      <c r="AA375" s="90"/>
      <c r="AB375" s="86"/>
      <c r="AC375" s="86"/>
      <c r="AD375" s="32"/>
    </row>
    <row r="376" spans="1:30">
      <c r="A376" s="1225">
        <v>371</v>
      </c>
      <c r="B376" s="1" t="s">
        <v>198</v>
      </c>
      <c r="C376" s="84">
        <f t="shared" si="45"/>
        <v>97069699.999999985</v>
      </c>
      <c r="D376" s="772">
        <v>4.0000000000000002E-4</v>
      </c>
      <c r="E376" s="1416">
        <f>SUMIFS('1501 Summary'!$P$1:$P$600,'1501 Summary'!$C$1:$C$600,"*"&amp;B376&amp;"*",'1501 Summary'!$B$1:$B$600,"*"&amp;$B$373&amp;"*")</f>
        <v>38827.879999999997</v>
      </c>
      <c r="F376" s="752"/>
      <c r="G376" s="99">
        <f t="shared" si="47"/>
        <v>-97069699.999999985</v>
      </c>
      <c r="H376" s="756">
        <f t="shared" si="48"/>
        <v>4.0000000000000002E-4</v>
      </c>
      <c r="I376" s="752">
        <f t="shared" si="49"/>
        <v>-38827.879999999997</v>
      </c>
      <c r="J376" s="752"/>
      <c r="K376" s="84">
        <f t="shared" si="46"/>
        <v>0</v>
      </c>
      <c r="L376" s="756">
        <f>D376</f>
        <v>4.0000000000000002E-4</v>
      </c>
      <c r="M376" s="759">
        <f>L376*K376</f>
        <v>0</v>
      </c>
      <c r="N376" s="752"/>
      <c r="O376" s="90"/>
      <c r="P376" s="90"/>
      <c r="Q376" s="90"/>
      <c r="R376" s="752"/>
      <c r="S376" s="752"/>
      <c r="T376" s="752"/>
      <c r="U376" s="752"/>
      <c r="V376" s="752"/>
      <c r="W376" s="86"/>
      <c r="X376" s="86"/>
      <c r="Y376" s="86"/>
      <c r="Z376" s="752"/>
      <c r="AA376" s="90"/>
      <c r="AB376" s="86"/>
      <c r="AC376" s="86"/>
      <c r="AD376" s="32"/>
    </row>
    <row r="377" spans="1:30">
      <c r="A377" s="1225">
        <v>372</v>
      </c>
      <c r="B377" s="1026" t="s">
        <v>199</v>
      </c>
      <c r="C377" s="84">
        <f>E377/D377</f>
        <v>200000</v>
      </c>
      <c r="D377" s="772">
        <v>5.3310000000000003E-2</v>
      </c>
      <c r="E377" s="1416">
        <f>SUMIFS('1501 Summary'!$P$1:$P$600,'1501 Summary'!$C$1:$C$600,"*"&amp;B377&amp;"*",'1501 Summary'!$B$1:$B$600,"*"&amp;$B$373&amp;"*")</f>
        <v>10662</v>
      </c>
      <c r="F377" s="793"/>
      <c r="G377" s="99">
        <f>-C377</f>
        <v>-200000</v>
      </c>
      <c r="H377" s="756">
        <f>D377</f>
        <v>5.3310000000000003E-2</v>
      </c>
      <c r="I377" s="752">
        <f>H377*G377</f>
        <v>-10662</v>
      </c>
      <c r="J377" s="793"/>
      <c r="K377" s="84">
        <f t="shared" si="46"/>
        <v>0</v>
      </c>
      <c r="L377" s="756">
        <f t="shared" ref="L377:L384" si="50">H377</f>
        <v>5.3310000000000003E-2</v>
      </c>
      <c r="M377" s="759">
        <f t="shared" ref="M377:M382" si="51">L377*K377</f>
        <v>0</v>
      </c>
      <c r="N377" s="793"/>
      <c r="O377" s="90"/>
      <c r="P377" s="90"/>
      <c r="Q377" s="90"/>
      <c r="R377" s="793"/>
      <c r="S377" s="752"/>
      <c r="T377" s="752"/>
      <c r="U377" s="752"/>
      <c r="V377" s="793"/>
      <c r="W377" s="86"/>
      <c r="X377" s="86"/>
      <c r="Y377" s="86"/>
      <c r="Z377" s="793"/>
      <c r="AA377" s="90"/>
      <c r="AB377" s="86"/>
      <c r="AC377" s="86"/>
      <c r="AD377" s="32"/>
    </row>
    <row r="378" spans="1:30">
      <c r="A378" s="1225">
        <v>373</v>
      </c>
      <c r="B378" s="1026" t="s">
        <v>200</v>
      </c>
      <c r="C378" s="84">
        <f>E378/D378</f>
        <v>989013.19084989151</v>
      </c>
      <c r="D378" s="772">
        <v>5.9889999999999999E-2</v>
      </c>
      <c r="E378" s="1416">
        <f>SUMIFS('1501 Summary'!$P$1:$P$600,'1501 Summary'!$C$1:$C$600,"*"&amp;B378&amp;"*",'1501 Summary'!$B$1:$B$600,"*"&amp;$B$373&amp;"*")</f>
        <v>59232</v>
      </c>
      <c r="F378" s="793"/>
      <c r="G378" s="99">
        <f>-C378</f>
        <v>-989013.19084989151</v>
      </c>
      <c r="H378" s="756">
        <f>D378</f>
        <v>5.9889999999999999E-2</v>
      </c>
      <c r="I378" s="752">
        <f>H378*G378</f>
        <v>-59232</v>
      </c>
      <c r="J378" s="793"/>
      <c r="K378" s="84">
        <f t="shared" si="46"/>
        <v>0</v>
      </c>
      <c r="L378" s="756">
        <f t="shared" si="50"/>
        <v>5.9889999999999999E-2</v>
      </c>
      <c r="M378" s="759">
        <f t="shared" si="51"/>
        <v>0</v>
      </c>
      <c r="N378" s="793"/>
      <c r="O378" s="90"/>
      <c r="P378" s="90"/>
      <c r="Q378" s="90"/>
      <c r="R378" s="793"/>
      <c r="S378" s="752"/>
      <c r="T378" s="752"/>
      <c r="U378" s="752"/>
      <c r="V378" s="793"/>
      <c r="W378" s="86"/>
      <c r="X378" s="86"/>
      <c r="Y378" s="86"/>
      <c r="Z378" s="793"/>
      <c r="AA378" s="90"/>
      <c r="AB378" s="86"/>
      <c r="AC378" s="86"/>
      <c r="AD378" s="32"/>
    </row>
    <row r="379" spans="1:30">
      <c r="A379" s="1225">
        <v>374</v>
      </c>
      <c r="B379" s="1026" t="s">
        <v>203</v>
      </c>
      <c r="C379" s="84">
        <f>E379/D379</f>
        <v>400000.00000000006</v>
      </c>
      <c r="D379" s="772">
        <v>1.9449999999999999E-2</v>
      </c>
      <c r="E379" s="1416">
        <f>SUMIFS('1501 Summary'!$P$1:$P$600,'1501 Summary'!$C$1:$C$600,"*"&amp;B379&amp;"*",'1501 Summary'!$B$1:$B$600,"*"&amp;$B$373&amp;"*")</f>
        <v>7780</v>
      </c>
      <c r="F379" s="793"/>
      <c r="G379" s="99">
        <f>-C379</f>
        <v>-400000.00000000006</v>
      </c>
      <c r="H379" s="756">
        <f>D379</f>
        <v>1.9449999999999999E-2</v>
      </c>
      <c r="I379" s="752">
        <f>H379*G379</f>
        <v>-7780.0000000000009</v>
      </c>
      <c r="J379" s="793"/>
      <c r="K379" s="84">
        <f t="shared" si="46"/>
        <v>0</v>
      </c>
      <c r="L379" s="756">
        <f t="shared" si="50"/>
        <v>1.9449999999999999E-2</v>
      </c>
      <c r="M379" s="759">
        <f t="shared" si="51"/>
        <v>0</v>
      </c>
      <c r="N379" s="793"/>
      <c r="O379" s="90"/>
      <c r="P379" s="90"/>
      <c r="Q379" s="90"/>
      <c r="R379" s="793"/>
      <c r="S379" s="752"/>
      <c r="T379" s="752"/>
      <c r="U379" s="752"/>
      <c r="V379" s="793"/>
      <c r="W379" s="86"/>
      <c r="X379" s="86"/>
      <c r="Y379" s="86"/>
      <c r="Z379" s="793"/>
      <c r="AA379" s="90"/>
      <c r="AB379" s="86"/>
      <c r="AC379" s="86"/>
      <c r="AD379" s="32"/>
    </row>
    <row r="380" spans="1:30">
      <c r="A380" s="1225">
        <v>375</v>
      </c>
      <c r="B380" s="1026" t="s">
        <v>204</v>
      </c>
      <c r="C380" s="84">
        <f>E380/D380</f>
        <v>1968910.1172383849</v>
      </c>
      <c r="D380" s="772">
        <v>2.3029999999999998E-2</v>
      </c>
      <c r="E380" s="1416">
        <f>SUMIFS('1501 Summary'!$P$1:$P$600,'1501 Summary'!$C$1:$C$600,"*"&amp;B380&amp;"*",'1501 Summary'!$B$1:$B$600,"*"&amp;$B$373&amp;"*")</f>
        <v>45344</v>
      </c>
      <c r="F380" s="793"/>
      <c r="G380" s="99">
        <f>-C380</f>
        <v>-1968910.1172383849</v>
      </c>
      <c r="H380" s="756">
        <f>D380</f>
        <v>2.3029999999999998E-2</v>
      </c>
      <c r="I380" s="752">
        <f>H380*G380</f>
        <v>-45344</v>
      </c>
      <c r="J380" s="793"/>
      <c r="K380" s="84">
        <f t="shared" si="46"/>
        <v>0</v>
      </c>
      <c r="L380" s="756">
        <f t="shared" si="50"/>
        <v>2.3029999999999998E-2</v>
      </c>
      <c r="M380" s="759">
        <f t="shared" si="51"/>
        <v>0</v>
      </c>
      <c r="N380" s="793"/>
      <c r="O380" s="90"/>
      <c r="P380" s="90"/>
      <c r="Q380" s="90"/>
      <c r="R380" s="793"/>
      <c r="S380" s="752"/>
      <c r="T380" s="752"/>
      <c r="U380" s="752"/>
      <c r="V380" s="793"/>
      <c r="W380" s="86"/>
      <c r="X380" s="86"/>
      <c r="Y380" s="86"/>
      <c r="Z380" s="793"/>
      <c r="AA380" s="90"/>
      <c r="AB380" s="86"/>
      <c r="AC380" s="86"/>
      <c r="AD380" s="32"/>
    </row>
    <row r="381" spans="1:30">
      <c r="A381" s="1225">
        <v>376</v>
      </c>
      <c r="B381" s="1026" t="s">
        <v>201</v>
      </c>
      <c r="C381" s="84">
        <f>E381/D381</f>
        <v>400000</v>
      </c>
      <c r="D381" s="772">
        <v>1.1820000000000001E-2</v>
      </c>
      <c r="E381" s="1416">
        <f>SUMIFS('1501 Summary'!$P$1:$P$600,'1501 Summary'!$C$1:$C$600,"*"&amp;B381&amp;"*",'1501 Summary'!$B$1:$B$600,"*"&amp;$B$373&amp;"*")</f>
        <v>4728</v>
      </c>
      <c r="F381" s="793"/>
      <c r="G381" s="99">
        <f>-C381</f>
        <v>-400000</v>
      </c>
      <c r="H381" s="756">
        <f>D381</f>
        <v>1.1820000000000001E-2</v>
      </c>
      <c r="I381" s="752">
        <f>H381*G381</f>
        <v>-4728</v>
      </c>
      <c r="J381" s="793"/>
      <c r="K381" s="84">
        <f t="shared" si="46"/>
        <v>0</v>
      </c>
      <c r="L381" s="756">
        <f t="shared" si="50"/>
        <v>1.1820000000000001E-2</v>
      </c>
      <c r="M381" s="759">
        <f t="shared" si="51"/>
        <v>0</v>
      </c>
      <c r="N381" s="793"/>
      <c r="O381" s="90"/>
      <c r="P381" s="90"/>
      <c r="Q381" s="90"/>
      <c r="R381" s="793"/>
      <c r="S381" s="752"/>
      <c r="T381" s="752"/>
      <c r="U381" s="752"/>
      <c r="V381" s="793"/>
      <c r="W381" s="86"/>
      <c r="X381" s="86"/>
      <c r="Y381" s="86"/>
      <c r="Z381" s="793"/>
      <c r="AA381" s="90"/>
      <c r="AB381" s="86"/>
      <c r="AC381" s="86"/>
      <c r="AD381" s="32"/>
    </row>
    <row r="382" spans="1:30">
      <c r="A382" s="1225">
        <v>377</v>
      </c>
      <c r="B382" s="1026" t="s">
        <v>202</v>
      </c>
      <c r="C382" s="84">
        <f t="shared" si="45"/>
        <v>1960488.7983706722</v>
      </c>
      <c r="D382" s="772">
        <v>1.473E-2</v>
      </c>
      <c r="E382" s="1416">
        <f>SUMIFS('1501 Summary'!$P$1:$P$600,'1501 Summary'!$C$1:$C$600,"*"&amp;B382&amp;"*",'1501 Summary'!$B$1:$B$600,"*"&amp;$B$373&amp;"*")</f>
        <v>28878</v>
      </c>
      <c r="F382" s="793"/>
      <c r="G382" s="99">
        <f t="shared" si="47"/>
        <v>-1960488.7983706722</v>
      </c>
      <c r="H382" s="756">
        <f t="shared" si="48"/>
        <v>1.473E-2</v>
      </c>
      <c r="I382" s="752">
        <f t="shared" si="49"/>
        <v>-28878</v>
      </c>
      <c r="J382" s="793"/>
      <c r="K382" s="84">
        <f t="shared" si="46"/>
        <v>0</v>
      </c>
      <c r="L382" s="756">
        <f t="shared" si="50"/>
        <v>1.473E-2</v>
      </c>
      <c r="M382" s="759">
        <f t="shared" si="51"/>
        <v>0</v>
      </c>
      <c r="N382" s="793"/>
      <c r="O382" s="90"/>
      <c r="P382" s="90"/>
      <c r="Q382" s="90"/>
      <c r="R382" s="793"/>
      <c r="S382" s="752"/>
      <c r="T382" s="752"/>
      <c r="U382" s="752"/>
      <c r="V382" s="793"/>
      <c r="W382" s="86"/>
      <c r="X382" s="86"/>
      <c r="Y382" s="86"/>
      <c r="Z382" s="793"/>
      <c r="AA382" s="90"/>
      <c r="AB382" s="86"/>
      <c r="AC382" s="86"/>
      <c r="AD382" s="32"/>
    </row>
    <row r="383" spans="1:30">
      <c r="A383" s="1225">
        <v>378</v>
      </c>
      <c r="B383" s="1026" t="s">
        <v>205</v>
      </c>
      <c r="C383" s="84">
        <f t="shared" si="45"/>
        <v>22580350.533807829</v>
      </c>
      <c r="D383" s="772">
        <v>5.62E-3</v>
      </c>
      <c r="E383" s="1416">
        <f>SUMIFS('1501 Summary'!$P$1:$P$600,'1501 Summary'!$C$1:$C$600,"*"&amp;B383&amp;"*",'1501 Summary'!$B$1:$B$600,"*"&amp;$B$373&amp;"*")</f>
        <v>126901.57</v>
      </c>
      <c r="F383" s="793"/>
      <c r="G383" s="99">
        <f t="shared" si="47"/>
        <v>-22580350.533807829</v>
      </c>
      <c r="H383" s="756">
        <f t="shared" si="48"/>
        <v>5.62E-3</v>
      </c>
      <c r="I383" s="752">
        <f t="shared" si="49"/>
        <v>-126901.56999999999</v>
      </c>
      <c r="J383" s="793"/>
      <c r="K383" s="84">
        <f t="shared" si="46"/>
        <v>0</v>
      </c>
      <c r="L383" s="756">
        <f t="shared" si="50"/>
        <v>5.62E-3</v>
      </c>
      <c r="M383" s="759">
        <f>L383*K383</f>
        <v>0</v>
      </c>
      <c r="N383" s="793"/>
      <c r="O383" s="90"/>
      <c r="P383" s="90"/>
      <c r="Q383" s="90"/>
      <c r="R383" s="793"/>
      <c r="S383" s="752"/>
      <c r="T383" s="752"/>
      <c r="U383" s="752"/>
      <c r="V383" s="793"/>
      <c r="W383" s="86"/>
      <c r="X383" s="86"/>
      <c r="Y383" s="86"/>
      <c r="Z383" s="793"/>
      <c r="AA383" s="90"/>
      <c r="AB383" s="86"/>
      <c r="AC383" s="86"/>
      <c r="AD383" s="32"/>
    </row>
    <row r="384" spans="1:30">
      <c r="A384" s="1225">
        <v>379</v>
      </c>
      <c r="B384" s="1026" t="s">
        <v>206</v>
      </c>
      <c r="C384" s="631">
        <f t="shared" si="45"/>
        <v>66437329.573934846</v>
      </c>
      <c r="D384" s="772">
        <v>7.9799999999999992E-3</v>
      </c>
      <c r="E384" s="1418">
        <f>SUMIFS('1501 Summary'!$P$1:$P$600,'1501 Summary'!$C$1:$C$600,"*"&amp;B384&amp;"*",'1501 Summary'!$B$1:$B$600,"*"&amp;$B$373&amp;"*")</f>
        <v>530169.89</v>
      </c>
      <c r="F384" s="793"/>
      <c r="G384" s="99">
        <f t="shared" si="47"/>
        <v>-66437329.573934846</v>
      </c>
      <c r="H384" s="756">
        <f t="shared" si="48"/>
        <v>7.9799999999999992E-3</v>
      </c>
      <c r="I384" s="761">
        <f t="shared" si="49"/>
        <v>-530169.89</v>
      </c>
      <c r="J384" s="793"/>
      <c r="K384" s="84">
        <f t="shared" si="46"/>
        <v>0</v>
      </c>
      <c r="L384" s="756">
        <f t="shared" si="50"/>
        <v>7.9799999999999992E-3</v>
      </c>
      <c r="M384" s="760">
        <f>L384*K384</f>
        <v>0</v>
      </c>
      <c r="N384" s="793"/>
      <c r="O384" s="90"/>
      <c r="P384" s="90"/>
      <c r="Q384" s="90"/>
      <c r="R384" s="793"/>
      <c r="S384" s="752"/>
      <c r="T384" s="752"/>
      <c r="U384" s="752"/>
      <c r="V384" s="793"/>
      <c r="W384" s="86"/>
      <c r="X384" s="86"/>
      <c r="Y384" s="86"/>
      <c r="Z384" s="793"/>
      <c r="AA384" s="90"/>
      <c r="AB384" s="86"/>
      <c r="AC384" s="86"/>
      <c r="AD384" s="32"/>
    </row>
    <row r="385" spans="1:30">
      <c r="A385" s="1225">
        <v>380</v>
      </c>
      <c r="B385" s="1" t="s">
        <v>127</v>
      </c>
      <c r="C385" s="758">
        <f>SUM(C377:C384)</f>
        <v>94936092.214201629</v>
      </c>
      <c r="E385" s="1416">
        <f>SUM(E374:E384)</f>
        <v>2108023.34</v>
      </c>
      <c r="F385" s="793"/>
      <c r="G385" s="793">
        <f t="shared" si="47"/>
        <v>-94936092.214201629</v>
      </c>
      <c r="H385" s="793"/>
      <c r="I385" s="753">
        <f>SUM(I374:I384)</f>
        <v>-2108023.34</v>
      </c>
      <c r="J385" s="793"/>
      <c r="K385" s="84">
        <f t="shared" si="46"/>
        <v>0</v>
      </c>
      <c r="L385" s="756"/>
      <c r="M385" s="759">
        <f>SUM(M374:M384)</f>
        <v>0</v>
      </c>
      <c r="N385" s="793"/>
      <c r="O385" s="90"/>
      <c r="P385" s="90"/>
      <c r="Q385" s="90"/>
      <c r="R385" s="793"/>
      <c r="S385" s="752"/>
      <c r="T385" s="752"/>
      <c r="U385" s="752"/>
      <c r="V385" s="793"/>
      <c r="W385" s="86"/>
      <c r="X385" s="86"/>
      <c r="Y385" s="86"/>
      <c r="Z385" s="793"/>
      <c r="AA385" s="90"/>
      <c r="AB385" s="86"/>
      <c r="AC385" s="86"/>
      <c r="AD385" s="32"/>
    </row>
    <row r="386" spans="1:30">
      <c r="A386" s="1225">
        <v>381</v>
      </c>
      <c r="E386" s="1416"/>
      <c r="K386" s="84"/>
      <c r="L386" s="756"/>
      <c r="M386" s="759"/>
      <c r="O386" s="90"/>
      <c r="P386" s="90"/>
      <c r="Q386" s="90"/>
      <c r="S386" s="752"/>
      <c r="T386" s="752"/>
      <c r="U386" s="752"/>
      <c r="AA386" s="90"/>
      <c r="AB386" s="86"/>
      <c r="AD386" s="32"/>
    </row>
    <row r="387" spans="1:30">
      <c r="A387" s="1225">
        <v>382</v>
      </c>
      <c r="B387" s="1" t="s">
        <v>130</v>
      </c>
      <c r="E387" s="1416"/>
      <c r="K387" s="84"/>
      <c r="L387" s="756"/>
      <c r="M387" s="759"/>
      <c r="O387" s="90"/>
      <c r="P387" s="90"/>
      <c r="Q387" s="90"/>
      <c r="S387" s="752"/>
      <c r="T387" s="752"/>
      <c r="U387" s="752"/>
      <c r="AA387" s="90"/>
      <c r="AB387" s="86"/>
      <c r="AD387" s="32"/>
    </row>
    <row r="388" spans="1:30">
      <c r="A388" s="1225">
        <v>383</v>
      </c>
      <c r="B388" s="914" t="s">
        <v>208</v>
      </c>
      <c r="E388" s="1416">
        <f>SUMIFS('1501 Summary'!$P$1:$P$600,'1501 Summary'!$C$1:$C$600,"*"&amp;B388&amp;"*",'1501 Summary'!$B$1:$B$600,"*"&amp;$B$373&amp;"*")</f>
        <v>-68725.959999999992</v>
      </c>
      <c r="F388" s="781"/>
      <c r="G388" s="781"/>
      <c r="H388" s="781"/>
      <c r="I388" s="781"/>
      <c r="J388" s="781"/>
      <c r="K388" s="84"/>
      <c r="L388" s="756"/>
      <c r="M388" s="759"/>
      <c r="N388" s="781"/>
      <c r="O388" s="90"/>
      <c r="P388" s="90"/>
      <c r="Q388" s="90"/>
      <c r="R388" s="781"/>
      <c r="S388" s="752"/>
      <c r="T388" s="752"/>
      <c r="U388" s="752"/>
      <c r="V388" s="781"/>
      <c r="Z388" s="781"/>
      <c r="AA388" s="90"/>
      <c r="AB388" s="86"/>
      <c r="AD388" s="32"/>
    </row>
    <row r="389" spans="1:30">
      <c r="A389" s="1225">
        <v>384</v>
      </c>
      <c r="B389" s="914" t="s">
        <v>209</v>
      </c>
      <c r="E389" s="1416">
        <f>SUMIFS('1501 Summary'!$P$1:$P$600,'1501 Summary'!$C$1:$C$600,"*"&amp;B389&amp;"*",'1501 Summary'!$B$1:$B$600,"*"&amp;$B$373&amp;"*")</f>
        <v>-25477.929999999997</v>
      </c>
      <c r="F389" s="781"/>
      <c r="G389" s="781"/>
      <c r="H389" s="781"/>
      <c r="I389" s="781"/>
      <c r="J389" s="781"/>
      <c r="K389" s="84"/>
      <c r="L389" s="756"/>
      <c r="M389" s="759"/>
      <c r="N389" s="781"/>
      <c r="O389" s="90"/>
      <c r="P389" s="90"/>
      <c r="Q389" s="90"/>
      <c r="R389" s="781"/>
      <c r="S389" s="752"/>
      <c r="T389" s="752"/>
      <c r="U389" s="752"/>
      <c r="V389" s="781"/>
      <c r="Z389" s="781"/>
      <c r="AA389" s="90"/>
      <c r="AB389" s="86"/>
      <c r="AD389" s="32"/>
    </row>
    <row r="390" spans="1:30">
      <c r="A390" s="1225">
        <v>385</v>
      </c>
      <c r="B390" s="914" t="s">
        <v>139</v>
      </c>
      <c r="E390" s="1416">
        <f>SUMIFS('1501 Summary'!$P$1:$P$600,'1501 Summary'!$C$1:$C$600,"*"&amp;B390&amp;"*",'1501 Summary'!$B$1:$B$600,"*"&amp;$B$373&amp;"*")</f>
        <v>0</v>
      </c>
      <c r="F390" s="781"/>
      <c r="G390" s="781"/>
      <c r="H390" s="781"/>
      <c r="I390" s="781"/>
      <c r="J390" s="781"/>
      <c r="K390" s="84"/>
      <c r="L390" s="756"/>
      <c r="M390" s="759"/>
      <c r="N390" s="781"/>
      <c r="O390" s="90"/>
      <c r="P390" s="90"/>
      <c r="Q390" s="90"/>
      <c r="R390" s="781"/>
      <c r="S390" s="752"/>
      <c r="T390" s="752"/>
      <c r="U390" s="752"/>
      <c r="V390" s="781"/>
      <c r="Z390" s="781"/>
      <c r="AA390" s="90"/>
      <c r="AB390" s="86"/>
      <c r="AD390" s="32"/>
    </row>
    <row r="391" spans="1:30">
      <c r="A391" s="1225">
        <v>386</v>
      </c>
      <c r="B391" s="1" t="s">
        <v>133</v>
      </c>
      <c r="E391" s="1416">
        <f>SUMIFS('1501 Summary'!$P$1:$P$600,'1501 Summary'!$C$1:$C$600,"*"&amp;B391&amp;"*",'1501 Summary'!$B$1:$B$600,"*"&amp;$B$373&amp;"*")</f>
        <v>29120.929999999997</v>
      </c>
      <c r="F391" s="781"/>
      <c r="G391" s="781"/>
      <c r="H391" s="781"/>
      <c r="I391" s="781"/>
      <c r="J391" s="781"/>
      <c r="K391" s="84"/>
      <c r="L391" s="756"/>
      <c r="M391" s="759"/>
      <c r="N391" s="781"/>
      <c r="O391" s="90"/>
      <c r="P391" s="90"/>
      <c r="Q391" s="90"/>
      <c r="R391" s="781"/>
      <c r="S391" s="752"/>
      <c r="T391" s="752"/>
      <c r="U391" s="752"/>
      <c r="V391" s="781"/>
      <c r="Z391" s="781"/>
      <c r="AA391" s="90"/>
      <c r="AB391" s="86"/>
      <c r="AD391" s="32"/>
    </row>
    <row r="392" spans="1:30">
      <c r="A392" s="1225">
        <v>387</v>
      </c>
      <c r="B392" s="1" t="s">
        <v>134</v>
      </c>
      <c r="E392" s="1416">
        <f>SUMIFS('1501 Summary'!$P$1:$P$600,'1501 Summary'!$C$1:$C$600,"*"&amp;B392&amp;"*",'1501 Summary'!$B$1:$B$600,"*"&amp;$B$373&amp;"*")</f>
        <v>80579.689999999988</v>
      </c>
      <c r="F392" s="781"/>
      <c r="G392" s="781"/>
      <c r="H392" s="781"/>
      <c r="I392" s="781"/>
      <c r="J392" s="781"/>
      <c r="K392" s="84"/>
      <c r="L392" s="756"/>
      <c r="M392" s="759"/>
      <c r="N392" s="781"/>
      <c r="O392" s="90"/>
      <c r="P392" s="90"/>
      <c r="Q392" s="90"/>
      <c r="R392" s="781"/>
      <c r="S392" s="752"/>
      <c r="T392" s="752"/>
      <c r="U392" s="752"/>
      <c r="V392" s="781"/>
      <c r="Z392" s="781"/>
      <c r="AA392" s="90"/>
      <c r="AB392" s="86"/>
      <c r="AD392" s="32"/>
    </row>
    <row r="393" spans="1:30">
      <c r="A393" s="1225">
        <v>388</v>
      </c>
      <c r="B393" s="1" t="s">
        <v>211</v>
      </c>
      <c r="E393" s="1416">
        <f>SUMIFS('1501 Summary'!$P$1:$P$600,'1501 Summary'!$C$1:$C$600,"*"&amp;B393&amp;"*",'1501 Summary'!$B$1:$B$600,"*"&amp;$B$373&amp;"*")</f>
        <v>92315.569999999978</v>
      </c>
      <c r="F393" s="781"/>
      <c r="G393" s="781"/>
      <c r="H393" s="781"/>
      <c r="I393" s="781"/>
      <c r="J393" s="781"/>
      <c r="K393" s="84"/>
      <c r="L393" s="756"/>
      <c r="M393" s="759"/>
      <c r="N393" s="781"/>
      <c r="O393" s="90"/>
      <c r="P393" s="90"/>
      <c r="Q393" s="90"/>
      <c r="R393" s="781"/>
      <c r="S393" s="752"/>
      <c r="T393" s="752"/>
      <c r="U393" s="752"/>
      <c r="V393" s="781"/>
      <c r="Z393" s="781"/>
      <c r="AA393" s="90"/>
      <c r="AB393" s="86"/>
      <c r="AD393" s="32"/>
    </row>
    <row r="394" spans="1:30">
      <c r="A394" s="1225">
        <v>389</v>
      </c>
      <c r="B394" s="34" t="s">
        <v>175</v>
      </c>
      <c r="E394" s="1420">
        <f>SUMIFS('Rev Recon Summary'!$P$1:$P$500,'Rev Recon Summary'!$C$1:$C$500,"*"&amp;B394&amp;"*",'Rev Recon Summary'!$B$1:$B$500,"*"&amp;$B$373&amp;"*")</f>
        <v>-2186714.71</v>
      </c>
      <c r="F394" s="767"/>
      <c r="G394" s="767"/>
      <c r="H394" s="767"/>
      <c r="I394" s="767"/>
      <c r="J394" s="767"/>
      <c r="K394" s="84"/>
      <c r="L394" s="756"/>
      <c r="M394" s="759"/>
      <c r="N394" s="767"/>
      <c r="O394" s="90"/>
      <c r="P394" s="90"/>
      <c r="Q394" s="90"/>
      <c r="R394" s="767"/>
      <c r="S394" s="752"/>
      <c r="T394" s="752"/>
      <c r="U394" s="752"/>
      <c r="V394" s="767"/>
      <c r="Z394" s="767"/>
      <c r="AA394" s="90"/>
      <c r="AB394" s="86"/>
      <c r="AD394" s="32"/>
    </row>
    <row r="395" spans="1:30">
      <c r="A395" s="1225">
        <v>390</v>
      </c>
      <c r="B395" s="794" t="s">
        <v>176</v>
      </c>
      <c r="E395" s="1422">
        <f>SUMIFS('Rev Recon Summary'!$P$1:$P$500,'Rev Recon Summary'!$C$1:$C$500,"*"&amp;B395&amp;"*",'Rev Recon Summary'!$B$1:$B$500,"*"&amp;$B$373&amp;"*")</f>
        <v>2167790.85</v>
      </c>
      <c r="F395" s="767"/>
      <c r="G395" s="767"/>
      <c r="H395" s="767"/>
      <c r="I395" s="767"/>
      <c r="J395" s="767"/>
      <c r="K395" s="84"/>
      <c r="L395" s="756"/>
      <c r="M395" s="759"/>
      <c r="N395" s="767"/>
      <c r="O395" s="90"/>
      <c r="P395" s="90"/>
      <c r="Q395" s="90"/>
      <c r="R395" s="767"/>
      <c r="S395" s="752"/>
      <c r="T395" s="752"/>
      <c r="U395" s="752"/>
      <c r="V395" s="767"/>
      <c r="Z395" s="767"/>
      <c r="AA395" s="90"/>
      <c r="AB395" s="86"/>
      <c r="AD395" s="32"/>
    </row>
    <row r="396" spans="1:30">
      <c r="A396" s="1225">
        <v>391</v>
      </c>
      <c r="B396" s="8" t="s">
        <v>152</v>
      </c>
      <c r="E396" s="1416">
        <f>SUM(E388:E395)</f>
        <v>88888.440000000177</v>
      </c>
      <c r="F396" s="781"/>
      <c r="G396" s="781"/>
      <c r="H396" s="781"/>
      <c r="I396" s="781"/>
      <c r="J396" s="781"/>
      <c r="K396" s="84"/>
      <c r="L396" s="756"/>
      <c r="M396" s="759"/>
      <c r="N396" s="781"/>
      <c r="O396" s="90"/>
      <c r="P396" s="90"/>
      <c r="Q396" s="90"/>
      <c r="R396" s="781"/>
      <c r="S396" s="752"/>
      <c r="T396" s="752"/>
      <c r="U396" s="752"/>
      <c r="V396" s="781"/>
      <c r="Z396" s="781"/>
      <c r="AA396" s="90"/>
      <c r="AB396" s="86"/>
      <c r="AD396" s="32"/>
    </row>
    <row r="397" spans="1:30">
      <c r="A397" s="1225">
        <v>392</v>
      </c>
      <c r="E397" s="1416"/>
      <c r="F397" s="781"/>
      <c r="G397" s="781"/>
      <c r="H397" s="781"/>
      <c r="I397" s="781"/>
      <c r="J397" s="781"/>
      <c r="K397" s="84"/>
      <c r="L397" s="756"/>
      <c r="M397" s="759"/>
      <c r="N397" s="781"/>
      <c r="O397" s="782"/>
      <c r="P397" s="782"/>
      <c r="Q397" s="782"/>
      <c r="R397" s="781"/>
      <c r="S397" s="752"/>
      <c r="T397" s="752"/>
      <c r="U397" s="752"/>
      <c r="V397" s="781"/>
      <c r="Z397" s="781"/>
      <c r="AA397" s="90"/>
      <c r="AB397" s="86"/>
      <c r="AD397" s="32"/>
    </row>
    <row r="398" spans="1:30">
      <c r="A398" s="1225">
        <v>393</v>
      </c>
      <c r="B398" s="796" t="s">
        <v>225</v>
      </c>
      <c r="C398" s="764">
        <f>E398-'Rev Recon Summary'!P302</f>
        <v>0</v>
      </c>
      <c r="D398" s="765" t="s">
        <v>149</v>
      </c>
      <c r="E398" s="1418">
        <f>SUM(E385,E396)</f>
        <v>2196911.7800000003</v>
      </c>
      <c r="F398" s="780"/>
      <c r="G398" s="780"/>
      <c r="H398" s="780"/>
      <c r="I398" s="780"/>
      <c r="J398" s="780"/>
      <c r="K398" s="631"/>
      <c r="L398" s="766"/>
      <c r="M398" s="760"/>
      <c r="N398" s="780"/>
      <c r="O398" s="633"/>
      <c r="P398" s="633"/>
      <c r="Q398" s="633"/>
      <c r="R398" s="780"/>
      <c r="S398" s="761"/>
      <c r="T398" s="761"/>
      <c r="U398" s="761"/>
      <c r="V398" s="780"/>
      <c r="W398" s="765"/>
      <c r="X398" s="765"/>
      <c r="Y398" s="765"/>
      <c r="Z398" s="780"/>
      <c r="AA398" s="633"/>
      <c r="AB398" s="630"/>
      <c r="AC398" s="765"/>
      <c r="AD398" s="32"/>
    </row>
    <row r="399" spans="1:30">
      <c r="A399" s="1225">
        <v>394</v>
      </c>
      <c r="E399" s="1416"/>
      <c r="F399" s="781"/>
      <c r="G399" s="781"/>
      <c r="H399" s="781"/>
      <c r="I399" s="781"/>
      <c r="J399" s="781"/>
      <c r="K399" s="84"/>
      <c r="L399" s="756"/>
      <c r="M399" s="759"/>
      <c r="N399" s="781"/>
      <c r="O399" s="90"/>
      <c r="P399" s="90"/>
      <c r="Q399" s="90"/>
      <c r="R399" s="781"/>
      <c r="S399" s="752"/>
      <c r="T399" s="752"/>
      <c r="U399" s="752"/>
      <c r="V399" s="781"/>
      <c r="Z399" s="781"/>
      <c r="AA399" s="90"/>
      <c r="AB399" s="86"/>
      <c r="AD399" s="32"/>
    </row>
    <row r="400" spans="1:30">
      <c r="A400" s="1225">
        <v>395</v>
      </c>
      <c r="B400" s="8"/>
      <c r="E400" s="1416"/>
      <c r="F400" s="752"/>
      <c r="G400" s="752"/>
      <c r="H400" s="752"/>
      <c r="I400" s="752"/>
      <c r="J400" s="752"/>
      <c r="K400" s="84"/>
      <c r="L400" s="756"/>
      <c r="M400" s="751"/>
      <c r="N400" s="752"/>
      <c r="O400" s="90"/>
      <c r="P400" s="90"/>
      <c r="Q400" s="90"/>
      <c r="R400" s="752"/>
      <c r="S400" s="752"/>
      <c r="T400" s="752"/>
      <c r="U400" s="752"/>
      <c r="V400" s="752"/>
      <c r="W400" s="752"/>
      <c r="X400" s="752"/>
      <c r="Y400" s="752"/>
      <c r="Z400" s="752"/>
      <c r="AA400" s="90"/>
      <c r="AB400" s="86"/>
      <c r="AC400" s="752"/>
      <c r="AD400" s="32"/>
    </row>
    <row r="401" spans="1:30">
      <c r="A401" s="1225">
        <v>396</v>
      </c>
      <c r="B401" s="783" t="s">
        <v>226</v>
      </c>
      <c r="E401" s="1416"/>
      <c r="F401" s="752"/>
      <c r="G401" s="12" t="s">
        <v>224</v>
      </c>
      <c r="H401" s="752"/>
      <c r="I401" s="752"/>
      <c r="J401" s="752"/>
      <c r="K401" s="84"/>
      <c r="L401" s="756"/>
      <c r="M401" s="751"/>
      <c r="N401" s="752"/>
      <c r="O401" s="90"/>
      <c r="P401" s="90"/>
      <c r="Q401" s="90"/>
      <c r="R401" s="752"/>
      <c r="S401" s="752"/>
      <c r="T401" s="752"/>
      <c r="U401" s="752"/>
      <c r="V401" s="752"/>
      <c r="W401" s="752"/>
      <c r="X401" s="752"/>
      <c r="Y401" s="752"/>
      <c r="Z401" s="752"/>
      <c r="AA401" s="90"/>
      <c r="AB401" s="86"/>
      <c r="AC401" s="752"/>
      <c r="AD401" s="32"/>
    </row>
    <row r="402" spans="1:30">
      <c r="A402" s="1225">
        <v>397</v>
      </c>
      <c r="B402" s="1" t="s">
        <v>196</v>
      </c>
      <c r="C402" s="84">
        <f t="shared" ref="C402:C412" si="52">E402/D402</f>
        <v>2</v>
      </c>
      <c r="D402" s="90">
        <v>625</v>
      </c>
      <c r="E402" s="1416">
        <f>SUMIFS('1501 Summary'!$P$1:$P$600,'1501 Summary'!$C$1:$C$600,"*"&amp;B402&amp;"*",'1501 Summary'!$B$1:$B$600,"*"&amp;$B$401&amp;"*")</f>
        <v>1250</v>
      </c>
      <c r="F402" s="752"/>
      <c r="G402" s="99">
        <f>-C402</f>
        <v>-2</v>
      </c>
      <c r="H402" s="752">
        <f>D402</f>
        <v>625</v>
      </c>
      <c r="I402" s="752">
        <f>H402*G402</f>
        <v>-1250</v>
      </c>
      <c r="J402" s="752"/>
      <c r="K402" s="84">
        <f t="shared" ref="K402:K412" si="53">C402+G402</f>
        <v>0</v>
      </c>
      <c r="L402" s="751">
        <f>D402</f>
        <v>625</v>
      </c>
      <c r="M402" s="759">
        <f>L402*K402</f>
        <v>0</v>
      </c>
      <c r="N402" s="752"/>
      <c r="O402" s="90"/>
      <c r="P402" s="90"/>
      <c r="Q402" s="90"/>
      <c r="R402" s="752"/>
      <c r="S402" s="752"/>
      <c r="T402" s="752"/>
      <c r="U402" s="752"/>
      <c r="V402" s="752"/>
      <c r="W402" s="86"/>
      <c r="X402" s="86"/>
      <c r="Y402" s="86"/>
      <c r="Z402" s="752"/>
      <c r="AA402" s="90"/>
      <c r="AB402" s="86"/>
      <c r="AC402" s="86"/>
      <c r="AD402" s="32"/>
    </row>
    <row r="403" spans="1:30">
      <c r="A403" s="1225">
        <v>398</v>
      </c>
      <c r="B403" s="1" t="s">
        <v>197</v>
      </c>
      <c r="C403" s="84">
        <f t="shared" si="52"/>
        <v>0</v>
      </c>
      <c r="D403" s="97">
        <v>0.2</v>
      </c>
      <c r="E403" s="1416">
        <f>SUMIFS('1501 Summary'!$P$1:$P$600,'1501 Summary'!$C$1:$C$600,"*"&amp;B403&amp;"*",'1501 Summary'!$B$1:$B$600,"*"&amp;$B$401&amp;"*")</f>
        <v>0</v>
      </c>
      <c r="F403" s="752"/>
      <c r="G403" s="99">
        <f>-C403</f>
        <v>0</v>
      </c>
      <c r="H403" s="756">
        <f>D403</f>
        <v>0.2</v>
      </c>
      <c r="I403" s="752">
        <f>H403*G403</f>
        <v>0</v>
      </c>
      <c r="J403" s="752"/>
      <c r="K403" s="84">
        <f t="shared" si="53"/>
        <v>0</v>
      </c>
      <c r="L403" s="789">
        <f t="shared" ref="L403:L412" si="54">D403</f>
        <v>0.2</v>
      </c>
      <c r="M403" s="759">
        <f t="shared" ref="M403:M412" si="55">L403*K403</f>
        <v>0</v>
      </c>
      <c r="N403" s="752"/>
      <c r="O403" s="90"/>
      <c r="P403" s="90"/>
      <c r="Q403" s="90"/>
      <c r="R403" s="752"/>
      <c r="S403" s="752"/>
      <c r="T403" s="752"/>
      <c r="U403" s="752"/>
      <c r="V403" s="752"/>
      <c r="W403" s="86"/>
      <c r="X403" s="86"/>
      <c r="Y403" s="86"/>
      <c r="Z403" s="752"/>
      <c r="AA403" s="90"/>
      <c r="AB403" s="86"/>
      <c r="AC403" s="86"/>
      <c r="AD403" s="32"/>
    </row>
    <row r="404" spans="1:30">
      <c r="A404" s="1225">
        <v>399</v>
      </c>
      <c r="B404" s="1" t="s">
        <v>198</v>
      </c>
      <c r="C404" s="84">
        <f t="shared" si="52"/>
        <v>1292274.9999999998</v>
      </c>
      <c r="D404" s="772">
        <v>4.0000000000000002E-4</v>
      </c>
      <c r="E404" s="1416">
        <f>SUMIFS('1501 Summary'!$P$1:$P$600,'1501 Summary'!$C$1:$C$600,"*"&amp;B404&amp;"*",'1501 Summary'!$B$1:$B$600,"*"&amp;$B$401&amp;"*")</f>
        <v>516.91</v>
      </c>
      <c r="F404" s="752"/>
      <c r="G404" s="99">
        <f>-C404</f>
        <v>-1292274.9999999998</v>
      </c>
      <c r="H404" s="756">
        <f>D404</f>
        <v>4.0000000000000002E-4</v>
      </c>
      <c r="I404" s="752">
        <f>H404*G404</f>
        <v>-516.91</v>
      </c>
      <c r="J404" s="752"/>
      <c r="K404" s="84">
        <f t="shared" si="53"/>
        <v>0</v>
      </c>
      <c r="L404" s="789">
        <f t="shared" si="54"/>
        <v>4.0000000000000002E-4</v>
      </c>
      <c r="M404" s="759">
        <f t="shared" si="55"/>
        <v>0</v>
      </c>
      <c r="N404" s="752"/>
      <c r="O404" s="90"/>
      <c r="P404" s="90"/>
      <c r="Q404" s="90"/>
      <c r="R404" s="752"/>
      <c r="S404" s="752"/>
      <c r="T404" s="752"/>
      <c r="U404" s="752"/>
      <c r="V404" s="752"/>
      <c r="W404" s="86"/>
      <c r="X404" s="86"/>
      <c r="Y404" s="86"/>
      <c r="Z404" s="752"/>
      <c r="AA404" s="90"/>
      <c r="AB404" s="86"/>
      <c r="AC404" s="86"/>
      <c r="AD404" s="32"/>
    </row>
    <row r="405" spans="1:30">
      <c r="A405" s="1225">
        <v>400</v>
      </c>
      <c r="B405" s="1026" t="s">
        <v>199</v>
      </c>
      <c r="C405" s="84">
        <f t="shared" si="52"/>
        <v>0</v>
      </c>
      <c r="D405" s="772">
        <v>5.3310000000000003E-2</v>
      </c>
      <c r="E405" s="1416">
        <f>SUMIFS('1501 Summary'!$P$1:$P$600,'1501 Summary'!$C$1:$C$600,"*"&amp;B405&amp;"*",'1501 Summary'!$B$1:$B$600,"*"&amp;$B$401&amp;"*")</f>
        <v>0</v>
      </c>
      <c r="F405" s="793"/>
      <c r="G405" s="99">
        <f t="shared" ref="G405:G412" si="56">-C405</f>
        <v>0</v>
      </c>
      <c r="H405" s="756">
        <f t="shared" ref="H405:H412" si="57">D405</f>
        <v>5.3310000000000003E-2</v>
      </c>
      <c r="I405" s="752">
        <f t="shared" ref="I405:I412" si="58">H405*G405</f>
        <v>0</v>
      </c>
      <c r="J405" s="793"/>
      <c r="K405" s="84">
        <f t="shared" si="53"/>
        <v>0</v>
      </c>
      <c r="L405" s="756">
        <f t="shared" si="54"/>
        <v>5.3310000000000003E-2</v>
      </c>
      <c r="M405" s="759">
        <f t="shared" si="55"/>
        <v>0</v>
      </c>
      <c r="N405" s="793"/>
      <c r="O405" s="90"/>
      <c r="P405" s="90"/>
      <c r="Q405" s="90"/>
      <c r="R405" s="793"/>
      <c r="S405" s="752"/>
      <c r="T405" s="752"/>
      <c r="U405" s="752"/>
      <c r="V405" s="793"/>
      <c r="W405" s="86"/>
      <c r="X405" s="86"/>
      <c r="Y405" s="86"/>
      <c r="Z405" s="793"/>
      <c r="AA405" s="90"/>
      <c r="AB405" s="86"/>
      <c r="AC405" s="86"/>
      <c r="AD405" s="32"/>
    </row>
    <row r="406" spans="1:30">
      <c r="A406" s="1225">
        <v>401</v>
      </c>
      <c r="B406" s="1026" t="s">
        <v>200</v>
      </c>
      <c r="C406" s="84">
        <f>E406/D406</f>
        <v>200000</v>
      </c>
      <c r="D406" s="772">
        <v>5.9889999999999999E-2</v>
      </c>
      <c r="E406" s="1416">
        <f>SUMIFS('1501 Summary'!$P$1:$P$600,'1501 Summary'!$C$1:$C$600,"*"&amp;B406&amp;"*",'1501 Summary'!$B$1:$B$600,"*"&amp;$B$401&amp;"*")</f>
        <v>11978</v>
      </c>
      <c r="F406" s="793"/>
      <c r="G406" s="99">
        <f t="shared" si="56"/>
        <v>-200000</v>
      </c>
      <c r="H406" s="756">
        <f t="shared" si="57"/>
        <v>5.9889999999999999E-2</v>
      </c>
      <c r="I406" s="752">
        <f t="shared" si="58"/>
        <v>-11978</v>
      </c>
      <c r="J406" s="793"/>
      <c r="K406" s="84">
        <f t="shared" si="53"/>
        <v>0</v>
      </c>
      <c r="L406" s="756">
        <f t="shared" si="54"/>
        <v>5.9889999999999999E-2</v>
      </c>
      <c r="M406" s="759">
        <f t="shared" si="55"/>
        <v>0</v>
      </c>
      <c r="N406" s="793"/>
      <c r="O406" s="90"/>
      <c r="P406" s="90"/>
      <c r="Q406" s="90"/>
      <c r="R406" s="793"/>
      <c r="S406" s="752"/>
      <c r="T406" s="752"/>
      <c r="U406" s="752"/>
      <c r="V406" s="793"/>
      <c r="W406" s="86"/>
      <c r="X406" s="86"/>
      <c r="Y406" s="86"/>
      <c r="Z406" s="793"/>
      <c r="AA406" s="90"/>
      <c r="AB406" s="86"/>
      <c r="AC406" s="86"/>
      <c r="AD406" s="32"/>
    </row>
    <row r="407" spans="1:30">
      <c r="A407" s="1225">
        <v>402</v>
      </c>
      <c r="B407" s="1026" t="s">
        <v>203</v>
      </c>
      <c r="C407" s="84">
        <f>E407/D407</f>
        <v>0</v>
      </c>
      <c r="D407" s="772">
        <v>1.9449999999999999E-2</v>
      </c>
      <c r="E407" s="1416">
        <f>SUMIFS('1501 Summary'!$P$1:$P$600,'1501 Summary'!$C$1:$C$600,"*"&amp;B407&amp;"*",'1501 Summary'!$B$1:$B$600,"*"&amp;$B$401&amp;"*")</f>
        <v>0</v>
      </c>
      <c r="F407" s="793"/>
      <c r="G407" s="99">
        <f t="shared" si="56"/>
        <v>0</v>
      </c>
      <c r="H407" s="756">
        <f t="shared" si="57"/>
        <v>1.9449999999999999E-2</v>
      </c>
      <c r="I407" s="752">
        <f t="shared" si="58"/>
        <v>0</v>
      </c>
      <c r="J407" s="793"/>
      <c r="K407" s="84">
        <f t="shared" si="53"/>
        <v>0</v>
      </c>
      <c r="L407" s="756">
        <f t="shared" si="54"/>
        <v>1.9449999999999999E-2</v>
      </c>
      <c r="M407" s="759">
        <f t="shared" si="55"/>
        <v>0</v>
      </c>
      <c r="N407" s="793"/>
      <c r="O407" s="90"/>
      <c r="P407" s="90"/>
      <c r="Q407" s="90"/>
      <c r="R407" s="793"/>
      <c r="S407" s="752"/>
      <c r="T407" s="752"/>
      <c r="U407" s="752"/>
      <c r="V407" s="793"/>
      <c r="W407" s="86"/>
      <c r="X407" s="86"/>
      <c r="Y407" s="86"/>
      <c r="Z407" s="793"/>
      <c r="AA407" s="90"/>
      <c r="AB407" s="86"/>
      <c r="AC407" s="86"/>
      <c r="AD407" s="32"/>
    </row>
    <row r="408" spans="1:30">
      <c r="A408" s="1225">
        <v>403</v>
      </c>
      <c r="B408" s="1026" t="s">
        <v>204</v>
      </c>
      <c r="C408" s="84">
        <f>E408/D408</f>
        <v>400000</v>
      </c>
      <c r="D408" s="772">
        <v>2.3029999999999998E-2</v>
      </c>
      <c r="E408" s="1416">
        <f>SUMIFS('1501 Summary'!$P$1:$P$600,'1501 Summary'!$C$1:$C$600,"*"&amp;B408&amp;"*",'1501 Summary'!$B$1:$B$600,"*"&amp;$B$401&amp;"*")</f>
        <v>9212</v>
      </c>
      <c r="F408" s="793"/>
      <c r="G408" s="99">
        <f t="shared" si="56"/>
        <v>-400000</v>
      </c>
      <c r="H408" s="756">
        <f t="shared" si="57"/>
        <v>2.3029999999999998E-2</v>
      </c>
      <c r="I408" s="752">
        <f t="shared" si="58"/>
        <v>-9212</v>
      </c>
      <c r="J408" s="793"/>
      <c r="K408" s="84">
        <f t="shared" si="53"/>
        <v>0</v>
      </c>
      <c r="L408" s="756">
        <f t="shared" si="54"/>
        <v>2.3029999999999998E-2</v>
      </c>
      <c r="M408" s="759">
        <f t="shared" si="55"/>
        <v>0</v>
      </c>
      <c r="N408" s="793"/>
      <c r="O408" s="90"/>
      <c r="P408" s="90"/>
      <c r="Q408" s="90"/>
      <c r="R408" s="793"/>
      <c r="S408" s="752"/>
      <c r="T408" s="752"/>
      <c r="U408" s="752"/>
      <c r="V408" s="793"/>
      <c r="W408" s="86"/>
      <c r="X408" s="86"/>
      <c r="Y408" s="86"/>
      <c r="Z408" s="793"/>
      <c r="AA408" s="90"/>
      <c r="AB408" s="86"/>
      <c r="AC408" s="86"/>
      <c r="AD408" s="32"/>
    </row>
    <row r="409" spans="1:30">
      <c r="A409" s="1225">
        <v>404</v>
      </c>
      <c r="B409" s="1026" t="s">
        <v>201</v>
      </c>
      <c r="C409" s="84">
        <f>E409/D409</f>
        <v>0</v>
      </c>
      <c r="D409" s="772">
        <v>1.1820000000000001E-2</v>
      </c>
      <c r="E409" s="1416">
        <f>SUMIFS('1501 Summary'!$P$1:$P$600,'1501 Summary'!$C$1:$C$600,"*"&amp;B409&amp;"*",'1501 Summary'!$B$1:$B$600,"*"&amp;$B$401&amp;"*")</f>
        <v>0</v>
      </c>
      <c r="F409" s="793"/>
      <c r="G409" s="99">
        <f t="shared" si="56"/>
        <v>0</v>
      </c>
      <c r="H409" s="756">
        <f t="shared" si="57"/>
        <v>1.1820000000000001E-2</v>
      </c>
      <c r="I409" s="752">
        <f t="shared" si="58"/>
        <v>0</v>
      </c>
      <c r="J409" s="793"/>
      <c r="K409" s="84">
        <f t="shared" si="53"/>
        <v>0</v>
      </c>
      <c r="L409" s="756">
        <f t="shared" si="54"/>
        <v>1.1820000000000001E-2</v>
      </c>
      <c r="M409" s="759">
        <f t="shared" si="55"/>
        <v>0</v>
      </c>
      <c r="N409" s="793"/>
      <c r="O409" s="90"/>
      <c r="P409" s="90"/>
      <c r="Q409" s="90"/>
      <c r="R409" s="793"/>
      <c r="S409" s="752"/>
      <c r="T409" s="752"/>
      <c r="U409" s="752"/>
      <c r="V409" s="793"/>
      <c r="W409" s="86"/>
      <c r="X409" s="86"/>
      <c r="Y409" s="86"/>
      <c r="Z409" s="793"/>
      <c r="AA409" s="90"/>
      <c r="AB409" s="86"/>
      <c r="AC409" s="86"/>
      <c r="AD409" s="32"/>
    </row>
    <row r="410" spans="1:30">
      <c r="A410" s="1225">
        <v>405</v>
      </c>
      <c r="B410" s="1026" t="s">
        <v>202</v>
      </c>
      <c r="C410" s="84">
        <f t="shared" si="52"/>
        <v>400000</v>
      </c>
      <c r="D410" s="772">
        <v>1.473E-2</v>
      </c>
      <c r="E410" s="1416">
        <f>SUMIFS('1501 Summary'!$P$1:$P$600,'1501 Summary'!$C$1:$C$600,"*"&amp;B410&amp;"*",'1501 Summary'!$B$1:$B$600,"*"&amp;$B$401&amp;"*")</f>
        <v>5892</v>
      </c>
      <c r="F410" s="793"/>
      <c r="G410" s="99">
        <f t="shared" si="56"/>
        <v>-400000</v>
      </c>
      <c r="H410" s="756">
        <f t="shared" si="57"/>
        <v>1.473E-2</v>
      </c>
      <c r="I410" s="752">
        <f t="shared" si="58"/>
        <v>-5892</v>
      </c>
      <c r="J410" s="793"/>
      <c r="K410" s="84">
        <f t="shared" si="53"/>
        <v>0</v>
      </c>
      <c r="L410" s="756">
        <f t="shared" si="54"/>
        <v>1.473E-2</v>
      </c>
      <c r="M410" s="759">
        <f t="shared" si="55"/>
        <v>0</v>
      </c>
      <c r="N410" s="793"/>
      <c r="O410" s="90"/>
      <c r="P410" s="90"/>
      <c r="Q410" s="90"/>
      <c r="R410" s="793"/>
      <c r="S410" s="752"/>
      <c r="T410" s="752"/>
      <c r="U410" s="752"/>
      <c r="V410" s="793"/>
      <c r="W410" s="86"/>
      <c r="X410" s="86"/>
      <c r="Y410" s="86"/>
      <c r="Z410" s="793"/>
      <c r="AA410" s="90"/>
      <c r="AB410" s="86"/>
      <c r="AC410" s="86"/>
      <c r="AD410" s="32"/>
    </row>
    <row r="411" spans="1:30">
      <c r="A411" s="1225">
        <v>406</v>
      </c>
      <c r="B411" s="1026" t="s">
        <v>205</v>
      </c>
      <c r="C411" s="84">
        <f t="shared" si="52"/>
        <v>0</v>
      </c>
      <c r="D411" s="772">
        <v>5.62E-3</v>
      </c>
      <c r="E411" s="1416">
        <f>SUMIFS('1501 Summary'!$P$1:$P$600,'1501 Summary'!$C$1:$C$600,"*"&amp;B411&amp;"*",'1501 Summary'!$B$1:$B$600,"*"&amp;$B$401&amp;"*")</f>
        <v>0</v>
      </c>
      <c r="F411" s="793"/>
      <c r="G411" s="99">
        <f t="shared" si="56"/>
        <v>0</v>
      </c>
      <c r="H411" s="756">
        <f t="shared" si="57"/>
        <v>5.62E-3</v>
      </c>
      <c r="I411" s="752">
        <f t="shared" si="58"/>
        <v>0</v>
      </c>
      <c r="J411" s="793"/>
      <c r="K411" s="84">
        <f t="shared" si="53"/>
        <v>0</v>
      </c>
      <c r="L411" s="756">
        <f t="shared" si="54"/>
        <v>5.62E-3</v>
      </c>
      <c r="M411" s="759">
        <f t="shared" si="55"/>
        <v>0</v>
      </c>
      <c r="N411" s="793"/>
      <c r="O411" s="90"/>
      <c r="P411" s="90"/>
      <c r="Q411" s="90"/>
      <c r="R411" s="793"/>
      <c r="S411" s="752"/>
      <c r="T411" s="752"/>
      <c r="U411" s="752"/>
      <c r="V411" s="793"/>
      <c r="W411" s="86"/>
      <c r="X411" s="86"/>
      <c r="Y411" s="86"/>
      <c r="Z411" s="793"/>
      <c r="AA411" s="90"/>
      <c r="AB411" s="86"/>
      <c r="AC411" s="86"/>
      <c r="AD411" s="32"/>
    </row>
    <row r="412" spans="1:30">
      <c r="A412" s="1225">
        <v>407</v>
      </c>
      <c r="B412" s="1026" t="s">
        <v>206</v>
      </c>
      <c r="C412" s="84">
        <f t="shared" si="52"/>
        <v>292290.72681704263</v>
      </c>
      <c r="D412" s="772">
        <v>7.9799999999999992E-3</v>
      </c>
      <c r="E412" s="1418">
        <f>SUMIFS('1501 Summary'!$P$1:$P$600,'1501 Summary'!$C$1:$C$600,"*"&amp;B412&amp;"*",'1501 Summary'!$B$1:$B$600,"*"&amp;$B$401&amp;"*")</f>
        <v>2332.48</v>
      </c>
      <c r="F412" s="793"/>
      <c r="G412" s="99">
        <f t="shared" si="56"/>
        <v>-292290.72681704263</v>
      </c>
      <c r="H412" s="756">
        <f t="shared" si="57"/>
        <v>7.9799999999999992E-3</v>
      </c>
      <c r="I412" s="929">
        <f t="shared" si="58"/>
        <v>-2332.48</v>
      </c>
      <c r="J412" s="793"/>
      <c r="K412" s="84">
        <f t="shared" si="53"/>
        <v>0</v>
      </c>
      <c r="L412" s="756">
        <f t="shared" si="54"/>
        <v>7.9799999999999992E-3</v>
      </c>
      <c r="M412" s="760">
        <f t="shared" si="55"/>
        <v>0</v>
      </c>
      <c r="N412" s="793"/>
      <c r="O412" s="90"/>
      <c r="P412" s="90"/>
      <c r="Q412" s="90"/>
      <c r="R412" s="793"/>
      <c r="S412" s="752"/>
      <c r="T412" s="752"/>
      <c r="U412" s="752"/>
      <c r="V412" s="793"/>
      <c r="W412" s="86"/>
      <c r="X412" s="86"/>
      <c r="Y412" s="86"/>
      <c r="Z412" s="793"/>
      <c r="AA412" s="90"/>
      <c r="AB412" s="86"/>
      <c r="AC412" s="86"/>
      <c r="AD412" s="32"/>
    </row>
    <row r="413" spans="1:30">
      <c r="A413" s="1225">
        <v>408</v>
      </c>
      <c r="B413" s="1" t="s">
        <v>127</v>
      </c>
      <c r="E413" s="1416">
        <f>SUM(E402:E412)</f>
        <v>31181.39</v>
      </c>
      <c r="F413" s="793"/>
      <c r="G413" s="793"/>
      <c r="H413" s="793"/>
      <c r="I413" s="753">
        <f>SUM(I402:I412)</f>
        <v>-31181.39</v>
      </c>
      <c r="J413" s="793"/>
      <c r="K413" s="84"/>
      <c r="L413" s="756"/>
      <c r="M413" s="759">
        <f>SUM(M402:M412)</f>
        <v>0</v>
      </c>
      <c r="N413" s="793"/>
      <c r="O413" s="90"/>
      <c r="P413" s="90"/>
      <c r="Q413" s="90"/>
      <c r="R413" s="793"/>
      <c r="S413" s="752"/>
      <c r="T413" s="752"/>
      <c r="U413" s="752"/>
      <c r="V413" s="793"/>
      <c r="W413" s="86"/>
      <c r="X413" s="86"/>
      <c r="Y413" s="86"/>
      <c r="Z413" s="793"/>
      <c r="AA413" s="90"/>
      <c r="AB413" s="86"/>
      <c r="AC413" s="86"/>
      <c r="AD413" s="32"/>
    </row>
    <row r="414" spans="1:30">
      <c r="A414" s="1225">
        <v>409</v>
      </c>
      <c r="E414" s="1416"/>
      <c r="K414" s="84"/>
      <c r="L414" s="756"/>
      <c r="M414" s="759"/>
      <c r="O414" s="90"/>
      <c r="P414" s="90"/>
      <c r="Q414" s="90"/>
      <c r="S414" s="752"/>
      <c r="T414" s="752"/>
      <c r="U414" s="752"/>
      <c r="AA414" s="90"/>
      <c r="AB414" s="86"/>
      <c r="AD414" s="32"/>
    </row>
    <row r="415" spans="1:30">
      <c r="A415" s="1225">
        <v>410</v>
      </c>
      <c r="B415" s="1" t="s">
        <v>130</v>
      </c>
      <c r="E415" s="1416"/>
      <c r="K415" s="84"/>
      <c r="L415" s="756"/>
      <c r="M415" s="759"/>
      <c r="O415" s="90"/>
      <c r="P415" s="90"/>
      <c r="Q415" s="90"/>
      <c r="S415" s="752"/>
      <c r="T415" s="752"/>
      <c r="U415" s="752"/>
      <c r="AA415" s="90"/>
      <c r="AB415" s="86"/>
      <c r="AD415" s="32"/>
    </row>
    <row r="416" spans="1:30">
      <c r="A416" s="1225">
        <v>411</v>
      </c>
      <c r="B416" s="914" t="s">
        <v>208</v>
      </c>
      <c r="E416" s="1416">
        <f>SUMIFS('1501 Summary'!$P$1:$P$600,'1501 Summary'!$C$1:$C$600,"*"&amp;B416&amp;"*",'1501 Summary'!$B$1:$B$600,"*"&amp;$B$401&amp;"*")</f>
        <v>-855.2</v>
      </c>
      <c r="F416" s="781"/>
      <c r="G416" s="781"/>
      <c r="H416" s="781"/>
      <c r="I416" s="781"/>
      <c r="J416" s="781"/>
      <c r="K416" s="84"/>
      <c r="L416" s="756"/>
      <c r="M416" s="759"/>
      <c r="N416" s="781"/>
      <c r="O416" s="90"/>
      <c r="P416" s="90"/>
      <c r="Q416" s="90"/>
      <c r="R416" s="781"/>
      <c r="S416" s="752"/>
      <c r="T416" s="752"/>
      <c r="U416" s="752"/>
      <c r="V416" s="781"/>
      <c r="Z416" s="781"/>
      <c r="AA416" s="90"/>
      <c r="AB416" s="86"/>
      <c r="AD416" s="32"/>
    </row>
    <row r="417" spans="1:30">
      <c r="A417" s="1225">
        <v>412</v>
      </c>
      <c r="B417" s="914" t="s">
        <v>209</v>
      </c>
      <c r="E417" s="1416">
        <f>SUMIFS('1501 Summary'!$P$1:$P$600,'1501 Summary'!$C$1:$C$600,"*"&amp;B417&amp;"*",'1501 Summary'!$B$1:$B$600,"*"&amp;$B$401&amp;"*")</f>
        <v>-383.26</v>
      </c>
      <c r="F417" s="781"/>
      <c r="G417" s="781"/>
      <c r="H417" s="781"/>
      <c r="I417" s="781"/>
      <c r="J417" s="781"/>
      <c r="K417" s="84"/>
      <c r="L417" s="756"/>
      <c r="M417" s="759"/>
      <c r="N417" s="781"/>
      <c r="O417" s="90"/>
      <c r="P417" s="90"/>
      <c r="Q417" s="90"/>
      <c r="R417" s="781"/>
      <c r="S417" s="752"/>
      <c r="T417" s="752"/>
      <c r="U417" s="752"/>
      <c r="V417" s="781"/>
      <c r="Z417" s="781"/>
      <c r="AA417" s="90"/>
      <c r="AB417" s="86"/>
      <c r="AD417" s="32"/>
    </row>
    <row r="418" spans="1:30">
      <c r="A418" s="1225">
        <v>413</v>
      </c>
      <c r="B418" s="914" t="s">
        <v>139</v>
      </c>
      <c r="E418" s="1416">
        <f>SUMIFS('1501 Summary'!$P$1:$P$600,'1501 Summary'!$C$1:$C$600,"*"&amp;B418&amp;"*",'1501 Summary'!$B$1:$B$600,"*"&amp;$B$401&amp;"*")</f>
        <v>0</v>
      </c>
      <c r="F418" s="781"/>
      <c r="G418" s="781"/>
      <c r="H418" s="781"/>
      <c r="I418" s="781"/>
      <c r="J418" s="781"/>
      <c r="K418" s="84"/>
      <c r="L418" s="756"/>
      <c r="M418" s="759"/>
      <c r="N418" s="781"/>
      <c r="O418" s="90"/>
      <c r="P418" s="90"/>
      <c r="Q418" s="90"/>
      <c r="R418" s="781"/>
      <c r="S418" s="752"/>
      <c r="T418" s="752"/>
      <c r="U418" s="752"/>
      <c r="V418" s="781"/>
      <c r="Z418" s="781"/>
      <c r="AA418" s="90"/>
      <c r="AB418" s="86"/>
      <c r="AD418" s="32"/>
    </row>
    <row r="419" spans="1:30">
      <c r="A419" s="1225">
        <v>414</v>
      </c>
      <c r="B419" s="1" t="s">
        <v>133</v>
      </c>
      <c r="E419" s="1416">
        <f>SUMIFS('1501 Summary'!$P$1:$P$600,'1501 Summary'!$C$1:$C$600,"*"&amp;B419&amp;"*",'1501 Summary'!$B$1:$B$600,"*"&amp;$B$401&amp;"*")</f>
        <v>387.69</v>
      </c>
      <c r="F419" s="781"/>
      <c r="G419" s="781"/>
      <c r="H419" s="781"/>
      <c r="I419" s="781"/>
      <c r="J419" s="781"/>
      <c r="K419" s="84"/>
      <c r="L419" s="756"/>
      <c r="M419" s="759"/>
      <c r="N419" s="781"/>
      <c r="O419" s="90"/>
      <c r="P419" s="90"/>
      <c r="Q419" s="90"/>
      <c r="R419" s="781"/>
      <c r="S419" s="752"/>
      <c r="T419" s="752"/>
      <c r="U419" s="752"/>
      <c r="V419" s="781"/>
      <c r="Z419" s="781"/>
      <c r="AA419" s="90"/>
      <c r="AB419" s="86"/>
      <c r="AD419" s="32"/>
    </row>
    <row r="420" spans="1:30">
      <c r="A420" s="1225">
        <v>415</v>
      </c>
      <c r="B420" s="1" t="s">
        <v>134</v>
      </c>
      <c r="E420" s="1416">
        <f>SUMIFS('1501 Summary'!$P$1:$P$600,'1501 Summary'!$C$1:$C$600,"*"&amp;B420&amp;"*",'1501 Summary'!$B$1:$B$600,"*"&amp;$B$401&amp;"*")</f>
        <v>776.67</v>
      </c>
      <c r="F420" s="781"/>
      <c r="G420" s="781"/>
      <c r="H420" s="781"/>
      <c r="I420" s="781"/>
      <c r="J420" s="781"/>
      <c r="K420" s="84"/>
      <c r="L420" s="756"/>
      <c r="M420" s="759"/>
      <c r="N420" s="781"/>
      <c r="O420" s="90"/>
      <c r="P420" s="90"/>
      <c r="Q420" s="90"/>
      <c r="R420" s="781"/>
      <c r="S420" s="752"/>
      <c r="T420" s="752"/>
      <c r="U420" s="752"/>
      <c r="V420" s="781"/>
      <c r="Z420" s="781"/>
      <c r="AA420" s="90"/>
      <c r="AB420" s="86"/>
      <c r="AD420" s="32"/>
    </row>
    <row r="421" spans="1:30">
      <c r="A421" s="1225">
        <v>416</v>
      </c>
      <c r="B421" s="1" t="s">
        <v>211</v>
      </c>
      <c r="E421" s="1416">
        <f>SUMIFS('1501 Summary'!$P$1:$P$600,'1501 Summary'!$C$1:$C$600,"*"&amp;B421&amp;"*",'1501 Summary'!$B$1:$B$600,"*"&amp;$B$401&amp;"*")</f>
        <v>1360.13</v>
      </c>
      <c r="F421" s="781"/>
      <c r="G421" s="781"/>
      <c r="H421" s="781"/>
      <c r="I421" s="781"/>
      <c r="J421" s="781"/>
      <c r="K421" s="84"/>
      <c r="L421" s="756"/>
      <c r="M421" s="759"/>
      <c r="N421" s="781"/>
      <c r="O421" s="90"/>
      <c r="P421" s="90"/>
      <c r="Q421" s="90"/>
      <c r="R421" s="781"/>
      <c r="S421" s="752"/>
      <c r="T421" s="752"/>
      <c r="U421" s="752"/>
      <c r="V421" s="781"/>
      <c r="Z421" s="781"/>
      <c r="AA421" s="90"/>
      <c r="AB421" s="86"/>
      <c r="AD421" s="32"/>
    </row>
    <row r="422" spans="1:30">
      <c r="A422" s="1225">
        <v>417</v>
      </c>
      <c r="B422" s="1" t="s">
        <v>140</v>
      </c>
      <c r="E422" s="1416">
        <f>SUMIFS('1501 Summary'!$P$1:$P$600,'1501 Summary'!$C$1:$C$600,"*"&amp;B422&amp;"*",'1501 Summary'!$B$1:$B$600,"*"&amp;$B$401&amp;"*")</f>
        <v>2072.4</v>
      </c>
      <c r="F422" s="781"/>
      <c r="G422" s="781"/>
      <c r="H422" s="781"/>
      <c r="I422" s="781"/>
      <c r="J422" s="781"/>
      <c r="K422" s="84"/>
      <c r="L422" s="756"/>
      <c r="M422" s="759"/>
      <c r="N422" s="781"/>
      <c r="O422" s="90"/>
      <c r="P422" s="90"/>
      <c r="Q422" s="90"/>
      <c r="R422" s="781"/>
      <c r="S422" s="752"/>
      <c r="T422" s="752"/>
      <c r="U422" s="752"/>
      <c r="V422" s="781"/>
      <c r="Z422" s="781"/>
      <c r="AA422" s="90"/>
      <c r="AB422" s="86"/>
      <c r="AD422" s="32"/>
    </row>
    <row r="423" spans="1:30">
      <c r="A423" s="1225">
        <v>418</v>
      </c>
      <c r="B423" s="34" t="s">
        <v>175</v>
      </c>
      <c r="E423" s="1420">
        <f>SUMIFS('Rev Recon Summary'!$P$1:$P$500,'Rev Recon Summary'!$C$1:$C$500,"*"&amp;B423&amp;"*",'Rev Recon Summary'!$B$1:$B$500,"*"&amp;$B$401&amp;"*")</f>
        <v>-34152.129999999997</v>
      </c>
      <c r="F423" s="767"/>
      <c r="G423" s="767"/>
      <c r="H423" s="767"/>
      <c r="I423" s="767"/>
      <c r="J423" s="767"/>
      <c r="K423" s="84"/>
      <c r="L423" s="756"/>
      <c r="M423" s="759"/>
      <c r="N423" s="767"/>
      <c r="O423" s="90"/>
      <c r="P423" s="90"/>
      <c r="Q423" s="90"/>
      <c r="R423" s="767"/>
      <c r="S423" s="752"/>
      <c r="T423" s="752"/>
      <c r="U423" s="752"/>
      <c r="V423" s="767"/>
      <c r="Z423" s="767"/>
      <c r="AA423" s="90"/>
      <c r="AB423" s="86"/>
      <c r="AD423" s="32"/>
    </row>
    <row r="424" spans="1:30">
      <c r="A424" s="1225">
        <v>419</v>
      </c>
      <c r="B424" s="794" t="s">
        <v>176</v>
      </c>
      <c r="E424" s="1422">
        <f>SUMIFS('Rev Recon Summary'!$P$1:$P$500,'Rev Recon Summary'!$C$1:$C$500,"*"&amp;B424&amp;"*",'Rev Recon Summary'!$B$1:$B$500,"*"&amp;$B$401&amp;"*")</f>
        <v>52824.459999999992</v>
      </c>
      <c r="F424" s="767"/>
      <c r="G424" s="767"/>
      <c r="H424" s="767"/>
      <c r="I424" s="767"/>
      <c r="J424" s="767"/>
      <c r="K424" s="84"/>
      <c r="L424" s="756"/>
      <c r="M424" s="759"/>
      <c r="N424" s="767"/>
      <c r="O424" s="90"/>
      <c r="P424" s="90"/>
      <c r="Q424" s="90"/>
      <c r="R424" s="767"/>
      <c r="S424" s="752"/>
      <c r="T424" s="752"/>
      <c r="U424" s="752"/>
      <c r="V424" s="767"/>
      <c r="Z424" s="767"/>
      <c r="AA424" s="90"/>
      <c r="AB424" s="86"/>
      <c r="AD424" s="32"/>
    </row>
    <row r="425" spans="1:30">
      <c r="A425" s="1225">
        <v>420</v>
      </c>
      <c r="B425" s="8" t="s">
        <v>152</v>
      </c>
      <c r="E425" s="1416">
        <f>SUM(E416:E424)</f>
        <v>22030.759999999995</v>
      </c>
      <c r="F425" s="781"/>
      <c r="G425" s="781"/>
      <c r="H425" s="781"/>
      <c r="I425" s="781"/>
      <c r="J425" s="781"/>
      <c r="K425" s="84"/>
      <c r="L425" s="756"/>
      <c r="M425" s="759"/>
      <c r="N425" s="781"/>
      <c r="O425" s="90"/>
      <c r="P425" s="90"/>
      <c r="Q425" s="90"/>
      <c r="R425" s="781"/>
      <c r="S425" s="752"/>
      <c r="T425" s="752"/>
      <c r="U425" s="752"/>
      <c r="V425" s="781"/>
      <c r="Z425" s="781"/>
      <c r="AA425" s="90"/>
      <c r="AB425" s="86"/>
      <c r="AD425" s="32"/>
    </row>
    <row r="426" spans="1:30">
      <c r="A426" s="1225">
        <v>421</v>
      </c>
      <c r="E426" s="1416"/>
      <c r="F426" s="781"/>
      <c r="G426" s="781"/>
      <c r="H426" s="781"/>
      <c r="I426" s="781"/>
      <c r="J426" s="781"/>
      <c r="K426" s="84"/>
      <c r="L426" s="756"/>
      <c r="M426" s="759"/>
      <c r="N426" s="781"/>
      <c r="O426" s="90"/>
      <c r="P426" s="90"/>
      <c r="Q426" s="90"/>
      <c r="R426" s="781"/>
      <c r="S426" s="752"/>
      <c r="T426" s="752"/>
      <c r="U426" s="752"/>
      <c r="V426" s="781"/>
      <c r="Z426" s="781"/>
      <c r="AA426" s="90"/>
      <c r="AB426" s="86"/>
      <c r="AD426" s="32"/>
    </row>
    <row r="427" spans="1:30">
      <c r="A427" s="1225">
        <v>422</v>
      </c>
      <c r="B427" s="796" t="s">
        <v>227</v>
      </c>
      <c r="C427" s="764">
        <f>E427-'Rev Recon Summary'!P443</f>
        <v>0</v>
      </c>
      <c r="D427" s="765" t="s">
        <v>149</v>
      </c>
      <c r="E427" s="1418">
        <f>SUM(E413,E425)</f>
        <v>53212.149999999994</v>
      </c>
      <c r="F427" s="780"/>
      <c r="G427" s="780"/>
      <c r="H427" s="780"/>
      <c r="I427" s="780"/>
      <c r="J427" s="780"/>
      <c r="K427" s="631"/>
      <c r="L427" s="766"/>
      <c r="M427" s="760"/>
      <c r="N427" s="780"/>
      <c r="O427" s="633"/>
      <c r="P427" s="633"/>
      <c r="Q427" s="633"/>
      <c r="R427" s="780"/>
      <c r="S427" s="761"/>
      <c r="T427" s="761"/>
      <c r="U427" s="761"/>
      <c r="V427" s="780"/>
      <c r="W427" s="765"/>
      <c r="X427" s="765"/>
      <c r="Y427" s="765"/>
      <c r="Z427" s="780"/>
      <c r="AA427" s="633"/>
      <c r="AB427" s="630"/>
      <c r="AC427" s="765"/>
      <c r="AD427" s="32"/>
    </row>
    <row r="428" spans="1:30">
      <c r="A428" s="1225">
        <v>423</v>
      </c>
      <c r="E428" s="1416"/>
      <c r="F428" s="781"/>
      <c r="G428" s="781"/>
      <c r="H428" s="781"/>
      <c r="I428" s="781"/>
      <c r="J428" s="781"/>
      <c r="K428" s="84"/>
      <c r="L428" s="756"/>
      <c r="M428" s="759"/>
      <c r="N428" s="781"/>
      <c r="O428" s="90"/>
      <c r="P428" s="90"/>
      <c r="Q428" s="90"/>
      <c r="R428" s="781"/>
      <c r="S428" s="752"/>
      <c r="T428" s="752"/>
      <c r="U428" s="752"/>
      <c r="V428" s="781"/>
      <c r="Z428" s="781"/>
      <c r="AA428" s="90"/>
      <c r="AB428" s="86"/>
      <c r="AD428" s="32"/>
    </row>
    <row r="429" spans="1:30">
      <c r="A429" s="1225">
        <v>424</v>
      </c>
      <c r="B429" s="11"/>
      <c r="E429" s="1416"/>
      <c r="K429" s="84"/>
      <c r="L429" s="756"/>
      <c r="M429" s="759"/>
      <c r="O429" s="90"/>
      <c r="P429" s="90"/>
      <c r="Q429" s="90"/>
      <c r="S429" s="752"/>
      <c r="T429" s="752"/>
      <c r="U429" s="752"/>
      <c r="AA429" s="90"/>
      <c r="AB429" s="86"/>
      <c r="AD429" s="32"/>
    </row>
    <row r="430" spans="1:30">
      <c r="A430" s="1225">
        <v>425</v>
      </c>
      <c r="B430" s="8"/>
      <c r="E430" s="1416"/>
      <c r="K430" s="84"/>
      <c r="L430" s="756"/>
      <c r="M430" s="759"/>
      <c r="O430" s="90"/>
      <c r="P430" s="90"/>
      <c r="Q430" s="90"/>
      <c r="S430" s="752"/>
      <c r="T430" s="752"/>
      <c r="U430" s="752"/>
      <c r="AA430" s="90"/>
      <c r="AB430" s="86"/>
      <c r="AD430" s="32"/>
    </row>
    <row r="431" spans="1:30">
      <c r="A431" s="1225">
        <v>426</v>
      </c>
      <c r="B431" s="783" t="s">
        <v>228</v>
      </c>
      <c r="E431" s="1416"/>
      <c r="G431" s="12" t="s">
        <v>224</v>
      </c>
      <c r="K431" s="84"/>
      <c r="L431" s="756"/>
      <c r="M431" s="759"/>
      <c r="O431" s="90"/>
      <c r="P431" s="90"/>
      <c r="Q431" s="90"/>
      <c r="S431" s="752"/>
      <c r="T431" s="752"/>
      <c r="U431" s="752"/>
      <c r="AA431" s="90"/>
      <c r="AB431" s="86"/>
      <c r="AD431" s="32"/>
    </row>
    <row r="432" spans="1:30">
      <c r="A432" s="1225">
        <v>427</v>
      </c>
      <c r="B432" s="1" t="s">
        <v>196</v>
      </c>
      <c r="C432" s="788">
        <f t="shared" ref="C432:C442" si="59">E432/D432</f>
        <v>12</v>
      </c>
      <c r="D432" s="90">
        <v>625</v>
      </c>
      <c r="E432" s="1416">
        <f>SUMIFS('1501 Summary'!$P$1:$P$600,'1501 Summary'!$C$1:$C$600,"*"&amp;B432&amp;"*",'1501 Summary'!$B$1:$B$600,"*"&amp;$B$431&amp;"*")</f>
        <v>7500</v>
      </c>
      <c r="F432" s="787"/>
      <c r="G432" s="99">
        <f>-C432</f>
        <v>-12</v>
      </c>
      <c r="H432" s="752">
        <f>D432</f>
        <v>625</v>
      </c>
      <c r="I432" s="752">
        <f>H432*G432</f>
        <v>-7500</v>
      </c>
      <c r="J432" s="787"/>
      <c r="K432" s="84">
        <f t="shared" ref="K432:K442" si="60">C432+G432</f>
        <v>0</v>
      </c>
      <c r="L432" s="751">
        <f>D432</f>
        <v>625</v>
      </c>
      <c r="M432" s="759">
        <f>L432*K432</f>
        <v>0</v>
      </c>
      <c r="N432" s="787"/>
      <c r="O432" s="90"/>
      <c r="P432" s="90"/>
      <c r="Q432" s="90"/>
      <c r="R432" s="787"/>
      <c r="S432" s="752"/>
      <c r="T432" s="752"/>
      <c r="U432" s="752"/>
      <c r="V432" s="787"/>
      <c r="W432" s="795"/>
      <c r="X432" s="795"/>
      <c r="Y432" s="795"/>
      <c r="Z432" s="787"/>
      <c r="AA432" s="90"/>
      <c r="AB432" s="86"/>
      <c r="AC432" s="795"/>
      <c r="AD432" s="32"/>
    </row>
    <row r="433" spans="1:30">
      <c r="A433" s="1225">
        <v>428</v>
      </c>
      <c r="B433" s="1" t="s">
        <v>197</v>
      </c>
      <c r="C433" s="788">
        <f t="shared" si="59"/>
        <v>0</v>
      </c>
      <c r="D433" s="12">
        <v>0.2</v>
      </c>
      <c r="E433" s="1416">
        <f>SUMIFS('1501 Summary'!$P$1:$P$600,'1501 Summary'!$C$1:$C$600,"*"&amp;B433&amp;"*",'1501 Summary'!$B$1:$B$600,"*"&amp;$B$431&amp;"*")</f>
        <v>0</v>
      </c>
      <c r="F433" s="787"/>
      <c r="G433" s="99">
        <f>-C433</f>
        <v>0</v>
      </c>
      <c r="H433" s="12">
        <v>0.2</v>
      </c>
      <c r="I433" s="752">
        <f>H433*G433</f>
        <v>0</v>
      </c>
      <c r="J433" s="787"/>
      <c r="K433" s="84">
        <f t="shared" si="60"/>
        <v>0</v>
      </c>
      <c r="L433" s="12">
        <v>0.2</v>
      </c>
      <c r="M433" s="759">
        <f>L433*K433</f>
        <v>0</v>
      </c>
      <c r="N433" s="787"/>
      <c r="O433" s="90"/>
      <c r="P433" s="90"/>
      <c r="Q433" s="90"/>
      <c r="R433" s="787"/>
      <c r="S433" s="752"/>
      <c r="T433" s="752"/>
      <c r="U433" s="752"/>
      <c r="V433" s="787"/>
      <c r="W433" s="795"/>
      <c r="X433" s="795"/>
      <c r="Y433" s="795"/>
      <c r="Z433" s="787"/>
      <c r="AA433" s="90"/>
      <c r="AB433" s="86"/>
      <c r="AC433" s="795"/>
      <c r="AD433" s="32"/>
    </row>
    <row r="434" spans="1:30">
      <c r="A434" s="1225">
        <v>429</v>
      </c>
      <c r="B434" s="1" t="s">
        <v>198</v>
      </c>
      <c r="C434" s="788">
        <f t="shared" si="59"/>
        <v>24303600</v>
      </c>
      <c r="D434" s="1030">
        <v>4.0000000000000002E-4</v>
      </c>
      <c r="E434" s="1416">
        <f>SUMIFS('1501 Summary'!$P$1:$P$600,'1501 Summary'!$C$1:$C$600,"*"&amp;B434&amp;"*",'1501 Summary'!$B$1:$B$600,"*"&amp;$B$431&amp;"*")</f>
        <v>9721.44</v>
      </c>
      <c r="F434" s="787"/>
      <c r="G434" s="99">
        <f>-C434</f>
        <v>-24303600</v>
      </c>
      <c r="H434" s="756">
        <f>D434</f>
        <v>4.0000000000000002E-4</v>
      </c>
      <c r="I434" s="752">
        <f>H434*G434</f>
        <v>-9721.44</v>
      </c>
      <c r="J434" s="787"/>
      <c r="K434" s="84">
        <f t="shared" si="60"/>
        <v>0</v>
      </c>
      <c r="L434" s="756">
        <f>D434</f>
        <v>4.0000000000000002E-4</v>
      </c>
      <c r="M434" s="759">
        <f>L434*K434</f>
        <v>0</v>
      </c>
      <c r="N434" s="787"/>
      <c r="O434" s="90"/>
      <c r="P434" s="90"/>
      <c r="Q434" s="90"/>
      <c r="R434" s="787"/>
      <c r="S434" s="752"/>
      <c r="T434" s="752"/>
      <c r="U434" s="752"/>
      <c r="V434" s="787"/>
      <c r="W434" s="795"/>
      <c r="X434" s="795"/>
      <c r="Y434" s="795"/>
      <c r="Z434" s="787"/>
      <c r="AA434" s="90"/>
      <c r="AB434" s="86"/>
      <c r="AC434" s="795"/>
      <c r="AD434" s="32"/>
    </row>
    <row r="435" spans="1:30">
      <c r="A435" s="1225">
        <v>430</v>
      </c>
      <c r="B435" s="1026" t="s">
        <v>199</v>
      </c>
      <c r="C435" s="788">
        <f>E435/D435</f>
        <v>200000</v>
      </c>
      <c r="D435" s="1030">
        <v>5.3310000000000003E-2</v>
      </c>
      <c r="E435" s="1416">
        <f>SUMIFS('1501 Summary'!$P$1:$P$600,'1501 Summary'!$C$1:$C$600,"*"&amp;B435&amp;"*",'1501 Summary'!$B$1:$B$600,"*"&amp;$B$431&amp;"*")</f>
        <v>10662</v>
      </c>
      <c r="F435" s="787"/>
      <c r="G435" s="99">
        <f t="shared" ref="G435:G442" si="61">-C435</f>
        <v>-200000</v>
      </c>
      <c r="H435" s="756">
        <f t="shared" ref="H435:H442" si="62">D435</f>
        <v>5.3310000000000003E-2</v>
      </c>
      <c r="I435" s="752">
        <f t="shared" ref="I435:I442" si="63">H435*G435</f>
        <v>-10662</v>
      </c>
      <c r="J435" s="787"/>
      <c r="K435" s="84">
        <f t="shared" si="60"/>
        <v>0</v>
      </c>
      <c r="L435" s="756">
        <v>2.0598900000000002</v>
      </c>
      <c r="M435" s="759">
        <f t="shared" ref="M435:M441" si="64">L435*K435</f>
        <v>0</v>
      </c>
      <c r="N435" s="787"/>
      <c r="O435" s="90"/>
      <c r="P435" s="90"/>
      <c r="Q435" s="90"/>
      <c r="R435" s="787"/>
      <c r="S435" s="752"/>
      <c r="T435" s="752"/>
      <c r="U435" s="752"/>
      <c r="V435" s="787"/>
      <c r="W435" s="795"/>
      <c r="X435" s="795"/>
      <c r="Y435" s="795"/>
      <c r="Z435" s="787"/>
      <c r="AA435" s="90"/>
      <c r="AB435" s="86"/>
      <c r="AC435" s="795"/>
      <c r="AD435" s="32"/>
    </row>
    <row r="436" spans="1:30">
      <c r="A436" s="1225">
        <v>431</v>
      </c>
      <c r="B436" s="1026" t="s">
        <v>200</v>
      </c>
      <c r="C436" s="788">
        <f>E436/D436</f>
        <v>989013.19084989151</v>
      </c>
      <c r="D436" s="1030">
        <v>5.9889999999999999E-2</v>
      </c>
      <c r="E436" s="1416">
        <f>SUMIFS('1501 Summary'!$P$1:$P$600,'1501 Summary'!$C$1:$C$600,"*"&amp;B436&amp;"*",'1501 Summary'!$B$1:$B$600,"*"&amp;$B$431&amp;"*")</f>
        <v>59232</v>
      </c>
      <c r="F436" s="787"/>
      <c r="G436" s="99">
        <f t="shared" si="61"/>
        <v>-989013.19084989151</v>
      </c>
      <c r="H436" s="756">
        <f t="shared" si="62"/>
        <v>5.9889999999999999E-2</v>
      </c>
      <c r="I436" s="752">
        <f t="shared" si="63"/>
        <v>-59232</v>
      </c>
      <c r="J436" s="787"/>
      <c r="K436" s="84">
        <f t="shared" si="60"/>
        <v>0</v>
      </c>
      <c r="L436" s="756">
        <v>3.0598900000000002</v>
      </c>
      <c r="M436" s="759">
        <f t="shared" si="64"/>
        <v>0</v>
      </c>
      <c r="N436" s="787"/>
      <c r="O436" s="90"/>
      <c r="P436" s="90"/>
      <c r="Q436" s="90"/>
      <c r="R436" s="787"/>
      <c r="S436" s="752"/>
      <c r="T436" s="752"/>
      <c r="U436" s="752"/>
      <c r="V436" s="787"/>
      <c r="W436" s="795"/>
      <c r="X436" s="795"/>
      <c r="Y436" s="795"/>
      <c r="Z436" s="787"/>
      <c r="AA436" s="90"/>
      <c r="AB436" s="86"/>
      <c r="AC436" s="795"/>
      <c r="AD436" s="32"/>
    </row>
    <row r="437" spans="1:30">
      <c r="A437" s="1225">
        <v>432</v>
      </c>
      <c r="B437" s="1026" t="s">
        <v>203</v>
      </c>
      <c r="C437" s="788">
        <f>E437/D437</f>
        <v>400000.00000000006</v>
      </c>
      <c r="D437" s="1030">
        <v>1.9449999999999999E-2</v>
      </c>
      <c r="E437" s="1416">
        <f>SUMIFS('1501 Summary'!$P$1:$P$600,'1501 Summary'!$C$1:$C$600,"*"&amp;B437&amp;"*",'1501 Summary'!$B$1:$B$600,"*"&amp;$B$431&amp;"*")</f>
        <v>7780</v>
      </c>
      <c r="F437" s="787"/>
      <c r="G437" s="99">
        <f t="shared" si="61"/>
        <v>-400000.00000000006</v>
      </c>
      <c r="H437" s="756">
        <f t="shared" si="62"/>
        <v>1.9449999999999999E-2</v>
      </c>
      <c r="I437" s="752">
        <f t="shared" si="63"/>
        <v>-7780.0000000000009</v>
      </c>
      <c r="J437" s="787"/>
      <c r="K437" s="84">
        <f t="shared" si="60"/>
        <v>0</v>
      </c>
      <c r="L437" s="756">
        <v>4.0598900000000002</v>
      </c>
      <c r="M437" s="759">
        <f t="shared" si="64"/>
        <v>0</v>
      </c>
      <c r="N437" s="787"/>
      <c r="O437" s="90"/>
      <c r="P437" s="90"/>
      <c r="Q437" s="90"/>
      <c r="R437" s="787"/>
      <c r="S437" s="752"/>
      <c r="T437" s="752"/>
      <c r="U437" s="752"/>
      <c r="V437" s="787"/>
      <c r="W437" s="795"/>
      <c r="X437" s="795"/>
      <c r="Y437" s="795"/>
      <c r="Z437" s="787"/>
      <c r="AA437" s="90"/>
      <c r="AB437" s="86"/>
      <c r="AC437" s="795"/>
      <c r="AD437" s="32"/>
    </row>
    <row r="438" spans="1:30">
      <c r="A438" s="1225">
        <v>433</v>
      </c>
      <c r="B438" s="1026" t="s">
        <v>204</v>
      </c>
      <c r="C438" s="788">
        <f>E438/D438</f>
        <v>1968910.1172383849</v>
      </c>
      <c r="D438" s="1030">
        <v>2.3029999999999998E-2</v>
      </c>
      <c r="E438" s="1416">
        <f>SUMIFS('1501 Summary'!$P$1:$P$600,'1501 Summary'!$C$1:$C$600,"*"&amp;B438&amp;"*",'1501 Summary'!$B$1:$B$600,"*"&amp;$B$431&amp;"*")</f>
        <v>45344</v>
      </c>
      <c r="F438" s="787"/>
      <c r="G438" s="99">
        <f t="shared" si="61"/>
        <v>-1968910.1172383849</v>
      </c>
      <c r="H438" s="756">
        <f t="shared" si="62"/>
        <v>2.3029999999999998E-2</v>
      </c>
      <c r="I438" s="752">
        <f t="shared" si="63"/>
        <v>-45344</v>
      </c>
      <c r="J438" s="787"/>
      <c r="K438" s="84">
        <f t="shared" si="60"/>
        <v>0</v>
      </c>
      <c r="L438" s="756">
        <v>5.0598900000000002</v>
      </c>
      <c r="M438" s="759">
        <f t="shared" si="64"/>
        <v>0</v>
      </c>
      <c r="N438" s="787"/>
      <c r="O438" s="90"/>
      <c r="P438" s="90"/>
      <c r="Q438" s="90"/>
      <c r="R438" s="787"/>
      <c r="S438" s="752"/>
      <c r="T438" s="752"/>
      <c r="U438" s="752"/>
      <c r="V438" s="787"/>
      <c r="W438" s="795"/>
      <c r="X438" s="795"/>
      <c r="Y438" s="795"/>
      <c r="Z438" s="787"/>
      <c r="AA438" s="90"/>
      <c r="AB438" s="86"/>
      <c r="AC438" s="795"/>
      <c r="AD438" s="32"/>
    </row>
    <row r="439" spans="1:30">
      <c r="A439" s="1225">
        <v>434</v>
      </c>
      <c r="B439" s="1026" t="s">
        <v>201</v>
      </c>
      <c r="C439" s="788">
        <f>E439/D439</f>
        <v>262330.79526226735</v>
      </c>
      <c r="D439" s="1030">
        <v>1.1820000000000001E-2</v>
      </c>
      <c r="E439" s="1416">
        <f>SUMIFS('1501 Summary'!$P$1:$P$600,'1501 Summary'!$C$1:$C$600,"*"&amp;B439&amp;"*",'1501 Summary'!$B$1:$B$600,"*"&amp;$B$431&amp;"*")</f>
        <v>3100.75</v>
      </c>
      <c r="F439" s="787"/>
      <c r="G439" s="99">
        <f t="shared" si="61"/>
        <v>-262330.79526226735</v>
      </c>
      <c r="H439" s="756">
        <f t="shared" si="62"/>
        <v>1.1820000000000001E-2</v>
      </c>
      <c r="I439" s="752">
        <f t="shared" si="63"/>
        <v>-3100.75</v>
      </c>
      <c r="J439" s="787"/>
      <c r="K439" s="84">
        <f t="shared" si="60"/>
        <v>0</v>
      </c>
      <c r="L439" s="756">
        <v>6.0598900000000002</v>
      </c>
      <c r="M439" s="759">
        <f t="shared" si="64"/>
        <v>0</v>
      </c>
      <c r="N439" s="787"/>
      <c r="O439" s="90"/>
      <c r="P439" s="90"/>
      <c r="Q439" s="90"/>
      <c r="R439" s="787"/>
      <c r="S439" s="752"/>
      <c r="T439" s="752"/>
      <c r="U439" s="752"/>
      <c r="V439" s="787"/>
      <c r="W439" s="795"/>
      <c r="X439" s="795"/>
      <c r="Y439" s="795"/>
      <c r="Z439" s="787"/>
      <c r="AA439" s="90"/>
      <c r="AB439" s="86"/>
      <c r="AC439" s="795"/>
      <c r="AD439" s="32"/>
    </row>
    <row r="440" spans="1:30">
      <c r="A440" s="1225">
        <v>435</v>
      </c>
      <c r="B440" s="1026" t="s">
        <v>202</v>
      </c>
      <c r="C440" s="788">
        <f t="shared" si="59"/>
        <v>1908272.9124236254</v>
      </c>
      <c r="D440" s="1030">
        <v>1.473E-2</v>
      </c>
      <c r="E440" s="1416">
        <f>SUMIFS('1501 Summary'!$P$1:$P$600,'1501 Summary'!$C$1:$C$600,"*"&amp;B440&amp;"*",'1501 Summary'!$B$1:$B$600,"*"&amp;$B$431&amp;"*")</f>
        <v>28108.86</v>
      </c>
      <c r="F440" s="787"/>
      <c r="G440" s="99">
        <f t="shared" si="61"/>
        <v>-1908272.9124236254</v>
      </c>
      <c r="H440" s="756">
        <f t="shared" si="62"/>
        <v>1.473E-2</v>
      </c>
      <c r="I440" s="752">
        <f t="shared" si="63"/>
        <v>-28108.86</v>
      </c>
      <c r="J440" s="787"/>
      <c r="K440" s="84">
        <f t="shared" si="60"/>
        <v>0</v>
      </c>
      <c r="L440" s="756">
        <v>7.0598900000000002</v>
      </c>
      <c r="M440" s="759">
        <f t="shared" si="64"/>
        <v>0</v>
      </c>
      <c r="N440" s="787"/>
      <c r="O440" s="90"/>
      <c r="P440" s="90"/>
      <c r="Q440" s="90"/>
      <c r="R440" s="787"/>
      <c r="S440" s="752"/>
      <c r="T440" s="752"/>
      <c r="U440" s="752"/>
      <c r="V440" s="787"/>
      <c r="W440" s="795"/>
      <c r="X440" s="795"/>
      <c r="Y440" s="795"/>
      <c r="Z440" s="787"/>
      <c r="AA440" s="90"/>
      <c r="AB440" s="86"/>
      <c r="AC440" s="795"/>
      <c r="AD440" s="32"/>
    </row>
    <row r="441" spans="1:30">
      <c r="A441" s="1225">
        <v>436</v>
      </c>
      <c r="B441" s="1026" t="s">
        <v>205</v>
      </c>
      <c r="C441" s="788">
        <f t="shared" si="59"/>
        <v>797587.18861209962</v>
      </c>
      <c r="D441" s="1030">
        <v>5.62E-3</v>
      </c>
      <c r="E441" s="1416">
        <f>SUMIFS('1501 Summary'!$P$1:$P$600,'1501 Summary'!$C$1:$C$600,"*"&amp;B441&amp;"*",'1501 Summary'!$B$1:$B$600,"*"&amp;$B$431&amp;"*")</f>
        <v>4482.4399999999996</v>
      </c>
      <c r="F441" s="787"/>
      <c r="G441" s="99">
        <f t="shared" si="61"/>
        <v>-797587.18861209962</v>
      </c>
      <c r="H441" s="756">
        <f t="shared" si="62"/>
        <v>5.62E-3</v>
      </c>
      <c r="I441" s="752">
        <f t="shared" si="63"/>
        <v>-4482.4399999999996</v>
      </c>
      <c r="J441" s="787"/>
      <c r="K441" s="84">
        <f t="shared" si="60"/>
        <v>0</v>
      </c>
      <c r="L441" s="756">
        <v>8.0598899999999993</v>
      </c>
      <c r="M441" s="759">
        <f t="shared" si="64"/>
        <v>0</v>
      </c>
      <c r="N441" s="787"/>
      <c r="O441" s="90"/>
      <c r="P441" s="90"/>
      <c r="Q441" s="90"/>
      <c r="R441" s="787"/>
      <c r="S441" s="752"/>
      <c r="T441" s="752"/>
      <c r="U441" s="752"/>
      <c r="V441" s="787"/>
      <c r="W441" s="795"/>
      <c r="X441" s="795"/>
      <c r="Y441" s="795"/>
      <c r="Z441" s="787"/>
      <c r="AA441" s="90"/>
      <c r="AB441" s="86"/>
      <c r="AC441" s="795"/>
      <c r="AD441" s="32"/>
    </row>
    <row r="442" spans="1:30">
      <c r="A442" s="1225">
        <v>437</v>
      </c>
      <c r="B442" s="1029" t="s">
        <v>206</v>
      </c>
      <c r="C442" s="788">
        <f t="shared" si="59"/>
        <v>17618537.593984962</v>
      </c>
      <c r="D442" s="1030">
        <v>7.9799999999999992E-3</v>
      </c>
      <c r="E442" s="1418">
        <f>SUMIFS('1501 Summary'!$P$1:$P$600,'1501 Summary'!$C$1:$C$600,"*"&amp;B442&amp;"*",'1501 Summary'!$B$1:$B$600,"*"&amp;$B$431&amp;"*")</f>
        <v>140595.93</v>
      </c>
      <c r="F442" s="787"/>
      <c r="G442" s="99">
        <f t="shared" si="61"/>
        <v>-17618537.593984962</v>
      </c>
      <c r="H442" s="756">
        <f t="shared" si="62"/>
        <v>7.9799999999999992E-3</v>
      </c>
      <c r="I442" s="929">
        <f t="shared" si="63"/>
        <v>-140595.93</v>
      </c>
      <c r="J442" s="787"/>
      <c r="K442" s="84">
        <f t="shared" si="60"/>
        <v>0</v>
      </c>
      <c r="L442" s="756">
        <v>7.9799999999999992E-3</v>
      </c>
      <c r="M442" s="760">
        <f>L442*K442</f>
        <v>0</v>
      </c>
      <c r="N442" s="787"/>
      <c r="O442" s="90"/>
      <c r="P442" s="90"/>
      <c r="Q442" s="90"/>
      <c r="R442" s="787"/>
      <c r="S442" s="752"/>
      <c r="T442" s="752"/>
      <c r="U442" s="752"/>
      <c r="V442" s="787"/>
      <c r="W442" s="795"/>
      <c r="X442" s="795"/>
      <c r="Y442" s="795"/>
      <c r="Z442" s="787"/>
      <c r="AA442" s="90"/>
      <c r="AB442" s="86"/>
      <c r="AC442" s="795"/>
      <c r="AD442" s="32"/>
    </row>
    <row r="443" spans="1:30">
      <c r="A443" s="1225">
        <v>438</v>
      </c>
      <c r="B443" s="1" t="s">
        <v>127</v>
      </c>
      <c r="E443" s="1416">
        <f>SUM(E432:E442)</f>
        <v>316527.42</v>
      </c>
      <c r="F443" s="787"/>
      <c r="G443" s="787"/>
      <c r="H443" s="756"/>
      <c r="I443" s="788">
        <f>SUM(I432:I442)</f>
        <v>-316527.42</v>
      </c>
      <c r="J443" s="787"/>
      <c r="K443" s="84"/>
      <c r="L443" s="756"/>
      <c r="M443" s="759">
        <f>SUM(M432:M442)</f>
        <v>0</v>
      </c>
      <c r="N443" s="787"/>
      <c r="O443" s="90"/>
      <c r="P443" s="90"/>
      <c r="Q443" s="90"/>
      <c r="R443" s="787"/>
      <c r="S443" s="752"/>
      <c r="T443" s="752"/>
      <c r="U443" s="752"/>
      <c r="V443" s="787"/>
      <c r="W443" s="795"/>
      <c r="X443" s="795"/>
      <c r="Y443" s="795"/>
      <c r="Z443" s="787"/>
      <c r="AA443" s="90"/>
      <c r="AB443" s="86"/>
      <c r="AC443" s="795"/>
      <c r="AD443" s="32"/>
    </row>
    <row r="444" spans="1:30">
      <c r="A444" s="1225">
        <v>439</v>
      </c>
      <c r="B444" s="8"/>
      <c r="E444" s="1416"/>
      <c r="K444" s="84"/>
      <c r="L444" s="756"/>
      <c r="M444" s="759"/>
      <c r="O444" s="90"/>
      <c r="P444" s="90"/>
      <c r="Q444" s="90"/>
      <c r="S444" s="752"/>
      <c r="T444" s="752"/>
      <c r="U444" s="752"/>
      <c r="AA444" s="90"/>
      <c r="AB444" s="86"/>
      <c r="AD444" s="32"/>
    </row>
    <row r="445" spans="1:30">
      <c r="A445" s="1225">
        <v>440</v>
      </c>
      <c r="B445" s="1" t="s">
        <v>130</v>
      </c>
      <c r="E445" s="1416"/>
      <c r="K445" s="84"/>
      <c r="L445" s="756"/>
      <c r="M445" s="759"/>
      <c r="O445" s="90"/>
      <c r="P445" s="90"/>
      <c r="Q445" s="90"/>
      <c r="S445" s="752"/>
      <c r="T445" s="752"/>
      <c r="U445" s="752"/>
      <c r="W445" s="1"/>
      <c r="X445" s="1"/>
      <c r="Y445" s="1"/>
      <c r="AA445" s="90"/>
      <c r="AB445" s="86"/>
      <c r="AC445" s="1"/>
      <c r="AD445" s="32"/>
    </row>
    <row r="446" spans="1:30">
      <c r="A446" s="1225">
        <v>441</v>
      </c>
      <c r="B446" s="914" t="s">
        <v>208</v>
      </c>
      <c r="E446" s="1416">
        <f>SUMIFS('1501 Summary'!$P$1:$P$600,'1501 Summary'!$C$1:$C$600,"*"&amp;B446&amp;"*",'1501 Summary'!$B$1:$B$600,"*"&amp;$B$431&amp;"*")</f>
        <v>-17182.27</v>
      </c>
      <c r="F446" s="781"/>
      <c r="G446" s="781"/>
      <c r="H446" s="781"/>
      <c r="I446" s="781"/>
      <c r="J446" s="781"/>
      <c r="K446" s="84"/>
      <c r="L446" s="756"/>
      <c r="M446" s="759"/>
      <c r="N446" s="781"/>
      <c r="O446" s="90"/>
      <c r="P446" s="90"/>
      <c r="Q446" s="90"/>
      <c r="R446" s="781"/>
      <c r="S446" s="752"/>
      <c r="T446" s="752"/>
      <c r="U446" s="752"/>
      <c r="V446" s="781"/>
      <c r="W446" s="914"/>
      <c r="X446" s="914"/>
      <c r="Y446" s="914"/>
      <c r="Z446" s="781"/>
      <c r="AA446" s="90"/>
      <c r="AB446" s="86"/>
      <c r="AC446" s="914"/>
      <c r="AD446" s="32"/>
    </row>
    <row r="447" spans="1:30">
      <c r="A447" s="1225">
        <v>442</v>
      </c>
      <c r="B447" s="914" t="s">
        <v>209</v>
      </c>
      <c r="E447" s="1416">
        <f>SUMIFS('1501 Summary'!$P$1:$P$600,'1501 Summary'!$C$1:$C$600,"*"&amp;B447&amp;"*",'1501 Summary'!$B$1:$B$600,"*"&amp;$B$431&amp;"*")</f>
        <v>-6397.3099999999995</v>
      </c>
      <c r="F447" s="781"/>
      <c r="G447" s="781"/>
      <c r="H447" s="781"/>
      <c r="I447" s="781"/>
      <c r="J447" s="781"/>
      <c r="K447" s="84"/>
      <c r="L447" s="756"/>
      <c r="M447" s="759"/>
      <c r="N447" s="781"/>
      <c r="O447" s="90"/>
      <c r="P447" s="90"/>
      <c r="Q447" s="90"/>
      <c r="R447" s="781"/>
      <c r="S447" s="752"/>
      <c r="T447" s="752"/>
      <c r="U447" s="752"/>
      <c r="V447" s="781"/>
      <c r="W447" s="914"/>
      <c r="X447" s="914"/>
      <c r="Y447" s="914"/>
      <c r="Z447" s="781"/>
      <c r="AA447" s="90"/>
      <c r="AB447" s="86"/>
      <c r="AC447" s="914"/>
      <c r="AD447" s="32"/>
    </row>
    <row r="448" spans="1:30">
      <c r="A448" s="1225">
        <v>443</v>
      </c>
      <c r="B448" s="914" t="s">
        <v>139</v>
      </c>
      <c r="E448" s="1416">
        <f>SUMIFS('1501 Summary'!$P$1:$P$600,'1501 Summary'!$C$1:$C$600,"*"&amp;B448&amp;"*",'1501 Summary'!$B$1:$B$600,"*"&amp;$B$431&amp;"*")</f>
        <v>0</v>
      </c>
      <c r="F448" s="781"/>
      <c r="G448" s="781"/>
      <c r="H448" s="781"/>
      <c r="I448" s="781"/>
      <c r="J448" s="781"/>
      <c r="K448" s="84"/>
      <c r="L448" s="756"/>
      <c r="M448" s="759"/>
      <c r="N448" s="781"/>
      <c r="O448" s="90"/>
      <c r="P448" s="90"/>
      <c r="Q448" s="90"/>
      <c r="R448" s="781"/>
      <c r="S448" s="752"/>
      <c r="T448" s="752"/>
      <c r="U448" s="752"/>
      <c r="V448" s="781"/>
      <c r="W448" s="914"/>
      <c r="X448" s="914"/>
      <c r="Y448" s="914"/>
      <c r="Z448" s="781"/>
      <c r="AA448" s="90"/>
      <c r="AB448" s="86"/>
      <c r="AC448" s="914"/>
      <c r="AD448" s="32"/>
    </row>
    <row r="449" spans="1:30">
      <c r="A449" s="1225">
        <v>444</v>
      </c>
      <c r="B449" s="18" t="s">
        <v>133</v>
      </c>
      <c r="C449" s="8"/>
      <c r="E449" s="1416">
        <f>SUMIFS('1501 Summary'!$P$1:$P$600,'1501 Summary'!$C$1:$C$600,"*"&amp;B449&amp;"*",'1501 Summary'!$B$1:$B$600,"*"&amp;$B$431&amp;"*")</f>
        <v>7291.08</v>
      </c>
      <c r="F449" s="781"/>
      <c r="G449" s="781"/>
      <c r="H449" s="781"/>
      <c r="I449" s="781"/>
      <c r="J449" s="781"/>
      <c r="K449" s="84"/>
      <c r="L449" s="756"/>
      <c r="M449" s="759"/>
      <c r="N449" s="781"/>
      <c r="O449" s="90"/>
      <c r="P449" s="90"/>
      <c r="Q449" s="90"/>
      <c r="R449" s="781"/>
      <c r="S449" s="752"/>
      <c r="T449" s="752"/>
      <c r="U449" s="752"/>
      <c r="V449" s="781"/>
      <c r="W449" s="1"/>
      <c r="X449" s="1"/>
      <c r="Y449" s="1"/>
      <c r="Z449" s="781"/>
      <c r="AA449" s="90"/>
      <c r="AB449" s="86"/>
      <c r="AC449" s="1"/>
      <c r="AD449" s="32"/>
    </row>
    <row r="450" spans="1:30">
      <c r="A450" s="1225">
        <v>445</v>
      </c>
      <c r="B450" s="18" t="s">
        <v>134</v>
      </c>
      <c r="C450" s="8"/>
      <c r="E450" s="1416">
        <f>SUMIFS('1501 Summary'!$P$1:$P$600,'1501 Summary'!$C$1:$C$600,"*"&amp;B450&amp;"*",'1501 Summary'!$B$1:$B$600,"*"&amp;$B$431&amp;"*")</f>
        <v>13068.259999999998</v>
      </c>
      <c r="F450" s="781"/>
      <c r="G450" s="781"/>
      <c r="H450" s="781"/>
      <c r="I450" s="781"/>
      <c r="J450" s="781"/>
      <c r="K450" s="84"/>
      <c r="L450" s="756"/>
      <c r="M450" s="759"/>
      <c r="N450" s="781"/>
      <c r="O450" s="90"/>
      <c r="P450" s="90"/>
      <c r="Q450" s="90"/>
      <c r="R450" s="781"/>
      <c r="S450" s="752"/>
      <c r="T450" s="752"/>
      <c r="U450" s="752"/>
      <c r="V450" s="781"/>
      <c r="W450" s="1"/>
      <c r="X450" s="1"/>
      <c r="Y450" s="1"/>
      <c r="Z450" s="781"/>
      <c r="AA450" s="90"/>
      <c r="AB450" s="86"/>
      <c r="AC450" s="1"/>
      <c r="AD450" s="32"/>
    </row>
    <row r="451" spans="1:30">
      <c r="A451" s="1225">
        <v>446</v>
      </c>
      <c r="B451" s="18" t="s">
        <v>229</v>
      </c>
      <c r="C451" s="8"/>
      <c r="E451" s="1416">
        <f>SUMIFS('1501 Summary'!$P$1:$P$600,'1501 Summary'!$C$1:$C$600,"*"&amp;B451&amp;"*",'1501 Summary'!$B$1:$B$600,"*"&amp;$B$431&amp;"*")</f>
        <v>-197030.81000000003</v>
      </c>
      <c r="F451" s="781"/>
      <c r="G451" s="781"/>
      <c r="H451" s="781"/>
      <c r="I451" s="781"/>
      <c r="J451" s="781"/>
      <c r="K451" s="84"/>
      <c r="L451" s="756"/>
      <c r="M451" s="759"/>
      <c r="N451" s="781"/>
      <c r="O451" s="90"/>
      <c r="P451" s="90"/>
      <c r="Q451" s="90"/>
      <c r="R451" s="781"/>
      <c r="S451" s="752"/>
      <c r="T451" s="752"/>
      <c r="U451" s="752"/>
      <c r="V451" s="781"/>
      <c r="W451" s="1"/>
      <c r="X451" s="1"/>
      <c r="Y451" s="1"/>
      <c r="Z451" s="781"/>
      <c r="AA451" s="90"/>
      <c r="AB451" s="86"/>
      <c r="AC451" s="1"/>
      <c r="AD451" s="32"/>
    </row>
    <row r="452" spans="1:30">
      <c r="A452" s="1225">
        <v>447</v>
      </c>
      <c r="B452" s="18" t="s">
        <v>230</v>
      </c>
      <c r="C452" s="8"/>
      <c r="E452" s="1416">
        <f>SUMIFS('1501 Summary'!$P$1:$P$600,'1501 Summary'!$C$1:$C$600,"*"&amp;B452&amp;"*",'1501 Summary'!$B$1:$B$600,"*"&amp;$B$431&amp;"*")</f>
        <v>1445820</v>
      </c>
      <c r="F452" s="781"/>
      <c r="G452" s="781"/>
      <c r="H452" s="781"/>
      <c r="I452" s="781"/>
      <c r="J452" s="781"/>
      <c r="K452" s="84"/>
      <c r="L452" s="756"/>
      <c r="M452" s="759"/>
      <c r="N452" s="781"/>
      <c r="O452" s="90"/>
      <c r="P452" s="90"/>
      <c r="Q452" s="90"/>
      <c r="R452" s="781"/>
      <c r="S452" s="752"/>
      <c r="T452" s="752"/>
      <c r="U452" s="752"/>
      <c r="V452" s="781"/>
      <c r="W452" s="1"/>
      <c r="X452" s="1"/>
      <c r="Y452" s="1"/>
      <c r="Z452" s="781"/>
      <c r="AA452" s="90"/>
      <c r="AB452" s="86"/>
      <c r="AC452" s="1"/>
      <c r="AD452" s="32"/>
    </row>
    <row r="453" spans="1:30">
      <c r="A453" s="1225">
        <v>448</v>
      </c>
      <c r="B453" s="18" t="s">
        <v>231</v>
      </c>
      <c r="C453" s="8"/>
      <c r="E453" s="1416">
        <f>SUMIFS('1501 Summary'!$P$1:$P$600,'1501 Summary'!$C$1:$C$600,"*"&amp;B453&amp;"*",'1501 Summary'!$B$1:$B$600,"*"&amp;$B$431&amp;"*")</f>
        <v>-20404.500000000011</v>
      </c>
      <c r="F453" s="781"/>
      <c r="G453" s="781"/>
      <c r="H453" s="781"/>
      <c r="I453" s="781"/>
      <c r="J453" s="781"/>
      <c r="K453" s="84"/>
      <c r="L453" s="756"/>
      <c r="M453" s="759"/>
      <c r="N453" s="781"/>
      <c r="O453" s="90"/>
      <c r="P453" s="90"/>
      <c r="Q453" s="90"/>
      <c r="R453" s="781"/>
      <c r="S453" s="752"/>
      <c r="T453" s="752"/>
      <c r="U453" s="752"/>
      <c r="V453" s="781"/>
      <c r="W453" s="1"/>
      <c r="X453" s="1"/>
      <c r="Y453" s="1"/>
      <c r="Z453" s="781"/>
      <c r="AA453" s="90"/>
      <c r="AB453" s="86"/>
      <c r="AC453" s="1"/>
      <c r="AD453" s="32"/>
    </row>
    <row r="454" spans="1:30">
      <c r="A454" s="1225">
        <v>449</v>
      </c>
      <c r="B454" s="18" t="s">
        <v>211</v>
      </c>
      <c r="C454" s="8"/>
      <c r="E454" s="1416">
        <f>SUMIFS('1501 Summary'!$P$1:$P$600,'1501 Summary'!$C$1:$C$600,"*"&amp;B454&amp;"*",'1501 Summary'!$B$1:$B$600,"*"&amp;$B$431&amp;"*")</f>
        <v>67636.62</v>
      </c>
      <c r="F454" s="781"/>
      <c r="G454" s="781"/>
      <c r="H454" s="781"/>
      <c r="I454" s="781"/>
      <c r="J454" s="781"/>
      <c r="K454" s="84"/>
      <c r="L454" s="756"/>
      <c r="M454" s="759"/>
      <c r="N454" s="781"/>
      <c r="O454" s="90"/>
      <c r="P454" s="90"/>
      <c r="Q454" s="90"/>
      <c r="R454" s="781"/>
      <c r="S454" s="752"/>
      <c r="T454" s="752"/>
      <c r="U454" s="752"/>
      <c r="V454" s="781"/>
      <c r="W454" s="1"/>
      <c r="X454" s="1"/>
      <c r="Y454" s="1"/>
      <c r="Z454" s="781"/>
      <c r="AA454" s="90"/>
      <c r="AB454" s="86"/>
      <c r="AC454" s="1"/>
      <c r="AD454" s="32"/>
    </row>
    <row r="455" spans="1:30">
      <c r="A455" s="1225">
        <v>450</v>
      </c>
      <c r="B455" s="34" t="s">
        <v>175</v>
      </c>
      <c r="C455" s="8"/>
      <c r="E455" s="1420">
        <f>SUMIFS('Rev Recon Summary'!$P$1:$P$500,'Rev Recon Summary'!$C$1:$C$500,"*"&amp;B455&amp;"*",'Rev Recon Summary'!$B$1:$B$500,"*"&amp;$B$431&amp;"*")</f>
        <v>-1630561.35</v>
      </c>
      <c r="F455" s="767"/>
      <c r="G455" s="767"/>
      <c r="H455" s="767"/>
      <c r="I455" s="767"/>
      <c r="J455" s="767"/>
      <c r="K455" s="84"/>
      <c r="L455" s="756"/>
      <c r="M455" s="759"/>
      <c r="N455" s="767"/>
      <c r="O455" s="90"/>
      <c r="P455" s="90"/>
      <c r="Q455" s="90"/>
      <c r="R455" s="767"/>
      <c r="S455" s="752"/>
      <c r="T455" s="752"/>
      <c r="U455" s="752"/>
      <c r="V455" s="767"/>
      <c r="W455" s="1"/>
      <c r="X455" s="1"/>
      <c r="Y455" s="1"/>
      <c r="Z455" s="767"/>
      <c r="AA455" s="90"/>
      <c r="AB455" s="86"/>
      <c r="AC455" s="1"/>
      <c r="AD455" s="32"/>
    </row>
    <row r="456" spans="1:30">
      <c r="A456" s="1225">
        <v>451</v>
      </c>
      <c r="B456" s="34" t="s">
        <v>176</v>
      </c>
      <c r="C456" s="8"/>
      <c r="E456" s="1422">
        <f>SUMIFS('Rev Recon Summary'!$P$1:$P$500,'Rev Recon Summary'!$C$1:$C$500,"*"&amp;B456&amp;"*",'Rev Recon Summary'!$B$1:$B$500,"*"&amp;$B$431&amp;"*")</f>
        <v>1634079.82</v>
      </c>
      <c r="F456" s="767"/>
      <c r="G456" s="767"/>
      <c r="H456" s="767"/>
      <c r="I456" s="767"/>
      <c r="J456" s="767"/>
      <c r="K456" s="84"/>
      <c r="L456" s="756"/>
      <c r="M456" s="759"/>
      <c r="N456" s="767"/>
      <c r="O456" s="90"/>
      <c r="P456" s="90"/>
      <c r="Q456" s="90"/>
      <c r="R456" s="767"/>
      <c r="S456" s="752"/>
      <c r="T456" s="752"/>
      <c r="U456" s="752"/>
      <c r="V456" s="767"/>
      <c r="W456" s="1"/>
      <c r="X456" s="1"/>
      <c r="Y456" s="1"/>
      <c r="Z456" s="767"/>
      <c r="AA456" s="90"/>
      <c r="AB456" s="86"/>
      <c r="AC456" s="1"/>
      <c r="AD456" s="32"/>
    </row>
    <row r="457" spans="1:30">
      <c r="A457" s="1225">
        <v>452</v>
      </c>
      <c r="B457" s="8" t="s">
        <v>152</v>
      </c>
      <c r="C457" s="1"/>
      <c r="E457" s="1416">
        <f>SUM(E446:E456)</f>
        <v>1296319.5399999998</v>
      </c>
      <c r="F457" s="781"/>
      <c r="G457" s="781"/>
      <c r="H457" s="781"/>
      <c r="I457" s="781"/>
      <c r="J457" s="781"/>
      <c r="K457" s="84"/>
      <c r="L457" s="756"/>
      <c r="M457" s="759"/>
      <c r="N457" s="781"/>
      <c r="O457" s="90"/>
      <c r="P457" s="90"/>
      <c r="Q457" s="90"/>
      <c r="R457" s="781"/>
      <c r="S457" s="752"/>
      <c r="T457" s="752"/>
      <c r="U457" s="752"/>
      <c r="V457" s="781"/>
      <c r="W457" s="1"/>
      <c r="X457" s="1"/>
      <c r="Y457" s="1"/>
      <c r="Z457" s="781"/>
      <c r="AA457" s="90"/>
      <c r="AB457" s="86"/>
      <c r="AC457" s="1"/>
      <c r="AD457" s="32"/>
    </row>
    <row r="458" spans="1:30">
      <c r="A458" s="1225">
        <v>453</v>
      </c>
      <c r="B458" s="8"/>
      <c r="C458" s="1"/>
      <c r="E458" s="1416"/>
      <c r="F458" s="781"/>
      <c r="G458" s="781"/>
      <c r="H458" s="781"/>
      <c r="I458" s="781"/>
      <c r="J458" s="781"/>
      <c r="K458" s="84"/>
      <c r="L458" s="756"/>
      <c r="M458" s="759"/>
      <c r="N458" s="781"/>
      <c r="O458" s="782"/>
      <c r="P458" s="782"/>
      <c r="Q458" s="782"/>
      <c r="R458" s="781"/>
      <c r="S458" s="752"/>
      <c r="T458" s="752"/>
      <c r="U458" s="752"/>
      <c r="V458" s="781"/>
      <c r="W458" s="1"/>
      <c r="X458" s="1"/>
      <c r="Y458" s="1"/>
      <c r="Z458" s="781"/>
      <c r="AA458" s="782"/>
      <c r="AB458" s="776"/>
      <c r="AC458" s="1"/>
      <c r="AD458" s="32"/>
    </row>
    <row r="459" spans="1:30">
      <c r="A459" s="1225">
        <v>454</v>
      </c>
      <c r="B459" s="639" t="s">
        <v>232</v>
      </c>
      <c r="C459" s="764">
        <f>E459-'Rev Recon Summary'!P322</f>
        <v>0</v>
      </c>
      <c r="D459" s="765" t="s">
        <v>149</v>
      </c>
      <c r="E459" s="1418">
        <f>SUM(E443,E457)</f>
        <v>1612846.9599999997</v>
      </c>
      <c r="F459" s="797"/>
      <c r="G459" s="797"/>
      <c r="H459" s="797"/>
      <c r="I459" s="797"/>
      <c r="J459" s="797"/>
      <c r="K459" s="631"/>
      <c r="L459" s="766"/>
      <c r="M459" s="760"/>
      <c r="N459" s="797"/>
      <c r="O459" s="633"/>
      <c r="P459" s="633"/>
      <c r="Q459" s="633"/>
      <c r="R459" s="797"/>
      <c r="S459" s="761"/>
      <c r="T459" s="761"/>
      <c r="U459" s="761"/>
      <c r="V459" s="797"/>
      <c r="W459" s="785"/>
      <c r="X459" s="785"/>
      <c r="Y459" s="785"/>
      <c r="Z459" s="797"/>
      <c r="AA459" s="633"/>
      <c r="AB459" s="630"/>
      <c r="AC459" s="785"/>
      <c r="AD459" s="32"/>
    </row>
    <row r="460" spans="1:30">
      <c r="A460" s="1225">
        <v>455</v>
      </c>
      <c r="E460" s="1416"/>
      <c r="K460" s="84"/>
      <c r="L460" s="756"/>
      <c r="M460" s="759"/>
      <c r="O460" s="90"/>
      <c r="P460" s="90"/>
      <c r="Q460" s="90"/>
      <c r="S460" s="752"/>
      <c r="T460" s="752"/>
      <c r="U460" s="752"/>
      <c r="W460" s="1"/>
      <c r="X460" s="1"/>
      <c r="Y460" s="1"/>
      <c r="AA460" s="90"/>
      <c r="AB460" s="86"/>
      <c r="AC460" s="1"/>
      <c r="AD460" s="32"/>
    </row>
    <row r="461" spans="1:30">
      <c r="A461" s="1225">
        <v>456</v>
      </c>
      <c r="B461" s="783" t="s">
        <v>233</v>
      </c>
      <c r="E461" s="1416"/>
      <c r="K461" s="84"/>
      <c r="L461" s="756"/>
      <c r="M461" s="759"/>
      <c r="O461" s="90"/>
      <c r="P461" s="90"/>
      <c r="Q461" s="90"/>
      <c r="S461" s="752"/>
      <c r="T461" s="752"/>
      <c r="U461" s="752"/>
      <c r="AA461" s="90"/>
      <c r="AB461" s="86"/>
      <c r="AD461" s="32"/>
    </row>
    <row r="462" spans="1:30">
      <c r="A462" s="1225">
        <v>457</v>
      </c>
      <c r="B462" s="1" t="s">
        <v>196</v>
      </c>
      <c r="C462" s="758">
        <f>E462/D462</f>
        <v>12</v>
      </c>
      <c r="D462" s="90">
        <v>625</v>
      </c>
      <c r="E462" s="1416">
        <f>SUMIFS('1501 Summary'!$P$1:$P$600,'1501 Summary'!$C$1:$C$600,"*"&amp;B462&amp;"*",'1501 Summary'!$B$1:$B$600,"*"&amp;$B$461&amp;"*")</f>
        <v>7500</v>
      </c>
      <c r="F462" s="787"/>
      <c r="G462" s="787"/>
      <c r="H462" s="787"/>
      <c r="I462" s="787"/>
      <c r="J462" s="787"/>
      <c r="K462" s="84">
        <f>C462+G462</f>
        <v>12</v>
      </c>
      <c r="L462" s="751">
        <f>D462</f>
        <v>625</v>
      </c>
      <c r="M462" s="759">
        <f>L462*K462</f>
        <v>7500</v>
      </c>
      <c r="N462" s="787"/>
      <c r="O462" s="90"/>
      <c r="P462" s="90"/>
      <c r="Q462" s="90"/>
      <c r="R462" s="787"/>
      <c r="S462" s="753"/>
      <c r="T462" s="781"/>
      <c r="U462" s="752"/>
      <c r="V462" s="787"/>
      <c r="W462" s="86"/>
      <c r="X462" s="86"/>
      <c r="Y462" s="86"/>
      <c r="Z462" s="787"/>
      <c r="AA462" s="90"/>
      <c r="AB462" s="86"/>
      <c r="AC462" s="86"/>
      <c r="AD462" s="32"/>
    </row>
    <row r="463" spans="1:30">
      <c r="A463" s="1225">
        <v>458</v>
      </c>
      <c r="B463" s="1" t="s">
        <v>197</v>
      </c>
      <c r="C463" s="758">
        <f>E463/D463</f>
        <v>12.126056020120814</v>
      </c>
      <c r="D463" s="915">
        <v>20468.36</v>
      </c>
      <c r="E463" s="1416">
        <f>SUMIFS('1501 Summary'!$P$1:$P$600,'1501 Summary'!$C$1:$C$600,"*"&amp;B463&amp;"*",'1501 Summary'!$B$1:$B$600,"*"&amp;$B$461&amp;"*")</f>
        <v>248200.48000000007</v>
      </c>
      <c r="F463" s="787"/>
      <c r="G463" s="787"/>
      <c r="H463" s="787"/>
      <c r="I463" s="787"/>
      <c r="J463" s="787"/>
      <c r="K463" s="84">
        <f>C463+G463</f>
        <v>12.126056020120814</v>
      </c>
      <c r="L463" s="751">
        <f>D463</f>
        <v>20468.36</v>
      </c>
      <c r="M463" s="759">
        <f>L463*K463</f>
        <v>248200.48000000007</v>
      </c>
      <c r="N463" s="787"/>
      <c r="O463" s="90"/>
      <c r="P463" s="90"/>
      <c r="Q463" s="90"/>
      <c r="R463" s="787"/>
      <c r="S463" s="753"/>
      <c r="T463" s="781"/>
      <c r="U463" s="752"/>
      <c r="V463" s="787"/>
      <c r="W463" s="86"/>
      <c r="X463" s="86"/>
      <c r="Y463" s="86"/>
      <c r="Z463" s="787"/>
      <c r="AA463" s="90"/>
      <c r="AB463" s="86"/>
      <c r="AC463" s="86"/>
      <c r="AD463" s="32"/>
    </row>
    <row r="464" spans="1:30">
      <c r="A464" s="1225">
        <v>459</v>
      </c>
      <c r="B464" s="1" t="s">
        <v>198</v>
      </c>
      <c r="C464" s="758">
        <f>E464/D464</f>
        <v>81314450</v>
      </c>
      <c r="D464" s="97">
        <v>4.0000000000000002E-4</v>
      </c>
      <c r="E464" s="1416">
        <f>SUMIFS('1501 Summary'!$P$1:$P$600,'1501 Summary'!$C$1:$C$600,"*"&amp;B464&amp;"*",'1501 Summary'!$B$1:$B$600,"*"&amp;$B$461&amp;"*")</f>
        <v>32525.78</v>
      </c>
      <c r="F464" s="787"/>
      <c r="G464" s="787"/>
      <c r="H464" s="787"/>
      <c r="I464" s="787"/>
      <c r="J464" s="787"/>
      <c r="K464" s="84">
        <f>C464+G464</f>
        <v>81314450</v>
      </c>
      <c r="L464" s="97">
        <f>D464</f>
        <v>4.0000000000000002E-4</v>
      </c>
      <c r="M464" s="759">
        <f>L464*K464</f>
        <v>32525.780000000002</v>
      </c>
      <c r="N464" s="787"/>
      <c r="O464" s="90"/>
      <c r="P464" s="90"/>
      <c r="Q464" s="90"/>
      <c r="R464" s="787"/>
      <c r="S464" s="752"/>
      <c r="T464" s="781"/>
      <c r="U464" s="752"/>
      <c r="V464" s="787"/>
      <c r="W464" s="86"/>
      <c r="X464" s="86"/>
      <c r="Y464" s="86"/>
      <c r="Z464" s="787"/>
      <c r="AA464" s="90"/>
      <c r="AB464" s="86"/>
      <c r="AC464" s="86"/>
      <c r="AD464" s="32"/>
    </row>
    <row r="465" spans="1:30">
      <c r="A465" s="1225">
        <v>460</v>
      </c>
      <c r="B465" s="1" t="s">
        <v>215</v>
      </c>
      <c r="C465" s="758">
        <f>E465/D465</f>
        <v>81356178.018759638</v>
      </c>
      <c r="D465" s="88">
        <v>1.51602E-2</v>
      </c>
      <c r="E465" s="1418">
        <f>SUMIFS('1501 Summary'!$P$1:$P$600,'1501 Summary'!$C$1:$C$600,"*"&amp;B465&amp;"*",'1501 Summary'!$B$1:$B$600,"*"&amp;$B$461&amp;"*")</f>
        <v>1233375.93</v>
      </c>
      <c r="K465" s="84">
        <f>C465+G465</f>
        <v>81356178.018759638</v>
      </c>
      <c r="L465" s="88">
        <f>D465</f>
        <v>1.51602E-2</v>
      </c>
      <c r="M465" s="760">
        <f>L465*K465</f>
        <v>1233375.93</v>
      </c>
      <c r="O465" s="90"/>
      <c r="P465" s="90"/>
      <c r="Q465" s="90"/>
      <c r="S465" s="752"/>
      <c r="T465" s="781"/>
      <c r="U465" s="752"/>
      <c r="W465" s="86"/>
      <c r="X465" s="86"/>
      <c r="Y465" s="86"/>
      <c r="AA465" s="90"/>
      <c r="AB465" s="86"/>
      <c r="AC465" s="86"/>
      <c r="AD465" s="32"/>
    </row>
    <row r="466" spans="1:30">
      <c r="A466" s="1225">
        <v>461</v>
      </c>
      <c r="B466" s="1" t="s">
        <v>127</v>
      </c>
      <c r="E466" s="84">
        <f>SUM(E462:E465)</f>
        <v>1521602.19</v>
      </c>
      <c r="F466" s="787"/>
      <c r="G466" s="787"/>
      <c r="H466" s="787"/>
      <c r="I466" s="787"/>
      <c r="J466" s="787"/>
      <c r="K466" s="84"/>
      <c r="L466" s="756"/>
      <c r="M466" s="759">
        <f>SUM(M462:M465)</f>
        <v>1521602.19</v>
      </c>
      <c r="N466" s="787"/>
      <c r="O466" s="90"/>
      <c r="P466" s="90"/>
      <c r="Q466" s="90"/>
      <c r="R466" s="787"/>
      <c r="S466" s="752"/>
      <c r="T466" s="752"/>
      <c r="U466" s="752"/>
      <c r="V466" s="787"/>
      <c r="W466" s="86"/>
      <c r="X466" s="86"/>
      <c r="Y466" s="86"/>
      <c r="Z466" s="787"/>
      <c r="AA466" s="90"/>
      <c r="AB466" s="86"/>
      <c r="AC466" s="86"/>
      <c r="AD466" s="32"/>
    </row>
    <row r="467" spans="1:30">
      <c r="A467" s="1225">
        <v>462</v>
      </c>
      <c r="E467" s="1416"/>
      <c r="F467" s="787"/>
      <c r="G467" s="787"/>
      <c r="H467" s="787"/>
      <c r="I467" s="787"/>
      <c r="J467" s="787"/>
      <c r="K467" s="84"/>
      <c r="L467" s="756"/>
      <c r="M467" s="759"/>
      <c r="N467" s="787"/>
      <c r="O467" s="90"/>
      <c r="P467" s="90"/>
      <c r="Q467" s="90"/>
      <c r="R467" s="787"/>
      <c r="S467" s="752"/>
      <c r="T467" s="752"/>
      <c r="U467" s="752"/>
      <c r="V467" s="787"/>
      <c r="Z467" s="787"/>
      <c r="AA467" s="90"/>
      <c r="AB467" s="86"/>
      <c r="AD467" s="32"/>
    </row>
    <row r="468" spans="1:30">
      <c r="A468" s="1225">
        <v>463</v>
      </c>
      <c r="B468" s="1" t="s">
        <v>130</v>
      </c>
      <c r="E468" s="1416"/>
      <c r="K468" s="84"/>
      <c r="L468" s="756"/>
      <c r="M468" s="759"/>
      <c r="O468" s="90"/>
      <c r="P468" s="90"/>
      <c r="Q468" s="90"/>
      <c r="S468" s="752"/>
      <c r="T468" s="752"/>
      <c r="U468" s="752"/>
      <c r="AA468" s="90"/>
      <c r="AB468" s="86"/>
      <c r="AD468" s="32"/>
    </row>
    <row r="469" spans="1:30">
      <c r="A469" s="1225">
        <v>464</v>
      </c>
      <c r="B469" s="1" t="s">
        <v>211</v>
      </c>
      <c r="E469" s="1416">
        <f>SUMIFS('1501 Summary'!$P$1:$P$600,'1501 Summary'!$C$1:$C$600,"*"&amp;B469&amp;"*",'1501 Summary'!$B$1:$B$600,"*"&amp;$B$461&amp;"*")</f>
        <v>66644.31</v>
      </c>
      <c r="F469" s="781"/>
      <c r="G469" s="781"/>
      <c r="H469" s="781"/>
      <c r="I469" s="781"/>
      <c r="J469" s="781"/>
      <c r="K469" s="84"/>
      <c r="L469" s="756"/>
      <c r="M469" s="759"/>
      <c r="N469" s="781"/>
      <c r="O469" s="90"/>
      <c r="P469" s="90"/>
      <c r="Q469" s="90"/>
      <c r="R469" s="781"/>
      <c r="S469" s="752"/>
      <c r="T469" s="752"/>
      <c r="U469" s="752"/>
      <c r="V469" s="781"/>
      <c r="Z469" s="781"/>
      <c r="AA469" s="90"/>
      <c r="AB469" s="86"/>
      <c r="AD469" s="32"/>
    </row>
    <row r="470" spans="1:30">
      <c r="A470" s="1225">
        <v>465</v>
      </c>
      <c r="B470" s="1" t="s">
        <v>192</v>
      </c>
      <c r="E470" s="1416">
        <f>SUMIFS('1501 Summary'!$P$1:$P$600,'1501 Summary'!$C$1:$C$600,"*"&amp;B470&amp;"*",'1501 Summary'!$B$1:$B$600,"*"&amp;$B$461&amp;"*")</f>
        <v>0</v>
      </c>
      <c r="F470" s="781"/>
      <c r="G470" s="781"/>
      <c r="H470" s="781"/>
      <c r="I470" s="781"/>
      <c r="J470" s="781"/>
      <c r="K470" s="84"/>
      <c r="L470" s="756"/>
      <c r="M470" s="759"/>
      <c r="N470" s="781"/>
      <c r="O470" s="90"/>
      <c r="P470" s="90"/>
      <c r="Q470" s="90"/>
      <c r="R470" s="781"/>
      <c r="S470" s="752"/>
      <c r="T470" s="752"/>
      <c r="U470" s="752"/>
      <c r="V470" s="781"/>
      <c r="Z470" s="781"/>
      <c r="AA470" s="90"/>
      <c r="AB470" s="86"/>
      <c r="AD470" s="32"/>
    </row>
    <row r="471" spans="1:30">
      <c r="A471" s="1225">
        <v>466</v>
      </c>
      <c r="B471" s="34" t="s">
        <v>175</v>
      </c>
      <c r="E471" s="1420">
        <f>SUMIFS('Rev Recon Summary'!$P$1:$P$500,'Rev Recon Summary'!$C$1:$C$500,"*"&amp;B471&amp;"*",'Rev Recon Summary'!$B$1:$B$500,"*"&amp;$B$461&amp;"*")</f>
        <v>-1588246.5</v>
      </c>
      <c r="F471" s="767"/>
      <c r="G471" s="767"/>
      <c r="H471" s="767"/>
      <c r="I471" s="767"/>
      <c r="J471" s="767"/>
      <c r="K471" s="84"/>
      <c r="L471" s="756"/>
      <c r="M471" s="759"/>
      <c r="N471" s="767"/>
      <c r="O471" s="90"/>
      <c r="P471" s="90"/>
      <c r="Q471" s="90"/>
      <c r="R471" s="767"/>
      <c r="S471" s="752"/>
      <c r="T471" s="752"/>
      <c r="U471" s="752"/>
      <c r="V471" s="767"/>
      <c r="Z471" s="767"/>
      <c r="AA471" s="90"/>
      <c r="AB471" s="86"/>
      <c r="AD471" s="32"/>
    </row>
    <row r="472" spans="1:30">
      <c r="A472" s="1225">
        <v>467</v>
      </c>
      <c r="B472" s="34" t="s">
        <v>176</v>
      </c>
      <c r="E472" s="1422">
        <f>SUMIFS('Rev Recon Summary'!$P$1:$P$500,'Rev Recon Summary'!$C$1:$C$500,"*"&amp;B472&amp;"*",'Rev Recon Summary'!$B$1:$B$500,"*"&amp;$B$461&amp;"*")</f>
        <v>1608573.84</v>
      </c>
      <c r="F472" s="767"/>
      <c r="G472" s="767"/>
      <c r="H472" s="767"/>
      <c r="I472" s="767"/>
      <c r="J472" s="767"/>
      <c r="K472" s="84"/>
      <c r="L472" s="756"/>
      <c r="M472" s="759"/>
      <c r="N472" s="767"/>
      <c r="O472" s="90"/>
      <c r="P472" s="90"/>
      <c r="Q472" s="90"/>
      <c r="R472" s="767"/>
      <c r="S472" s="752"/>
      <c r="T472" s="752"/>
      <c r="U472" s="752"/>
      <c r="V472" s="767"/>
      <c r="Z472" s="767"/>
      <c r="AA472" s="90"/>
      <c r="AB472" s="86"/>
      <c r="AD472" s="32"/>
    </row>
    <row r="473" spans="1:30">
      <c r="A473" s="1225">
        <v>468</v>
      </c>
      <c r="B473" s="8" t="s">
        <v>152</v>
      </c>
      <c r="E473" s="1416">
        <f>SUM(E469:E472)</f>
        <v>86971.65000000014</v>
      </c>
      <c r="F473" s="781"/>
      <c r="G473" s="781"/>
      <c r="H473" s="781"/>
      <c r="I473" s="781"/>
      <c r="J473" s="781"/>
      <c r="K473" s="84"/>
      <c r="L473" s="756"/>
      <c r="M473" s="759"/>
      <c r="N473" s="781"/>
      <c r="O473" s="90"/>
      <c r="P473" s="90"/>
      <c r="Q473" s="90"/>
      <c r="R473" s="781"/>
      <c r="S473" s="752"/>
      <c r="T473" s="752"/>
      <c r="U473" s="752"/>
      <c r="V473" s="781"/>
      <c r="Z473" s="781"/>
      <c r="AA473" s="90"/>
      <c r="AB473" s="86"/>
      <c r="AD473" s="32"/>
    </row>
    <row r="474" spans="1:30">
      <c r="A474" s="1225">
        <v>469</v>
      </c>
      <c r="E474" s="1416"/>
      <c r="K474" s="84"/>
      <c r="L474" s="756"/>
      <c r="M474" s="759"/>
      <c r="O474" s="90"/>
      <c r="P474" s="90"/>
      <c r="Q474" s="90"/>
      <c r="S474" s="752"/>
      <c r="T474" s="752"/>
      <c r="U474" s="752"/>
      <c r="AA474" s="90"/>
      <c r="AB474" s="86"/>
      <c r="AD474" s="32"/>
    </row>
    <row r="475" spans="1:30">
      <c r="A475" s="1225">
        <v>470</v>
      </c>
      <c r="B475" s="639" t="s">
        <v>234</v>
      </c>
      <c r="C475" s="764">
        <f>E475-'Rev Recon Summary'!P342</f>
        <v>0</v>
      </c>
      <c r="D475" s="765" t="s">
        <v>149</v>
      </c>
      <c r="E475" s="1418">
        <f>SUM(E466,E473)</f>
        <v>1608573.84</v>
      </c>
      <c r="F475" s="797"/>
      <c r="G475" s="797"/>
      <c r="H475" s="797"/>
      <c r="I475" s="797"/>
      <c r="J475" s="797"/>
      <c r="K475" s="631"/>
      <c r="L475" s="766"/>
      <c r="M475" s="760"/>
      <c r="N475" s="797"/>
      <c r="O475" s="633"/>
      <c r="P475" s="633"/>
      <c r="Q475" s="633"/>
      <c r="R475" s="797"/>
      <c r="S475" s="761"/>
      <c r="T475" s="761"/>
      <c r="U475" s="761"/>
      <c r="V475" s="797"/>
      <c r="W475" s="765"/>
      <c r="X475" s="765"/>
      <c r="Y475" s="765"/>
      <c r="Z475" s="797"/>
      <c r="AA475" s="633"/>
      <c r="AB475" s="630"/>
      <c r="AC475" s="765"/>
      <c r="AD475" s="32"/>
    </row>
    <row r="476" spans="1:30">
      <c r="A476" s="1225">
        <v>471</v>
      </c>
      <c r="E476" s="1416"/>
      <c r="K476" s="84"/>
      <c r="L476" s="756"/>
      <c r="M476" s="759"/>
      <c r="O476" s="90"/>
      <c r="P476" s="90"/>
      <c r="Q476" s="90"/>
      <c r="S476" s="752"/>
      <c r="T476" s="752"/>
      <c r="U476" s="752"/>
      <c r="AA476" s="90"/>
      <c r="AB476" s="86"/>
      <c r="AD476" s="32"/>
    </row>
    <row r="477" spans="1:30">
      <c r="A477" s="1225">
        <v>472</v>
      </c>
      <c r="B477" s="783" t="s">
        <v>235</v>
      </c>
      <c r="E477" s="1416"/>
      <c r="K477" s="84"/>
      <c r="L477" s="756"/>
      <c r="M477" s="759"/>
      <c r="O477" s="90"/>
      <c r="P477" s="90"/>
      <c r="Q477" s="90"/>
      <c r="S477" s="752"/>
      <c r="T477" s="752"/>
      <c r="U477" s="752"/>
      <c r="AA477" s="90"/>
      <c r="AB477" s="86"/>
      <c r="AD477" s="32"/>
    </row>
    <row r="478" spans="1:30">
      <c r="A478" s="1225">
        <v>473</v>
      </c>
      <c r="B478" s="1" t="s">
        <v>196</v>
      </c>
      <c r="C478" s="758">
        <f>E478/D478</f>
        <v>12</v>
      </c>
      <c r="D478" s="89">
        <v>625</v>
      </c>
      <c r="E478" s="1416">
        <f>SUMIFS('1501 Summary'!$P$1:$P$600,'1501 Summary'!$C$1:$C$600,"*"&amp;B478&amp;"*",'1501 Summary'!$B$1:$B$600,"*"&amp;$B$477&amp;"*")</f>
        <v>7500</v>
      </c>
      <c r="F478" s="787"/>
      <c r="G478" s="787"/>
      <c r="H478" s="787"/>
      <c r="I478" s="787"/>
      <c r="J478" s="787"/>
      <c r="K478" s="84">
        <f>C478+G478</f>
        <v>12</v>
      </c>
      <c r="L478" s="90">
        <f>D478</f>
        <v>625</v>
      </c>
      <c r="M478" s="759">
        <f>L478*K478</f>
        <v>7500</v>
      </c>
      <c r="N478" s="787"/>
      <c r="O478" s="90"/>
      <c r="P478" s="90"/>
      <c r="Q478" s="90"/>
      <c r="R478" s="787"/>
      <c r="S478" s="753"/>
      <c r="T478" s="781"/>
      <c r="U478" s="752"/>
      <c r="V478" s="787"/>
      <c r="W478" s="86"/>
      <c r="X478" s="86"/>
      <c r="Y478" s="86"/>
      <c r="Z478" s="787"/>
      <c r="AA478" s="90"/>
      <c r="AB478" s="86"/>
      <c r="AC478" s="86"/>
      <c r="AD478" s="32"/>
    </row>
    <row r="479" spans="1:30">
      <c r="A479" s="1225">
        <v>474</v>
      </c>
      <c r="B479" s="1" t="s">
        <v>197</v>
      </c>
      <c r="C479" s="758">
        <f>E479/D479</f>
        <v>12.151876527554084</v>
      </c>
      <c r="D479" s="89">
        <v>14541.22</v>
      </c>
      <c r="E479" s="1416">
        <f>SUMIFS('1501 Summary'!$P$1:$P$600,'1501 Summary'!$C$1:$C$600,"*"&amp;B479&amp;"*",'1501 Summary'!$B$1:$B$600,"*"&amp;$B$477&amp;"*")</f>
        <v>176703.11</v>
      </c>
      <c r="F479" s="787"/>
      <c r="G479" s="787"/>
      <c r="H479" s="787"/>
      <c r="I479" s="787"/>
      <c r="J479" s="787"/>
      <c r="K479" s="84">
        <f>C479+G479</f>
        <v>12.151876527554084</v>
      </c>
      <c r="L479" s="751">
        <f>D479</f>
        <v>14541.22</v>
      </c>
      <c r="M479" s="759">
        <f>L479*K479</f>
        <v>176703.11</v>
      </c>
      <c r="N479" s="787"/>
      <c r="O479" s="90"/>
      <c r="P479" s="90"/>
      <c r="Q479" s="90"/>
      <c r="R479" s="787"/>
      <c r="S479" s="753"/>
      <c r="T479" s="781"/>
      <c r="U479" s="752"/>
      <c r="V479" s="787"/>
      <c r="W479" s="86"/>
      <c r="X479" s="86"/>
      <c r="Y479" s="86"/>
      <c r="Z479" s="787"/>
      <c r="AA479" s="90"/>
      <c r="AB479" s="86"/>
      <c r="AC479" s="86"/>
      <c r="AD479" s="32"/>
    </row>
    <row r="480" spans="1:30">
      <c r="A480" s="1225">
        <v>475</v>
      </c>
      <c r="B480" s="1" t="s">
        <v>198</v>
      </c>
      <c r="C480" s="758">
        <f>E480/D480</f>
        <v>39329924.999999993</v>
      </c>
      <c r="D480" s="97">
        <v>4.0000000000000002E-4</v>
      </c>
      <c r="E480" s="1416">
        <f>SUMIFS('1501 Summary'!$P$1:$P$600,'1501 Summary'!$C$1:$C$600,"*"&amp;B480&amp;"*",'1501 Summary'!$B$1:$B$600,"*"&amp;$B$477&amp;"*")</f>
        <v>15731.969999999998</v>
      </c>
      <c r="K480" s="84">
        <f>C480+G480</f>
        <v>39329924.999999993</v>
      </c>
      <c r="L480" s="97">
        <f>D480</f>
        <v>4.0000000000000002E-4</v>
      </c>
      <c r="M480" s="759">
        <f>L480*K480</f>
        <v>15731.969999999998</v>
      </c>
      <c r="O480" s="90"/>
      <c r="P480" s="90"/>
      <c r="Q480" s="90"/>
      <c r="S480" s="752"/>
      <c r="T480" s="781"/>
      <c r="U480" s="752"/>
      <c r="W480" s="86"/>
      <c r="X480" s="86"/>
      <c r="Y480" s="86"/>
      <c r="AA480" s="90"/>
      <c r="AB480" s="86"/>
      <c r="AC480" s="86"/>
      <c r="AD480" s="32"/>
    </row>
    <row r="481" spans="1:30">
      <c r="A481" s="1225">
        <v>476</v>
      </c>
      <c r="B481" s="1" t="s">
        <v>215</v>
      </c>
      <c r="C481" s="758">
        <f>E481/D481</f>
        <v>39430553.228014953</v>
      </c>
      <c r="D481" s="88">
        <v>1.4679299999999999E-2</v>
      </c>
      <c r="E481" s="1418">
        <f>SUMIFS('1501 Summary'!$P$1:$P$600,'1501 Summary'!$C$1:$C$600,"*"&amp;B481&amp;"*",'1501 Summary'!$B$1:$B$600,"*"&amp;$B$477&amp;"*")</f>
        <v>578812.91999999993</v>
      </c>
      <c r="K481" s="84">
        <f>C481+G481</f>
        <v>39430553.228014953</v>
      </c>
      <c r="L481" s="88">
        <f>D481</f>
        <v>1.4679299999999999E-2</v>
      </c>
      <c r="M481" s="760">
        <f>L481*K481</f>
        <v>578812.91999999993</v>
      </c>
      <c r="O481" s="90"/>
      <c r="P481" s="90"/>
      <c r="Q481" s="90"/>
      <c r="S481" s="752"/>
      <c r="T481" s="781"/>
      <c r="U481" s="752"/>
      <c r="W481" s="86"/>
      <c r="X481" s="86"/>
      <c r="Y481" s="86"/>
      <c r="AA481" s="90"/>
      <c r="AB481" s="86"/>
      <c r="AC481" s="86"/>
      <c r="AD481" s="32"/>
    </row>
    <row r="482" spans="1:30">
      <c r="A482" s="1225">
        <v>477</v>
      </c>
      <c r="B482" s="1" t="s">
        <v>127</v>
      </c>
      <c r="E482" s="1416">
        <f>SUM(E478:E481)</f>
        <v>778747.99999999988</v>
      </c>
      <c r="F482" s="787"/>
      <c r="G482" s="787"/>
      <c r="H482" s="787"/>
      <c r="I482" s="787"/>
      <c r="J482" s="787"/>
      <c r="K482" s="84"/>
      <c r="L482" s="756"/>
      <c r="M482" s="759">
        <f>SUM(M478:M481)</f>
        <v>778747.99999999988</v>
      </c>
      <c r="N482" s="787"/>
      <c r="O482" s="90"/>
      <c r="P482" s="90"/>
      <c r="Q482" s="90"/>
      <c r="R482" s="787"/>
      <c r="S482" s="752"/>
      <c r="T482" s="752"/>
      <c r="U482" s="752"/>
      <c r="V482" s="787"/>
      <c r="W482" s="86"/>
      <c r="X482" s="86"/>
      <c r="Y482" s="86"/>
      <c r="Z482" s="787"/>
      <c r="AA482" s="90"/>
      <c r="AB482" s="86"/>
      <c r="AC482" s="86"/>
      <c r="AD482" s="32"/>
    </row>
    <row r="483" spans="1:30">
      <c r="A483" s="1225">
        <v>478</v>
      </c>
      <c r="E483" s="1416"/>
      <c r="F483" s="787"/>
      <c r="G483" s="787"/>
      <c r="H483" s="787"/>
      <c r="I483" s="787"/>
      <c r="J483" s="787"/>
      <c r="K483" s="84"/>
      <c r="L483" s="756"/>
      <c r="M483" s="759"/>
      <c r="N483" s="787"/>
      <c r="O483" s="90"/>
      <c r="P483" s="90"/>
      <c r="Q483" s="90"/>
      <c r="R483" s="787"/>
      <c r="S483" s="752"/>
      <c r="T483" s="752"/>
      <c r="U483" s="752"/>
      <c r="V483" s="787"/>
      <c r="Z483" s="787"/>
      <c r="AA483" s="90"/>
      <c r="AB483" s="86"/>
      <c r="AD483" s="32"/>
    </row>
    <row r="484" spans="1:30">
      <c r="A484" s="1225">
        <v>479</v>
      </c>
      <c r="B484" s="1" t="s">
        <v>130</v>
      </c>
      <c r="E484" s="1416"/>
      <c r="K484" s="84"/>
      <c r="L484" s="756"/>
      <c r="M484" s="759"/>
      <c r="O484" s="90"/>
      <c r="P484" s="90"/>
      <c r="Q484" s="90"/>
      <c r="S484" s="752"/>
      <c r="T484" s="752"/>
      <c r="U484" s="752"/>
      <c r="AA484" s="90"/>
      <c r="AB484" s="86"/>
      <c r="AD484" s="32"/>
    </row>
    <row r="485" spans="1:30">
      <c r="A485" s="1225">
        <v>480</v>
      </c>
      <c r="B485" s="1" t="s">
        <v>211</v>
      </c>
      <c r="E485" s="1416">
        <f>SUMIFS('1501 Summary'!$P$1:$P$600,'1501 Summary'!$C$1:$C$600,"*"&amp;B485&amp;"*",'1501 Summary'!$B$1:$B$600,"*"&amp;$B$477&amp;"*")</f>
        <v>34133.170000000006</v>
      </c>
      <c r="F485" s="781"/>
      <c r="G485" s="781"/>
      <c r="H485" s="781"/>
      <c r="I485" s="781"/>
      <c r="J485" s="781"/>
      <c r="K485" s="84"/>
      <c r="L485" s="756"/>
      <c r="M485" s="759"/>
      <c r="N485" s="781"/>
      <c r="O485" s="90"/>
      <c r="P485" s="90"/>
      <c r="Q485" s="90"/>
      <c r="R485" s="781"/>
      <c r="S485" s="752"/>
      <c r="T485" s="752"/>
      <c r="U485" s="752"/>
      <c r="V485" s="781"/>
      <c r="Z485" s="781"/>
      <c r="AA485" s="90"/>
      <c r="AB485" s="86"/>
      <c r="AD485" s="32"/>
    </row>
    <row r="486" spans="1:30">
      <c r="A486" s="1225">
        <v>481</v>
      </c>
      <c r="B486" s="1" t="s">
        <v>140</v>
      </c>
      <c r="E486" s="1416">
        <f>SUMIFS('1501 Summary'!$P$1:$P$600,'1501 Summary'!$C$1:$C$600,"*"&amp;B486&amp;"*",'1501 Summary'!$B$1:$B$600,"*"&amp;$B$477&amp;"*")</f>
        <v>51886.19</v>
      </c>
      <c r="F486" s="781"/>
      <c r="G486" s="781"/>
      <c r="H486" s="781"/>
      <c r="I486" s="781"/>
      <c r="J486" s="781"/>
      <c r="K486" s="84"/>
      <c r="L486" s="756"/>
      <c r="M486" s="759"/>
      <c r="N486" s="781"/>
      <c r="O486" s="90"/>
      <c r="P486" s="90"/>
      <c r="Q486" s="90"/>
      <c r="R486" s="781"/>
      <c r="S486" s="752"/>
      <c r="T486" s="752"/>
      <c r="U486" s="752"/>
      <c r="V486" s="781"/>
      <c r="Z486" s="781"/>
      <c r="AA486" s="90"/>
      <c r="AB486" s="86"/>
      <c r="AD486" s="32"/>
    </row>
    <row r="487" spans="1:30">
      <c r="A487" s="1225">
        <v>482</v>
      </c>
      <c r="B487" s="34" t="s">
        <v>175</v>
      </c>
      <c r="E487" s="1420">
        <f>SUMIFS('Rev Recon Summary'!$P$1:$P$500,'Rev Recon Summary'!$C$1:$C$500,"*"&amp;B487&amp;"*",'Rev Recon Summary'!$B$1:$B$500,"*"&amp;$B$477&amp;"*")</f>
        <v>-864767.36</v>
      </c>
      <c r="F487" s="767"/>
      <c r="G487" s="767"/>
      <c r="H487" s="767"/>
      <c r="I487" s="767"/>
      <c r="J487" s="767"/>
      <c r="K487" s="84"/>
      <c r="L487" s="756"/>
      <c r="M487" s="759"/>
      <c r="N487" s="767"/>
      <c r="O487" s="90"/>
      <c r="P487" s="90"/>
      <c r="Q487" s="90"/>
      <c r="R487" s="767"/>
      <c r="S487" s="752"/>
      <c r="T487" s="752"/>
      <c r="U487" s="752"/>
      <c r="V487" s="767"/>
      <c r="Z487" s="767"/>
      <c r="AA487" s="90"/>
      <c r="AB487" s="86"/>
      <c r="AD487" s="32"/>
    </row>
    <row r="488" spans="1:30">
      <c r="A488" s="1225">
        <v>483</v>
      </c>
      <c r="B488" s="34" t="s">
        <v>176</v>
      </c>
      <c r="E488" s="1422">
        <f>SUMIFS('Rev Recon Summary'!$P$1:$P$500,'Rev Recon Summary'!$C$1:$C$500,"*"&amp;B488&amp;"*",'Rev Recon Summary'!$B$1:$B$500,"*"&amp;$B$477&amp;"*")</f>
        <v>763718.39</v>
      </c>
      <c r="F488" s="767"/>
      <c r="G488" s="767"/>
      <c r="H488" s="767"/>
      <c r="I488" s="767"/>
      <c r="J488" s="767"/>
      <c r="K488" s="84"/>
      <c r="L488" s="756"/>
      <c r="M488" s="759"/>
      <c r="N488" s="767"/>
      <c r="O488" s="90"/>
      <c r="P488" s="90"/>
      <c r="Q488" s="90"/>
      <c r="R488" s="767"/>
      <c r="S488" s="752"/>
      <c r="T488" s="752"/>
      <c r="U488" s="752"/>
      <c r="V488" s="767"/>
      <c r="Z488" s="767"/>
      <c r="AA488" s="90"/>
      <c r="AB488" s="86"/>
      <c r="AD488" s="32"/>
    </row>
    <row r="489" spans="1:30">
      <c r="A489" s="1225">
        <v>484</v>
      </c>
      <c r="B489" s="8" t="s">
        <v>152</v>
      </c>
      <c r="E489" s="1416">
        <f>SUM(E485:E488)</f>
        <v>-15029.609999999986</v>
      </c>
      <c r="F489" s="781"/>
      <c r="G489" s="781"/>
      <c r="H489" s="781"/>
      <c r="I489" s="781"/>
      <c r="J489" s="781"/>
      <c r="K489" s="84"/>
      <c r="L489" s="756"/>
      <c r="M489" s="759"/>
      <c r="N489" s="781"/>
      <c r="O489" s="90"/>
      <c r="P489" s="90"/>
      <c r="Q489" s="90"/>
      <c r="R489" s="781"/>
      <c r="S489" s="752"/>
      <c r="T489" s="752"/>
      <c r="U489" s="752"/>
      <c r="V489" s="781"/>
      <c r="Z489" s="781"/>
      <c r="AA489" s="90"/>
      <c r="AB489" s="86"/>
      <c r="AD489" s="32"/>
    </row>
    <row r="490" spans="1:30">
      <c r="A490" s="1225">
        <v>485</v>
      </c>
      <c r="B490" s="8"/>
      <c r="E490" s="1416"/>
      <c r="K490" s="84"/>
      <c r="L490" s="756"/>
      <c r="M490" s="759"/>
      <c r="O490" s="90"/>
      <c r="P490" s="90"/>
      <c r="Q490" s="90"/>
      <c r="S490" s="752"/>
      <c r="T490" s="752"/>
      <c r="U490" s="752"/>
      <c r="AA490" s="90"/>
      <c r="AB490" s="86"/>
      <c r="AD490" s="32"/>
    </row>
    <row r="491" spans="1:30">
      <c r="A491" s="1225">
        <v>486</v>
      </c>
      <c r="B491" s="639" t="s">
        <v>236</v>
      </c>
      <c r="C491" s="764">
        <f>E491-'Rev Recon Summary'!P362</f>
        <v>0</v>
      </c>
      <c r="D491" s="765" t="s">
        <v>149</v>
      </c>
      <c r="E491" s="1418">
        <f>SUM(E482,E489)</f>
        <v>763718.3899999999</v>
      </c>
      <c r="F491" s="797"/>
      <c r="G491" s="797"/>
      <c r="H491" s="797"/>
      <c r="I491" s="797"/>
      <c r="J491" s="797"/>
      <c r="K491" s="631"/>
      <c r="L491" s="766"/>
      <c r="M491" s="760"/>
      <c r="N491" s="797"/>
      <c r="O491" s="633"/>
      <c r="P491" s="633"/>
      <c r="Q491" s="633"/>
      <c r="R491" s="797"/>
      <c r="S491" s="761"/>
      <c r="T491" s="761"/>
      <c r="U491" s="761"/>
      <c r="V491" s="797"/>
      <c r="W491" s="765"/>
      <c r="X491" s="765"/>
      <c r="Y491" s="765"/>
      <c r="Z491" s="797"/>
      <c r="AA491" s="633"/>
      <c r="AB491" s="630"/>
      <c r="AC491" s="765"/>
      <c r="AD491" s="32"/>
    </row>
    <row r="492" spans="1:30">
      <c r="A492" s="1225">
        <v>487</v>
      </c>
      <c r="E492" s="1416"/>
      <c r="K492" s="84"/>
      <c r="L492" s="756"/>
      <c r="M492" s="759"/>
      <c r="O492" s="90"/>
      <c r="P492" s="90"/>
      <c r="Q492" s="90"/>
      <c r="S492" s="752"/>
      <c r="T492" s="752"/>
      <c r="U492" s="752"/>
      <c r="AA492" s="90"/>
      <c r="AB492" s="86"/>
      <c r="AD492" s="32"/>
    </row>
    <row r="493" spans="1:30">
      <c r="A493" s="1225">
        <v>488</v>
      </c>
      <c r="B493" s="783" t="s">
        <v>237</v>
      </c>
      <c r="E493" s="1416"/>
      <c r="K493" s="84"/>
      <c r="L493" s="756"/>
      <c r="M493" s="759"/>
      <c r="O493" s="90"/>
      <c r="P493" s="90"/>
      <c r="Q493" s="90"/>
      <c r="S493" s="752"/>
      <c r="T493" s="752"/>
      <c r="U493" s="752"/>
      <c r="AA493" s="90"/>
      <c r="AB493" s="86"/>
      <c r="AD493" s="32"/>
    </row>
    <row r="494" spans="1:30">
      <c r="A494" s="1225">
        <v>489</v>
      </c>
      <c r="B494" s="1" t="s">
        <v>196</v>
      </c>
      <c r="C494" s="12">
        <f>E494/D494</f>
        <v>12</v>
      </c>
      <c r="D494" s="12">
        <v>625</v>
      </c>
      <c r="E494" s="1416">
        <f>SUMIFS('1501 Summary'!$P$1:$P$600,'1501 Summary'!$C$1:$C$600,"*"&amp;B494&amp;"*",'1501 Summary'!$B$1:$B$600,"*"&amp;$B$493&amp;"*")</f>
        <v>7500</v>
      </c>
      <c r="F494" s="787"/>
      <c r="G494" s="787"/>
      <c r="H494" s="787"/>
      <c r="I494" s="787"/>
      <c r="J494" s="787"/>
      <c r="K494" s="84">
        <f>C494+G494</f>
        <v>12</v>
      </c>
      <c r="L494" s="90">
        <f>D494</f>
        <v>625</v>
      </c>
      <c r="M494" s="759">
        <f>L494*K494</f>
        <v>7500</v>
      </c>
      <c r="N494" s="787"/>
      <c r="O494" s="90"/>
      <c r="P494" s="90"/>
      <c r="Q494" s="90"/>
      <c r="R494" s="787"/>
      <c r="S494" s="752"/>
      <c r="T494" s="781"/>
      <c r="U494" s="752"/>
      <c r="V494" s="787"/>
      <c r="W494" s="86"/>
      <c r="X494" s="86"/>
      <c r="Y494" s="86"/>
      <c r="Z494" s="787"/>
      <c r="AA494" s="90"/>
      <c r="AB494" s="86"/>
      <c r="AC494" s="86"/>
      <c r="AD494" s="32"/>
    </row>
    <row r="495" spans="1:30">
      <c r="A495" s="1225">
        <v>490</v>
      </c>
      <c r="B495" s="1" t="s">
        <v>210</v>
      </c>
      <c r="C495" s="84">
        <f>E495/D495</f>
        <v>11.399322302158273</v>
      </c>
      <c r="D495" s="12">
        <v>13900</v>
      </c>
      <c r="E495" s="1416">
        <f>SUMIFS('1501 Summary'!$P$1:$P$600,'1501 Summary'!$C$1:$C$600,"*"&amp;B495&amp;"*",'1501 Summary'!$B$1:$B$600,"*"&amp;$B$493&amp;"*")</f>
        <v>158450.57999999999</v>
      </c>
      <c r="F495" s="787"/>
      <c r="G495" s="787"/>
      <c r="H495" s="787"/>
      <c r="I495" s="787"/>
      <c r="J495" s="787"/>
      <c r="K495" s="84">
        <f>C495+G495</f>
        <v>11.399322302158273</v>
      </c>
      <c r="L495" s="756">
        <f>D495</f>
        <v>13900</v>
      </c>
      <c r="M495" s="759">
        <f>L495*K495</f>
        <v>158450.57999999999</v>
      </c>
      <c r="N495" s="787"/>
      <c r="O495" s="90"/>
      <c r="P495" s="90"/>
      <c r="Q495" s="90"/>
      <c r="R495" s="787"/>
      <c r="S495" s="752"/>
      <c r="T495" s="781"/>
      <c r="U495" s="752"/>
      <c r="V495" s="787"/>
      <c r="W495" s="86"/>
      <c r="X495" s="86"/>
      <c r="Y495" s="86"/>
      <c r="Z495" s="787"/>
      <c r="AA495" s="88"/>
      <c r="AB495" s="86"/>
      <c r="AC495" s="86"/>
      <c r="AD495" s="32"/>
    </row>
    <row r="496" spans="1:30">
      <c r="A496" s="1225">
        <v>491</v>
      </c>
      <c r="B496" s="1" t="s">
        <v>198</v>
      </c>
      <c r="C496" s="84">
        <f>E496/D496</f>
        <v>834950</v>
      </c>
      <c r="D496" s="799">
        <v>4.0000000000000002E-4</v>
      </c>
      <c r="E496" s="1416">
        <f>SUMIFS('1501 Summary'!$P$1:$P$600,'1501 Summary'!$C$1:$C$600,"*"&amp;B496&amp;"*",'1501 Summary'!$B$1:$B$600,"*"&amp;$B$493&amp;"*")</f>
        <v>333.98</v>
      </c>
      <c r="F496" s="787"/>
      <c r="G496" s="787"/>
      <c r="H496" s="787"/>
      <c r="I496" s="787"/>
      <c r="J496" s="787"/>
      <c r="K496" s="84">
        <f>C496+G496</f>
        <v>834950</v>
      </c>
      <c r="L496" s="97">
        <f>D496</f>
        <v>4.0000000000000002E-4</v>
      </c>
      <c r="M496" s="759">
        <f>L496*K496</f>
        <v>333.98</v>
      </c>
      <c r="N496" s="787"/>
      <c r="O496" s="90"/>
      <c r="P496" s="90"/>
      <c r="Q496" s="90"/>
      <c r="R496" s="787"/>
      <c r="S496" s="752"/>
      <c r="T496" s="781"/>
      <c r="U496" s="752"/>
      <c r="V496" s="787"/>
      <c r="W496" s="86"/>
      <c r="X496" s="86"/>
      <c r="Y496" s="86"/>
      <c r="Z496" s="787"/>
      <c r="AA496" s="88"/>
      <c r="AB496" s="86"/>
      <c r="AC496" s="86"/>
      <c r="AD496" s="32"/>
    </row>
    <row r="497" spans="1:30">
      <c r="A497" s="1225">
        <v>492</v>
      </c>
      <c r="B497" s="1" t="s">
        <v>215</v>
      </c>
      <c r="C497" s="84">
        <f>E497/D497</f>
        <v>834941.99999999977</v>
      </c>
      <c r="D497" s="781">
        <v>0.01</v>
      </c>
      <c r="E497" s="1418">
        <f>SUMIFS('1501 Summary'!$P$1:$P$600,'1501 Summary'!$C$1:$C$600,"*"&amp;B497&amp;"*",'1501 Summary'!$B$1:$B$600,"*"&amp;$B$493&amp;"*")</f>
        <v>8349.4199999999983</v>
      </c>
      <c r="F497" s="787"/>
      <c r="G497" s="787"/>
      <c r="H497" s="787"/>
      <c r="I497" s="787"/>
      <c r="J497" s="787"/>
      <c r="K497" s="84">
        <f>C497+G497</f>
        <v>834941.99999999977</v>
      </c>
      <c r="L497" s="88">
        <f>D497</f>
        <v>0.01</v>
      </c>
      <c r="M497" s="760">
        <f>L497*K497</f>
        <v>8349.4199999999983</v>
      </c>
      <c r="N497" s="787"/>
      <c r="O497" s="90"/>
      <c r="P497" s="90"/>
      <c r="Q497" s="90"/>
      <c r="R497" s="787"/>
      <c r="S497" s="752"/>
      <c r="T497" s="781"/>
      <c r="U497" s="752"/>
      <c r="V497" s="787"/>
      <c r="W497" s="86"/>
      <c r="X497" s="86"/>
      <c r="Y497" s="86"/>
      <c r="Z497" s="787"/>
      <c r="AA497" s="90"/>
      <c r="AB497" s="86"/>
      <c r="AC497" s="86"/>
      <c r="AD497" s="32"/>
    </row>
    <row r="498" spans="1:30">
      <c r="A498" s="1225">
        <v>493</v>
      </c>
      <c r="B498" s="1" t="s">
        <v>127</v>
      </c>
      <c r="E498" s="1416">
        <f>SUM(E494:E497)</f>
        <v>174633.97999999998</v>
      </c>
      <c r="F498" s="787"/>
      <c r="G498" s="787"/>
      <c r="H498" s="787"/>
      <c r="I498" s="787"/>
      <c r="J498" s="787"/>
      <c r="K498" s="84"/>
      <c r="L498" s="756"/>
      <c r="M498" s="759">
        <f>SUM(M494:M497)</f>
        <v>174633.97999999998</v>
      </c>
      <c r="N498" s="787"/>
      <c r="O498" s="90"/>
      <c r="P498" s="90"/>
      <c r="Q498" s="90"/>
      <c r="R498" s="787"/>
      <c r="S498" s="752"/>
      <c r="T498" s="752"/>
      <c r="U498" s="752"/>
      <c r="V498" s="787"/>
      <c r="W498" s="762"/>
      <c r="X498" s="762"/>
      <c r="Y498" s="762"/>
      <c r="Z498" s="787"/>
      <c r="AA498" s="90"/>
      <c r="AB498" s="86"/>
      <c r="AC498" s="86"/>
      <c r="AD498" s="32"/>
    </row>
    <row r="499" spans="1:30">
      <c r="A499" s="1225">
        <v>494</v>
      </c>
      <c r="E499" s="1416"/>
      <c r="F499" s="787"/>
      <c r="G499" s="787"/>
      <c r="H499" s="787"/>
      <c r="I499" s="787"/>
      <c r="J499" s="787"/>
      <c r="K499" s="84"/>
      <c r="L499" s="756"/>
      <c r="M499" s="759"/>
      <c r="N499" s="787"/>
      <c r="O499" s="90"/>
      <c r="P499" s="90"/>
      <c r="Q499" s="90"/>
      <c r="R499" s="787"/>
      <c r="S499" s="752"/>
      <c r="T499" s="752"/>
      <c r="U499" s="752"/>
      <c r="V499" s="787"/>
      <c r="Z499" s="787"/>
      <c r="AA499" s="90"/>
      <c r="AB499" s="86"/>
      <c r="AD499" s="32"/>
    </row>
    <row r="500" spans="1:30">
      <c r="A500" s="1225">
        <v>495</v>
      </c>
      <c r="B500" s="1" t="s">
        <v>130</v>
      </c>
      <c r="E500" s="1416"/>
      <c r="F500" s="787"/>
      <c r="G500" s="787"/>
      <c r="H500" s="787"/>
      <c r="I500" s="787"/>
      <c r="J500" s="787"/>
      <c r="K500" s="84"/>
      <c r="L500" s="756"/>
      <c r="M500" s="759"/>
      <c r="N500" s="787"/>
      <c r="O500" s="787"/>
      <c r="P500" s="787"/>
      <c r="Q500" s="787"/>
      <c r="R500" s="787"/>
      <c r="S500" s="752"/>
      <c r="T500" s="752"/>
      <c r="U500" s="752"/>
      <c r="V500" s="787"/>
      <c r="Z500" s="787"/>
      <c r="AA500" s="90"/>
      <c r="AB500" s="86"/>
      <c r="AD500" s="32"/>
    </row>
    <row r="501" spans="1:30">
      <c r="A501" s="1225">
        <v>496</v>
      </c>
      <c r="B501" s="1" t="s">
        <v>211</v>
      </c>
      <c r="E501" s="1416">
        <f>SUMIFS('1501 Summary'!$P$1:$P$600,'1501 Summary'!$C$1:$C$600,"*"&amp;B501&amp;"*",'1501 Summary'!$B$1:$B$600,"*"&amp;$B$493&amp;"*")</f>
        <v>7647.6600000000008</v>
      </c>
      <c r="F501" s="787"/>
      <c r="G501" s="787"/>
      <c r="H501" s="787"/>
      <c r="I501" s="787"/>
      <c r="J501" s="787"/>
      <c r="K501" s="84"/>
      <c r="L501" s="756"/>
      <c r="M501" s="759"/>
      <c r="N501" s="787"/>
      <c r="O501" s="787"/>
      <c r="P501" s="787"/>
      <c r="Q501" s="787"/>
      <c r="R501" s="787"/>
      <c r="S501" s="752"/>
      <c r="T501" s="752"/>
      <c r="U501" s="752"/>
      <c r="V501" s="787"/>
      <c r="Z501" s="787"/>
      <c r="AA501" s="90"/>
      <c r="AB501" s="86"/>
      <c r="AD501" s="32"/>
    </row>
    <row r="502" spans="1:30">
      <c r="A502" s="1225">
        <v>497</v>
      </c>
      <c r="B502" s="1" t="s">
        <v>192</v>
      </c>
      <c r="E502" s="1416">
        <f>SUMIFS('1501 Summary'!$P$1:$P$600,'1501 Summary'!$C$1:$C$600,"*"&amp;B502&amp;"*",'1501 Summary'!$B$1:$B$600,"*"&amp;$B$493&amp;"*")</f>
        <v>0</v>
      </c>
      <c r="F502" s="787"/>
      <c r="G502" s="787"/>
      <c r="H502" s="787"/>
      <c r="I502" s="787"/>
      <c r="J502" s="787"/>
      <c r="K502" s="84"/>
      <c r="L502" s="756"/>
      <c r="M502" s="759"/>
      <c r="N502" s="787"/>
      <c r="O502" s="787"/>
      <c r="P502" s="787"/>
      <c r="Q502" s="787"/>
      <c r="R502" s="787"/>
      <c r="S502" s="752"/>
      <c r="T502" s="752"/>
      <c r="U502" s="752"/>
      <c r="V502" s="787"/>
      <c r="Z502" s="787"/>
      <c r="AA502" s="90"/>
      <c r="AB502" s="86"/>
      <c r="AD502" s="32"/>
    </row>
    <row r="503" spans="1:30">
      <c r="A503" s="1225">
        <v>498</v>
      </c>
      <c r="B503" s="34" t="s">
        <v>175</v>
      </c>
      <c r="E503" s="1420">
        <f>SUMIFS('Rev Recon Summary'!$P$1:$P$500,'Rev Recon Summary'!$C$1:$C$500,"*"&amp;B503&amp;"*",'Rev Recon Summary'!$B$1:$B$500,"*"&amp;$B$493&amp;"*")</f>
        <v>-182281.64</v>
      </c>
      <c r="F503" s="787"/>
      <c r="G503" s="787"/>
      <c r="H503" s="787"/>
      <c r="I503" s="787"/>
      <c r="J503" s="787"/>
      <c r="K503" s="84"/>
      <c r="L503" s="756"/>
      <c r="M503" s="759"/>
      <c r="N503" s="787"/>
      <c r="O503" s="787"/>
      <c r="P503" s="787"/>
      <c r="Q503" s="787"/>
      <c r="R503" s="787"/>
      <c r="S503" s="752"/>
      <c r="T503" s="752"/>
      <c r="U503" s="752"/>
      <c r="V503" s="787"/>
      <c r="Z503" s="787"/>
      <c r="AA503" s="90"/>
      <c r="AB503" s="86"/>
      <c r="AD503" s="32"/>
    </row>
    <row r="504" spans="1:30">
      <c r="A504" s="1225">
        <v>499</v>
      </c>
      <c r="B504" s="34" t="s">
        <v>176</v>
      </c>
      <c r="E504" s="1422">
        <f>SUMIFS('Rev Recon Summary'!$P$1:$P$500,'Rev Recon Summary'!$C$1:$C$500,"*"&amp;B504&amp;"*",'Rev Recon Summary'!$B$1:$B$500,"*"&amp;$B$493&amp;"*")</f>
        <v>182271.62</v>
      </c>
      <c r="F504" s="787"/>
      <c r="G504" s="787"/>
      <c r="H504" s="787"/>
      <c r="I504" s="787"/>
      <c r="J504" s="787"/>
      <c r="K504" s="84"/>
      <c r="L504" s="756"/>
      <c r="M504" s="759"/>
      <c r="N504" s="787"/>
      <c r="O504" s="787"/>
      <c r="P504" s="787"/>
      <c r="Q504" s="787"/>
      <c r="R504" s="787"/>
      <c r="S504" s="752"/>
      <c r="T504" s="752"/>
      <c r="U504" s="752"/>
      <c r="V504" s="787"/>
      <c r="Z504" s="787"/>
      <c r="AA504" s="90"/>
      <c r="AB504" s="86"/>
      <c r="AD504" s="32"/>
    </row>
    <row r="505" spans="1:30">
      <c r="A505" s="1225">
        <v>500</v>
      </c>
      <c r="B505" s="8" t="s">
        <v>152</v>
      </c>
      <c r="E505" s="1416">
        <f>SUM(E501:E504)</f>
        <v>7637.6399999999849</v>
      </c>
      <c r="F505" s="787"/>
      <c r="G505" s="787"/>
      <c r="H505" s="787"/>
      <c r="I505" s="787"/>
      <c r="J505" s="787"/>
      <c r="K505" s="84"/>
      <c r="L505" s="756"/>
      <c r="M505" s="759"/>
      <c r="N505" s="787"/>
      <c r="O505" s="787"/>
      <c r="P505" s="787"/>
      <c r="Q505" s="787"/>
      <c r="R505" s="787"/>
      <c r="S505" s="752"/>
      <c r="T505" s="752"/>
      <c r="U505" s="752"/>
      <c r="V505" s="787"/>
      <c r="Z505" s="787"/>
      <c r="AA505" s="90"/>
      <c r="AB505" s="86"/>
      <c r="AD505" s="32"/>
    </row>
    <row r="506" spans="1:30">
      <c r="A506" s="1225">
        <v>501</v>
      </c>
      <c r="B506" s="8"/>
      <c r="E506" s="1416"/>
      <c r="K506" s="84"/>
      <c r="L506" s="756"/>
      <c r="M506" s="759"/>
      <c r="S506" s="752"/>
      <c r="T506" s="752"/>
      <c r="U506" s="752"/>
      <c r="AA506" s="90"/>
      <c r="AB506" s="86"/>
      <c r="AD506" s="32"/>
    </row>
    <row r="507" spans="1:30">
      <c r="A507" s="1225">
        <v>502</v>
      </c>
      <c r="B507" s="639" t="s">
        <v>238</v>
      </c>
      <c r="C507" s="764">
        <f>E507-'Rev Recon Summary'!P382</f>
        <v>0</v>
      </c>
      <c r="D507" s="765" t="s">
        <v>149</v>
      </c>
      <c r="E507" s="1418">
        <f>SUM(E498,E505)</f>
        <v>182271.61999999997</v>
      </c>
      <c r="F507" s="797"/>
      <c r="G507" s="797"/>
      <c r="H507" s="797"/>
      <c r="I507" s="797"/>
      <c r="J507" s="797"/>
      <c r="K507" s="631"/>
      <c r="L507" s="766"/>
      <c r="M507" s="760"/>
      <c r="N507" s="797"/>
      <c r="O507" s="797"/>
      <c r="P507" s="797"/>
      <c r="Q507" s="797"/>
      <c r="R507" s="797"/>
      <c r="S507" s="761"/>
      <c r="T507" s="761"/>
      <c r="U507" s="761"/>
      <c r="V507" s="797"/>
      <c r="W507" s="800" t="s">
        <v>239</v>
      </c>
      <c r="X507" s="765"/>
      <c r="Y507" s="798">
        <f>ROUND(SUM(Y8,Y40,Y79,Y110,Y233,Y274),0)</f>
        <v>1422143</v>
      </c>
      <c r="Z507" s="797"/>
      <c r="AA507" s="633"/>
      <c r="AB507" s="630"/>
      <c r="AC507" s="765"/>
    </row>
    <row r="508" spans="1:30">
      <c r="A508" s="1225">
        <v>503</v>
      </c>
      <c r="E508" s="759"/>
      <c r="K508" s="84"/>
      <c r="L508" s="756"/>
      <c r="U508" s="752"/>
      <c r="W508" s="18" t="s">
        <v>240</v>
      </c>
      <c r="Y508" s="762">
        <f>-SUM(E19,E51,E86,E117,E146,E179,E211,E240,E281,E392,E450,E420)</f>
        <v>-2264943.2999999989</v>
      </c>
      <c r="AA508" s="746"/>
      <c r="AB508" s="746"/>
      <c r="AC508" s="746"/>
    </row>
    <row r="509" spans="1:30">
      <c r="A509" s="1225">
        <v>504</v>
      </c>
      <c r="B509" s="801" t="s">
        <v>241</v>
      </c>
      <c r="C509" s="746"/>
      <c r="D509" s="746"/>
      <c r="E509" s="802">
        <f>SUM(E498,E482,E466,E443,E385,E413,E362,E347,E332,E317,E301,E274,E233,E139,E110,E79,E42,E10,E172,E204)</f>
        <v>101296233.75</v>
      </c>
      <c r="F509" s="803"/>
      <c r="G509" s="803"/>
      <c r="H509" s="803"/>
      <c r="I509" s="803"/>
      <c r="J509" s="803"/>
      <c r="K509" s="635"/>
      <c r="L509" s="803"/>
      <c r="M509" s="802">
        <f>SUM(M498,M482,M466,M443,M385,M413,M362,M347,M332,M317,M301,M274,M233,M139,M110,M79,M47,M15,M172,M204)</f>
        <v>105618856.10986</v>
      </c>
      <c r="N509" s="803"/>
      <c r="O509" s="803"/>
      <c r="P509" s="803"/>
      <c r="Q509" s="802">
        <f>SUM(Q275,Q234,Q111,Q80,Q48,Q16)</f>
        <v>1090299.6752742445</v>
      </c>
      <c r="R509" s="803"/>
      <c r="S509" s="803"/>
      <c r="T509" s="803" t="s">
        <v>242</v>
      </c>
      <c r="U509" s="802">
        <f>SUM(U274,U233,U110,U79,U47,U15)</f>
        <v>1473456.6948657625</v>
      </c>
      <c r="V509" s="803"/>
      <c r="W509" s="804" t="s">
        <v>243</v>
      </c>
      <c r="X509" s="746"/>
      <c r="Y509" s="805">
        <f>SUM(Y507:Y508)</f>
        <v>-842800.29999999888</v>
      </c>
      <c r="Z509" s="803"/>
      <c r="AA509" s="765"/>
      <c r="AB509" s="765"/>
      <c r="AC509" s="806">
        <f>SUM(AC274,AC233,AC110,AC79,AC47,AC15)</f>
        <v>7188899.9900000039</v>
      </c>
    </row>
    <row r="510" spans="1:30">
      <c r="A510" s="1225">
        <v>505</v>
      </c>
      <c r="B510" s="11" t="s">
        <v>244</v>
      </c>
      <c r="E510" s="758">
        <f>SUM(E507,E491,E475,E459,E398,E427,E370,E355,E340,E325,E310,E294,E259,E162,E133,E99,E68,E35,E194,E225)</f>
        <v>264728904.13999996</v>
      </c>
      <c r="F510" s="781"/>
      <c r="G510" s="781"/>
      <c r="H510" s="781"/>
      <c r="I510" s="781"/>
      <c r="J510" s="781"/>
      <c r="K510" s="100"/>
      <c r="L510" s="781"/>
      <c r="M510" s="759"/>
      <c r="N510" s="781"/>
      <c r="O510" s="781"/>
      <c r="P510" s="781"/>
      <c r="Q510" s="781"/>
      <c r="R510" s="781"/>
      <c r="S510" s="781"/>
      <c r="T510" s="781"/>
      <c r="U510" s="752"/>
      <c r="V510" s="781"/>
      <c r="Z510" s="781"/>
    </row>
    <row r="511" spans="1:30">
      <c r="A511" s="1225">
        <v>506</v>
      </c>
      <c r="E511" s="759"/>
      <c r="G511" s="767"/>
      <c r="H511" s="767"/>
      <c r="I511" s="767"/>
      <c r="K511" s="18" t="s">
        <v>245</v>
      </c>
      <c r="M511" s="759">
        <f>-E509</f>
        <v>-101296233.75</v>
      </c>
      <c r="U511" s="752"/>
      <c r="Y511" s="762"/>
    </row>
    <row r="512" spans="1:30">
      <c r="A512" s="1225">
        <v>507</v>
      </c>
      <c r="B512" s="11" t="s">
        <v>246</v>
      </c>
      <c r="E512" s="767">
        <f>'Allocation Report 2020'!P12</f>
        <v>298635.43</v>
      </c>
      <c r="F512" s="767"/>
      <c r="J512" s="767"/>
      <c r="K512" s="18" t="s">
        <v>247</v>
      </c>
      <c r="L512" s="767"/>
      <c r="M512" s="759">
        <f>-SUM(E251,E154,E127,E95,E62,E30,E187,E219)</f>
        <v>-3228993.94</v>
      </c>
      <c r="N512" s="767"/>
      <c r="O512" s="767"/>
      <c r="P512" s="767"/>
      <c r="Q512" s="767"/>
      <c r="R512" s="767"/>
      <c r="S512" s="767"/>
      <c r="T512" s="767"/>
      <c r="U512" s="752"/>
      <c r="V512" s="767"/>
      <c r="Z512" s="767"/>
    </row>
    <row r="513" spans="1:26">
      <c r="A513" s="1225">
        <v>508</v>
      </c>
      <c r="B513" s="11" t="s">
        <v>248</v>
      </c>
      <c r="E513" s="767">
        <f>'Allocation Report 2020'!P14</f>
        <v>0</v>
      </c>
      <c r="F513" s="767"/>
      <c r="J513" s="767"/>
      <c r="K513" s="1" t="s">
        <v>249</v>
      </c>
      <c r="L513" s="767"/>
      <c r="M513" s="758">
        <f>IF($M$542="Yes", H540+O551, -'WACAP 2020'!AE94)</f>
        <v>-776555.85000000044</v>
      </c>
      <c r="N513" s="767"/>
      <c r="O513" s="767"/>
      <c r="P513" s="767"/>
      <c r="Q513" s="759"/>
      <c r="R513" s="767"/>
      <c r="S513" s="767"/>
      <c r="T513" s="767"/>
      <c r="U513" s="752"/>
      <c r="V513" s="767"/>
      <c r="Z513" s="767"/>
    </row>
    <row r="514" spans="1:26">
      <c r="A514" s="1225">
        <v>509</v>
      </c>
      <c r="B514" s="11" t="s">
        <v>250</v>
      </c>
      <c r="E514" s="767">
        <f>'Allocation Report 2020'!P15</f>
        <v>90033</v>
      </c>
      <c r="F514" s="767"/>
      <c r="J514" s="767"/>
      <c r="K514" s="1"/>
      <c r="L514" s="1"/>
      <c r="M514" s="1"/>
      <c r="N514" s="767"/>
      <c r="O514" s="767"/>
      <c r="P514" s="767"/>
      <c r="Q514" s="767"/>
      <c r="R514" s="767"/>
      <c r="S514" s="767"/>
      <c r="T514" s="767"/>
      <c r="U514" s="752"/>
      <c r="V514" s="767"/>
      <c r="Z514" s="767"/>
    </row>
    <row r="515" spans="1:26">
      <c r="A515" s="1225">
        <v>510</v>
      </c>
      <c r="B515" s="11" t="s">
        <v>251</v>
      </c>
      <c r="E515" s="767">
        <f>'Allocation Report 2020'!P16</f>
        <v>65357.400000000023</v>
      </c>
      <c r="F515" s="767"/>
      <c r="J515" s="767"/>
      <c r="K515" s="18" t="s">
        <v>252</v>
      </c>
      <c r="L515" s="767"/>
      <c r="M515" s="807">
        <f>SUM(M511:M514,M509)</f>
        <v>317072.56986001134</v>
      </c>
      <c r="N515" s="767"/>
      <c r="O515" s="767"/>
      <c r="P515" s="767"/>
      <c r="Q515" s="767"/>
      <c r="R515" s="767"/>
      <c r="S515" s="767"/>
      <c r="T515" s="767"/>
      <c r="U515" s="752"/>
      <c r="V515" s="767"/>
      <c r="Z515" s="767"/>
    </row>
    <row r="516" spans="1:26">
      <c r="A516" s="1225">
        <v>511</v>
      </c>
      <c r="B516" s="11" t="s">
        <v>253</v>
      </c>
      <c r="E516" s="767">
        <f>'Allocation Report 2020'!P18</f>
        <v>329323.60000000003</v>
      </c>
      <c r="F516" s="767"/>
      <c r="J516" s="767"/>
      <c r="K516" s="100"/>
      <c r="L516" s="767"/>
      <c r="M516" s="767"/>
      <c r="N516" s="767"/>
      <c r="O516" s="767"/>
      <c r="P516" s="767"/>
      <c r="Q516" s="767"/>
      <c r="R516" s="767"/>
      <c r="S516" s="767"/>
      <c r="T516" s="767"/>
      <c r="U516" s="752"/>
      <c r="V516" s="767"/>
      <c r="Z516" s="767"/>
    </row>
    <row r="517" spans="1:26">
      <c r="A517" s="1225">
        <v>512</v>
      </c>
      <c r="B517" s="11"/>
      <c r="E517" s="759"/>
      <c r="K517" s="100"/>
      <c r="M517" s="808"/>
      <c r="U517" s="752"/>
    </row>
    <row r="518" spans="1:26">
      <c r="A518" s="1225">
        <v>513</v>
      </c>
      <c r="B518" s="11" t="s">
        <v>254</v>
      </c>
      <c r="E518" s="758">
        <f>SUM(E510:E516)</f>
        <v>265512253.56999996</v>
      </c>
      <c r="F518" s="781"/>
      <c r="J518" s="781"/>
      <c r="K518" s="84"/>
      <c r="L518" s="781"/>
      <c r="M518" s="781"/>
      <c r="N518" s="781"/>
      <c r="O518" s="781"/>
      <c r="P518" s="781"/>
      <c r="Q518" s="781"/>
      <c r="R518" s="781"/>
      <c r="S518" s="781"/>
      <c r="T518" s="781"/>
      <c r="U518" s="752"/>
      <c r="V518" s="781"/>
      <c r="Z518" s="781"/>
    </row>
    <row r="519" spans="1:26" ht="15.75" customHeight="1">
      <c r="A519" s="1225">
        <v>514</v>
      </c>
      <c r="D519" s="12" t="s">
        <v>255</v>
      </c>
      <c r="E519" s="781">
        <f>E518-'Allocation Report 2020'!P20</f>
        <v>0</v>
      </c>
      <c r="K519" s="809"/>
      <c r="M519" s="810"/>
      <c r="U519" s="752"/>
    </row>
    <row r="520" spans="1:26">
      <c r="A520" s="1225">
        <v>515</v>
      </c>
      <c r="F520" s="781"/>
      <c r="G520" s="781"/>
      <c r="H520" s="781"/>
      <c r="I520" s="781"/>
      <c r="J520" s="781"/>
      <c r="K520" s="781"/>
      <c r="L520" s="781"/>
      <c r="M520" s="781"/>
      <c r="N520" s="781"/>
      <c r="O520" s="781"/>
      <c r="P520" s="781"/>
      <c r="Q520" s="781"/>
      <c r="R520" s="781"/>
      <c r="S520" s="781"/>
      <c r="T520" s="781"/>
      <c r="U520" s="781"/>
      <c r="V520" s="781"/>
      <c r="Z520" s="781"/>
    </row>
    <row r="521" spans="1:26">
      <c r="A521" s="1225">
        <v>516</v>
      </c>
      <c r="B521" s="11"/>
      <c r="F521" s="89"/>
      <c r="G521" s="89"/>
      <c r="H521" s="89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Z521" s="89"/>
    </row>
    <row r="522" spans="1:26">
      <c r="A522" s="1225">
        <v>517</v>
      </c>
      <c r="C522" s="781"/>
      <c r="E522" s="751"/>
      <c r="M522" s="759"/>
    </row>
    <row r="523" spans="1:26">
      <c r="A523" s="1225">
        <v>518</v>
      </c>
      <c r="E523" s="752"/>
      <c r="G523" s="752"/>
    </row>
    <row r="524" spans="1:26">
      <c r="A524" s="1225">
        <v>519</v>
      </c>
      <c r="B524" s="11" t="s">
        <v>256</v>
      </c>
      <c r="E524" s="752"/>
      <c r="G524" s="752"/>
    </row>
    <row r="525" spans="1:26">
      <c r="A525" s="1225">
        <v>520</v>
      </c>
      <c r="B525" s="1" t="s">
        <v>257</v>
      </c>
      <c r="E525" s="752">
        <f>SUM(E446,E416,E388,E277,E244,E214,E183,E149,E120,E89,E54,E22)</f>
        <v>-2070343.4299999995</v>
      </c>
      <c r="G525" s="752"/>
    </row>
    <row r="526" spans="1:26">
      <c r="A526" s="1225">
        <v>521</v>
      </c>
      <c r="B526" s="1" t="s">
        <v>258</v>
      </c>
      <c r="E526" s="752">
        <f>SUM(E447,E417,E389,E278,E245,E215,E184,E150,E121,E90,E55,E23)</f>
        <v>-810503.5</v>
      </c>
      <c r="G526" s="752"/>
      <c r="M526" s="759"/>
    </row>
    <row r="527" spans="1:26">
      <c r="A527" s="1225">
        <v>522</v>
      </c>
      <c r="B527" s="1" t="s">
        <v>259</v>
      </c>
      <c r="E527" s="752">
        <f>SUM(E448,E418,E390,E279,E246,E56,E24)</f>
        <v>585.68000000000006</v>
      </c>
      <c r="G527" s="752"/>
    </row>
    <row r="528" spans="1:26">
      <c r="A528" s="1225">
        <v>523</v>
      </c>
      <c r="B528" s="1" t="s">
        <v>260</v>
      </c>
      <c r="E528" s="752">
        <f>SUM(E235,E206,E174,E141,E112,E81,E46,E14)</f>
        <v>107869046.69</v>
      </c>
      <c r="G528" s="752"/>
    </row>
    <row r="529" spans="1:13">
      <c r="A529" s="1225">
        <v>524</v>
      </c>
      <c r="B529" s="1" t="s">
        <v>132</v>
      </c>
      <c r="E529" s="752">
        <f>SUM(E238,E209,E177,E144,E115,E84,E49,E17)</f>
        <v>34176630.819999993</v>
      </c>
      <c r="G529" s="752"/>
      <c r="K529" s="12" t="s">
        <v>3273</v>
      </c>
      <c r="L529" s="12" t="s">
        <v>3272</v>
      </c>
      <c r="M529" s="12" t="s">
        <v>3146</v>
      </c>
    </row>
    <row r="530" spans="1:13">
      <c r="A530" s="1225">
        <v>525</v>
      </c>
      <c r="B530" s="1" t="s">
        <v>261</v>
      </c>
      <c r="E530" s="752">
        <f>SUM(E243,E213,E182,E148,E119,E88,E53,E21)</f>
        <v>6534913.8199999966</v>
      </c>
      <c r="K530" s="1425">
        <f>E510-K532</f>
        <v>239620241.36999997</v>
      </c>
      <c r="L530" s="1426">
        <v>241834765.66</v>
      </c>
      <c r="M530" s="1427">
        <f>L530-K530</f>
        <v>2214524.2900000215</v>
      </c>
    </row>
    <row r="531" spans="1:13">
      <c r="A531" s="1225">
        <v>526</v>
      </c>
      <c r="B531" s="1" t="s">
        <v>133</v>
      </c>
      <c r="E531" s="752">
        <f>SUM(E449,E419,E391,E280,E239,E210,E178,E145,E116,E85,E50,E18)</f>
        <v>887575.52</v>
      </c>
      <c r="G531" s="752"/>
      <c r="K531" s="1428">
        <v>0</v>
      </c>
      <c r="L531" s="1429">
        <v>0</v>
      </c>
      <c r="M531" s="1430">
        <f>L531-K531</f>
        <v>0</v>
      </c>
    </row>
    <row r="532" spans="1:13">
      <c r="A532" s="1225">
        <v>527</v>
      </c>
      <c r="B532" s="1" t="s">
        <v>135</v>
      </c>
      <c r="E532" s="752">
        <f>SUM(E241,E212,E180,E147,E118,E87,E52,E20)</f>
        <v>412122.31999999995</v>
      </c>
      <c r="G532" s="752"/>
      <c r="K532" s="1428">
        <f>SUM(E507,E491,E475,E459,E427,E398,E370,E355,E340,E325,E310,E294)</f>
        <v>25108662.769999981</v>
      </c>
      <c r="L532" s="1429">
        <v>25108662.77</v>
      </c>
      <c r="M532" s="1430">
        <f>L532-K532</f>
        <v>0</v>
      </c>
    </row>
    <row r="533" spans="1:13">
      <c r="A533" s="1225">
        <v>528</v>
      </c>
      <c r="B533" s="1" t="s">
        <v>134</v>
      </c>
      <c r="E533" s="752">
        <f>SUM(E450,E420,E392,E281,E240,E211,E179,E146,E117,E86,E51,E19)</f>
        <v>2264943.2999999989</v>
      </c>
      <c r="K533" s="1428">
        <f>SUM(E512:E515)</f>
        <v>454025.83</v>
      </c>
      <c r="L533" s="1429">
        <v>458472.96000000002</v>
      </c>
      <c r="M533" s="1430">
        <f>L533-K533</f>
        <v>4447.1300000000047</v>
      </c>
    </row>
    <row r="534" spans="1:13">
      <c r="A534" s="1225">
        <v>529</v>
      </c>
      <c r="K534" s="1428">
        <f>E516</f>
        <v>329323.60000000003</v>
      </c>
      <c r="L534" s="1429">
        <v>329323.59999999998</v>
      </c>
      <c r="M534" s="1430">
        <f>L534-K534</f>
        <v>0</v>
      </c>
    </row>
    <row r="535" spans="1:13">
      <c r="A535" s="1225">
        <v>530</v>
      </c>
      <c r="K535" s="1431"/>
      <c r="L535" s="1432"/>
      <c r="M535" s="1433"/>
    </row>
    <row r="536" spans="1:13">
      <c r="A536" s="1225">
        <v>531</v>
      </c>
      <c r="B536" s="1" t="s">
        <v>3268</v>
      </c>
      <c r="C536" s="1415" t="s">
        <v>175</v>
      </c>
      <c r="E536" s="752">
        <f>SUMIF($B$7:$B$507, C536, $E$7:$E$507)</f>
        <v>-34269337.070000008</v>
      </c>
      <c r="K536" s="1434">
        <f>E518</f>
        <v>265512253.56999996</v>
      </c>
      <c r="L536" s="770">
        <f>SUM(L530:L534)</f>
        <v>267731224.99000001</v>
      </c>
      <c r="M536" s="1435">
        <f>L536-K536</f>
        <v>2218971.4200000465</v>
      </c>
    </row>
    <row r="537" spans="1:13">
      <c r="C537" s="1415" t="s">
        <v>176</v>
      </c>
      <c r="E537" s="752">
        <f>SUMIF($B$7:$B$507, C537, $E$7:$E$507)</f>
        <v>33382829.81000001</v>
      </c>
    </row>
    <row r="538" spans="1:13">
      <c r="C538" s="1415" t="s">
        <v>143</v>
      </c>
      <c r="E538" s="752">
        <f>SUMIF($B$7:$B$507, C538, $E$7:$E$507)</f>
        <v>116880160.80000001</v>
      </c>
      <c r="G538" s="12" t="s">
        <v>74</v>
      </c>
      <c r="H538" s="752">
        <f>E537+E538</f>
        <v>150262990.61000001</v>
      </c>
      <c r="I538" s="12">
        <v>2020</v>
      </c>
      <c r="K538" s="767"/>
    </row>
    <row r="539" spans="1:13">
      <c r="C539" s="1415" t="s">
        <v>144</v>
      </c>
      <c r="E539" s="752">
        <f>SUMIF($B$7:$B$507, C539, $E$7:$E$507)</f>
        <v>-118123651.59999999</v>
      </c>
      <c r="G539" s="12" t="s">
        <v>3269</v>
      </c>
      <c r="H539" s="752">
        <f>E539+E536</f>
        <v>-152392988.67000002</v>
      </c>
      <c r="I539" s="12">
        <v>2019</v>
      </c>
      <c r="K539" s="767"/>
    </row>
    <row r="540" spans="1:13">
      <c r="C540" s="12" t="s">
        <v>294</v>
      </c>
      <c r="E540" s="752">
        <f>SUM(E536:E539)</f>
        <v>-2129998.0599999726</v>
      </c>
      <c r="G540" s="12" t="s">
        <v>3286</v>
      </c>
      <c r="H540" s="1436">
        <f>SUM(H538:H539)</f>
        <v>-2129998.0600000024</v>
      </c>
    </row>
    <row r="541" spans="1:13">
      <c r="M541" s="12" t="s">
        <v>3287</v>
      </c>
    </row>
    <row r="542" spans="1:13">
      <c r="B542" s="1" t="s">
        <v>149</v>
      </c>
      <c r="E542" s="752"/>
      <c r="H542" s="12" t="s">
        <v>3274</v>
      </c>
      <c r="I542" s="758">
        <f>M530+H540</f>
        <v>84526.230000019073</v>
      </c>
      <c r="M542" s="1450" t="s">
        <v>746</v>
      </c>
    </row>
    <row r="543" spans="1:13">
      <c r="B543" s="1" t="s">
        <v>3268</v>
      </c>
      <c r="C543" s="12" t="s">
        <v>294</v>
      </c>
      <c r="E543" s="752">
        <f>SUM(E544:E547)</f>
        <v>-2129998.0599999726</v>
      </c>
    </row>
    <row r="544" spans="1:13">
      <c r="C544" s="34" t="s">
        <v>175</v>
      </c>
      <c r="E544" s="758">
        <f>E158+E190+E221+E255+E290+E306+E321+E336+E351+E366+E394+E423+E455+E471+E487+E503</f>
        <v>-34269337.070000008</v>
      </c>
    </row>
    <row r="545" spans="3:16">
      <c r="C545" s="34" t="s">
        <v>176</v>
      </c>
      <c r="E545" s="758">
        <f>E159+E191+E222+E256+E291+E307+E322+E337+E352+E367+E395+E424+E456+E472+E488+E504+E65</f>
        <v>33382829.81000001</v>
      </c>
    </row>
    <row r="546" spans="3:16">
      <c r="C546" s="1" t="s">
        <v>143</v>
      </c>
      <c r="E546" s="758">
        <f>E28+E60+E93+E125+E152+E185+E217+E249+E287</f>
        <v>116880160.80000001</v>
      </c>
      <c r="P546" s="18"/>
    </row>
    <row r="547" spans="3:16">
      <c r="C547" s="1" t="s">
        <v>144</v>
      </c>
      <c r="E547" s="758">
        <f>E29+E61+E94+E126+E153+E186+E218+E250+E288</f>
        <v>-118123651.59999999</v>
      </c>
      <c r="L547" s="12" t="s">
        <v>3275</v>
      </c>
      <c r="M547" s="758">
        <f>-M513+'Suppl Sch Adj'!F4+'Suppl Sch Adj'!G4</f>
        <v>2269541.6257400005</v>
      </c>
    </row>
    <row r="548" spans="3:16">
      <c r="L548" s="12" t="s">
        <v>3281</v>
      </c>
      <c r="M548" s="758">
        <f>'WACAP 2020'!AE98+'Suppl Sch Adj'!F4+'Suppl Sch Adj'!G4</f>
        <v>1686567.3157400005</v>
      </c>
      <c r="O548" s="758">
        <f>H540+M548</f>
        <v>-443430.74426000193</v>
      </c>
      <c r="P548" s="18" t="s">
        <v>3282</v>
      </c>
    </row>
    <row r="549" spans="3:16">
      <c r="L549" s="12" t="s">
        <v>3146</v>
      </c>
      <c r="M549" s="758">
        <f>M547-M548</f>
        <v>582974.31000000006</v>
      </c>
    </row>
    <row r="550" spans="3:16">
      <c r="O550" s="758">
        <f>H540+M513</f>
        <v>-2906553.9100000029</v>
      </c>
      <c r="P550" s="12" t="s">
        <v>3283</v>
      </c>
    </row>
    <row r="551" spans="3:16">
      <c r="M551" s="752">
        <f>H540+M548</f>
        <v>-443430.74426000193</v>
      </c>
      <c r="O551" s="758">
        <f>+'Suppl Sch Adj'!F4+'Suppl Sch Adj'!G4</f>
        <v>1492985.77574</v>
      </c>
      <c r="P551" s="12" t="s">
        <v>3284</v>
      </c>
    </row>
    <row r="552" spans="3:16">
      <c r="O552" s="758">
        <f>SUM(O550:O551)</f>
        <v>-1413568.134260003</v>
      </c>
      <c r="P552" s="12" t="s">
        <v>3264</v>
      </c>
    </row>
    <row r="553" spans="3:16">
      <c r="O553" s="1451">
        <f>O552-M513</f>
        <v>-637012.28426000255</v>
      </c>
      <c r="P553" s="18" t="s">
        <v>3285</v>
      </c>
    </row>
    <row r="554" spans="3:16">
      <c r="K554" s="752">
        <f>H540</f>
        <v>-2129998.0600000024</v>
      </c>
      <c r="L554" s="12" t="s">
        <v>3289</v>
      </c>
      <c r="M554" s="752"/>
      <c r="O554" s="758">
        <f>O551+M513</f>
        <v>716429.92573999951</v>
      </c>
    </row>
    <row r="555" spans="3:16">
      <c r="K555" s="758">
        <f>O551</f>
        <v>1492985.77574</v>
      </c>
      <c r="L555" s="12" t="s">
        <v>3290</v>
      </c>
      <c r="O555" s="1451">
        <f>H540+O554</f>
        <v>-1413568.134260003</v>
      </c>
    </row>
    <row r="556" spans="3:16">
      <c r="K556" s="1436">
        <f>K554+K555</f>
        <v>-637012.28426000243</v>
      </c>
      <c r="L556" s="12" t="s">
        <v>3291</v>
      </c>
      <c r="M556" s="752"/>
      <c r="O556" s="1451">
        <f>H540+O551</f>
        <v>-637012.28426000243</v>
      </c>
      <c r="P556" s="758">
        <f>O555-O556</f>
        <v>-776555.85000000056</v>
      </c>
    </row>
    <row r="560" spans="3:16">
      <c r="K560" s="752">
        <f>E543</f>
        <v>-2129998.0599999726</v>
      </c>
      <c r="L560" s="12" t="s">
        <v>3289</v>
      </c>
    </row>
    <row r="561" spans="11:12">
      <c r="K561" s="758">
        <f>K555</f>
        <v>1492985.77574</v>
      </c>
      <c r="L561" s="12" t="s">
        <v>3290</v>
      </c>
    </row>
    <row r="562" spans="11:12">
      <c r="K562" s="752">
        <f>M513</f>
        <v>-776555.85000000044</v>
      </c>
      <c r="L562" s="12" t="s">
        <v>3292</v>
      </c>
    </row>
    <row r="563" spans="11:12">
      <c r="K563" s="1453">
        <f>SUM(K560:K562)</f>
        <v>-1413568.1342599732</v>
      </c>
      <c r="L563" s="12" t="s">
        <v>3291</v>
      </c>
    </row>
    <row r="565" spans="11:12">
      <c r="K565" s="1436">
        <f>K563-K556</f>
        <v>-776555.84999997076</v>
      </c>
      <c r="L565" s="12" t="s">
        <v>3264</v>
      </c>
    </row>
  </sheetData>
  <autoFilter ref="A1:E540" xr:uid="{1397E199-DE9D-418F-BF24-71FB67AFE986}"/>
  <mergeCells count="7">
    <mergeCell ref="C3:E3"/>
    <mergeCell ref="AA3:AC3"/>
    <mergeCell ref="G3:I3"/>
    <mergeCell ref="K3:M3"/>
    <mergeCell ref="O3:Q3"/>
    <mergeCell ref="S3:U3"/>
    <mergeCell ref="W3:Y3"/>
  </mergeCells>
  <dataValidations count="1">
    <dataValidation type="list" allowBlank="1" showInputMessage="1" showErrorMessage="1" sqref="M542" xr:uid="{89FB528F-3A62-42DD-BF81-3D6848660ED7}">
      <formula1>"Yes, No"</formula1>
    </dataValidation>
  </dataValidations>
  <printOptions horizontalCentered="1"/>
  <pageMargins left="0.5" right="0.5" top="1" bottom="0.75" header="0.5" footer="0.3"/>
  <pageSetup paperSize="3" scale="72" fitToWidth="2" fitToHeight="0" pageOrder="overThenDown" orientation="landscape" useFirstPageNumber="1" horizontalDpi="1200" verticalDpi="1200" r:id="rId1"/>
  <headerFooter scaleWithDoc="0">
    <oddHeader>&amp;C&amp;10Cascade Natural Gas Corporation
SUMMARY OF REVENUES BY RATE SCHEDULE&amp;R&amp;9Docket No. UG-21____
Exhibit No. ___ (IDM-2)
Page &amp;P of 5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BD728-44C2-4EE1-A414-AC4A69EFB39F}">
  <sheetPr codeName="Sheet48">
    <tabColor rgb="FF00B0F0"/>
    <pageSetUpPr fitToPage="1"/>
  </sheetPr>
  <dimension ref="A1:AH48"/>
  <sheetViews>
    <sheetView zoomScale="80" zoomScaleNormal="80" workbookViewId="0">
      <selection activeCell="AG24" sqref="AG24"/>
    </sheetView>
  </sheetViews>
  <sheetFormatPr defaultColWidth="8.85546875" defaultRowHeight="15" outlineLevelCol="1"/>
  <cols>
    <col min="1" max="1" width="5" style="113" customWidth="1"/>
    <col min="2" max="2" width="20.140625" style="113" bestFit="1" customWidth="1"/>
    <col min="3" max="3" width="9.85546875" style="113" bestFit="1" customWidth="1"/>
    <col min="4" max="4" width="16.7109375" style="113" bestFit="1" customWidth="1"/>
    <col min="5" max="5" width="7.85546875" style="113" bestFit="1" customWidth="1"/>
    <col min="6" max="6" width="10.28515625" style="113" bestFit="1" customWidth="1"/>
    <col min="7" max="7" width="13.42578125" style="113" bestFit="1" customWidth="1"/>
    <col min="8" max="9" width="12.140625" style="556" bestFit="1" customWidth="1"/>
    <col min="10" max="10" width="11.5703125" style="556" customWidth="1"/>
    <col min="11" max="11" width="10.85546875" style="556" bestFit="1" customWidth="1"/>
    <col min="12" max="12" width="12" style="117" bestFit="1" customWidth="1"/>
    <col min="13" max="13" width="2.42578125" style="113" customWidth="1"/>
    <col min="14" max="14" width="9.7109375" style="1227" hidden="1" customWidth="1" outlineLevel="1"/>
    <col min="15" max="15" width="11.7109375" style="1258" hidden="1" customWidth="1" outlineLevel="1"/>
    <col min="16" max="16" width="10.5703125" style="1258" hidden="1" customWidth="1" outlineLevel="1"/>
    <col min="17" max="17" width="11.7109375" style="1259" hidden="1" customWidth="1" outlineLevel="1"/>
    <col min="18" max="18" width="2.42578125" style="1227" hidden="1" customWidth="1" outlineLevel="1"/>
    <col min="19" max="19" width="9.7109375" style="1227" hidden="1" customWidth="1" outlineLevel="1"/>
    <col min="20" max="20" width="11.7109375" style="1258" hidden="1" customWidth="1" outlineLevel="1"/>
    <col min="21" max="21" width="10.5703125" style="1258" hidden="1" customWidth="1" outlineLevel="1"/>
    <col min="22" max="22" width="11.7109375" style="1259" hidden="1" customWidth="1" outlineLevel="1"/>
    <col min="23" max="23" width="2.42578125" style="1227" hidden="1" customWidth="1" outlineLevel="1"/>
    <col min="24" max="24" width="9.7109375" style="1227" hidden="1" customWidth="1" outlineLevel="1"/>
    <col min="25" max="25" width="11.7109375" style="1258" hidden="1" customWidth="1" outlineLevel="1"/>
    <col min="26" max="26" width="10.5703125" style="1258" hidden="1" customWidth="1" outlineLevel="1"/>
    <col min="27" max="27" width="11.7109375" style="1259" hidden="1" customWidth="1" outlineLevel="1"/>
    <col min="28" max="28" width="2.42578125" style="113" hidden="1" customWidth="1" outlineLevel="1"/>
    <col min="29" max="29" width="8.85546875" style="113" collapsed="1"/>
    <col min="30" max="30" width="10.85546875" style="113" bestFit="1" customWidth="1"/>
    <col min="31" max="31" width="8.85546875" style="113"/>
    <col min="32" max="32" width="9.140625" style="113" customWidth="1"/>
    <col min="33" max="33" width="8.85546875" style="113"/>
    <col min="34" max="34" width="10.85546875" style="113" bestFit="1" customWidth="1"/>
    <col min="35" max="16384" width="8.85546875" style="113"/>
  </cols>
  <sheetData>
    <row r="1" spans="1:31">
      <c r="A1" s="1491" t="str">
        <f>Company</f>
        <v>Cascade Natural Gas Corp.</v>
      </c>
      <c r="B1" s="1492"/>
      <c r="C1" s="1492"/>
      <c r="D1" s="1492"/>
      <c r="E1" s="1492"/>
      <c r="F1" s="1492"/>
      <c r="G1" s="1492"/>
      <c r="H1" s="1492"/>
      <c r="I1" s="1492"/>
      <c r="J1" s="1492"/>
      <c r="K1" s="1492"/>
      <c r="L1" s="1492"/>
      <c r="O1" s="1227"/>
      <c r="P1" s="1227"/>
      <c r="Q1" s="1227"/>
      <c r="T1" s="1227"/>
      <c r="U1" s="1227"/>
      <c r="V1" s="1227"/>
      <c r="Y1" s="1227"/>
      <c r="Z1" s="1227"/>
      <c r="AA1" s="1227"/>
    </row>
    <row r="2" spans="1:31">
      <c r="A2" s="1491" t="str">
        <f>Title1</f>
        <v>Washington Jurisdiction</v>
      </c>
      <c r="B2" s="1492"/>
      <c r="C2" s="1492"/>
      <c r="D2" s="1492"/>
      <c r="E2" s="1492"/>
      <c r="F2" s="1492"/>
      <c r="G2" s="1492"/>
      <c r="H2" s="1492"/>
      <c r="I2" s="1492"/>
      <c r="J2" s="1492"/>
      <c r="K2" s="1492"/>
      <c r="L2" s="1492"/>
      <c r="O2" s="1227"/>
      <c r="P2" s="1227"/>
      <c r="Q2" s="1227"/>
      <c r="T2" s="1227"/>
      <c r="U2" s="1227"/>
      <c r="V2" s="1227"/>
      <c r="Y2" s="1227"/>
      <c r="Z2" s="1227"/>
      <c r="AA2" s="1227"/>
    </row>
    <row r="3" spans="1:31">
      <c r="A3" s="1491" t="str">
        <f>Title2</f>
        <v>Twelve-Months ended December 31, 2020</v>
      </c>
      <c r="B3" s="1492"/>
      <c r="C3" s="1492"/>
      <c r="D3" s="1492"/>
      <c r="E3" s="1492"/>
      <c r="F3" s="1492"/>
      <c r="G3" s="1492"/>
      <c r="H3" s="1492"/>
      <c r="I3" s="1492"/>
      <c r="J3" s="1492"/>
      <c r="K3" s="1492"/>
      <c r="L3" s="1492"/>
      <c r="O3" s="1227"/>
      <c r="P3" s="1227"/>
      <c r="Q3" s="1227"/>
      <c r="T3" s="1227"/>
      <c r="U3" s="1227"/>
      <c r="V3" s="1227"/>
      <c r="Y3" s="1227"/>
      <c r="Z3" s="1227"/>
      <c r="AA3" s="1227"/>
    </row>
    <row r="4" spans="1:31">
      <c r="A4" s="1491" t="s">
        <v>262</v>
      </c>
      <c r="B4" s="1491"/>
      <c r="C4" s="1491"/>
      <c r="D4" s="1491"/>
      <c r="E4" s="1491"/>
      <c r="F4" s="1491"/>
      <c r="G4" s="1491"/>
      <c r="H4" s="1491"/>
      <c r="I4" s="1491"/>
      <c r="J4" s="1491"/>
      <c r="K4" s="1491"/>
      <c r="L4" s="1491"/>
      <c r="O4" s="1227"/>
      <c r="P4" s="1227"/>
      <c r="Q4" s="1227"/>
      <c r="T4" s="1227"/>
      <c r="U4" s="1227"/>
      <c r="V4" s="1227"/>
      <c r="Y4" s="1227"/>
      <c r="Z4" s="1227"/>
      <c r="AA4" s="1227"/>
    </row>
    <row r="5" spans="1:3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N5" s="1252"/>
      <c r="O5" s="1252"/>
      <c r="P5" s="1252"/>
      <c r="Q5" s="1252"/>
      <c r="S5" s="1252"/>
      <c r="T5" s="1252"/>
      <c r="U5" s="1252"/>
      <c r="V5" s="1252"/>
      <c r="X5" s="1252"/>
      <c r="Y5" s="1252"/>
      <c r="Z5" s="1252"/>
      <c r="AA5" s="1252"/>
    </row>
    <row r="6" spans="1:31" ht="60">
      <c r="A6" s="334" t="s">
        <v>0</v>
      </c>
      <c r="B6" s="334" t="s">
        <v>9</v>
      </c>
      <c r="C6" s="334" t="s">
        <v>63</v>
      </c>
      <c r="D6" s="334" t="s">
        <v>263</v>
      </c>
      <c r="E6" s="334" t="s">
        <v>84</v>
      </c>
      <c r="F6" s="334" t="s">
        <v>264</v>
      </c>
      <c r="G6" s="334" t="s">
        <v>265</v>
      </c>
      <c r="H6" s="922" t="s">
        <v>93</v>
      </c>
      <c r="I6" s="923" t="s">
        <v>266</v>
      </c>
      <c r="J6" s="922" t="s">
        <v>267</v>
      </c>
      <c r="K6" s="922" t="s">
        <v>268</v>
      </c>
      <c r="L6" s="923" t="s">
        <v>269</v>
      </c>
      <c r="N6" s="1253" t="s">
        <v>270</v>
      </c>
      <c r="O6" s="1254" t="s">
        <v>266</v>
      </c>
      <c r="P6" s="1255" t="s">
        <v>268</v>
      </c>
      <c r="Q6" s="1254" t="s">
        <v>269</v>
      </c>
      <c r="S6" s="1253" t="s">
        <v>271</v>
      </c>
      <c r="T6" s="1254" t="s">
        <v>266</v>
      </c>
      <c r="U6" s="1255" t="s">
        <v>268</v>
      </c>
      <c r="V6" s="1254" t="s">
        <v>269</v>
      </c>
      <c r="X6" s="1253" t="s">
        <v>272</v>
      </c>
      <c r="Y6" s="1254" t="s">
        <v>266</v>
      </c>
      <c r="Z6" s="1255" t="s">
        <v>268</v>
      </c>
      <c r="AA6" s="1254" t="s">
        <v>269</v>
      </c>
    </row>
    <row r="7" spans="1:31">
      <c r="A7" s="474"/>
      <c r="B7" s="245" t="s">
        <v>2</v>
      </c>
      <c r="C7" s="245" t="s">
        <v>3</v>
      </c>
      <c r="D7" s="245" t="s">
        <v>4</v>
      </c>
      <c r="E7" s="245" t="s">
        <v>5</v>
      </c>
      <c r="F7" s="245" t="s">
        <v>6</v>
      </c>
      <c r="G7" s="245" t="s">
        <v>273</v>
      </c>
      <c r="H7" s="245" t="s">
        <v>274</v>
      </c>
      <c r="I7" s="245" t="s">
        <v>275</v>
      </c>
      <c r="J7" s="245" t="s">
        <v>276</v>
      </c>
      <c r="K7" s="245" t="s">
        <v>277</v>
      </c>
      <c r="L7" s="245" t="s">
        <v>278</v>
      </c>
      <c r="N7" s="1256" t="s">
        <v>279</v>
      </c>
      <c r="O7" s="1256" t="s">
        <v>280</v>
      </c>
      <c r="P7" s="1256" t="s">
        <v>281</v>
      </c>
      <c r="Q7" s="1256" t="s">
        <v>282</v>
      </c>
      <c r="S7" s="1256" t="s">
        <v>283</v>
      </c>
      <c r="T7" s="1256" t="s">
        <v>284</v>
      </c>
      <c r="U7" s="1256" t="s">
        <v>285</v>
      </c>
      <c r="V7" s="1256" t="s">
        <v>286</v>
      </c>
      <c r="X7" s="1256" t="s">
        <v>287</v>
      </c>
      <c r="Y7" s="1256" t="s">
        <v>288</v>
      </c>
      <c r="Z7" s="1256" t="s">
        <v>289</v>
      </c>
      <c r="AA7" s="1256" t="s">
        <v>290</v>
      </c>
    </row>
    <row r="8" spans="1:31">
      <c r="A8" s="1209">
        <f>MAX($A$7:A7)+1</f>
        <v>1</v>
      </c>
      <c r="B8" s="138" t="s">
        <v>291</v>
      </c>
      <c r="C8" s="1209"/>
      <c r="D8" s="1209"/>
      <c r="E8" s="1209"/>
      <c r="F8" s="1209"/>
      <c r="G8" s="1209"/>
      <c r="H8" s="1209"/>
      <c r="I8" s="1209"/>
      <c r="J8" s="1209"/>
      <c r="K8" s="1209"/>
      <c r="L8" s="1209"/>
      <c r="N8" s="1257"/>
      <c r="O8" s="1257"/>
      <c r="P8" s="1257"/>
      <c r="Q8" s="1257"/>
      <c r="S8" s="1257"/>
      <c r="T8" s="1257"/>
      <c r="U8" s="1257"/>
      <c r="V8" s="1257"/>
      <c r="X8" s="1257"/>
      <c r="Y8" s="1257"/>
      <c r="Z8" s="1257"/>
      <c r="AA8" s="1257"/>
    </row>
    <row r="9" spans="1:31">
      <c r="A9" s="1209">
        <f>MAX($A$7:A8)+1</f>
        <v>2</v>
      </c>
      <c r="B9" s="118" t="s">
        <v>292</v>
      </c>
    </row>
    <row r="10" spans="1:31">
      <c r="A10" s="1209">
        <f>MAX($A$7:A9)+1</f>
        <v>3</v>
      </c>
      <c r="B10" s="113" t="s">
        <v>293</v>
      </c>
      <c r="C10" s="1209">
        <v>503</v>
      </c>
      <c r="D10" s="1209"/>
      <c r="E10" s="326">
        <f>'Exh IDM-4, Class Rates'!D10</f>
        <v>0.31274000000000002</v>
      </c>
      <c r="F10" s="326">
        <f>E10*(1+L11)</f>
        <v>0.34082887860581407</v>
      </c>
      <c r="G10" s="556">
        <f>'Exh IDM-4, Class Rates'!C10</f>
        <v>128672934.97655511</v>
      </c>
      <c r="H10" s="556">
        <f>ROUND(G10*E10, 2)</f>
        <v>40241173.68</v>
      </c>
      <c r="I10" s="556">
        <f>ROUND(F10*G10, 2)</f>
        <v>43855452.130000003</v>
      </c>
      <c r="K10" s="556" t="s">
        <v>70</v>
      </c>
      <c r="L10" s="117" t="s">
        <v>70</v>
      </c>
      <c r="N10" s="1260">
        <f>IF($P$46=0,0,F10*(1+Q11))</f>
        <v>0</v>
      </c>
      <c r="O10" s="1258">
        <f>N10*$G10</f>
        <v>0</v>
      </c>
      <c r="P10" s="1258" t="s">
        <v>70</v>
      </c>
      <c r="Q10" s="1259" t="s">
        <v>70</v>
      </c>
      <c r="R10" s="1260"/>
      <c r="S10" s="1260">
        <f>IF($U$46=0,0,N10*(1+V11))</f>
        <v>0</v>
      </c>
      <c r="T10" s="1258">
        <f>S10*$G10</f>
        <v>0</v>
      </c>
      <c r="U10" s="1258" t="s">
        <v>70</v>
      </c>
      <c r="V10" s="1259" t="s">
        <v>70</v>
      </c>
      <c r="W10" s="1260"/>
      <c r="X10" s="1260">
        <f>IF($U$46=0,0,S10*(1+AA11))</f>
        <v>0</v>
      </c>
      <c r="Y10" s="1258">
        <f>X10*$G10</f>
        <v>0</v>
      </c>
      <c r="Z10" s="1258" t="s">
        <v>70</v>
      </c>
      <c r="AA10" s="1259" t="s">
        <v>70</v>
      </c>
      <c r="AB10" s="326"/>
    </row>
    <row r="11" spans="1:31">
      <c r="A11" s="1209">
        <f>MAX($A$7:A10)+1</f>
        <v>4</v>
      </c>
      <c r="B11" s="449" t="s">
        <v>294</v>
      </c>
      <c r="C11" s="1209"/>
      <c r="D11" s="1209"/>
      <c r="E11" s="326"/>
      <c r="F11" s="326"/>
      <c r="G11" s="556">
        <f>SUM(G10)</f>
        <v>128672934.97655511</v>
      </c>
      <c r="H11" s="556">
        <f>SUM(H10)</f>
        <v>40241173.68</v>
      </c>
      <c r="I11" s="556">
        <f>SUM(I10)</f>
        <v>43855452.130000003</v>
      </c>
      <c r="J11" s="427">
        <f>H11/$H$46</f>
        <v>0.50275820385935777</v>
      </c>
      <c r="K11" s="556">
        <f>ROUND(J11*$K$46, 2)</f>
        <v>3614278.45</v>
      </c>
      <c r="L11" s="117">
        <f>K11/H11</f>
        <v>8.9815433285841489E-2</v>
      </c>
      <c r="N11" s="1260"/>
      <c r="O11" s="1258">
        <f>SUM(O10)</f>
        <v>0</v>
      </c>
      <c r="P11" s="1258">
        <f>$J11*P$46</f>
        <v>0</v>
      </c>
      <c r="Q11" s="1259">
        <f>P11/I11</f>
        <v>0</v>
      </c>
      <c r="R11" s="1260"/>
      <c r="S11" s="1260"/>
      <c r="T11" s="1258">
        <f>SUM(T10)</f>
        <v>0</v>
      </c>
      <c r="U11" s="1258">
        <f>$J11*U$46</f>
        <v>0</v>
      </c>
      <c r="V11" s="1259" t="e">
        <f>U11/O11</f>
        <v>#DIV/0!</v>
      </c>
      <c r="W11" s="1260"/>
      <c r="X11" s="1260"/>
      <c r="Y11" s="1258">
        <f>SUM(Y10)</f>
        <v>0</v>
      </c>
      <c r="Z11" s="1258">
        <f>$J11*Z$46</f>
        <v>0</v>
      </c>
      <c r="AA11" s="1259" t="e">
        <f>Z11/T11</f>
        <v>#DIV/0!</v>
      </c>
      <c r="AB11" s="326"/>
      <c r="AD11" s="556">
        <f>I11-H11</f>
        <v>3614278.450000003</v>
      </c>
      <c r="AE11" s="556">
        <f>AD11-K11</f>
        <v>0</v>
      </c>
    </row>
    <row r="12" spans="1:31">
      <c r="A12" s="1209">
        <f>MAX($A$7:A11)+1</f>
        <v>5</v>
      </c>
      <c r="C12" s="1209"/>
      <c r="D12" s="1209"/>
      <c r="E12" s="326"/>
      <c r="F12" s="326"/>
      <c r="G12" s="556"/>
      <c r="J12" s="427"/>
      <c r="N12" s="1260"/>
      <c r="R12" s="1260"/>
      <c r="S12" s="1260"/>
      <c r="W12" s="1260"/>
      <c r="X12" s="1260"/>
      <c r="AB12" s="326"/>
    </row>
    <row r="13" spans="1:31">
      <c r="A13" s="1209">
        <f>MAX($A$7:A12)+1</f>
        <v>6</v>
      </c>
      <c r="B13" s="118" t="s">
        <v>295</v>
      </c>
      <c r="C13" s="1209"/>
      <c r="D13" s="1209"/>
      <c r="E13" s="326"/>
      <c r="F13" s="326"/>
      <c r="G13" s="556"/>
      <c r="J13" s="427"/>
      <c r="N13" s="1260"/>
      <c r="R13" s="1260"/>
      <c r="S13" s="1260"/>
      <c r="W13" s="1260"/>
      <c r="X13" s="1260"/>
      <c r="AB13" s="326"/>
    </row>
    <row r="14" spans="1:31">
      <c r="A14" s="1209">
        <f>MAX($A$7:A13)+1</f>
        <v>7</v>
      </c>
      <c r="B14" s="113" t="s">
        <v>293</v>
      </c>
      <c r="C14" s="1209">
        <v>504</v>
      </c>
      <c r="D14" s="1209"/>
      <c r="E14" s="326">
        <f>'Exh IDM-4, Class Rates'!D15</f>
        <v>0.26283000000000001</v>
      </c>
      <c r="F14" s="326">
        <f>E14*(1+L15)</f>
        <v>0.28643619032573514</v>
      </c>
      <c r="G14" s="556">
        <f>'Exh IDM-4, Class Rates'!C15</f>
        <v>88038975.020009622</v>
      </c>
      <c r="H14" s="556">
        <f>ROUND(G14*E14, 2)</f>
        <v>23139283.800000001</v>
      </c>
      <c r="I14" s="556">
        <f>ROUND(F14*G14, 2)</f>
        <v>25217548.600000001</v>
      </c>
      <c r="J14" s="427"/>
      <c r="L14" s="117" t="s">
        <v>70</v>
      </c>
      <c r="N14" s="1260">
        <f>IF($P$46=0,0,F14*(1+Q15))</f>
        <v>0</v>
      </c>
      <c r="O14" s="1258">
        <f>N14*$G14</f>
        <v>0</v>
      </c>
      <c r="Q14" s="1259" t="s">
        <v>70</v>
      </c>
      <c r="R14" s="1260"/>
      <c r="S14" s="1260">
        <f>IF($U$46=0,0,N14*(1+V15))</f>
        <v>0</v>
      </c>
      <c r="T14" s="1258">
        <f>S14*$G14</f>
        <v>0</v>
      </c>
      <c r="V14" s="1259" t="s">
        <v>70</v>
      </c>
      <c r="W14" s="1260"/>
      <c r="X14" s="1260">
        <f>IF($U$46=0,0,S14*(1+AA15))</f>
        <v>0</v>
      </c>
      <c r="Y14" s="1258">
        <f>X14*$G14</f>
        <v>0</v>
      </c>
      <c r="AA14" s="1259" t="s">
        <v>70</v>
      </c>
      <c r="AB14" s="326"/>
    </row>
    <row r="15" spans="1:31">
      <c r="A15" s="1209">
        <f>MAX($A$7:A14)+1</f>
        <v>8</v>
      </c>
      <c r="B15" s="449" t="s">
        <v>294</v>
      </c>
      <c r="C15" s="1209"/>
      <c r="D15" s="1209"/>
      <c r="E15" s="326"/>
      <c r="F15" s="326"/>
      <c r="G15" s="556">
        <f>SUM(G14)</f>
        <v>88038975.020009622</v>
      </c>
      <c r="H15" s="556">
        <f>SUM(H14)</f>
        <v>23139283.800000001</v>
      </c>
      <c r="I15" s="556">
        <f>SUM(I14)</f>
        <v>25217548.600000001</v>
      </c>
      <c r="J15" s="427">
        <f>H15/$H$46</f>
        <v>0.2890935750132409</v>
      </c>
      <c r="K15" s="556">
        <f>ROUND(J15*$K$46, 2)</f>
        <v>2078264.8</v>
      </c>
      <c r="L15" s="117">
        <f>K15/H15</f>
        <v>8.9815433267645045E-2</v>
      </c>
      <c r="N15" s="1260"/>
      <c r="O15" s="1258">
        <f>SUM(O14)</f>
        <v>0</v>
      </c>
      <c r="P15" s="1258">
        <f>$J15*P$46</f>
        <v>0</v>
      </c>
      <c r="Q15" s="1259">
        <f>P15/I15</f>
        <v>0</v>
      </c>
      <c r="R15" s="1260"/>
      <c r="S15" s="1260"/>
      <c r="T15" s="1258">
        <f>SUM(T14)</f>
        <v>0</v>
      </c>
      <c r="U15" s="1258">
        <f>$J15*U$46</f>
        <v>0</v>
      </c>
      <c r="V15" s="1259" t="e">
        <f>U15/O15</f>
        <v>#DIV/0!</v>
      </c>
      <c r="W15" s="1260"/>
      <c r="X15" s="1260"/>
      <c r="Y15" s="1258">
        <f>SUM(Y14)</f>
        <v>0</v>
      </c>
      <c r="Z15" s="1258">
        <f>$J15*Z$46</f>
        <v>0</v>
      </c>
      <c r="AA15" s="1259" t="e">
        <f>Z15/T15</f>
        <v>#DIV/0!</v>
      </c>
      <c r="AB15" s="326"/>
      <c r="AD15" s="556">
        <f>I15-H15</f>
        <v>2078264.8000000007</v>
      </c>
      <c r="AE15" s="556">
        <f>AD15-K15</f>
        <v>0</v>
      </c>
    </row>
    <row r="16" spans="1:31">
      <c r="A16" s="1209">
        <f>MAX($A$7:A15)+1</f>
        <v>9</v>
      </c>
      <c r="C16" s="1209"/>
      <c r="D16" s="1209"/>
      <c r="E16" s="326"/>
      <c r="F16" s="326"/>
      <c r="G16" s="556"/>
      <c r="J16" s="427"/>
      <c r="N16" s="1260"/>
      <c r="R16" s="1260"/>
      <c r="S16" s="1260"/>
      <c r="W16" s="1260"/>
      <c r="X16" s="1260"/>
      <c r="AB16" s="326"/>
    </row>
    <row r="17" spans="1:31">
      <c r="A17" s="1209">
        <f>MAX($A$7:A16)+1</f>
        <v>10</v>
      </c>
      <c r="B17" s="118" t="s">
        <v>296</v>
      </c>
      <c r="C17" s="1209"/>
      <c r="D17" s="1209"/>
      <c r="E17" s="326"/>
      <c r="F17" s="326"/>
      <c r="G17" s="556"/>
      <c r="J17" s="427"/>
      <c r="N17" s="1260"/>
      <c r="R17" s="1260"/>
      <c r="S17" s="1260"/>
      <c r="W17" s="1260"/>
      <c r="X17" s="1260"/>
      <c r="AB17" s="326"/>
    </row>
    <row r="18" spans="1:31">
      <c r="A18" s="1209">
        <f>MAX($A$7:A17)+1</f>
        <v>11</v>
      </c>
      <c r="B18" s="113" t="s">
        <v>293</v>
      </c>
      <c r="C18" s="1209">
        <v>505</v>
      </c>
      <c r="D18" s="1209" t="s">
        <v>297</v>
      </c>
      <c r="E18" s="326">
        <f>'Exh IDM-4, Class Rates'!D20</f>
        <v>0.20271</v>
      </c>
      <c r="F18" s="326">
        <f>E18*(1+L18)</f>
        <v>0.22091648459416013</v>
      </c>
      <c r="G18" s="556">
        <f>'Exh IDM-4, Class Rates'!C20</f>
        <v>1719909.200436648</v>
      </c>
      <c r="H18" s="556">
        <f>ROUND(G18*E18, 2)</f>
        <v>348642.79</v>
      </c>
      <c r="I18" s="556">
        <f>ROUND(F18*G18, 2)</f>
        <v>379956.29</v>
      </c>
      <c r="J18" s="427">
        <f>H18/$H$46</f>
        <v>4.3558128866413139E-3</v>
      </c>
      <c r="K18" s="556">
        <f>ROUND(J18*$K$46, 2)</f>
        <v>31313.5</v>
      </c>
      <c r="L18" s="117">
        <f>K18/H18</f>
        <v>8.9815423975926775E-2</v>
      </c>
      <c r="N18" s="1260">
        <f>IF($P$46=0,0,F18*(1+Q18))</f>
        <v>0</v>
      </c>
      <c r="O18" s="1258">
        <f>N18*$G18</f>
        <v>0</v>
      </c>
      <c r="P18" s="1258">
        <f>$J18*P$46</f>
        <v>0</v>
      </c>
      <c r="Q18" s="1259">
        <f>P18/I18</f>
        <v>0</v>
      </c>
      <c r="R18" s="1260"/>
      <c r="S18" s="1260">
        <f>IF($U$46=0,0,N18*(1+V18))</f>
        <v>0</v>
      </c>
      <c r="T18" s="1258">
        <f>S18*$G18</f>
        <v>0</v>
      </c>
      <c r="U18" s="1258">
        <f>$J18*U$46</f>
        <v>0</v>
      </c>
      <c r="V18" s="1259" t="e">
        <f>U18/O18</f>
        <v>#DIV/0!</v>
      </c>
      <c r="W18" s="1260"/>
      <c r="X18" s="1260">
        <f>IF($U$46=0,0,S18*(1+AA18))</f>
        <v>0</v>
      </c>
      <c r="Y18" s="1258">
        <f>X18*$G18</f>
        <v>0</v>
      </c>
      <c r="Z18" s="1258">
        <f>$J18*Z$46</f>
        <v>0</v>
      </c>
      <c r="AA18" s="1259" t="e">
        <f>Z18/T18</f>
        <v>#DIV/0!</v>
      </c>
      <c r="AB18" s="326"/>
    </row>
    <row r="19" spans="1:31">
      <c r="A19" s="1209">
        <f>MAX($A$7:A18)+1</f>
        <v>12</v>
      </c>
      <c r="C19" s="1209"/>
      <c r="D19" s="1209" t="s">
        <v>298</v>
      </c>
      <c r="E19" s="326">
        <f>'Exh IDM-4, Class Rates'!D21</f>
        <v>0.16594</v>
      </c>
      <c r="F19" s="326">
        <f>E19*(1+L19)</f>
        <v>0.18084397342058522</v>
      </c>
      <c r="G19" s="556">
        <f>'Exh IDM-4, Class Rates'!C21</f>
        <v>5465602.2251104452</v>
      </c>
      <c r="H19" s="556">
        <f>ROUND(G19*E19, 2)</f>
        <v>906962.03</v>
      </c>
      <c r="I19" s="556">
        <f>ROUND(F19*G19, 2)</f>
        <v>988421.22</v>
      </c>
      <c r="J19" s="427">
        <f>H19/$H$46</f>
        <v>1.1331245077428293E-2</v>
      </c>
      <c r="K19" s="556">
        <f>ROUND(J19*$K$46, 2)</f>
        <v>81459.19</v>
      </c>
      <c r="L19" s="117">
        <f>K19/H19</f>
        <v>8.9815435823702564E-2</v>
      </c>
      <c r="N19" s="1260">
        <f>IF($P$46=0,0,F19*(1+Q19))</f>
        <v>0</v>
      </c>
      <c r="O19" s="1258">
        <f>N19*$G19</f>
        <v>0</v>
      </c>
      <c r="P19" s="1258">
        <f>$J19*P$46</f>
        <v>0</v>
      </c>
      <c r="Q19" s="1259">
        <f>P19/I19</f>
        <v>0</v>
      </c>
      <c r="R19" s="1260"/>
      <c r="S19" s="1260">
        <f>IF($U$46=0,0,N19*(1+V19))</f>
        <v>0</v>
      </c>
      <c r="T19" s="1258">
        <f>S19*$G19</f>
        <v>0</v>
      </c>
      <c r="U19" s="1258">
        <f>$J19*U$46</f>
        <v>0</v>
      </c>
      <c r="V19" s="1259" t="e">
        <f>U19/O19</f>
        <v>#DIV/0!</v>
      </c>
      <c r="W19" s="1260"/>
      <c r="X19" s="1260">
        <f>IF($U$46=0,0,S19*(1+AA19))</f>
        <v>0</v>
      </c>
      <c r="Y19" s="1258">
        <f>X19*$G19</f>
        <v>0</v>
      </c>
      <c r="Z19" s="1258">
        <f>$J19*Z$46</f>
        <v>0</v>
      </c>
      <c r="AA19" s="1259" t="e">
        <f>Z19/T19</f>
        <v>#DIV/0!</v>
      </c>
      <c r="AB19" s="326"/>
    </row>
    <row r="20" spans="1:31">
      <c r="A20" s="1209">
        <f>MAX($A$7:A19)+1</f>
        <v>13</v>
      </c>
      <c r="C20" s="1209"/>
      <c r="D20" s="1209" t="s">
        <v>299</v>
      </c>
      <c r="E20" s="326">
        <f>'Exh IDM-4, Class Rates'!D22</f>
        <v>0.16037999999999999</v>
      </c>
      <c r="F20" s="326">
        <f>E20*(1+L20)</f>
        <v>0.17478459994906928</v>
      </c>
      <c r="G20" s="556">
        <f>'Exh IDM-4, Class Rates'!C22</f>
        <v>4506461.8271522531</v>
      </c>
      <c r="H20" s="556">
        <f>ROUND(G20*E20, 2)</f>
        <v>722746.35</v>
      </c>
      <c r="I20" s="556">
        <f>ROUND(F20*G20, 2)</f>
        <v>787660.13</v>
      </c>
      <c r="J20" s="427">
        <f>H20/$H$46</f>
        <v>9.029723130379301E-3</v>
      </c>
      <c r="K20" s="556">
        <f>ROUND(J20*$K$46, 2)</f>
        <v>64913.78</v>
      </c>
      <c r="L20" s="117">
        <f>K20/H20</f>
        <v>8.9815438016393995E-2</v>
      </c>
      <c r="N20" s="1260">
        <f>IF($P$46=0,0,F20*(1+Q20))</f>
        <v>0</v>
      </c>
      <c r="O20" s="1258">
        <f>N20*$G20</f>
        <v>0</v>
      </c>
      <c r="P20" s="1258">
        <f>$J20*P$46</f>
        <v>0</v>
      </c>
      <c r="Q20" s="1259">
        <f>P20/I20</f>
        <v>0</v>
      </c>
      <c r="R20" s="1260"/>
      <c r="S20" s="1260">
        <f>IF($U$46=0,0,N20*(1+V20))</f>
        <v>0</v>
      </c>
      <c r="T20" s="1258">
        <f>S20*$G20</f>
        <v>0</v>
      </c>
      <c r="U20" s="1258">
        <f>$J20*U$46</f>
        <v>0</v>
      </c>
      <c r="V20" s="1259" t="e">
        <f>U20/O20</f>
        <v>#DIV/0!</v>
      </c>
      <c r="W20" s="1260"/>
      <c r="X20" s="1260">
        <f>IF($U$46=0,0,S20*(1+AA20))</f>
        <v>0</v>
      </c>
      <c r="Y20" s="1258">
        <f>X20*$G20</f>
        <v>0</v>
      </c>
      <c r="Z20" s="1258">
        <f>$J20*Z$46</f>
        <v>0</v>
      </c>
      <c r="AA20" s="1259" t="e">
        <f>Z20/T20</f>
        <v>#DIV/0!</v>
      </c>
      <c r="AB20" s="326"/>
    </row>
    <row r="21" spans="1:31">
      <c r="A21" s="1209">
        <f>MAX($A$7:A20)+1</f>
        <v>14</v>
      </c>
      <c r="B21" s="449" t="s">
        <v>294</v>
      </c>
      <c r="C21" s="1209"/>
      <c r="D21" s="1209"/>
      <c r="E21" s="326"/>
      <c r="F21" s="326"/>
      <c r="G21" s="556">
        <f>SUM(G18:G20)</f>
        <v>11691973.252699345</v>
      </c>
      <c r="H21" s="556">
        <f>SUM(H18:H20)</f>
        <v>1978351.17</v>
      </c>
      <c r="I21" s="556">
        <f>SUM(I18:I20)</f>
        <v>2156037.64</v>
      </c>
      <c r="J21" s="427">
        <f>H21/$H$46</f>
        <v>2.4716781094448907E-2</v>
      </c>
      <c r="K21" s="556">
        <f>ROUND(J21*$K$46, 2)</f>
        <v>177686.47</v>
      </c>
      <c r="L21" s="117">
        <f>K21/H21</f>
        <v>8.9815434536832009E-2</v>
      </c>
      <c r="N21" s="1260"/>
      <c r="O21" s="1258">
        <f>SUM(O18:O20)</f>
        <v>0</v>
      </c>
      <c r="P21" s="1258">
        <f>$J21*P$46</f>
        <v>0</v>
      </c>
      <c r="Q21" s="1259">
        <f>P21/I21</f>
        <v>0</v>
      </c>
      <c r="R21" s="1260"/>
      <c r="S21" s="1260"/>
      <c r="T21" s="1258">
        <f>SUM(T18:T20)</f>
        <v>0</v>
      </c>
      <c r="U21" s="1258">
        <f>$J21*U$46</f>
        <v>0</v>
      </c>
      <c r="V21" s="1259" t="e">
        <f>U21/O21</f>
        <v>#DIV/0!</v>
      </c>
      <c r="W21" s="1260"/>
      <c r="X21" s="1260"/>
      <c r="Y21" s="1258">
        <f>SUM(Y18:Y20)</f>
        <v>0</v>
      </c>
      <c r="Z21" s="1258">
        <f>$J21*Z$46</f>
        <v>0</v>
      </c>
      <c r="AA21" s="1259" t="e">
        <f>Z21/T21</f>
        <v>#DIV/0!</v>
      </c>
      <c r="AB21" s="326"/>
      <c r="AD21" s="556">
        <f>I21-H21</f>
        <v>177686.4700000002</v>
      </c>
      <c r="AE21" s="556">
        <f>AD21-K21</f>
        <v>0</v>
      </c>
    </row>
    <row r="22" spans="1:31">
      <c r="A22" s="1209">
        <f>MAX($A$7:A21)+1</f>
        <v>15</v>
      </c>
      <c r="C22" s="1209"/>
      <c r="D22" s="1209"/>
      <c r="E22" s="326"/>
      <c r="F22" s="326"/>
      <c r="G22" s="556"/>
      <c r="J22" s="427"/>
      <c r="N22" s="1260"/>
      <c r="R22" s="1260"/>
      <c r="S22" s="1260"/>
      <c r="W22" s="1260"/>
      <c r="X22" s="1260"/>
      <c r="AB22" s="326"/>
    </row>
    <row r="23" spans="1:31">
      <c r="A23" s="1209">
        <f>MAX($A$7:A22)+1</f>
        <v>16</v>
      </c>
      <c r="B23" s="118" t="s">
        <v>300</v>
      </c>
      <c r="C23" s="1209"/>
      <c r="D23" s="1209"/>
      <c r="E23" s="326"/>
      <c r="F23" s="326"/>
      <c r="G23" s="556"/>
      <c r="J23" s="427"/>
      <c r="N23" s="1260"/>
      <c r="R23" s="1260"/>
      <c r="S23" s="1260"/>
      <c r="W23" s="1260"/>
      <c r="X23" s="1260"/>
      <c r="AB23" s="326"/>
    </row>
    <row r="24" spans="1:31">
      <c r="A24" s="1209">
        <f>MAX($A$7:A23)+1</f>
        <v>17</v>
      </c>
      <c r="B24" s="113" t="s">
        <v>301</v>
      </c>
      <c r="C24" s="1209">
        <v>511</v>
      </c>
      <c r="D24" s="1209" t="s">
        <v>302</v>
      </c>
      <c r="E24" s="326">
        <f>'Exh IDM-4, Class Rates'!D27</f>
        <v>0.16163</v>
      </c>
      <c r="F24" s="326">
        <f>E24*(1+L24)</f>
        <v>0.17614686845299443</v>
      </c>
      <c r="G24" s="556">
        <f>'Exh IDM-4, Class Rates'!C27</f>
        <v>9263106.6283577029</v>
      </c>
      <c r="H24" s="556">
        <f>ROUND(G24*E24, 2)</f>
        <v>1497195.92</v>
      </c>
      <c r="I24" s="556">
        <f>ROUND(F24*G24, 2)</f>
        <v>1631667.22</v>
      </c>
      <c r="J24" s="427">
        <f>H24/$H$46</f>
        <v>1.8705406993108326E-2</v>
      </c>
      <c r="K24" s="556">
        <f>ROUND(J24*$K$46, 2)</f>
        <v>134471.29999999999</v>
      </c>
      <c r="L24" s="117">
        <f>K24/H24</f>
        <v>8.981543310644341E-2</v>
      </c>
      <c r="N24" s="1260">
        <f>IF($P$46=0,0,F24*(1+Q24))</f>
        <v>0</v>
      </c>
      <c r="O24" s="1258">
        <f>N24*$G24</f>
        <v>0</v>
      </c>
      <c r="P24" s="1258">
        <f>$J24*P$46</f>
        <v>0</v>
      </c>
      <c r="Q24" s="1259">
        <f>P24/I24</f>
        <v>0</v>
      </c>
      <c r="R24" s="1260"/>
      <c r="S24" s="1260">
        <f>IF($U$46=0,0,N24*(1+V24))</f>
        <v>0</v>
      </c>
      <c r="T24" s="1258">
        <f>S24*$G24</f>
        <v>0</v>
      </c>
      <c r="U24" s="1258">
        <f>$J24*U$46</f>
        <v>0</v>
      </c>
      <c r="V24" s="1259" t="e">
        <f>U24/O24</f>
        <v>#DIV/0!</v>
      </c>
      <c r="W24" s="1260"/>
      <c r="X24" s="1260">
        <f>IF($U$46=0,0,S24*(1+AA24))</f>
        <v>0</v>
      </c>
      <c r="Y24" s="1258">
        <f>X24*$G24</f>
        <v>0</v>
      </c>
      <c r="Z24" s="1258">
        <f>$J24*Z$46</f>
        <v>0</v>
      </c>
      <c r="AA24" s="1259" t="e">
        <f>Z24/T24</f>
        <v>#DIV/0!</v>
      </c>
      <c r="AB24" s="326"/>
    </row>
    <row r="25" spans="1:31">
      <c r="A25" s="1209">
        <f>MAX($A$7:A24)+1</f>
        <v>18</v>
      </c>
      <c r="C25" s="1209"/>
      <c r="D25" s="1209" t="s">
        <v>303</v>
      </c>
      <c r="E25" s="326">
        <f>'Exh IDM-4, Class Rates'!D28</f>
        <v>0.12539</v>
      </c>
      <c r="F25" s="326">
        <f>E25*(1+L25)</f>
        <v>0.13665195708576525</v>
      </c>
      <c r="G25" s="556">
        <f>'Exh IDM-4, Class Rates'!C28</f>
        <v>6400516.3315191241</v>
      </c>
      <c r="H25" s="556">
        <f>ROUND(G25*E25, 2)</f>
        <v>802560.74</v>
      </c>
      <c r="I25" s="556">
        <f>ROUND(F25*G25, 2)</f>
        <v>874643.08</v>
      </c>
      <c r="J25" s="427">
        <f>H25/$H$46</f>
        <v>1.0026894328158597E-2</v>
      </c>
      <c r="K25" s="556">
        <f>ROUND(J25*$K$46, 2)</f>
        <v>72082.34</v>
      </c>
      <c r="L25" s="117">
        <f>K25/H25</f>
        <v>8.9815432536607759E-2</v>
      </c>
      <c r="N25" s="1260">
        <f>IF($P$46=0,0,F25*(1+Q25))</f>
        <v>0</v>
      </c>
      <c r="O25" s="1258">
        <f>N25*$G25</f>
        <v>0</v>
      </c>
      <c r="P25" s="1258">
        <f>$J25*P$46</f>
        <v>0</v>
      </c>
      <c r="Q25" s="1259">
        <f>P25/I25</f>
        <v>0</v>
      </c>
      <c r="R25" s="1260"/>
      <c r="S25" s="1260">
        <f>IF($U$46=0,0,N25*(1+V25))</f>
        <v>0</v>
      </c>
      <c r="T25" s="1258">
        <f>S25*$G25</f>
        <v>0</v>
      </c>
      <c r="U25" s="1258">
        <f>$J25*U$46</f>
        <v>0</v>
      </c>
      <c r="V25" s="1259" t="e">
        <f>U25/O25</f>
        <v>#DIV/0!</v>
      </c>
      <c r="W25" s="1260"/>
      <c r="X25" s="1260">
        <f>IF($U$46=0,0,S25*(1+AA25))</f>
        <v>0</v>
      </c>
      <c r="Y25" s="1258">
        <f>X25*$G25</f>
        <v>0</v>
      </c>
      <c r="Z25" s="1258">
        <f>$J25*Z$46</f>
        <v>0</v>
      </c>
      <c r="AA25" s="1259" t="e">
        <f>Z25/T25</f>
        <v>#DIV/0!</v>
      </c>
      <c r="AB25" s="326"/>
    </row>
    <row r="26" spans="1:31">
      <c r="A26" s="1209">
        <f>MAX($A$7:A25)+1</f>
        <v>19</v>
      </c>
      <c r="C26" s="1209"/>
      <c r="D26" s="1209" t="s">
        <v>304</v>
      </c>
      <c r="E26" s="326">
        <f>'Exh IDM-4, Class Rates'!D29</f>
        <v>3.5740000000000001E-2</v>
      </c>
      <c r="F26" s="326">
        <f>E26*(1+L26)</f>
        <v>3.8950003183092954E-2</v>
      </c>
      <c r="G26" s="556">
        <f>'Exh IDM-4, Class Rates'!C29</f>
        <v>2905143.6487386376</v>
      </c>
      <c r="H26" s="556">
        <f>ROUND(G26*E26, 2)</f>
        <v>103829.83</v>
      </c>
      <c r="I26" s="556">
        <f>ROUND(F26*G26, 2)</f>
        <v>113155.35</v>
      </c>
      <c r="J26" s="427">
        <f>H26/$H$46</f>
        <v>1.297211141328283E-3</v>
      </c>
      <c r="K26" s="556">
        <f>ROUND(J26*$K$46, 2)</f>
        <v>9325.52</v>
      </c>
      <c r="L26" s="117">
        <f>K26/H26</f>
        <v>8.9815422022746255E-2</v>
      </c>
      <c r="N26" s="1260">
        <f>IF($P$46=0,0,F26*(1+Q26))</f>
        <v>0</v>
      </c>
      <c r="O26" s="1258">
        <f>N26*$G26</f>
        <v>0</v>
      </c>
      <c r="P26" s="1258">
        <f>$J26*P$46</f>
        <v>0</v>
      </c>
      <c r="Q26" s="1259">
        <f>P26/I26</f>
        <v>0</v>
      </c>
      <c r="R26" s="1260"/>
      <c r="S26" s="1260">
        <f>IF($U$46=0,0,N26*(1+V26))</f>
        <v>0</v>
      </c>
      <c r="T26" s="1258">
        <f>S26*$G26</f>
        <v>0</v>
      </c>
      <c r="U26" s="1258">
        <f>$J26*U$46</f>
        <v>0</v>
      </c>
      <c r="V26" s="1259" t="e">
        <f>U26/O26</f>
        <v>#DIV/0!</v>
      </c>
      <c r="W26" s="1260"/>
      <c r="X26" s="1260">
        <f>IF($U$46=0,0,S26*(1+AA26))</f>
        <v>0</v>
      </c>
      <c r="Y26" s="1258">
        <f>X26*$G26</f>
        <v>0</v>
      </c>
      <c r="Z26" s="1258">
        <f>$J26*Z$46</f>
        <v>0</v>
      </c>
      <c r="AA26" s="1259" t="e">
        <f>Z26/T26</f>
        <v>#DIV/0!</v>
      </c>
      <c r="AB26" s="326"/>
    </row>
    <row r="27" spans="1:31">
      <c r="A27" s="1209">
        <f>MAX($A$7:A26)+1</f>
        <v>20</v>
      </c>
      <c r="B27" s="449" t="s">
        <v>294</v>
      </c>
      <c r="C27" s="1209"/>
      <c r="D27" s="1209"/>
      <c r="E27" s="326"/>
      <c r="F27" s="326"/>
      <c r="G27" s="556">
        <f>SUM(G24:G26)</f>
        <v>18568766.608615465</v>
      </c>
      <c r="H27" s="556">
        <f>SUM(H24:H26)</f>
        <v>2403586.4900000002</v>
      </c>
      <c r="I27" s="556">
        <f>SUM(I24:I26)</f>
        <v>2619465.65</v>
      </c>
      <c r="J27" s="427">
        <f>H27/$H$46</f>
        <v>3.002951246259521E-2</v>
      </c>
      <c r="K27" s="556">
        <f>ROUND(J27*$K$46, 2)</f>
        <v>215879.16</v>
      </c>
      <c r="L27" s="117">
        <f>K27/H27</f>
        <v>8.9815432437382353E-2</v>
      </c>
      <c r="N27" s="1260"/>
      <c r="O27" s="1258">
        <f>SUM(O24:O26)</f>
        <v>0</v>
      </c>
      <c r="P27" s="1258">
        <f>$J27*P$46</f>
        <v>0</v>
      </c>
      <c r="Q27" s="1259">
        <f>P27/I27</f>
        <v>0</v>
      </c>
      <c r="R27" s="1260"/>
      <c r="S27" s="1260"/>
      <c r="T27" s="1258">
        <f>SUM(T24:T26)</f>
        <v>0</v>
      </c>
      <c r="U27" s="1258">
        <f>$J27*U$46</f>
        <v>0</v>
      </c>
      <c r="V27" s="1259" t="e">
        <f>U27/O27</f>
        <v>#DIV/0!</v>
      </c>
      <c r="W27" s="1260"/>
      <c r="X27" s="1260"/>
      <c r="Y27" s="1258">
        <f>SUM(Y24:Y26)</f>
        <v>0</v>
      </c>
      <c r="Z27" s="1258">
        <f>$J27*Z$46</f>
        <v>0</v>
      </c>
      <c r="AA27" s="1259" t="e">
        <f>Z27/T27</f>
        <v>#DIV/0!</v>
      </c>
      <c r="AB27" s="326"/>
      <c r="AD27" s="556">
        <f>I27-H27</f>
        <v>215879.15999999968</v>
      </c>
      <c r="AE27" s="556">
        <f>AD27-K27</f>
        <v>-3.2014213502407074E-10</v>
      </c>
    </row>
    <row r="28" spans="1:31">
      <c r="A28" s="1209">
        <f>MAX($A$7:A27)+1</f>
        <v>21</v>
      </c>
      <c r="C28" s="1209"/>
      <c r="D28" s="1209"/>
      <c r="E28" s="326"/>
      <c r="F28" s="326"/>
      <c r="G28" s="556"/>
      <c r="J28" s="427"/>
      <c r="N28" s="1260"/>
      <c r="R28" s="1260"/>
      <c r="S28" s="1260"/>
      <c r="W28" s="1260"/>
      <c r="X28" s="1260"/>
      <c r="AB28" s="326"/>
    </row>
    <row r="29" spans="1:31">
      <c r="A29" s="1209">
        <f>MAX($A$7:A28)+1</f>
        <v>22</v>
      </c>
      <c r="B29" s="118" t="s">
        <v>305</v>
      </c>
      <c r="C29" s="1209"/>
      <c r="D29" s="1209"/>
      <c r="E29" s="326"/>
      <c r="F29" s="326"/>
      <c r="G29" s="556"/>
      <c r="J29" s="427"/>
      <c r="N29" s="1260"/>
      <c r="R29" s="1260"/>
      <c r="S29" s="1260"/>
      <c r="W29" s="1260"/>
      <c r="X29" s="1260"/>
      <c r="AB29" s="326"/>
    </row>
    <row r="30" spans="1:31">
      <c r="A30" s="1209">
        <f>MAX($A$7:A29)+1</f>
        <v>23</v>
      </c>
      <c r="B30" s="113" t="s">
        <v>293</v>
      </c>
      <c r="C30" s="1209">
        <v>570</v>
      </c>
      <c r="D30" s="1209" t="s">
        <v>306</v>
      </c>
      <c r="E30" s="326">
        <f>'Exh IDM-4, Class Rates'!D34</f>
        <v>9.0410000000000004E-2</v>
      </c>
      <c r="F30" s="326">
        <f>E30*(1+L30)</f>
        <v>9.8530210927804257E-2</v>
      </c>
      <c r="G30" s="556">
        <f>'Exh IDM-4, Class Rates'!C34</f>
        <v>1088197.0819555386</v>
      </c>
      <c r="H30" s="556">
        <f>ROUND(G30*E30, 2)</f>
        <v>98383.9</v>
      </c>
      <c r="I30" s="556">
        <f>ROUND(F30*G30, 2)</f>
        <v>107220.29</v>
      </c>
      <c r="J30" s="427">
        <f>H30/$H$46</f>
        <v>1.2291717246125477E-3</v>
      </c>
      <c r="K30" s="556">
        <f>ROUND(J30*$K$46, 2)</f>
        <v>8836.39</v>
      </c>
      <c r="L30" s="117">
        <f>K30/H30</f>
        <v>8.9815406789118951E-2</v>
      </c>
      <c r="N30" s="1260">
        <f>IF($P$46=0,0,F30*(1+Q30))</f>
        <v>0</v>
      </c>
      <c r="O30" s="1258">
        <f>N30*$G30</f>
        <v>0</v>
      </c>
      <c r="P30" s="1258">
        <f>$J30*P$46</f>
        <v>0</v>
      </c>
      <c r="Q30" s="1259">
        <f>P30/I30</f>
        <v>0</v>
      </c>
      <c r="R30" s="1260"/>
      <c r="S30" s="1260">
        <f>IF($U$46=0,0,N30*(1+V30))</f>
        <v>0</v>
      </c>
      <c r="T30" s="1258">
        <f>S30*$G30</f>
        <v>0</v>
      </c>
      <c r="U30" s="1258">
        <f>$J30*U$46</f>
        <v>0</v>
      </c>
      <c r="V30" s="1259" t="e">
        <f>U30/O30</f>
        <v>#DIV/0!</v>
      </c>
      <c r="W30" s="1260"/>
      <c r="X30" s="1260">
        <f>IF($U$46=0,0,S30*(1+AA30))</f>
        <v>0</v>
      </c>
      <c r="Y30" s="1258">
        <f>X30*$G30</f>
        <v>0</v>
      </c>
      <c r="Z30" s="1258">
        <f>$J30*Z$46</f>
        <v>0</v>
      </c>
      <c r="AA30" s="1259" t="e">
        <f>Z30/T30</f>
        <v>#DIV/0!</v>
      </c>
      <c r="AB30" s="326"/>
    </row>
    <row r="31" spans="1:31">
      <c r="A31" s="1209">
        <f>MAX($A$7:A30)+1</f>
        <v>24</v>
      </c>
      <c r="C31" s="1209"/>
      <c r="D31" s="1209" t="s">
        <v>307</v>
      </c>
      <c r="E31" s="326">
        <f>'Exh IDM-4, Class Rates'!D35</f>
        <v>2.9229999999999999E-2</v>
      </c>
      <c r="F31" s="326">
        <f>E31*(1+L31)</f>
        <v>3.1855305192986093E-2</v>
      </c>
      <c r="G31" s="556">
        <f>'Exh IDM-4, Class Rates'!C35</f>
        <v>863404.25424245116</v>
      </c>
      <c r="H31" s="556">
        <f>ROUND(G31*E31, 2)</f>
        <v>25237.31</v>
      </c>
      <c r="I31" s="556">
        <f>ROUND(F31*G31, 2)</f>
        <v>27504.01</v>
      </c>
      <c r="J31" s="427">
        <f>H31/$H$46</f>
        <v>3.1530553126356552E-4</v>
      </c>
      <c r="K31" s="556">
        <f>ROUND(J31*$K$46, 2)</f>
        <v>2266.6999999999998</v>
      </c>
      <c r="L31" s="117">
        <f>K31/H31</f>
        <v>8.9815435955733783E-2</v>
      </c>
      <c r="N31" s="1260">
        <f>IF($P$46=0,0,F31*(1+Q31))</f>
        <v>0</v>
      </c>
      <c r="O31" s="1258">
        <f>N31*$G31</f>
        <v>0</v>
      </c>
      <c r="P31" s="1258">
        <f>$J31*P$46</f>
        <v>0</v>
      </c>
      <c r="Q31" s="1259">
        <f>P31/I31</f>
        <v>0</v>
      </c>
      <c r="R31" s="1260"/>
      <c r="S31" s="1260">
        <f>IF($U$46=0,0,N31*(1+V31))</f>
        <v>0</v>
      </c>
      <c r="T31" s="1258">
        <f>S31*$G31</f>
        <v>0</v>
      </c>
      <c r="U31" s="1258">
        <f>$J31*U$46</f>
        <v>0</v>
      </c>
      <c r="V31" s="1259" t="e">
        <f>U31/O31</f>
        <v>#DIV/0!</v>
      </c>
      <c r="W31" s="1260"/>
      <c r="X31" s="1260">
        <f>IF($U$46=0,0,S31*(1+AA31))</f>
        <v>0</v>
      </c>
      <c r="Y31" s="1258">
        <f>X31*$G31</f>
        <v>0</v>
      </c>
      <c r="Z31" s="1258">
        <f>$J31*Z$46</f>
        <v>0</v>
      </c>
      <c r="AA31" s="1259" t="e">
        <f>Z31/T31</f>
        <v>#DIV/0!</v>
      </c>
      <c r="AB31" s="326"/>
    </row>
    <row r="32" spans="1:31">
      <c r="A32" s="1209">
        <f>MAX($A$7:A31)+1</f>
        <v>25</v>
      </c>
      <c r="B32" s="449" t="s">
        <v>294</v>
      </c>
      <c r="C32" s="1209"/>
      <c r="D32" s="1209"/>
      <c r="F32" s="326"/>
      <c r="G32" s="556">
        <f>SUM(G30:G31)</f>
        <v>1951601.3361979898</v>
      </c>
      <c r="H32" s="556">
        <f>SUM(H30:H31)</f>
        <v>123621.20999999999</v>
      </c>
      <c r="I32" s="556">
        <f>SUM(I30:I31)</f>
        <v>134724.29999999999</v>
      </c>
      <c r="J32" s="427">
        <f>H32/$H$46</f>
        <v>1.5444772558761133E-3</v>
      </c>
      <c r="K32" s="556">
        <f>ROUND(J32*$K$46, 2)</f>
        <v>11103.09</v>
      </c>
      <c r="L32" s="117">
        <f>K32/H32</f>
        <v>8.9815412743492806E-2</v>
      </c>
      <c r="N32" s="1260"/>
      <c r="O32" s="1258">
        <f>SUM(O30:O31)</f>
        <v>0</v>
      </c>
      <c r="P32" s="1258">
        <f>$J32*P$46</f>
        <v>0</v>
      </c>
      <c r="Q32" s="1259">
        <f>P32/I32</f>
        <v>0</v>
      </c>
      <c r="R32" s="1260"/>
      <c r="S32" s="1260"/>
      <c r="T32" s="1258">
        <f>SUM(T30:T31)</f>
        <v>0</v>
      </c>
      <c r="U32" s="1258">
        <f>$J32*U$46</f>
        <v>0</v>
      </c>
      <c r="V32" s="1259" t="e">
        <f>U32/O32</f>
        <v>#DIV/0!</v>
      </c>
      <c r="W32" s="1260"/>
      <c r="X32" s="1260"/>
      <c r="Y32" s="1258">
        <f>SUM(Y30:Y31)</f>
        <v>0</v>
      </c>
      <c r="Z32" s="1258">
        <f>$J32*Z$46</f>
        <v>0</v>
      </c>
      <c r="AA32" s="1259" t="e">
        <f>Z32/T32</f>
        <v>#DIV/0!</v>
      </c>
      <c r="AB32" s="326"/>
      <c r="AD32" s="556">
        <f>I32-H32</f>
        <v>11103.089999999997</v>
      </c>
      <c r="AE32" s="556">
        <f>AD32-K32</f>
        <v>0</v>
      </c>
    </row>
    <row r="33" spans="1:34">
      <c r="A33" s="1209">
        <f>MAX($A$7:A32)+1</f>
        <v>26</v>
      </c>
      <c r="C33" s="1209"/>
      <c r="D33" s="1209"/>
      <c r="F33" s="326"/>
      <c r="G33" s="556"/>
      <c r="J33" s="427"/>
      <c r="N33" s="1260"/>
      <c r="R33" s="1260"/>
      <c r="S33" s="1260"/>
      <c r="W33" s="1260"/>
      <c r="X33" s="1260"/>
      <c r="AB33" s="326"/>
    </row>
    <row r="34" spans="1:34">
      <c r="A34" s="1209">
        <f>MAX($A$7:A33)+1</f>
        <v>27</v>
      </c>
      <c r="B34" s="134" t="s">
        <v>308</v>
      </c>
      <c r="C34" s="139"/>
      <c r="D34" s="139"/>
      <c r="E34" s="131"/>
      <c r="F34" s="140"/>
      <c r="G34" s="129">
        <f>G11+G15+G27+G21+G32</f>
        <v>248924251.19407755</v>
      </c>
      <c r="H34" s="129">
        <f>H11+H15+H27+H21+H32</f>
        <v>67886016.349999994</v>
      </c>
      <c r="I34" s="129">
        <f>I11+I15+I27+I21+I32</f>
        <v>73983228.320000008</v>
      </c>
      <c r="J34" s="141">
        <f>H34/$H$46</f>
        <v>0.84814254968551883</v>
      </c>
      <c r="K34" s="129">
        <f>SUM(K32,K27,K21,K15,K11)</f>
        <v>6097211.9700000007</v>
      </c>
      <c r="L34" s="130">
        <f>K34/H34</f>
        <v>8.9815433248647256E-2</v>
      </c>
      <c r="N34" s="1261"/>
      <c r="O34" s="1262">
        <f>O11+O15+O27+O21+O32</f>
        <v>0</v>
      </c>
      <c r="P34" s="1262">
        <f>SUM(P11,P15,P21,P27,P32)</f>
        <v>0</v>
      </c>
      <c r="Q34" s="1263">
        <f>P34/I34</f>
        <v>0</v>
      </c>
      <c r="R34" s="1260"/>
      <c r="S34" s="1261"/>
      <c r="T34" s="1262">
        <f>T11+T15+T27+T21+T32</f>
        <v>0</v>
      </c>
      <c r="U34" s="1262">
        <f>SUM(U11,U15,U21,U27,U32)</f>
        <v>0</v>
      </c>
      <c r="V34" s="1263" t="e">
        <f>U34/O34</f>
        <v>#DIV/0!</v>
      </c>
      <c r="W34" s="1260"/>
      <c r="X34" s="1261"/>
      <c r="Y34" s="1262">
        <f>Y11+Y15+Y27+Y21+Y32</f>
        <v>0</v>
      </c>
      <c r="Z34" s="1262">
        <f>SUM(Z11,Z15,Z21,Z27,Z32)</f>
        <v>0</v>
      </c>
      <c r="AA34" s="1263" t="e">
        <f>Z34/T34</f>
        <v>#DIV/0!</v>
      </c>
      <c r="AB34" s="326"/>
      <c r="AD34" s="556">
        <f>I34-H34</f>
        <v>6097211.9700000137</v>
      </c>
      <c r="AE34" s="556">
        <f>AD34-K34</f>
        <v>1.3038516044616699E-8</v>
      </c>
    </row>
    <row r="35" spans="1:34">
      <c r="A35" s="1209">
        <f>MAX($A$7:A34)+1</f>
        <v>28</v>
      </c>
      <c r="B35" s="136"/>
      <c r="C35" s="1209"/>
      <c r="D35" s="1209"/>
      <c r="F35" s="326"/>
      <c r="G35" s="126"/>
      <c r="H35" s="126"/>
      <c r="I35" s="126"/>
      <c r="J35" s="142"/>
      <c r="K35" s="126"/>
      <c r="L35" s="127"/>
      <c r="N35" s="1260"/>
      <c r="O35" s="1264"/>
      <c r="P35" s="1264"/>
      <c r="Q35" s="1265"/>
      <c r="R35" s="1260"/>
      <c r="S35" s="1260"/>
      <c r="T35" s="1264"/>
      <c r="U35" s="1264"/>
      <c r="V35" s="1265"/>
      <c r="W35" s="1260"/>
      <c r="X35" s="1260"/>
      <c r="Y35" s="1264"/>
      <c r="Z35" s="1264"/>
      <c r="AA35" s="1265"/>
      <c r="AB35" s="326"/>
    </row>
    <row r="36" spans="1:34">
      <c r="A36" s="1209">
        <f>MAX($A$7:A35)+1</f>
        <v>29</v>
      </c>
      <c r="B36" s="4" t="s">
        <v>309</v>
      </c>
      <c r="C36" s="1209"/>
      <c r="D36" s="1209"/>
      <c r="F36" s="326"/>
      <c r="J36" s="427"/>
      <c r="N36" s="1260"/>
      <c r="R36" s="1260"/>
      <c r="S36" s="1260"/>
      <c r="W36" s="1260"/>
      <c r="X36" s="1260"/>
      <c r="AB36" s="326"/>
    </row>
    <row r="37" spans="1:34">
      <c r="A37" s="1209">
        <f>MAX($A$7:A36)+1</f>
        <v>30</v>
      </c>
      <c r="B37" s="118" t="s">
        <v>310</v>
      </c>
      <c r="C37" s="1209"/>
      <c r="D37" s="1209"/>
      <c r="F37" s="326"/>
      <c r="J37" s="427"/>
      <c r="N37" s="1260"/>
      <c r="R37" s="1260"/>
      <c r="S37" s="1260"/>
      <c r="W37" s="1260"/>
      <c r="X37" s="1260"/>
      <c r="AB37" s="326"/>
    </row>
    <row r="38" spans="1:34">
      <c r="A38" s="1209">
        <f>MAX($A$7:A37)+1</f>
        <v>31</v>
      </c>
      <c r="B38" s="113" t="s">
        <v>311</v>
      </c>
      <c r="C38" s="1209">
        <v>663</v>
      </c>
      <c r="D38" s="1028" t="s">
        <v>312</v>
      </c>
      <c r="E38" s="326">
        <f>'Exh IDM-4, Class Rates'!D42</f>
        <v>0.06</v>
      </c>
      <c r="F38" s="326">
        <f>E38*(1+L38)</f>
        <v>6.5388926017189458E-2</v>
      </c>
      <c r="G38" s="128">
        <f>'Exh IDM-4, Class Rates'!C42</f>
        <v>98870371.993092954</v>
      </c>
      <c r="H38" s="556">
        <f>ROUND(G38*E38, 2)</f>
        <v>5932222.3200000003</v>
      </c>
      <c r="I38" s="556">
        <f>ROUND(F38*G38, 2)</f>
        <v>6465027.4400000004</v>
      </c>
      <c r="J38" s="427">
        <f>H38/$H$46</f>
        <v>7.4114971452234057E-2</v>
      </c>
      <c r="K38" s="556">
        <f>ROUND(J38*$K$46, 2)</f>
        <v>532805.12</v>
      </c>
      <c r="L38" s="117">
        <f>K38/H38</f>
        <v>8.9815433619824275E-2</v>
      </c>
      <c r="N38" s="1260">
        <f>IF($P$46=0,0,F38*(1+Q38))</f>
        <v>0</v>
      </c>
      <c r="O38" s="1258">
        <f>N38*$G38</f>
        <v>0</v>
      </c>
      <c r="P38" s="1258">
        <f>$J38*P$46</f>
        <v>0</v>
      </c>
      <c r="Q38" s="1259">
        <f>P38/I38</f>
        <v>0</v>
      </c>
      <c r="R38" s="1260"/>
      <c r="S38" s="1260">
        <f>IF($U$46=0,0,N38*(1+V38))</f>
        <v>0</v>
      </c>
      <c r="T38" s="1258">
        <f>S38*$G38</f>
        <v>0</v>
      </c>
      <c r="U38" s="1258">
        <f>$J38*U$46</f>
        <v>0</v>
      </c>
      <c r="V38" s="1259" t="e">
        <f>U38/O38</f>
        <v>#DIV/0!</v>
      </c>
      <c r="W38" s="1260"/>
      <c r="X38" s="1260">
        <f>IF($U$46=0,0,S38*(1+AA38))</f>
        <v>0</v>
      </c>
      <c r="Y38" s="1258">
        <f>X38*$G38</f>
        <v>0</v>
      </c>
      <c r="Z38" s="1258">
        <f>$J38*Z$46</f>
        <v>0</v>
      </c>
      <c r="AA38" s="1259" t="e">
        <f>Z38/T38</f>
        <v>#DIV/0!</v>
      </c>
      <c r="AB38" s="326"/>
    </row>
    <row r="39" spans="1:34">
      <c r="A39" s="1209">
        <f>MAX($A$7:A38)+1</f>
        <v>32</v>
      </c>
      <c r="C39" s="1209"/>
      <c r="D39" s="1028" t="s">
        <v>313</v>
      </c>
      <c r="E39" s="326">
        <f>'Exh IDM-4, Class Rates'!D43</f>
        <v>2.3310000000000001E-2</v>
      </c>
      <c r="F39" s="326">
        <f>E39*(1+L39)</f>
        <v>2.5403597706127164E-2</v>
      </c>
      <c r="G39" s="128">
        <f>'Exh IDM-4, Class Rates'!C43</f>
        <v>74558946.611349955</v>
      </c>
      <c r="H39" s="556">
        <f>ROUND(G39*E39, 2)</f>
        <v>1737969.05</v>
      </c>
      <c r="I39" s="556">
        <f>ROUND(F39*G39, 2)</f>
        <v>1894065.49</v>
      </c>
      <c r="J39" s="427">
        <f>H39/$H$46</f>
        <v>2.1713536610275985E-2</v>
      </c>
      <c r="K39" s="556">
        <f>ROUND(J39*$K$46, 2)</f>
        <v>156096.44</v>
      </c>
      <c r="L39" s="117">
        <f>K39/H39</f>
        <v>8.9815431408286586E-2</v>
      </c>
      <c r="N39" s="1260">
        <f>IF($P$46=0,0,F39*(1+Q39))</f>
        <v>0</v>
      </c>
      <c r="O39" s="1258">
        <f>N39*$G39</f>
        <v>0</v>
      </c>
      <c r="P39" s="1258">
        <f>$J39*P$46</f>
        <v>0</v>
      </c>
      <c r="Q39" s="1259">
        <f>P39/I39</f>
        <v>0</v>
      </c>
      <c r="R39" s="1260"/>
      <c r="S39" s="1260">
        <f>IF($U$46=0,0,N39*(1+V39))</f>
        <v>0</v>
      </c>
      <c r="T39" s="1258">
        <f>S39*$G39</f>
        <v>0</v>
      </c>
      <c r="U39" s="1258">
        <f>$J39*U$46</f>
        <v>0</v>
      </c>
      <c r="V39" s="1259" t="e">
        <f>U39/O39</f>
        <v>#DIV/0!</v>
      </c>
      <c r="W39" s="1260"/>
      <c r="X39" s="1260">
        <f>IF($U$46=0,0,S39*(1+AA39))</f>
        <v>0</v>
      </c>
      <c r="Y39" s="1258">
        <f>X39*$G39</f>
        <v>0</v>
      </c>
      <c r="Z39" s="1258">
        <f>$J39*Z$46</f>
        <v>0</v>
      </c>
      <c r="AA39" s="1259" t="e">
        <f>Z39/T39</f>
        <v>#DIV/0!</v>
      </c>
      <c r="AB39" s="326"/>
    </row>
    <row r="40" spans="1:34">
      <c r="A40" s="1209">
        <f>MAX($A$7:A39)+1</f>
        <v>33</v>
      </c>
      <c r="C40" s="1209"/>
      <c r="D40" s="1028" t="s">
        <v>313</v>
      </c>
      <c r="E40" s="326">
        <f>'Exh IDM-4, Class Rates'!D44</f>
        <v>1.5049999999999999E-2</v>
      </c>
      <c r="F40" s="326">
        <f>E40*(1+L40)</f>
        <v>1.6401722286073058E-2</v>
      </c>
      <c r="G40" s="128">
        <f>'Exh IDM-4, Class Rates'!C44</f>
        <v>40341807.040468045</v>
      </c>
      <c r="H40" s="556">
        <f>ROUND(G40*E40, 2)</f>
        <v>607144.19999999995</v>
      </c>
      <c r="I40" s="556">
        <f>ROUND(F40*G40, 2)</f>
        <v>661675.12</v>
      </c>
      <c r="J40" s="427">
        <f>H40/$H$46</f>
        <v>7.5854330170130038E-3</v>
      </c>
      <c r="K40" s="556">
        <f>ROUND(J40*$K$46, 2)</f>
        <v>54530.92</v>
      </c>
      <c r="L40" s="117">
        <f>K40/H40</f>
        <v>8.9815434290568874E-2</v>
      </c>
      <c r="N40" s="1260">
        <f>IF($P$46=0,0,F40*(1+Q40))</f>
        <v>0</v>
      </c>
      <c r="O40" s="1258">
        <f>N40*$G40</f>
        <v>0</v>
      </c>
      <c r="P40" s="1258">
        <f>$J40*P$46</f>
        <v>0</v>
      </c>
      <c r="Q40" s="1259">
        <f>P40/I40</f>
        <v>0</v>
      </c>
      <c r="R40" s="1260"/>
      <c r="S40" s="1260">
        <f>IF($U$46=0,0,N40*(1+V40))</f>
        <v>0</v>
      </c>
      <c r="T40" s="1258">
        <f>S40*$G40</f>
        <v>0</v>
      </c>
      <c r="U40" s="1258">
        <f>$J40*U$46</f>
        <v>0</v>
      </c>
      <c r="V40" s="1259" t="e">
        <f>U40/O40</f>
        <v>#DIV/0!</v>
      </c>
      <c r="W40" s="1260"/>
      <c r="X40" s="1260">
        <f>IF($U$46=0,0,S40*(1+AA40))</f>
        <v>0</v>
      </c>
      <c r="Y40" s="1258">
        <f>X40*$G40</f>
        <v>0</v>
      </c>
      <c r="Z40" s="1258">
        <f>$J40*Z$46</f>
        <v>0</v>
      </c>
      <c r="AA40" s="1259" t="e">
        <f>Z40/T40</f>
        <v>#DIV/0!</v>
      </c>
      <c r="AB40" s="326"/>
    </row>
    <row r="41" spans="1:34">
      <c r="A41" s="1209">
        <f>MAX($A$7:A40)+1</f>
        <v>34</v>
      </c>
      <c r="C41" s="1209"/>
      <c r="D41" s="1028" t="s">
        <v>314</v>
      </c>
      <c r="E41" s="326">
        <f>'Exh IDM-4, Class Rates'!D45</f>
        <v>8.3300000000000006E-3</v>
      </c>
      <c r="F41" s="326">
        <f>E41*(1+L41)</f>
        <v>9.0781625520247461E-3</v>
      </c>
      <c r="G41" s="128">
        <f>'Exh IDM-4, Class Rates'!C45</f>
        <v>465481116.71169686</v>
      </c>
      <c r="H41" s="556">
        <f>ROUND(G41*E41, 2)</f>
        <v>3877457.7</v>
      </c>
      <c r="I41" s="556">
        <f>ROUND(F41*G41, 2)</f>
        <v>4225713.24</v>
      </c>
      <c r="J41" s="427">
        <f>H41/$H$46</f>
        <v>4.8443509234958194E-2</v>
      </c>
      <c r="K41" s="556">
        <f>ROUND(J41*$K$46, 2)</f>
        <v>348255.54</v>
      </c>
      <c r="L41" s="117">
        <f>K41/H41</f>
        <v>8.9815432415935828E-2</v>
      </c>
      <c r="N41" s="1260">
        <f>IF($P$46=0,0,F41*(1+Q41))</f>
        <v>0</v>
      </c>
      <c r="O41" s="1258">
        <f>N41*$G41</f>
        <v>0</v>
      </c>
      <c r="P41" s="1258">
        <f>$J41*P$46</f>
        <v>0</v>
      </c>
      <c r="Q41" s="1259">
        <f>P41/I41</f>
        <v>0</v>
      </c>
      <c r="R41" s="1260"/>
      <c r="S41" s="1260">
        <f>IF($U$46=0,0,N41*(1+V41))</f>
        <v>0</v>
      </c>
      <c r="T41" s="1258">
        <f>S41*$G41</f>
        <v>0</v>
      </c>
      <c r="U41" s="1258">
        <f>$J41*U$46</f>
        <v>0</v>
      </c>
      <c r="V41" s="1259" t="e">
        <f>U41/O41</f>
        <v>#DIV/0!</v>
      </c>
      <c r="W41" s="1260"/>
      <c r="X41" s="1260">
        <f>IF($U$46=0,0,S41*(1+AA41))</f>
        <v>0</v>
      </c>
      <c r="Y41" s="1258">
        <f>X41*$G41</f>
        <v>0</v>
      </c>
      <c r="Z41" s="1258">
        <f>$J41*Z$46</f>
        <v>0</v>
      </c>
      <c r="AA41" s="1259" t="e">
        <f>Z41/T41</f>
        <v>#DIV/0!</v>
      </c>
      <c r="AB41" s="326"/>
    </row>
    <row r="42" spans="1:34">
      <c r="A42" s="1209">
        <f>MAX($A$7:A41)+1</f>
        <v>35</v>
      </c>
      <c r="B42" s="449" t="s">
        <v>294</v>
      </c>
      <c r="C42" s="1209"/>
      <c r="D42" s="1209"/>
      <c r="F42" s="326"/>
      <c r="G42" s="556">
        <f>SUM(G38:G41)</f>
        <v>679252242.35660779</v>
      </c>
      <c r="H42" s="556">
        <f>SUM(H38:H41)</f>
        <v>12154793.27</v>
      </c>
      <c r="I42" s="556">
        <f>SUM(I38:I41)</f>
        <v>13246481.290000001</v>
      </c>
      <c r="J42" s="427">
        <f>H42/$H$46</f>
        <v>0.15185745031448122</v>
      </c>
      <c r="K42" s="556">
        <f>ROUND(J42*$K$46, 2)</f>
        <v>1091688.02</v>
      </c>
      <c r="L42" s="117">
        <f>K42/H42</f>
        <v>8.9815432953060839E-2</v>
      </c>
      <c r="N42" s="1260"/>
      <c r="O42" s="1258">
        <f>SUM(O38:O41)</f>
        <v>0</v>
      </c>
      <c r="P42" s="1258">
        <f>$J42*P$46</f>
        <v>0</v>
      </c>
      <c r="Q42" s="1259">
        <f>P42/I42</f>
        <v>0</v>
      </c>
      <c r="R42" s="1260"/>
      <c r="S42" s="1260"/>
      <c r="T42" s="1258">
        <f>SUM(T38:T41)</f>
        <v>0</v>
      </c>
      <c r="U42" s="1258">
        <f>$J42*U$46</f>
        <v>0</v>
      </c>
      <c r="V42" s="1259" t="e">
        <f>U42/O42</f>
        <v>#DIV/0!</v>
      </c>
      <c r="W42" s="1260"/>
      <c r="X42" s="1260"/>
      <c r="Y42" s="1258">
        <f>SUM(Y38:Y41)</f>
        <v>0</v>
      </c>
      <c r="Z42" s="1258">
        <f>$J42*Z$46</f>
        <v>0</v>
      </c>
      <c r="AA42" s="1259" t="e">
        <f>Z42/T42</f>
        <v>#DIV/0!</v>
      </c>
      <c r="AB42" s="326"/>
      <c r="AD42" s="556">
        <f>I42-H42</f>
        <v>1091688.0200000014</v>
      </c>
      <c r="AE42" s="556">
        <f>AD42-K42</f>
        <v>0</v>
      </c>
    </row>
    <row r="43" spans="1:34">
      <c r="A43" s="1209">
        <f>MAX($A$7:A42)+1</f>
        <v>36</v>
      </c>
      <c r="C43" s="924"/>
      <c r="H43" s="113"/>
      <c r="J43" s="427"/>
      <c r="R43" s="1260"/>
      <c r="W43" s="1260"/>
      <c r="AB43" s="326"/>
      <c r="AH43" s="556"/>
    </row>
    <row r="44" spans="1:34">
      <c r="A44" s="1209">
        <f>MAX($A$7:A43)+1</f>
        <v>37</v>
      </c>
      <c r="B44" s="134" t="s">
        <v>315</v>
      </c>
      <c r="C44" s="131"/>
      <c r="D44" s="131"/>
      <c r="E44" s="131"/>
      <c r="F44" s="131"/>
      <c r="G44" s="129">
        <f>SUM(G42:G42)</f>
        <v>679252242.35660779</v>
      </c>
      <c r="H44" s="129">
        <f>SUM(H42:H42)</f>
        <v>12154793.27</v>
      </c>
      <c r="I44" s="129">
        <f>+I42</f>
        <v>13246481.290000001</v>
      </c>
      <c r="J44" s="141">
        <f>H44/$H$46</f>
        <v>0.15185745031448122</v>
      </c>
      <c r="K44" s="129">
        <f>K42</f>
        <v>1091688.02</v>
      </c>
      <c r="L44" s="130">
        <f>K44/H44</f>
        <v>8.9815432953060839E-2</v>
      </c>
      <c r="N44" s="1266"/>
      <c r="O44" s="1262">
        <f>+O42</f>
        <v>0</v>
      </c>
      <c r="P44" s="1262">
        <f>P42</f>
        <v>0</v>
      </c>
      <c r="Q44" s="1263">
        <f>P44/I44</f>
        <v>0</v>
      </c>
      <c r="R44" s="1260"/>
      <c r="S44" s="1266"/>
      <c r="T44" s="1262">
        <f>+T42</f>
        <v>0</v>
      </c>
      <c r="U44" s="1262">
        <f>U42</f>
        <v>0</v>
      </c>
      <c r="V44" s="1263" t="e">
        <f>U44/O44</f>
        <v>#DIV/0!</v>
      </c>
      <c r="W44" s="1260"/>
      <c r="X44" s="1266"/>
      <c r="Y44" s="1262">
        <f>+Y42</f>
        <v>0</v>
      </c>
      <c r="Z44" s="1262">
        <f>Z42</f>
        <v>0</v>
      </c>
      <c r="AA44" s="1263" t="e">
        <f>Z44/T44</f>
        <v>#DIV/0!</v>
      </c>
      <c r="AB44" s="326"/>
      <c r="AD44" s="556">
        <f>I44-H44</f>
        <v>1091688.0200000014</v>
      </c>
      <c r="AE44" s="556">
        <f>AD44-K44</f>
        <v>0</v>
      </c>
    </row>
    <row r="45" spans="1:34">
      <c r="A45" s="1209">
        <f>MAX($A$7:A44)+1</f>
        <v>38</v>
      </c>
      <c r="B45" s="4"/>
      <c r="G45" s="556"/>
      <c r="J45" s="427"/>
      <c r="K45" s="925"/>
      <c r="P45" s="1267"/>
      <c r="R45" s="1260"/>
      <c r="U45" s="1267"/>
      <c r="W45" s="1260"/>
      <c r="Z45" s="1267"/>
      <c r="AB45" s="326"/>
    </row>
    <row r="46" spans="1:34" ht="15.75" thickBot="1">
      <c r="A46" s="1209">
        <f>MAX($A$7:A45)+1</f>
        <v>39</v>
      </c>
      <c r="B46" s="135" t="s">
        <v>294</v>
      </c>
      <c r="C46" s="926"/>
      <c r="D46" s="926"/>
      <c r="E46" s="926"/>
      <c r="F46" s="926"/>
      <c r="G46" s="132">
        <f>G34+G44</f>
        <v>928176493.55068541</v>
      </c>
      <c r="H46" s="132">
        <f>H34+H44</f>
        <v>80040809.61999999</v>
      </c>
      <c r="I46" s="132">
        <f>I34+I44</f>
        <v>87229709.610000014</v>
      </c>
      <c r="J46" s="143">
        <f>J34+J44</f>
        <v>1</v>
      </c>
      <c r="K46" s="137">
        <f>'Exh MCG-2 ROO Summary'!$H$12</f>
        <v>7188900</v>
      </c>
      <c r="L46" s="133">
        <f>K46/H46</f>
        <v>8.9815433328696515E-2</v>
      </c>
      <c r="N46" s="1268"/>
      <c r="O46" s="1269">
        <f>+O34+O44</f>
        <v>0</v>
      </c>
      <c r="P46" s="1270">
        <f>' MYRP Summary'!$F$11</f>
        <v>0</v>
      </c>
      <c r="Q46" s="1271">
        <f>P46/I46</f>
        <v>0</v>
      </c>
      <c r="S46" s="1268"/>
      <c r="T46" s="1269">
        <f>+T34+T44</f>
        <v>0</v>
      </c>
      <c r="U46" s="1270">
        <f>' MYRP Summary'!$L$11</f>
        <v>0</v>
      </c>
      <c r="V46" s="1271" t="e">
        <f>U46/O46</f>
        <v>#DIV/0!</v>
      </c>
      <c r="X46" s="1268"/>
      <c r="Y46" s="1269">
        <f>+Y34+Y44</f>
        <v>0</v>
      </c>
      <c r="Z46" s="1270">
        <f>' MYRP Summary'!$R$11</f>
        <v>0</v>
      </c>
      <c r="AA46" s="1271" t="e">
        <f>Z46/T46</f>
        <v>#DIV/0!</v>
      </c>
      <c r="AD46" s="556">
        <f>K34+K44-K46</f>
        <v>-9.9999997764825821E-3</v>
      </c>
      <c r="AE46" s="113" t="s">
        <v>322</v>
      </c>
      <c r="AF46" s="556"/>
    </row>
    <row r="47" spans="1:34" ht="15.75" thickTop="1">
      <c r="A47" s="1209"/>
      <c r="K47" s="924"/>
      <c r="P47" s="1272"/>
      <c r="U47" s="1272"/>
      <c r="Z47" s="1272"/>
    </row>
    <row r="48" spans="1:34">
      <c r="I48" s="1405"/>
      <c r="K48" s="480"/>
    </row>
  </sheetData>
  <mergeCells count="4">
    <mergeCell ref="A1:L1"/>
    <mergeCell ref="A4:L4"/>
    <mergeCell ref="A2:L2"/>
    <mergeCell ref="A3:L3"/>
  </mergeCells>
  <printOptions horizontalCentered="1" verticalCentered="1"/>
  <pageMargins left="0.75" right="0.75" top="1" bottom="0.75" header="0.3" footer="0.3"/>
  <pageSetup orientation="portrait" r:id="rId1"/>
  <headerFooter scaleWithDoc="0">
    <oddHeader>&amp;RDocket No. UG-21____
Exhibit No. ___ (IDM-3)
Page 1 of 1</oddHeader>
  </headerFooter>
  <colBreaks count="1" manualBreakCount="1">
    <brk id="12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0F7BB-2E9C-4EAA-A80E-308AAF384945}">
  <sheetPr codeName="Sheet49">
    <tabColor rgb="FF00B0F0"/>
    <pageSetUpPr fitToPage="1"/>
  </sheetPr>
  <dimension ref="A1:R105"/>
  <sheetViews>
    <sheetView topLeftCell="A12" zoomScale="80" zoomScaleNormal="80" workbookViewId="0">
      <selection activeCell="J30" sqref="J30"/>
    </sheetView>
  </sheetViews>
  <sheetFormatPr defaultColWidth="12.28515625" defaultRowHeight="15" outlineLevelRow="1"/>
  <cols>
    <col min="1" max="1" width="5.140625" style="275" bestFit="1" customWidth="1"/>
    <col min="2" max="2" width="31" style="275" bestFit="1" customWidth="1"/>
    <col min="3" max="3" width="13.42578125" style="113" bestFit="1" customWidth="1"/>
    <col min="4" max="7" width="12.85546875" style="113" customWidth="1"/>
    <col min="8" max="8" width="3.42578125" style="113" customWidth="1"/>
    <col min="9" max="9" width="5.5703125" style="113" bestFit="1" customWidth="1"/>
    <col min="10" max="10" width="13.28515625" style="113" bestFit="1" customWidth="1"/>
    <col min="11" max="11" width="18" style="113" customWidth="1"/>
    <col min="12" max="12" width="16" style="113" customWidth="1"/>
    <col min="13" max="13" width="19.5703125" style="113" customWidth="1"/>
    <col min="14" max="14" width="16.140625" style="113" customWidth="1"/>
    <col min="15" max="15" width="9.5703125" style="113" bestFit="1" customWidth="1"/>
    <col min="16" max="16" width="12.28515625" style="113"/>
    <col min="17" max="17" width="2.7109375" style="113" bestFit="1" customWidth="1"/>
    <col min="18" max="16384" width="12.28515625" style="113"/>
  </cols>
  <sheetData>
    <row r="1" spans="1:16">
      <c r="A1" s="1492" t="str">
        <f>Company</f>
        <v>Cascade Natural Gas Corp.</v>
      </c>
      <c r="B1" s="1492"/>
      <c r="C1" s="1492"/>
      <c r="D1" s="1492"/>
      <c r="E1" s="1492"/>
      <c r="F1" s="1492"/>
      <c r="G1" s="1492"/>
    </row>
    <row r="2" spans="1:16">
      <c r="A2" s="1492" t="str">
        <f>Title1</f>
        <v>Washington Jurisdiction</v>
      </c>
      <c r="B2" s="1492"/>
      <c r="C2" s="1492"/>
      <c r="D2" s="1492"/>
      <c r="E2" s="1492"/>
      <c r="F2" s="1492"/>
      <c r="G2" s="1492"/>
    </row>
    <row r="3" spans="1:16">
      <c r="A3" s="1492" t="str">
        <f>Title2</f>
        <v>Twelve-Months ended December 31, 2020</v>
      </c>
      <c r="B3" s="1492"/>
      <c r="C3" s="1492"/>
      <c r="D3" s="1492"/>
      <c r="E3" s="1492"/>
      <c r="F3" s="1492"/>
      <c r="G3" s="1492"/>
    </row>
    <row r="4" spans="1:16">
      <c r="A4" s="1492" t="s">
        <v>316</v>
      </c>
      <c r="B4" s="1492"/>
      <c r="C4" s="1492"/>
      <c r="D4" s="1492"/>
      <c r="E4" s="1492"/>
      <c r="F4" s="1492"/>
      <c r="G4" s="1492"/>
    </row>
    <row r="5" spans="1:16">
      <c r="A5" s="1492"/>
      <c r="B5" s="1492"/>
      <c r="C5" s="1492"/>
      <c r="D5" s="1492"/>
      <c r="E5" s="1492"/>
      <c r="F5" s="1492"/>
      <c r="G5" s="1492"/>
    </row>
    <row r="6" spans="1:16" ht="30">
      <c r="A6" s="334" t="s">
        <v>8</v>
      </c>
      <c r="B6" s="121" t="s">
        <v>9</v>
      </c>
      <c r="C6" s="121" t="s">
        <v>317</v>
      </c>
      <c r="D6" s="121" t="s">
        <v>318</v>
      </c>
      <c r="E6" s="121" t="s">
        <v>319</v>
      </c>
      <c r="F6" s="121" t="s">
        <v>320</v>
      </c>
      <c r="G6" s="121" t="s">
        <v>321</v>
      </c>
    </row>
    <row r="7" spans="1:16">
      <c r="A7" s="121"/>
      <c r="B7" s="245" t="s">
        <v>2</v>
      </c>
      <c r="C7" s="245" t="s">
        <v>3</v>
      </c>
      <c r="D7" s="245" t="s">
        <v>4</v>
      </c>
      <c r="E7" s="245" t="s">
        <v>5</v>
      </c>
      <c r="F7" s="245" t="s">
        <v>6</v>
      </c>
      <c r="G7" s="245" t="s">
        <v>273</v>
      </c>
      <c r="I7" s="1209" t="s">
        <v>322</v>
      </c>
    </row>
    <row r="8" spans="1:16">
      <c r="A8" s="1209">
        <f>MAX($A$7:A7)+1</f>
        <v>1</v>
      </c>
      <c r="B8" s="144" t="s">
        <v>323</v>
      </c>
      <c r="C8" s="144"/>
      <c r="D8" s="144"/>
      <c r="E8" s="144"/>
      <c r="F8" s="144"/>
      <c r="G8" s="144"/>
    </row>
    <row r="9" spans="1:16">
      <c r="A9" s="1209">
        <f>MAX($A$7:A8)+1</f>
        <v>2</v>
      </c>
      <c r="B9" s="1208" t="s">
        <v>324</v>
      </c>
      <c r="C9" s="916">
        <f>'Exh IDM-3, Revenue Distribution'!I11</f>
        <v>43855452.130000003</v>
      </c>
      <c r="D9" s="916">
        <f>'Exh IDM-3, Revenue Distribution'!I15</f>
        <v>25217548.600000001</v>
      </c>
      <c r="E9" s="916">
        <f>'Exh IDM-3, Revenue Distribution'!I21</f>
        <v>2156037.64</v>
      </c>
      <c r="F9" s="916">
        <f>'Exh IDM-3, Revenue Distribution'!I27</f>
        <v>2619465.65</v>
      </c>
      <c r="G9" s="916">
        <f>'Exh IDM-3, Revenue Distribution'!I32</f>
        <v>134724.29999999999</v>
      </c>
      <c r="I9" s="289">
        <f>SUM(C9:G9)-'Exh IDM-3, Revenue Distribution'!I34</f>
        <v>0</v>
      </c>
    </row>
    <row r="10" spans="1:16">
      <c r="A10" s="1209">
        <f>MAX($A$7:A9)+1</f>
        <v>3</v>
      </c>
      <c r="B10" s="1208" t="s">
        <v>325</v>
      </c>
      <c r="C10" s="916">
        <f>C27</f>
        <v>128672934.97655511</v>
      </c>
      <c r="D10" s="916">
        <f>D27</f>
        <v>88038975.020009622</v>
      </c>
      <c r="E10" s="916">
        <f>E27</f>
        <v>11691973.252699345</v>
      </c>
      <c r="F10" s="916">
        <f>F27</f>
        <v>18568766.608615469</v>
      </c>
      <c r="G10" s="916">
        <f>G27</f>
        <v>1951601.3361979898</v>
      </c>
      <c r="I10" s="289">
        <f>SUM(C10:G10)-'Exh IDM-3, Revenue Distribution'!G34</f>
        <v>0</v>
      </c>
    </row>
    <row r="11" spans="1:16">
      <c r="A11" s="1209">
        <f>MAX($A$7:A10)+1</f>
        <v>4</v>
      </c>
      <c r="B11" s="1208" t="s">
        <v>87</v>
      </c>
      <c r="C11" s="917">
        <f>ROUND(C9/C10, 5)</f>
        <v>0.34083000000000002</v>
      </c>
      <c r="D11" s="917">
        <f>ROUND(D9/D10, 5)</f>
        <v>0.28643999999999997</v>
      </c>
      <c r="E11" s="917">
        <f>ROUND(E9/E10, 5)</f>
        <v>0.18440000000000001</v>
      </c>
      <c r="F11" s="917">
        <f>ROUND(F9/F10, 5)</f>
        <v>0.14107</v>
      </c>
      <c r="G11" s="917">
        <f>ROUND(G9/G10, 5)</f>
        <v>6.9029999999999994E-2</v>
      </c>
    </row>
    <row r="12" spans="1:16">
      <c r="A12" s="1209">
        <f>MAX($A$7:A11)+1</f>
        <v>5</v>
      </c>
      <c r="B12" s="1208" t="s">
        <v>326</v>
      </c>
      <c r="C12" s="916">
        <f>'EOP Calculations'!R106</f>
        <v>198885</v>
      </c>
      <c r="D12" s="916">
        <f>'EOP Calculations'!R107</f>
        <v>27031</v>
      </c>
      <c r="E12" s="916">
        <f>'EOP Calculations'!R109</f>
        <v>489</v>
      </c>
      <c r="F12" s="916">
        <f>'EOP Calculations'!R114</f>
        <v>93</v>
      </c>
      <c r="G12" s="916">
        <f>'EOP Calculations'!R119</f>
        <v>7</v>
      </c>
    </row>
    <row r="13" spans="1:16">
      <c r="A13" s="1209">
        <f>MAX($A$7:A12)+1</f>
        <v>6</v>
      </c>
      <c r="B13" s="1209"/>
      <c r="C13" s="298"/>
      <c r="D13" s="298"/>
      <c r="E13" s="298"/>
      <c r="F13" s="298"/>
      <c r="G13" s="298"/>
      <c r="H13" s="298"/>
      <c r="I13" s="298"/>
      <c r="J13" s="298"/>
      <c r="K13" s="298"/>
      <c r="L13" s="298"/>
      <c r="M13" s="298"/>
      <c r="N13" s="298"/>
      <c r="O13" s="556"/>
      <c r="P13" s="556"/>
    </row>
    <row r="14" spans="1:16" s="275" customFormat="1" ht="15.75" customHeight="1">
      <c r="A14" s="1209">
        <f>MAX($A$7:A13)+1</f>
        <v>7</v>
      </c>
      <c r="B14" s="144" t="s">
        <v>327</v>
      </c>
      <c r="C14" s="144"/>
      <c r="D14" s="144"/>
      <c r="E14" s="144"/>
      <c r="F14" s="144"/>
      <c r="G14" s="144"/>
      <c r="H14" s="1209"/>
      <c r="I14" s="1209"/>
      <c r="J14" s="1209"/>
      <c r="K14" s="1209"/>
      <c r="L14" s="1209"/>
      <c r="M14" s="1209"/>
      <c r="N14" s="1209"/>
      <c r="O14" s="1209"/>
      <c r="P14" s="1209"/>
    </row>
    <row r="15" spans="1:16">
      <c r="A15" s="1209">
        <f>MAX($A$7:A14)+1</f>
        <v>8</v>
      </c>
      <c r="B15" s="113" t="s">
        <v>328</v>
      </c>
      <c r="C15" s="358">
        <f>'EOP Calculations'!D106</f>
        <v>20949779.125481114</v>
      </c>
      <c r="D15" s="358">
        <f>'EOP Calculations'!D107</f>
        <v>14089859.628245069</v>
      </c>
      <c r="E15" s="358">
        <f>'EOP Calculations'!D112</f>
        <v>1541937.1506612073</v>
      </c>
      <c r="F15" s="358">
        <f>'EOP Calculations'!D117</f>
        <v>2501430.745498755</v>
      </c>
      <c r="G15" s="358">
        <f>'EOP Calculations'!D121</f>
        <v>222262.9629757448</v>
      </c>
      <c r="H15" s="358"/>
      <c r="I15" s="289"/>
      <c r="K15" s="289"/>
    </row>
    <row r="16" spans="1:16">
      <c r="A16" s="1209">
        <f>MAX($A$7:A15)+1</f>
        <v>9</v>
      </c>
      <c r="B16" s="113" t="s">
        <v>329</v>
      </c>
      <c r="C16" s="358">
        <f>'EOP Calculations'!E106</f>
        <v>17042296.781877652</v>
      </c>
      <c r="D16" s="358">
        <f>'EOP Calculations'!E107</f>
        <v>11605782.506156357</v>
      </c>
      <c r="E16" s="358">
        <f>'EOP Calculations'!E112</f>
        <v>1341787.1492526121</v>
      </c>
      <c r="F16" s="358">
        <f>'EOP Calculations'!E117</f>
        <v>2289464.4294068427</v>
      </c>
      <c r="G16" s="358">
        <f>'EOP Calculations'!E121</f>
        <v>224177.34329748317</v>
      </c>
      <c r="H16" s="358"/>
      <c r="I16" s="289"/>
      <c r="K16" s="289"/>
    </row>
    <row r="17" spans="1:18">
      <c r="A17" s="1209">
        <f>MAX($A$7:A16)+1</f>
        <v>10</v>
      </c>
      <c r="B17" s="113" t="s">
        <v>330</v>
      </c>
      <c r="C17" s="358">
        <f>'EOP Calculations'!F106</f>
        <v>14454420.283188764</v>
      </c>
      <c r="D17" s="358">
        <f>'EOP Calculations'!F107</f>
        <v>9203147.878691528</v>
      </c>
      <c r="E17" s="358">
        <f>'EOP Calculations'!F112</f>
        <v>1340078.2314049588</v>
      </c>
      <c r="F17" s="358">
        <f>'EOP Calculations'!F117</f>
        <v>2225469.5421517864</v>
      </c>
      <c r="G17" s="358">
        <f>'EOP Calculations'!F121</f>
        <v>200367.24636239884</v>
      </c>
      <c r="H17" s="358"/>
      <c r="I17" s="289"/>
      <c r="K17" s="289"/>
    </row>
    <row r="18" spans="1:18">
      <c r="A18" s="1209">
        <f>MAX($A$7:A17)+1</f>
        <v>11</v>
      </c>
      <c r="B18" s="113" t="s">
        <v>331</v>
      </c>
      <c r="C18" s="358">
        <f>'EOP Calculations'!G106</f>
        <v>9423692.6078356951</v>
      </c>
      <c r="D18" s="358">
        <f>'EOP Calculations'!G107</f>
        <v>5881317.456387273</v>
      </c>
      <c r="E18" s="358">
        <f>'EOP Calculations'!G112</f>
        <v>1154571.9665271966</v>
      </c>
      <c r="F18" s="358">
        <f>'EOP Calculations'!G117</f>
        <v>2123776.4665627768</v>
      </c>
      <c r="G18" s="358">
        <f>'EOP Calculations'!G121</f>
        <v>200606.88467394604</v>
      </c>
      <c r="H18" s="358"/>
      <c r="I18" s="289"/>
      <c r="K18" s="289"/>
    </row>
    <row r="19" spans="1:18">
      <c r="A19" s="1209">
        <f>MAX($A$7:A18)+1</f>
        <v>12</v>
      </c>
      <c r="B19" s="113" t="s">
        <v>332</v>
      </c>
      <c r="C19" s="358">
        <f>'EOP Calculations'!H106</f>
        <v>6041098.2725353083</v>
      </c>
      <c r="D19" s="358">
        <f>'EOP Calculations'!H107</f>
        <v>4091419.8955173828</v>
      </c>
      <c r="E19" s="358">
        <f>'EOP Calculations'!H112</f>
        <v>725268.12214802275</v>
      </c>
      <c r="F19" s="358">
        <f>'EOP Calculations'!H117</f>
        <v>1270025.9505399207</v>
      </c>
      <c r="G19" s="358">
        <f>'EOP Calculations'!H121</f>
        <v>165831.00118792529</v>
      </c>
      <c r="H19" s="358"/>
      <c r="I19" s="289"/>
      <c r="K19" s="917"/>
      <c r="L19" s="917"/>
      <c r="M19" s="917"/>
      <c r="N19" s="917"/>
      <c r="O19" s="917"/>
      <c r="P19" s="917"/>
    </row>
    <row r="20" spans="1:18">
      <c r="A20" s="1209">
        <f>MAX($A$7:A19)+1</f>
        <v>13</v>
      </c>
      <c r="B20" s="113" t="s">
        <v>333</v>
      </c>
      <c r="C20" s="358">
        <f>'EOP Calculations'!I106</f>
        <v>3865257.005920711</v>
      </c>
      <c r="D20" s="358">
        <f>'EOP Calculations'!I107</f>
        <v>2807353.9362233491</v>
      </c>
      <c r="E20" s="358">
        <f>'EOP Calculations'!I112</f>
        <v>647828.79665816494</v>
      </c>
      <c r="F20" s="358">
        <f>'EOP Calculations'!I117</f>
        <v>1233884.4034042198</v>
      </c>
      <c r="G20" s="358">
        <f>'EOP Calculations'!I121</f>
        <v>128366.53057633294</v>
      </c>
      <c r="H20" s="358"/>
      <c r="I20" s="289"/>
      <c r="K20" s="289"/>
      <c r="L20" s="289"/>
      <c r="M20" s="289"/>
      <c r="N20" s="289"/>
      <c r="O20" s="289"/>
      <c r="P20" s="289"/>
      <c r="Q20" s="556"/>
      <c r="R20" s="358"/>
    </row>
    <row r="21" spans="1:18">
      <c r="A21" s="1209">
        <f>MAX($A$7:A20)+1</f>
        <v>14</v>
      </c>
      <c r="B21" s="113" t="s">
        <v>334</v>
      </c>
      <c r="C21" s="358">
        <f>'EOP Calculations'!J106</f>
        <v>3164860.8704397986</v>
      </c>
      <c r="D21" s="358">
        <f>'EOP Calculations'!J107</f>
        <v>2904248.8850334291</v>
      </c>
      <c r="E21" s="358">
        <f>'EOP Calculations'!J112</f>
        <v>571820.21515095583</v>
      </c>
      <c r="F21" s="358">
        <f>'EOP Calculations'!J117</f>
        <v>1063770.4296622376</v>
      </c>
      <c r="G21" s="358">
        <f>'EOP Calculations'!J121</f>
        <v>109389.76530901741</v>
      </c>
      <c r="H21" s="358"/>
      <c r="I21" s="289"/>
      <c r="K21" s="289"/>
      <c r="L21" s="289"/>
      <c r="M21" s="289"/>
      <c r="N21" s="289"/>
      <c r="O21" s="289"/>
      <c r="P21" s="289"/>
      <c r="Q21" s="161"/>
      <c r="R21" s="358"/>
    </row>
    <row r="22" spans="1:18">
      <c r="A22" s="1209">
        <f>MAX($A$7:A21)+1</f>
        <v>15</v>
      </c>
      <c r="B22" s="113" t="s">
        <v>335</v>
      </c>
      <c r="C22" s="358">
        <f>'EOP Calculations'!K106</f>
        <v>3169488.2621706687</v>
      </c>
      <c r="D22" s="358">
        <f>'EOP Calculations'!K107</f>
        <v>2909783.4181579934</v>
      </c>
      <c r="E22" s="358">
        <f>'EOP Calculations'!K112</f>
        <v>504565.78084028035</v>
      </c>
      <c r="F22" s="358">
        <f>'EOP Calculations'!K117</f>
        <v>862713.34461691428</v>
      </c>
      <c r="G22" s="358">
        <f>'EOP Calculations'!K121</f>
        <v>106383.17487201201</v>
      </c>
      <c r="H22" s="358"/>
      <c r="I22" s="289"/>
      <c r="K22" s="289"/>
      <c r="L22" s="289"/>
      <c r="M22" s="289"/>
      <c r="N22" s="289"/>
      <c r="O22" s="289"/>
      <c r="P22" s="289"/>
      <c r="Q22" s="556"/>
      <c r="R22" s="358"/>
    </row>
    <row r="23" spans="1:18">
      <c r="A23" s="1209">
        <f>MAX($A$7:A22)+1</f>
        <v>16</v>
      </c>
      <c r="B23" s="113" t="s">
        <v>336</v>
      </c>
      <c r="C23" s="358">
        <f>'EOP Calculations'!L106</f>
        <v>3838515.8868167466</v>
      </c>
      <c r="D23" s="358">
        <f>'EOP Calculations'!L107</f>
        <v>3771130.2209946825</v>
      </c>
      <c r="E23" s="358">
        <f>'EOP Calculations'!L112</f>
        <v>628510.13532405952</v>
      </c>
      <c r="F23" s="358">
        <f>'EOP Calculations'!L117</f>
        <v>861853.98544861504</v>
      </c>
      <c r="G23" s="358">
        <f>'EOP Calculations'!L121</f>
        <v>100499.85957318803</v>
      </c>
      <c r="H23" s="358"/>
      <c r="I23" s="289"/>
      <c r="K23" s="289"/>
      <c r="N23" s="298"/>
      <c r="O23" s="556"/>
      <c r="P23" s="556"/>
      <c r="Q23" s="298"/>
    </row>
    <row r="24" spans="1:18">
      <c r="A24" s="1209">
        <f>MAX($A$7:A23)+1</f>
        <v>17</v>
      </c>
      <c r="B24" s="113" t="s">
        <v>337</v>
      </c>
      <c r="C24" s="358">
        <f>'EOP Calculations'!M106</f>
        <v>8764598.5748998914</v>
      </c>
      <c r="D24" s="358">
        <f>'EOP Calculations'!M107</f>
        <v>6895935.9567411952</v>
      </c>
      <c r="E24" s="358">
        <f>'EOP Calculations'!M112</f>
        <v>1008994.2571327828</v>
      </c>
      <c r="F24" s="358">
        <f>'EOP Calculations'!M117</f>
        <v>1030610.1078957713</v>
      </c>
      <c r="G24" s="358">
        <f>'EOP Calculations'!M121</f>
        <v>94558.840259868026</v>
      </c>
      <c r="H24" s="358"/>
      <c r="I24" s="289"/>
      <c r="K24" s="289"/>
      <c r="N24" s="918"/>
      <c r="O24" s="556"/>
      <c r="P24" s="556"/>
    </row>
    <row r="25" spans="1:18">
      <c r="A25" s="1209">
        <f>MAX($A$7:A24)+1</f>
        <v>18</v>
      </c>
      <c r="B25" s="113" t="s">
        <v>338</v>
      </c>
      <c r="C25" s="358">
        <f>'EOP Calculations'!N106</f>
        <v>16528146.305388767</v>
      </c>
      <c r="D25" s="358">
        <f>'EOP Calculations'!N107</f>
        <v>10454193.237861369</v>
      </c>
      <c r="E25" s="358">
        <f>'EOP Calculations'!N112</f>
        <v>870287.41586793866</v>
      </c>
      <c r="F25" s="358">
        <f>'EOP Calculations'!N117</f>
        <v>1199044.2028720228</v>
      </c>
      <c r="G25" s="358">
        <f>'EOP Calculations'!N121</f>
        <v>178840.08308705181</v>
      </c>
      <c r="H25" s="358"/>
      <c r="I25" s="289"/>
      <c r="K25" s="289"/>
      <c r="N25" s="918"/>
      <c r="O25" s="556"/>
      <c r="P25" s="556"/>
      <c r="Q25" s="556"/>
    </row>
    <row r="26" spans="1:18">
      <c r="A26" s="1209">
        <f>MAX($A$7:A25)+1</f>
        <v>19</v>
      </c>
      <c r="B26" s="113" t="s">
        <v>339</v>
      </c>
      <c r="C26" s="358">
        <f>'EOP Calculations'!O106</f>
        <v>21430781</v>
      </c>
      <c r="D26" s="358">
        <f>'EOP Calculations'!O107</f>
        <v>13424802</v>
      </c>
      <c r="E26" s="358">
        <f>'EOP Calculations'!O112</f>
        <v>1356324.0317311657</v>
      </c>
      <c r="F26" s="358">
        <f>'EOP Calculations'!O117</f>
        <v>1906723.0005556054</v>
      </c>
      <c r="G26" s="358">
        <f>'EOP Calculations'!O121</f>
        <v>220317.64402302145</v>
      </c>
      <c r="H26" s="358"/>
      <c r="I26" s="289"/>
      <c r="K26" s="289"/>
      <c r="N26" s="298"/>
      <c r="O26" s="556"/>
      <c r="P26" s="556"/>
    </row>
    <row r="27" spans="1:18">
      <c r="A27" s="1209">
        <f>MAX($A$7:A26)+1</f>
        <v>20</v>
      </c>
      <c r="B27" s="449" t="s">
        <v>294</v>
      </c>
      <c r="C27" s="919">
        <f>SUM(C15:C26)</f>
        <v>128672934.97655511</v>
      </c>
      <c r="D27" s="919">
        <f>SUM(D15:D26)</f>
        <v>88038975.020009622</v>
      </c>
      <c r="E27" s="919">
        <f>SUM(E15:E26)</f>
        <v>11691973.252699345</v>
      </c>
      <c r="F27" s="919">
        <f>SUM(F15:F26)</f>
        <v>18568766.608615469</v>
      </c>
      <c r="G27" s="919">
        <f>SUM(G15:G26)</f>
        <v>1951601.3361979898</v>
      </c>
      <c r="H27" s="289"/>
      <c r="I27" s="289"/>
      <c r="K27" s="289"/>
      <c r="N27" s="298"/>
      <c r="O27" s="556"/>
      <c r="P27" s="556"/>
    </row>
    <row r="28" spans="1:18">
      <c r="A28" s="1209">
        <f>MAX($A$7:A27)+1</f>
        <v>21</v>
      </c>
      <c r="B28" s="1209"/>
      <c r="C28" s="1209"/>
      <c r="D28" s="1209"/>
      <c r="E28" s="1209"/>
      <c r="F28" s="1209"/>
      <c r="G28" s="1209"/>
    </row>
    <row r="29" spans="1:18" ht="14.45" customHeight="1">
      <c r="A29" s="1209">
        <f>MAX($A$7:A28)+1</f>
        <v>22</v>
      </c>
      <c r="B29" s="144" t="s">
        <v>340</v>
      </c>
      <c r="C29" s="144"/>
      <c r="D29" s="144"/>
      <c r="E29" s="144"/>
      <c r="F29" s="144"/>
      <c r="G29" s="144"/>
    </row>
    <row r="30" spans="1:18">
      <c r="A30" s="1209">
        <f>MAX($A$7:A29)+1</f>
        <v>23</v>
      </c>
      <c r="B30" s="113" t="s">
        <v>328</v>
      </c>
      <c r="C30" s="1463">
        <f>(C15*C$11)/C$12</f>
        <v>35.901718175517153</v>
      </c>
      <c r="D30" s="1463">
        <f t="shared" ref="C30:G41" si="0">(D15*D$11)/D$12</f>
        <v>149.30632947040499</v>
      </c>
      <c r="E30" s="1463">
        <f t="shared" si="0"/>
        <v>581.4585083474982</v>
      </c>
      <c r="F30" s="1463">
        <f t="shared" si="0"/>
        <v>3794.3745727689184</v>
      </c>
      <c r="G30" s="1463">
        <f t="shared" si="0"/>
        <v>2191.8303334593802</v>
      </c>
      <c r="J30" s="271"/>
      <c r="K30" s="271"/>
      <c r="L30" s="271"/>
      <c r="M30" s="271"/>
      <c r="N30" s="271"/>
      <c r="O30" s="271"/>
    </row>
    <row r="31" spans="1:18">
      <c r="A31" s="1209">
        <f>MAX($A$7:A30)+1</f>
        <v>24</v>
      </c>
      <c r="B31" s="113" t="s">
        <v>329</v>
      </c>
      <c r="C31" s="1463">
        <f t="shared" si="0"/>
        <v>29.205450447079269</v>
      </c>
      <c r="D31" s="1463">
        <f t="shared" si="0"/>
        <v>122.98325408099689</v>
      </c>
      <c r="E31" s="1463">
        <f t="shared" si="0"/>
        <v>505.98272049525906</v>
      </c>
      <c r="F31" s="1463">
        <f t="shared" si="0"/>
        <v>3472.8467425421859</v>
      </c>
      <c r="G31" s="1463">
        <f t="shared" si="0"/>
        <v>2210.7088582607516</v>
      </c>
      <c r="J31" s="271"/>
      <c r="K31" s="271"/>
      <c r="L31" s="271"/>
      <c r="M31" s="271"/>
      <c r="N31" s="271"/>
      <c r="O31" s="271"/>
    </row>
    <row r="32" spans="1:18">
      <c r="A32" s="1209">
        <f>MAX($A$7:A31)+1</f>
        <v>25</v>
      </c>
      <c r="B32" s="113" t="s">
        <v>330</v>
      </c>
      <c r="C32" s="1463">
        <f t="shared" si="0"/>
        <v>24.770596400529083</v>
      </c>
      <c r="D32" s="1463">
        <f t="shared" si="0"/>
        <v>97.523202189057045</v>
      </c>
      <c r="E32" s="1463">
        <f t="shared" si="0"/>
        <v>505.3382942148761</v>
      </c>
      <c r="F32" s="1463">
        <f t="shared" si="0"/>
        <v>3375.7740678640052</v>
      </c>
      <c r="G32" s="1463">
        <f t="shared" si="0"/>
        <v>1975.9072880566273</v>
      </c>
      <c r="J32" s="271"/>
      <c r="K32" s="271"/>
      <c r="L32" s="271"/>
      <c r="M32" s="271"/>
      <c r="N32" s="271"/>
      <c r="O32" s="271"/>
    </row>
    <row r="33" spans="1:15">
      <c r="A33" s="1209">
        <f>MAX($A$7:A32)+1</f>
        <v>26</v>
      </c>
      <c r="B33" s="113" t="s">
        <v>331</v>
      </c>
      <c r="C33" s="1463">
        <f t="shared" si="0"/>
        <v>16.149418767270735</v>
      </c>
      <c r="D33" s="1463">
        <f t="shared" si="0"/>
        <v>62.322687736582822</v>
      </c>
      <c r="E33" s="1463">
        <f t="shared" si="0"/>
        <v>435.38460251046024</v>
      </c>
      <c r="F33" s="1463">
        <f t="shared" si="0"/>
        <v>3221.51770040872</v>
      </c>
      <c r="G33" s="1463">
        <f t="shared" si="0"/>
        <v>1978.2704641489277</v>
      </c>
      <c r="J33" s="271"/>
      <c r="K33" s="271"/>
      <c r="L33" s="271"/>
      <c r="M33" s="271"/>
      <c r="N33" s="271"/>
      <c r="O33" s="271"/>
    </row>
    <row r="34" spans="1:15">
      <c r="A34" s="1209">
        <f>MAX($A$7:A33)+1</f>
        <v>27</v>
      </c>
      <c r="B34" s="113" t="s">
        <v>332</v>
      </c>
      <c r="C34" s="1463">
        <f t="shared" si="0"/>
        <v>10.352653665325233</v>
      </c>
      <c r="D34" s="1463">
        <f t="shared" si="0"/>
        <v>43.355640371129404</v>
      </c>
      <c r="E34" s="1463">
        <f t="shared" si="0"/>
        <v>273.49579084682085</v>
      </c>
      <c r="F34" s="1463">
        <f t="shared" si="0"/>
        <v>1926.4791488458777</v>
      </c>
      <c r="G34" s="1463">
        <f t="shared" si="0"/>
        <v>1635.3305731432117</v>
      </c>
      <c r="J34" s="271"/>
      <c r="K34" s="271"/>
      <c r="L34" s="271"/>
      <c r="M34" s="271"/>
      <c r="N34" s="271"/>
      <c r="O34" s="271"/>
    </row>
    <row r="35" spans="1:15">
      <c r="A35" s="1209">
        <f>MAX($A$7:A34)+1</f>
        <v>28</v>
      </c>
      <c r="B35" s="113" t="s">
        <v>333</v>
      </c>
      <c r="C35" s="1463">
        <f t="shared" si="0"/>
        <v>6.6239060026042997</v>
      </c>
      <c r="D35" s="1463">
        <f t="shared" si="0"/>
        <v>29.748750008945876</v>
      </c>
      <c r="E35" s="1463">
        <f t="shared" si="0"/>
        <v>244.29372209359022</v>
      </c>
      <c r="F35" s="1463">
        <f t="shared" si="0"/>
        <v>1871.6566966476698</v>
      </c>
      <c r="G35" s="1463">
        <f t="shared" si="0"/>
        <v>1265.877372240609</v>
      </c>
      <c r="J35" s="271"/>
      <c r="K35" s="271"/>
      <c r="L35" s="271"/>
      <c r="M35" s="271"/>
      <c r="N35" s="271"/>
      <c r="O35" s="271"/>
    </row>
    <row r="36" spans="1:15">
      <c r="A36" s="1209">
        <f>MAX($A$7:A35)+1</f>
        <v>29</v>
      </c>
      <c r="B36" s="113" t="s">
        <v>334</v>
      </c>
      <c r="C36" s="1463">
        <f t="shared" si="0"/>
        <v>5.4236344142192552</v>
      </c>
      <c r="D36" s="1463">
        <f t="shared" si="0"/>
        <v>30.775518871997907</v>
      </c>
      <c r="E36" s="1463">
        <f t="shared" si="0"/>
        <v>215.63118133708846</v>
      </c>
      <c r="F36" s="1463">
        <f t="shared" si="0"/>
        <v>1613.6139194887298</v>
      </c>
      <c r="G36" s="1463">
        <f t="shared" si="0"/>
        <v>1078.7393570402103</v>
      </c>
      <c r="J36" s="271"/>
      <c r="K36" s="271"/>
      <c r="L36" s="271"/>
      <c r="M36" s="271"/>
      <c r="N36" s="271"/>
      <c r="O36" s="271"/>
    </row>
    <row r="37" spans="1:15">
      <c r="A37" s="1209">
        <f>MAX($A$7:A36)+1</f>
        <v>30</v>
      </c>
      <c r="B37" s="113" t="s">
        <v>335</v>
      </c>
      <c r="C37" s="1463">
        <f t="shared" si="0"/>
        <v>5.4315643934717501</v>
      </c>
      <c r="D37" s="1463">
        <f t="shared" si="0"/>
        <v>30.834166782478473</v>
      </c>
      <c r="E37" s="1463">
        <f t="shared" si="0"/>
        <v>190.26979547433066</v>
      </c>
      <c r="F37" s="1463">
        <f t="shared" si="0"/>
        <v>1308.6341024205171</v>
      </c>
      <c r="G37" s="1463">
        <f t="shared" si="0"/>
        <v>1049.0900802021413</v>
      </c>
      <c r="J37" s="271"/>
      <c r="K37" s="271"/>
      <c r="L37" s="271"/>
      <c r="M37" s="271"/>
      <c r="N37" s="271"/>
      <c r="O37" s="271"/>
    </row>
    <row r="38" spans="1:15">
      <c r="A38" s="1209">
        <f>MAX($A$7:A37)+1</f>
        <v>31</v>
      </c>
      <c r="B38" s="113" t="s">
        <v>336</v>
      </c>
      <c r="C38" s="1463">
        <f t="shared" si="0"/>
        <v>6.5780796425258403</v>
      </c>
      <c r="D38" s="1463">
        <f t="shared" si="0"/>
        <v>39.961619640476371</v>
      </c>
      <c r="E38" s="1463">
        <f t="shared" si="0"/>
        <v>237.00872996678237</v>
      </c>
      <c r="F38" s="1463">
        <f t="shared" si="0"/>
        <v>1307.3305562068399</v>
      </c>
      <c r="G38" s="1463">
        <f t="shared" si="0"/>
        <v>991.07218661959564</v>
      </c>
      <c r="J38" s="271"/>
      <c r="K38" s="271"/>
      <c r="L38" s="271"/>
      <c r="M38" s="271"/>
      <c r="N38" s="271"/>
      <c r="O38" s="271"/>
    </row>
    <row r="39" spans="1:15">
      <c r="A39" s="1209">
        <f>MAX($A$7:A38)+1</f>
        <v>32</v>
      </c>
      <c r="B39" s="113" t="s">
        <v>337</v>
      </c>
      <c r="C39" s="1463">
        <f t="shared" si="0"/>
        <v>15.019926753063983</v>
      </c>
      <c r="D39" s="1463">
        <f t="shared" si="0"/>
        <v>73.074318206834661</v>
      </c>
      <c r="E39" s="1463">
        <f t="shared" si="0"/>
        <v>380.48781393718843</v>
      </c>
      <c r="F39" s="1463">
        <f t="shared" si="0"/>
        <v>1563.3136335575962</v>
      </c>
      <c r="G39" s="1463">
        <f t="shared" si="0"/>
        <v>932.48524901981273</v>
      </c>
      <c r="J39" s="271"/>
      <c r="K39" s="271"/>
      <c r="L39" s="271"/>
      <c r="M39" s="271"/>
      <c r="N39" s="271"/>
      <c r="O39" s="271"/>
    </row>
    <row r="40" spans="1:15">
      <c r="A40" s="1209">
        <f>MAX($A$7:A39)+1</f>
        <v>33</v>
      </c>
      <c r="B40" s="113" t="s">
        <v>338</v>
      </c>
      <c r="C40" s="1463">
        <f t="shared" si="0"/>
        <v>28.324348770725059</v>
      </c>
      <c r="D40" s="1463">
        <f t="shared" si="0"/>
        <v>110.78018242214532</v>
      </c>
      <c r="E40" s="1463">
        <f t="shared" si="0"/>
        <v>328.18200303895276</v>
      </c>
      <c r="F40" s="1463">
        <f t="shared" si="0"/>
        <v>1818.808233324261</v>
      </c>
      <c r="G40" s="1463">
        <f t="shared" si="0"/>
        <v>1763.6187050713122</v>
      </c>
      <c r="J40" s="271"/>
      <c r="K40" s="271"/>
      <c r="L40" s="271"/>
      <c r="M40" s="271"/>
      <c r="N40" s="271"/>
      <c r="O40" s="271"/>
    </row>
    <row r="41" spans="1:15">
      <c r="A41" s="1209">
        <f>MAX($A$7:A40)+1</f>
        <v>34</v>
      </c>
      <c r="B41" s="113" t="s">
        <v>339</v>
      </c>
      <c r="C41" s="1463">
        <f t="shared" si="0"/>
        <v>36.726012963421077</v>
      </c>
      <c r="D41" s="1463">
        <f t="shared" si="0"/>
        <v>142.25889848248306</v>
      </c>
      <c r="E41" s="1463">
        <f t="shared" si="0"/>
        <v>511.46452239514718</v>
      </c>
      <c r="F41" s="1463">
        <f t="shared" si="0"/>
        <v>2892.2732654664437</v>
      </c>
      <c r="G41" s="1463">
        <f t="shared" si="0"/>
        <v>2172.6467095584526</v>
      </c>
      <c r="J41" s="271"/>
      <c r="K41" s="271"/>
      <c r="L41" s="271"/>
      <c r="M41" s="271"/>
      <c r="N41" s="271"/>
      <c r="O41" s="271"/>
    </row>
    <row r="42" spans="1:15">
      <c r="A42" s="1209">
        <f>MAX($A$7:A41)+1</f>
        <v>35</v>
      </c>
      <c r="B42" s="449" t="s">
        <v>341</v>
      </c>
      <c r="C42" s="921">
        <f>AVERAGE(C30:C41)</f>
        <v>18.37560919964606</v>
      </c>
      <c r="D42" s="921">
        <f>AVERAGE(D30:D41)</f>
        <v>77.743714021961068</v>
      </c>
      <c r="E42" s="921">
        <f>AVERAGE(E30:E41)</f>
        <v>367.41647372149959</v>
      </c>
      <c r="F42" s="921">
        <f>AVERAGE(F30:F41)</f>
        <v>2347.2185532951466</v>
      </c>
      <c r="G42" s="921">
        <f>AVERAGE(G30:G41)</f>
        <v>1603.7980980684194</v>
      </c>
      <c r="J42" s="271"/>
      <c r="K42" s="271"/>
      <c r="L42" s="271"/>
      <c r="M42" s="271"/>
      <c r="N42" s="271"/>
      <c r="O42" s="271"/>
    </row>
    <row r="43" spans="1:15">
      <c r="A43" s="1209">
        <f>MAX($A$7:A42)+1</f>
        <v>36</v>
      </c>
      <c r="B43" s="1209"/>
    </row>
    <row r="44" spans="1:15">
      <c r="A44" s="1209">
        <f>MAX($A$7:A43)+1</f>
        <v>37</v>
      </c>
      <c r="B44" s="451"/>
      <c r="C44" s="289">
        <f>C27-'Exh IDM-3, Revenue Distribution'!G11</f>
        <v>0</v>
      </c>
      <c r="D44" s="289">
        <f>D27-'Exh IDM-3, Revenue Distribution'!G15</f>
        <v>0</v>
      </c>
      <c r="E44" s="289">
        <f>E27-'Exh IDM-3, Revenue Distribution'!G21</f>
        <v>0</v>
      </c>
      <c r="F44" s="289">
        <f>F27-'Exh IDM-3, Revenue Distribution'!G27</f>
        <v>0</v>
      </c>
      <c r="G44" s="289">
        <f>G27-'Exh IDM-3, Revenue Distribution'!G32</f>
        <v>0</v>
      </c>
      <c r="H44" s="113" t="s">
        <v>322</v>
      </c>
    </row>
    <row r="45" spans="1:15">
      <c r="A45" s="1209">
        <f>MAX($A$7:A44)+1</f>
        <v>38</v>
      </c>
      <c r="B45" s="451"/>
      <c r="C45" s="920"/>
      <c r="D45" s="920"/>
      <c r="E45" s="289"/>
      <c r="F45" s="289"/>
      <c r="G45" s="289"/>
    </row>
    <row r="46" spans="1:15">
      <c r="A46" s="1209">
        <f>MAX($A$7:A45)+1</f>
        <v>39</v>
      </c>
      <c r="B46" s="451" t="s">
        <v>342</v>
      </c>
      <c r="C46" s="1358">
        <f>ROUND(NPV('Exh MCG-3, Rev Req Calc'!$C$9, (SUM(C30:C41)+(12*'Exh IDM-4, Class Rates'!$F$9)), (SUM(C30:C41)+(12*'Exh IDM-4, Class Rates'!$F$9)), (SUM(C30:C41)+(12*'Exh IDM-4, Class Rates'!$F$9)), (SUM(C30:C41)+(12*'Exh IDM-4, Class Rates'!$F$9)), (SUM(C30:C41)+(12*'Exh IDM-4, Class Rates'!$F$9)), (SUM(C30:C41)+(12*'Exh IDM-4, Class Rates'!$F$9)), (SUM(C30:C41)+(12*'Exh IDM-4, Class Rates'!$F$9))), 0)</f>
        <v>1520</v>
      </c>
      <c r="D46" s="1358">
        <f>ROUND(NPV('Exh MCG-3, Rev Req Calc'!$C$9, (SUM(D30:D41)+(12*'Exh IDM-4, Class Rates'!$F$14)), (SUM(D30:D41)+(12*'Exh IDM-4, Class Rates'!$F$14)), (SUM(D30:D41)+(12*'Exh IDM-4, Class Rates'!$F$14)), (SUM(D30:D41)+(12*'Exh IDM-4, Class Rates'!$F$14)), (SUM(D30:D41)+(12*'Exh IDM-4, Class Rates'!$F$14)), (SUM(D30:D41)+(12*'Exh IDM-4, Class Rates'!$F$14)), (SUM(D30:D41)+(12*'Exh IDM-4, Class Rates'!$F$14))), 0)</f>
        <v>5899</v>
      </c>
      <c r="E46" s="289"/>
      <c r="F46" s="289"/>
      <c r="G46" s="289"/>
    </row>
    <row r="47" spans="1:15">
      <c r="A47" s="1209">
        <f>MAX($A$7:A46)+1</f>
        <v>40</v>
      </c>
      <c r="B47" s="451"/>
      <c r="C47" s="271"/>
      <c r="D47" s="289"/>
      <c r="E47" s="289"/>
      <c r="F47" s="289"/>
      <c r="G47" s="289"/>
    </row>
    <row r="48" spans="1:15" hidden="1" outlineLevel="1">
      <c r="A48" s="1209">
        <f>MAX($A$7:A47)+1</f>
        <v>41</v>
      </c>
      <c r="B48" s="1209"/>
    </row>
    <row r="49" spans="1:7" hidden="1" outlineLevel="1">
      <c r="A49" s="1257">
        <f>MAX($A$7:A48)+1</f>
        <v>42</v>
      </c>
      <c r="B49" s="1273" t="s">
        <v>343</v>
      </c>
      <c r="C49" s="1274">
        <f>'Exh IDM-3, Revenue Distribution'!O11</f>
        <v>0</v>
      </c>
      <c r="D49" s="1274">
        <f>'Exh IDM-3, Revenue Distribution'!O15</f>
        <v>0</v>
      </c>
      <c r="E49" s="1274">
        <f>'Exh IDM-3, Revenue Distribution'!O21</f>
        <v>0</v>
      </c>
      <c r="F49" s="1274">
        <f>'Exh IDM-3, Revenue Distribution'!O27</f>
        <v>0</v>
      </c>
      <c r="G49" s="1274">
        <f>'Exh IDM-3, Revenue Distribution'!O32</f>
        <v>0</v>
      </c>
    </row>
    <row r="50" spans="1:7" hidden="1" outlineLevel="1">
      <c r="A50" s="1257">
        <f>MAX($A$7:A49)+1</f>
        <v>43</v>
      </c>
      <c r="B50" s="1273" t="s">
        <v>87</v>
      </c>
      <c r="C50" s="1275">
        <f>ROUND(C49/C$10, 5)</f>
        <v>0</v>
      </c>
      <c r="D50" s="1275">
        <f>ROUND(D49/D$10, 5)</f>
        <v>0</v>
      </c>
      <c r="E50" s="1275">
        <f>ROUND(E49/E$10, 5)</f>
        <v>0</v>
      </c>
      <c r="F50" s="1275">
        <f>ROUND(F49/F$10, 5)</f>
        <v>0</v>
      </c>
      <c r="G50" s="1275">
        <f>ROUND(G49/G$10, 5)</f>
        <v>0</v>
      </c>
    </row>
    <row r="51" spans="1:7" hidden="1" outlineLevel="1">
      <c r="A51" s="1257">
        <f>MAX($A$7:A50)+1</f>
        <v>44</v>
      </c>
      <c r="B51" s="1257"/>
      <c r="C51" s="1257"/>
      <c r="D51" s="1257"/>
      <c r="E51" s="1257"/>
      <c r="F51" s="1257"/>
      <c r="G51" s="1257"/>
    </row>
    <row r="52" spans="1:7" ht="30" hidden="1" outlineLevel="1">
      <c r="A52" s="1257">
        <f>MAX($A$7:A51)+1</f>
        <v>45</v>
      </c>
      <c r="B52" s="1276" t="s">
        <v>344</v>
      </c>
      <c r="C52" s="1276"/>
      <c r="D52" s="1276"/>
      <c r="E52" s="1276"/>
      <c r="F52" s="1276"/>
      <c r="G52" s="1276"/>
    </row>
    <row r="53" spans="1:7" hidden="1" outlineLevel="1">
      <c r="A53" s="1257">
        <f>MAX($A$7:A52)+1</f>
        <v>46</v>
      </c>
      <c r="B53" s="1227" t="s">
        <v>328</v>
      </c>
      <c r="C53" s="1277">
        <f t="shared" ref="C53:G64" si="1">(C15*C$50)/C$12</f>
        <v>0</v>
      </c>
      <c r="D53" s="1277">
        <f t="shared" si="1"/>
        <v>0</v>
      </c>
      <c r="E53" s="1277">
        <f t="shared" si="1"/>
        <v>0</v>
      </c>
      <c r="F53" s="1277">
        <f t="shared" si="1"/>
        <v>0</v>
      </c>
      <c r="G53" s="1277">
        <f t="shared" si="1"/>
        <v>0</v>
      </c>
    </row>
    <row r="54" spans="1:7" hidden="1" outlineLevel="1">
      <c r="A54" s="1257">
        <f>MAX($A$7:A53)+1</f>
        <v>47</v>
      </c>
      <c r="B54" s="1227" t="s">
        <v>329</v>
      </c>
      <c r="C54" s="1277">
        <f t="shared" si="1"/>
        <v>0</v>
      </c>
      <c r="D54" s="1277">
        <f t="shared" si="1"/>
        <v>0</v>
      </c>
      <c r="E54" s="1277">
        <f t="shared" si="1"/>
        <v>0</v>
      </c>
      <c r="F54" s="1277">
        <f t="shared" si="1"/>
        <v>0</v>
      </c>
      <c r="G54" s="1277">
        <f t="shared" si="1"/>
        <v>0</v>
      </c>
    </row>
    <row r="55" spans="1:7" hidden="1" outlineLevel="1">
      <c r="A55" s="1257">
        <f>MAX($A$7:A54)+1</f>
        <v>48</v>
      </c>
      <c r="B55" s="1227" t="s">
        <v>330</v>
      </c>
      <c r="C55" s="1277">
        <f t="shared" si="1"/>
        <v>0</v>
      </c>
      <c r="D55" s="1277">
        <f t="shared" si="1"/>
        <v>0</v>
      </c>
      <c r="E55" s="1277">
        <f t="shared" si="1"/>
        <v>0</v>
      </c>
      <c r="F55" s="1277">
        <f t="shared" si="1"/>
        <v>0</v>
      </c>
      <c r="G55" s="1277">
        <f t="shared" si="1"/>
        <v>0</v>
      </c>
    </row>
    <row r="56" spans="1:7" hidden="1" outlineLevel="1">
      <c r="A56" s="1257">
        <f>MAX($A$7:A55)+1</f>
        <v>49</v>
      </c>
      <c r="B56" s="1227" t="s">
        <v>331</v>
      </c>
      <c r="C56" s="1277">
        <f t="shared" si="1"/>
        <v>0</v>
      </c>
      <c r="D56" s="1277">
        <f t="shared" si="1"/>
        <v>0</v>
      </c>
      <c r="E56" s="1277">
        <f t="shared" si="1"/>
        <v>0</v>
      </c>
      <c r="F56" s="1277">
        <f t="shared" si="1"/>
        <v>0</v>
      </c>
      <c r="G56" s="1277">
        <f t="shared" si="1"/>
        <v>0</v>
      </c>
    </row>
    <row r="57" spans="1:7" hidden="1" outlineLevel="1">
      <c r="A57" s="1257">
        <f>MAX($A$7:A56)+1</f>
        <v>50</v>
      </c>
      <c r="B57" s="1227" t="s">
        <v>332</v>
      </c>
      <c r="C57" s="1277">
        <f t="shared" si="1"/>
        <v>0</v>
      </c>
      <c r="D57" s="1277">
        <f t="shared" si="1"/>
        <v>0</v>
      </c>
      <c r="E57" s="1277">
        <f t="shared" si="1"/>
        <v>0</v>
      </c>
      <c r="F57" s="1277">
        <f t="shared" si="1"/>
        <v>0</v>
      </c>
      <c r="G57" s="1277">
        <f t="shared" si="1"/>
        <v>0</v>
      </c>
    </row>
    <row r="58" spans="1:7" hidden="1" outlineLevel="1">
      <c r="A58" s="1257">
        <f>MAX($A$7:A57)+1</f>
        <v>51</v>
      </c>
      <c r="B58" s="1227" t="s">
        <v>333</v>
      </c>
      <c r="C58" s="1277">
        <f t="shared" si="1"/>
        <v>0</v>
      </c>
      <c r="D58" s="1277">
        <f t="shared" si="1"/>
        <v>0</v>
      </c>
      <c r="E58" s="1277">
        <f t="shared" si="1"/>
        <v>0</v>
      </c>
      <c r="F58" s="1277">
        <f t="shared" si="1"/>
        <v>0</v>
      </c>
      <c r="G58" s="1277">
        <f t="shared" si="1"/>
        <v>0</v>
      </c>
    </row>
    <row r="59" spans="1:7" hidden="1" outlineLevel="1">
      <c r="A59" s="1257">
        <f>MAX($A$7:A58)+1</f>
        <v>52</v>
      </c>
      <c r="B59" s="1227" t="s">
        <v>334</v>
      </c>
      <c r="C59" s="1277">
        <f t="shared" si="1"/>
        <v>0</v>
      </c>
      <c r="D59" s="1277">
        <f t="shared" si="1"/>
        <v>0</v>
      </c>
      <c r="E59" s="1277">
        <f t="shared" si="1"/>
        <v>0</v>
      </c>
      <c r="F59" s="1277">
        <f t="shared" si="1"/>
        <v>0</v>
      </c>
      <c r="G59" s="1277">
        <f t="shared" si="1"/>
        <v>0</v>
      </c>
    </row>
    <row r="60" spans="1:7" hidden="1" outlineLevel="1">
      <c r="A60" s="1257">
        <f>MAX($A$7:A59)+1</f>
        <v>53</v>
      </c>
      <c r="B60" s="1227" t="s">
        <v>335</v>
      </c>
      <c r="C60" s="1277">
        <f t="shared" si="1"/>
        <v>0</v>
      </c>
      <c r="D60" s="1277">
        <f t="shared" si="1"/>
        <v>0</v>
      </c>
      <c r="E60" s="1277">
        <f t="shared" si="1"/>
        <v>0</v>
      </c>
      <c r="F60" s="1277">
        <f t="shared" si="1"/>
        <v>0</v>
      </c>
      <c r="G60" s="1277">
        <f t="shared" si="1"/>
        <v>0</v>
      </c>
    </row>
    <row r="61" spans="1:7" hidden="1" outlineLevel="1">
      <c r="A61" s="1257">
        <f>MAX($A$7:A60)+1</f>
        <v>54</v>
      </c>
      <c r="B61" s="1227" t="s">
        <v>336</v>
      </c>
      <c r="C61" s="1277">
        <f t="shared" si="1"/>
        <v>0</v>
      </c>
      <c r="D61" s="1277">
        <f t="shared" si="1"/>
        <v>0</v>
      </c>
      <c r="E61" s="1277">
        <f t="shared" si="1"/>
        <v>0</v>
      </c>
      <c r="F61" s="1277">
        <f t="shared" si="1"/>
        <v>0</v>
      </c>
      <c r="G61" s="1277">
        <f t="shared" si="1"/>
        <v>0</v>
      </c>
    </row>
    <row r="62" spans="1:7" hidden="1" outlineLevel="1">
      <c r="A62" s="1257">
        <f>MAX($A$7:A61)+1</f>
        <v>55</v>
      </c>
      <c r="B62" s="1227" t="s">
        <v>337</v>
      </c>
      <c r="C62" s="1277">
        <f t="shared" si="1"/>
        <v>0</v>
      </c>
      <c r="D62" s="1277">
        <f t="shared" si="1"/>
        <v>0</v>
      </c>
      <c r="E62" s="1277">
        <f t="shared" si="1"/>
        <v>0</v>
      </c>
      <c r="F62" s="1277">
        <f t="shared" si="1"/>
        <v>0</v>
      </c>
      <c r="G62" s="1277">
        <f t="shared" si="1"/>
        <v>0</v>
      </c>
    </row>
    <row r="63" spans="1:7" hidden="1" outlineLevel="1">
      <c r="A63" s="1257">
        <f>MAX($A$7:A62)+1</f>
        <v>56</v>
      </c>
      <c r="B63" s="1227" t="s">
        <v>338</v>
      </c>
      <c r="C63" s="1277">
        <f t="shared" si="1"/>
        <v>0</v>
      </c>
      <c r="D63" s="1277">
        <f t="shared" si="1"/>
        <v>0</v>
      </c>
      <c r="E63" s="1277">
        <f t="shared" si="1"/>
        <v>0</v>
      </c>
      <c r="F63" s="1277">
        <f t="shared" si="1"/>
        <v>0</v>
      </c>
      <c r="G63" s="1277">
        <f t="shared" si="1"/>
        <v>0</v>
      </c>
    </row>
    <row r="64" spans="1:7" hidden="1" outlineLevel="1">
      <c r="A64" s="1257">
        <f>MAX($A$7:A63)+1</f>
        <v>57</v>
      </c>
      <c r="B64" s="1227" t="s">
        <v>339</v>
      </c>
      <c r="C64" s="1277">
        <f t="shared" si="1"/>
        <v>0</v>
      </c>
      <c r="D64" s="1277">
        <f t="shared" si="1"/>
        <v>0</v>
      </c>
      <c r="E64" s="1277">
        <f t="shared" si="1"/>
        <v>0</v>
      </c>
      <c r="F64" s="1277">
        <f t="shared" si="1"/>
        <v>0</v>
      </c>
      <c r="G64" s="1277">
        <f t="shared" si="1"/>
        <v>0</v>
      </c>
    </row>
    <row r="65" spans="1:7" hidden="1" outlineLevel="1">
      <c r="A65" s="1257">
        <f>MAX($A$7:A64)+1</f>
        <v>58</v>
      </c>
      <c r="B65" s="1278" t="s">
        <v>341</v>
      </c>
      <c r="C65" s="1279">
        <f>AVERAGE(C53:C64)</f>
        <v>0</v>
      </c>
      <c r="D65" s="1279">
        <f>AVERAGE(D53:D64)</f>
        <v>0</v>
      </c>
      <c r="E65" s="1279">
        <f>AVERAGE(E53:E64)</f>
        <v>0</v>
      </c>
      <c r="F65" s="1279">
        <f>AVERAGE(F53:F64)</f>
        <v>0</v>
      </c>
      <c r="G65" s="1279">
        <f>AVERAGE(G53:G64)</f>
        <v>0</v>
      </c>
    </row>
    <row r="66" spans="1:7" hidden="1" outlineLevel="1">
      <c r="A66" s="1257">
        <f>MAX($A$7:A65)+1</f>
        <v>59</v>
      </c>
      <c r="B66" s="1278"/>
      <c r="C66" s="1277"/>
      <c r="D66" s="1277"/>
      <c r="E66" s="1277"/>
      <c r="F66" s="1277"/>
      <c r="G66" s="1277"/>
    </row>
    <row r="67" spans="1:7" hidden="1" outlineLevel="1">
      <c r="A67" s="1257">
        <f>MAX($A$7:A66)+1</f>
        <v>60</v>
      </c>
      <c r="B67" s="1257"/>
      <c r="C67" s="1227"/>
      <c r="D67" s="1227"/>
      <c r="E67" s="1227"/>
      <c r="F67" s="1227"/>
      <c r="G67" s="1227"/>
    </row>
    <row r="68" spans="1:7" hidden="1" outlineLevel="1">
      <c r="A68" s="1257">
        <f>MAX($A$7:A67)+1</f>
        <v>61</v>
      </c>
      <c r="B68" s="1273" t="s">
        <v>345</v>
      </c>
      <c r="C68" s="1274">
        <f>'Exh IDM-3, Revenue Distribution'!T11</f>
        <v>0</v>
      </c>
      <c r="D68" s="1274">
        <f>'Exh IDM-3, Revenue Distribution'!T15</f>
        <v>0</v>
      </c>
      <c r="E68" s="1274">
        <f>'Exh IDM-3, Revenue Distribution'!T21</f>
        <v>0</v>
      </c>
      <c r="F68" s="1274">
        <f>'Exh IDM-3, Revenue Distribution'!T27</f>
        <v>0</v>
      </c>
      <c r="G68" s="1274">
        <f>'Exh IDM-3, Revenue Distribution'!T32</f>
        <v>0</v>
      </c>
    </row>
    <row r="69" spans="1:7" hidden="1" outlineLevel="1">
      <c r="A69" s="1257">
        <f>MAX($A$7:A68)+1</f>
        <v>62</v>
      </c>
      <c r="B69" s="1273" t="s">
        <v>87</v>
      </c>
      <c r="C69" s="1275">
        <f>ROUND(C68/C$10, 5)</f>
        <v>0</v>
      </c>
      <c r="D69" s="1275">
        <f>ROUND(D68/D$10, 5)</f>
        <v>0</v>
      </c>
      <c r="E69" s="1275">
        <f>ROUND(E68/E$10, 5)</f>
        <v>0</v>
      </c>
      <c r="F69" s="1275">
        <f>ROUND(F68/F$10, 5)</f>
        <v>0</v>
      </c>
      <c r="G69" s="1275">
        <f>ROUND(G68/G$10, 5)</f>
        <v>0</v>
      </c>
    </row>
    <row r="70" spans="1:7" hidden="1" outlineLevel="1">
      <c r="A70" s="1257">
        <f>MAX($A$7:A69)+1</f>
        <v>63</v>
      </c>
      <c r="B70" s="1257"/>
      <c r="C70" s="1257"/>
      <c r="D70" s="1257"/>
      <c r="E70" s="1257"/>
      <c r="F70" s="1257"/>
      <c r="G70" s="1257"/>
    </row>
    <row r="71" spans="1:7" ht="30" hidden="1" outlineLevel="1">
      <c r="A71" s="1257">
        <f>MAX($A$7:A70)+1</f>
        <v>64</v>
      </c>
      <c r="B71" s="1276" t="s">
        <v>3221</v>
      </c>
      <c r="C71" s="1276"/>
      <c r="D71" s="1276"/>
      <c r="E71" s="1276"/>
      <c r="F71" s="1276"/>
      <c r="G71" s="1276"/>
    </row>
    <row r="72" spans="1:7" hidden="1" outlineLevel="1">
      <c r="A72" s="1257">
        <f>MAX($A$7:A71)+1</f>
        <v>65</v>
      </c>
      <c r="B72" s="1227" t="s">
        <v>328</v>
      </c>
      <c r="C72" s="1277">
        <f t="shared" ref="C72:G83" si="2">(C15*C$69)/C$12</f>
        <v>0</v>
      </c>
      <c r="D72" s="1277">
        <f t="shared" si="2"/>
        <v>0</v>
      </c>
      <c r="E72" s="1277">
        <f t="shared" si="2"/>
        <v>0</v>
      </c>
      <c r="F72" s="1277">
        <f t="shared" si="2"/>
        <v>0</v>
      </c>
      <c r="G72" s="1277">
        <f t="shared" si="2"/>
        <v>0</v>
      </c>
    </row>
    <row r="73" spans="1:7" hidden="1" outlineLevel="1">
      <c r="A73" s="1257">
        <f>MAX($A$7:A72)+1</f>
        <v>66</v>
      </c>
      <c r="B73" s="1227" t="s">
        <v>329</v>
      </c>
      <c r="C73" s="1277">
        <f t="shared" si="2"/>
        <v>0</v>
      </c>
      <c r="D73" s="1277">
        <f t="shared" si="2"/>
        <v>0</v>
      </c>
      <c r="E73" s="1277">
        <f t="shared" si="2"/>
        <v>0</v>
      </c>
      <c r="F73" s="1277">
        <f t="shared" si="2"/>
        <v>0</v>
      </c>
      <c r="G73" s="1277">
        <f t="shared" si="2"/>
        <v>0</v>
      </c>
    </row>
    <row r="74" spans="1:7" hidden="1" outlineLevel="1">
      <c r="A74" s="1257">
        <f>MAX($A$7:A73)+1</f>
        <v>67</v>
      </c>
      <c r="B74" s="1227" t="s">
        <v>330</v>
      </c>
      <c r="C74" s="1277">
        <f t="shared" si="2"/>
        <v>0</v>
      </c>
      <c r="D74" s="1277">
        <f t="shared" si="2"/>
        <v>0</v>
      </c>
      <c r="E74" s="1277">
        <f t="shared" si="2"/>
        <v>0</v>
      </c>
      <c r="F74" s="1277">
        <f t="shared" si="2"/>
        <v>0</v>
      </c>
      <c r="G74" s="1277">
        <f t="shared" si="2"/>
        <v>0</v>
      </c>
    </row>
    <row r="75" spans="1:7" hidden="1" outlineLevel="1">
      <c r="A75" s="1257">
        <f>MAX($A$7:A74)+1</f>
        <v>68</v>
      </c>
      <c r="B75" s="1227" t="s">
        <v>331</v>
      </c>
      <c r="C75" s="1277">
        <f t="shared" si="2"/>
        <v>0</v>
      </c>
      <c r="D75" s="1277">
        <f t="shared" si="2"/>
        <v>0</v>
      </c>
      <c r="E75" s="1277">
        <f t="shared" si="2"/>
        <v>0</v>
      </c>
      <c r="F75" s="1277">
        <f t="shared" si="2"/>
        <v>0</v>
      </c>
      <c r="G75" s="1277">
        <f t="shared" si="2"/>
        <v>0</v>
      </c>
    </row>
    <row r="76" spans="1:7" hidden="1" outlineLevel="1">
      <c r="A76" s="1257">
        <f>MAX($A$7:A75)+1</f>
        <v>69</v>
      </c>
      <c r="B76" s="1227" t="s">
        <v>332</v>
      </c>
      <c r="C76" s="1277">
        <f t="shared" si="2"/>
        <v>0</v>
      </c>
      <c r="D76" s="1277">
        <f t="shared" si="2"/>
        <v>0</v>
      </c>
      <c r="E76" s="1277">
        <f t="shared" si="2"/>
        <v>0</v>
      </c>
      <c r="F76" s="1277">
        <f t="shared" si="2"/>
        <v>0</v>
      </c>
      <c r="G76" s="1277">
        <f t="shared" si="2"/>
        <v>0</v>
      </c>
    </row>
    <row r="77" spans="1:7" hidden="1" outlineLevel="1">
      <c r="A77" s="1257">
        <f>MAX($A$7:A76)+1</f>
        <v>70</v>
      </c>
      <c r="B77" s="1227" t="s">
        <v>333</v>
      </c>
      <c r="C77" s="1277">
        <f t="shared" si="2"/>
        <v>0</v>
      </c>
      <c r="D77" s="1277">
        <f t="shared" si="2"/>
        <v>0</v>
      </c>
      <c r="E77" s="1277">
        <f t="shared" si="2"/>
        <v>0</v>
      </c>
      <c r="F77" s="1277">
        <f t="shared" si="2"/>
        <v>0</v>
      </c>
      <c r="G77" s="1277">
        <f t="shared" si="2"/>
        <v>0</v>
      </c>
    </row>
    <row r="78" spans="1:7" hidden="1" outlineLevel="1">
      <c r="A78" s="1257">
        <f>MAX($A$7:A77)+1</f>
        <v>71</v>
      </c>
      <c r="B78" s="1227" t="s">
        <v>334</v>
      </c>
      <c r="C78" s="1277">
        <f t="shared" si="2"/>
        <v>0</v>
      </c>
      <c r="D78" s="1277">
        <f t="shared" si="2"/>
        <v>0</v>
      </c>
      <c r="E78" s="1277">
        <f t="shared" si="2"/>
        <v>0</v>
      </c>
      <c r="F78" s="1277">
        <f t="shared" si="2"/>
        <v>0</v>
      </c>
      <c r="G78" s="1277">
        <f t="shared" si="2"/>
        <v>0</v>
      </c>
    </row>
    <row r="79" spans="1:7" hidden="1" outlineLevel="1">
      <c r="A79" s="1257">
        <f>MAX($A$7:A78)+1</f>
        <v>72</v>
      </c>
      <c r="B79" s="1227" t="s">
        <v>335</v>
      </c>
      <c r="C79" s="1277">
        <f t="shared" si="2"/>
        <v>0</v>
      </c>
      <c r="D79" s="1277">
        <f t="shared" si="2"/>
        <v>0</v>
      </c>
      <c r="E79" s="1277">
        <f t="shared" si="2"/>
        <v>0</v>
      </c>
      <c r="F79" s="1277">
        <f t="shared" si="2"/>
        <v>0</v>
      </c>
      <c r="G79" s="1277">
        <f t="shared" si="2"/>
        <v>0</v>
      </c>
    </row>
    <row r="80" spans="1:7" hidden="1" outlineLevel="1">
      <c r="A80" s="1257">
        <f>MAX($A$7:A79)+1</f>
        <v>73</v>
      </c>
      <c r="B80" s="1227" t="s">
        <v>336</v>
      </c>
      <c r="C80" s="1277">
        <f t="shared" si="2"/>
        <v>0</v>
      </c>
      <c r="D80" s="1277">
        <f t="shared" si="2"/>
        <v>0</v>
      </c>
      <c r="E80" s="1277">
        <f t="shared" si="2"/>
        <v>0</v>
      </c>
      <c r="F80" s="1277">
        <f t="shared" si="2"/>
        <v>0</v>
      </c>
      <c r="G80" s="1277">
        <f t="shared" si="2"/>
        <v>0</v>
      </c>
    </row>
    <row r="81" spans="1:7" hidden="1" outlineLevel="1">
      <c r="A81" s="1257">
        <f>MAX($A$7:A80)+1</f>
        <v>74</v>
      </c>
      <c r="B81" s="1227" t="s">
        <v>337</v>
      </c>
      <c r="C81" s="1277">
        <f t="shared" si="2"/>
        <v>0</v>
      </c>
      <c r="D81" s="1277">
        <f t="shared" si="2"/>
        <v>0</v>
      </c>
      <c r="E81" s="1277">
        <f t="shared" si="2"/>
        <v>0</v>
      </c>
      <c r="F81" s="1277">
        <f t="shared" si="2"/>
        <v>0</v>
      </c>
      <c r="G81" s="1277">
        <f t="shared" si="2"/>
        <v>0</v>
      </c>
    </row>
    <row r="82" spans="1:7" hidden="1" outlineLevel="1">
      <c r="A82" s="1257">
        <f>MAX($A$7:A81)+1</f>
        <v>75</v>
      </c>
      <c r="B82" s="1227" t="s">
        <v>338</v>
      </c>
      <c r="C82" s="1277">
        <f t="shared" si="2"/>
        <v>0</v>
      </c>
      <c r="D82" s="1277">
        <f t="shared" si="2"/>
        <v>0</v>
      </c>
      <c r="E82" s="1277">
        <f t="shared" si="2"/>
        <v>0</v>
      </c>
      <c r="F82" s="1277">
        <f t="shared" si="2"/>
        <v>0</v>
      </c>
      <c r="G82" s="1277">
        <f t="shared" si="2"/>
        <v>0</v>
      </c>
    </row>
    <row r="83" spans="1:7" hidden="1" outlineLevel="1">
      <c r="A83" s="1257">
        <f>MAX($A$7:A82)+1</f>
        <v>76</v>
      </c>
      <c r="B83" s="1227" t="s">
        <v>339</v>
      </c>
      <c r="C83" s="1277">
        <f t="shared" si="2"/>
        <v>0</v>
      </c>
      <c r="D83" s="1277">
        <f t="shared" si="2"/>
        <v>0</v>
      </c>
      <c r="E83" s="1277">
        <f t="shared" si="2"/>
        <v>0</v>
      </c>
      <c r="F83" s="1277">
        <f t="shared" si="2"/>
        <v>0</v>
      </c>
      <c r="G83" s="1277">
        <f t="shared" si="2"/>
        <v>0</v>
      </c>
    </row>
    <row r="84" spans="1:7" hidden="1" outlineLevel="1">
      <c r="A84" s="1257">
        <f>MAX($A$7:A83)+1</f>
        <v>77</v>
      </c>
      <c r="B84" s="1278" t="s">
        <v>341</v>
      </c>
      <c r="C84" s="1279">
        <f>AVERAGE(C72:C83)</f>
        <v>0</v>
      </c>
      <c r="D84" s="1279">
        <f>AVERAGE(D72:D83)</f>
        <v>0</v>
      </c>
      <c r="E84" s="1279">
        <f>AVERAGE(E72:E83)</f>
        <v>0</v>
      </c>
      <c r="F84" s="1279">
        <f>AVERAGE(F72:F83)</f>
        <v>0</v>
      </c>
      <c r="G84" s="1279">
        <f>AVERAGE(G72:G83)</f>
        <v>0</v>
      </c>
    </row>
    <row r="85" spans="1:7" hidden="1" outlineLevel="1">
      <c r="A85" s="1257">
        <f>MAX($A$7:A84)+1</f>
        <v>78</v>
      </c>
      <c r="B85" s="1278"/>
      <c r="C85" s="1277"/>
      <c r="D85" s="1277"/>
      <c r="E85" s="1277"/>
      <c r="F85" s="1277"/>
      <c r="G85" s="1277"/>
    </row>
    <row r="86" spans="1:7" hidden="1" outlineLevel="1">
      <c r="A86" s="1257">
        <f>MAX($A$7:A85)+1</f>
        <v>79</v>
      </c>
      <c r="B86" s="1257"/>
      <c r="C86" s="1227"/>
      <c r="D86" s="1227"/>
      <c r="E86" s="1227"/>
      <c r="F86" s="1227"/>
      <c r="G86" s="1227"/>
    </row>
    <row r="87" spans="1:7" hidden="1" outlineLevel="1">
      <c r="A87" s="1257">
        <f>MAX($A$7:A86)+1</f>
        <v>80</v>
      </c>
      <c r="B87" s="1273" t="s">
        <v>346</v>
      </c>
      <c r="C87" s="1274">
        <f>'Exh IDM-3, Revenue Distribution'!Y11</f>
        <v>0</v>
      </c>
      <c r="D87" s="1274">
        <f>'Exh IDM-3, Revenue Distribution'!Y15</f>
        <v>0</v>
      </c>
      <c r="E87" s="1274">
        <f>'Exh IDM-3, Revenue Distribution'!Y21</f>
        <v>0</v>
      </c>
      <c r="F87" s="1274">
        <f>'Exh IDM-3, Revenue Distribution'!Y27</f>
        <v>0</v>
      </c>
      <c r="G87" s="1274">
        <f>'Exh IDM-3, Revenue Distribution'!Y32</f>
        <v>0</v>
      </c>
    </row>
    <row r="88" spans="1:7" hidden="1" outlineLevel="1">
      <c r="A88" s="1257">
        <f>MAX($A$7:A87)+1</f>
        <v>81</v>
      </c>
      <c r="B88" s="1273" t="s">
        <v>87</v>
      </c>
      <c r="C88" s="1275">
        <f>ROUND(C87/C$10, 5)</f>
        <v>0</v>
      </c>
      <c r="D88" s="1275">
        <f>ROUND(D87/D$10, 5)</f>
        <v>0</v>
      </c>
      <c r="E88" s="1275">
        <f>ROUND(E87/E$10, 5)</f>
        <v>0</v>
      </c>
      <c r="F88" s="1275">
        <f>ROUND(F87/F$10, 5)</f>
        <v>0</v>
      </c>
      <c r="G88" s="1275">
        <f>ROUND(G87/G$10, 5)</f>
        <v>0</v>
      </c>
    </row>
    <row r="89" spans="1:7" hidden="1" outlineLevel="1">
      <c r="A89" s="1257">
        <f>MAX($A$7:A88)+1</f>
        <v>82</v>
      </c>
      <c r="B89" s="1257"/>
      <c r="C89" s="1257"/>
      <c r="D89" s="1257"/>
      <c r="E89" s="1257"/>
      <c r="F89" s="1257"/>
      <c r="G89" s="1257"/>
    </row>
    <row r="90" spans="1:7" ht="30" hidden="1" outlineLevel="1">
      <c r="A90" s="1257">
        <f>MAX($A$7:A89)+1</f>
        <v>83</v>
      </c>
      <c r="B90" s="1276" t="s">
        <v>3222</v>
      </c>
      <c r="C90" s="1276"/>
      <c r="D90" s="1276"/>
      <c r="E90" s="1276"/>
      <c r="F90" s="1276"/>
      <c r="G90" s="1276"/>
    </row>
    <row r="91" spans="1:7" hidden="1" outlineLevel="1">
      <c r="A91" s="1257">
        <f>MAX($A$7:A90)+1</f>
        <v>84</v>
      </c>
      <c r="B91" s="1227" t="s">
        <v>328</v>
      </c>
      <c r="C91" s="1277">
        <f t="shared" ref="C91:G102" si="3">(C15*C$88)/C$12</f>
        <v>0</v>
      </c>
      <c r="D91" s="1277">
        <f t="shared" si="3"/>
        <v>0</v>
      </c>
      <c r="E91" s="1277">
        <f t="shared" si="3"/>
        <v>0</v>
      </c>
      <c r="F91" s="1277">
        <f t="shared" si="3"/>
        <v>0</v>
      </c>
      <c r="G91" s="1277">
        <f t="shared" si="3"/>
        <v>0</v>
      </c>
    </row>
    <row r="92" spans="1:7" hidden="1" outlineLevel="1">
      <c r="A92" s="1257">
        <f>MAX($A$7:A91)+1</f>
        <v>85</v>
      </c>
      <c r="B92" s="1227" t="s">
        <v>329</v>
      </c>
      <c r="C92" s="1277">
        <f t="shared" si="3"/>
        <v>0</v>
      </c>
      <c r="D92" s="1277">
        <f t="shared" si="3"/>
        <v>0</v>
      </c>
      <c r="E92" s="1277">
        <f t="shared" si="3"/>
        <v>0</v>
      </c>
      <c r="F92" s="1277">
        <f t="shared" si="3"/>
        <v>0</v>
      </c>
      <c r="G92" s="1277">
        <f t="shared" si="3"/>
        <v>0</v>
      </c>
    </row>
    <row r="93" spans="1:7" hidden="1" outlineLevel="1">
      <c r="A93" s="1257">
        <f>MAX($A$7:A92)+1</f>
        <v>86</v>
      </c>
      <c r="B93" s="1227" t="s">
        <v>330</v>
      </c>
      <c r="C93" s="1277">
        <f t="shared" si="3"/>
        <v>0</v>
      </c>
      <c r="D93" s="1277">
        <f t="shared" si="3"/>
        <v>0</v>
      </c>
      <c r="E93" s="1277">
        <f t="shared" si="3"/>
        <v>0</v>
      </c>
      <c r="F93" s="1277">
        <f t="shared" si="3"/>
        <v>0</v>
      </c>
      <c r="G93" s="1277">
        <f t="shared" si="3"/>
        <v>0</v>
      </c>
    </row>
    <row r="94" spans="1:7" hidden="1" outlineLevel="1">
      <c r="A94" s="1257">
        <f>MAX($A$7:A93)+1</f>
        <v>87</v>
      </c>
      <c r="B94" s="1227" t="s">
        <v>331</v>
      </c>
      <c r="C94" s="1277">
        <f t="shared" si="3"/>
        <v>0</v>
      </c>
      <c r="D94" s="1277">
        <f t="shared" si="3"/>
        <v>0</v>
      </c>
      <c r="E94" s="1277">
        <f t="shared" si="3"/>
        <v>0</v>
      </c>
      <c r="F94" s="1277">
        <f t="shared" si="3"/>
        <v>0</v>
      </c>
      <c r="G94" s="1277">
        <f t="shared" si="3"/>
        <v>0</v>
      </c>
    </row>
    <row r="95" spans="1:7" hidden="1" outlineLevel="1">
      <c r="A95" s="1257">
        <f>MAX($A$7:A94)+1</f>
        <v>88</v>
      </c>
      <c r="B95" s="1227" t="s">
        <v>332</v>
      </c>
      <c r="C95" s="1277">
        <f t="shared" si="3"/>
        <v>0</v>
      </c>
      <c r="D95" s="1277">
        <f t="shared" si="3"/>
        <v>0</v>
      </c>
      <c r="E95" s="1277">
        <f t="shared" si="3"/>
        <v>0</v>
      </c>
      <c r="F95" s="1277">
        <f t="shared" si="3"/>
        <v>0</v>
      </c>
      <c r="G95" s="1277">
        <f t="shared" si="3"/>
        <v>0</v>
      </c>
    </row>
    <row r="96" spans="1:7" hidden="1" outlineLevel="1">
      <c r="A96" s="1257">
        <f>MAX($A$7:A95)+1</f>
        <v>89</v>
      </c>
      <c r="B96" s="1227" t="s">
        <v>333</v>
      </c>
      <c r="C96" s="1277">
        <f t="shared" si="3"/>
        <v>0</v>
      </c>
      <c r="D96" s="1277">
        <f t="shared" si="3"/>
        <v>0</v>
      </c>
      <c r="E96" s="1277">
        <f t="shared" si="3"/>
        <v>0</v>
      </c>
      <c r="F96" s="1277">
        <f t="shared" si="3"/>
        <v>0</v>
      </c>
      <c r="G96" s="1277">
        <f t="shared" si="3"/>
        <v>0</v>
      </c>
    </row>
    <row r="97" spans="1:7" hidden="1" outlineLevel="1">
      <c r="A97" s="1257">
        <f>MAX($A$7:A96)+1</f>
        <v>90</v>
      </c>
      <c r="B97" s="1227" t="s">
        <v>334</v>
      </c>
      <c r="C97" s="1277">
        <f t="shared" si="3"/>
        <v>0</v>
      </c>
      <c r="D97" s="1277">
        <f t="shared" si="3"/>
        <v>0</v>
      </c>
      <c r="E97" s="1277">
        <f t="shared" si="3"/>
        <v>0</v>
      </c>
      <c r="F97" s="1277">
        <f t="shared" si="3"/>
        <v>0</v>
      </c>
      <c r="G97" s="1277">
        <f t="shared" si="3"/>
        <v>0</v>
      </c>
    </row>
    <row r="98" spans="1:7" hidden="1" outlineLevel="1">
      <c r="A98" s="1257">
        <f>MAX($A$7:A97)+1</f>
        <v>91</v>
      </c>
      <c r="B98" s="1227" t="s">
        <v>335</v>
      </c>
      <c r="C98" s="1277">
        <f t="shared" si="3"/>
        <v>0</v>
      </c>
      <c r="D98" s="1277">
        <f t="shared" si="3"/>
        <v>0</v>
      </c>
      <c r="E98" s="1277">
        <f t="shared" si="3"/>
        <v>0</v>
      </c>
      <c r="F98" s="1277">
        <f t="shared" si="3"/>
        <v>0</v>
      </c>
      <c r="G98" s="1277">
        <f t="shared" si="3"/>
        <v>0</v>
      </c>
    </row>
    <row r="99" spans="1:7" hidden="1" outlineLevel="1">
      <c r="A99" s="1257">
        <f>MAX($A$7:A98)+1</f>
        <v>92</v>
      </c>
      <c r="B99" s="1227" t="s">
        <v>336</v>
      </c>
      <c r="C99" s="1277">
        <f t="shared" si="3"/>
        <v>0</v>
      </c>
      <c r="D99" s="1277">
        <f t="shared" si="3"/>
        <v>0</v>
      </c>
      <c r="E99" s="1277">
        <f t="shared" si="3"/>
        <v>0</v>
      </c>
      <c r="F99" s="1277">
        <f t="shared" si="3"/>
        <v>0</v>
      </c>
      <c r="G99" s="1277">
        <f t="shared" si="3"/>
        <v>0</v>
      </c>
    </row>
    <row r="100" spans="1:7" hidden="1" outlineLevel="1">
      <c r="A100" s="1257">
        <f>MAX($A$7:A99)+1</f>
        <v>93</v>
      </c>
      <c r="B100" s="1227" t="s">
        <v>337</v>
      </c>
      <c r="C100" s="1277">
        <f t="shared" si="3"/>
        <v>0</v>
      </c>
      <c r="D100" s="1277">
        <f t="shared" si="3"/>
        <v>0</v>
      </c>
      <c r="E100" s="1277">
        <f t="shared" si="3"/>
        <v>0</v>
      </c>
      <c r="F100" s="1277">
        <f t="shared" si="3"/>
        <v>0</v>
      </c>
      <c r="G100" s="1277">
        <f t="shared" si="3"/>
        <v>0</v>
      </c>
    </row>
    <row r="101" spans="1:7" hidden="1" outlineLevel="1">
      <c r="A101" s="1257">
        <f>MAX($A$7:A100)+1</f>
        <v>94</v>
      </c>
      <c r="B101" s="1227" t="s">
        <v>338</v>
      </c>
      <c r="C101" s="1277">
        <f t="shared" si="3"/>
        <v>0</v>
      </c>
      <c r="D101" s="1277">
        <f t="shared" si="3"/>
        <v>0</v>
      </c>
      <c r="E101" s="1277">
        <f t="shared" si="3"/>
        <v>0</v>
      </c>
      <c r="F101" s="1277">
        <f t="shared" si="3"/>
        <v>0</v>
      </c>
      <c r="G101" s="1277">
        <f t="shared" si="3"/>
        <v>0</v>
      </c>
    </row>
    <row r="102" spans="1:7" hidden="1" outlineLevel="1">
      <c r="A102" s="1257">
        <f>MAX($A$7:A101)+1</f>
        <v>95</v>
      </c>
      <c r="B102" s="1227" t="s">
        <v>339</v>
      </c>
      <c r="C102" s="1277">
        <f t="shared" si="3"/>
        <v>0</v>
      </c>
      <c r="D102" s="1277">
        <f t="shared" si="3"/>
        <v>0</v>
      </c>
      <c r="E102" s="1277">
        <f t="shared" si="3"/>
        <v>0</v>
      </c>
      <c r="F102" s="1277">
        <f t="shared" si="3"/>
        <v>0</v>
      </c>
      <c r="G102" s="1277">
        <f t="shared" si="3"/>
        <v>0</v>
      </c>
    </row>
    <row r="103" spans="1:7" hidden="1" outlineLevel="1">
      <c r="A103" s="1257">
        <f>MAX($A$7:A102)+1</f>
        <v>96</v>
      </c>
      <c r="B103" s="1278" t="s">
        <v>341</v>
      </c>
      <c r="C103" s="1279">
        <f>AVERAGE(C91:C102)</f>
        <v>0</v>
      </c>
      <c r="D103" s="1279">
        <f>AVERAGE(D91:D102)</f>
        <v>0</v>
      </c>
      <c r="E103" s="1279">
        <f>AVERAGE(E91:E102)</f>
        <v>0</v>
      </c>
      <c r="F103" s="1279">
        <f>AVERAGE(F91:F102)</f>
        <v>0</v>
      </c>
      <c r="G103" s="1279">
        <f>AVERAGE(G91:G102)</f>
        <v>0</v>
      </c>
    </row>
    <row r="104" spans="1:7" collapsed="1">
      <c r="A104" s="1209"/>
      <c r="B104" s="1209"/>
    </row>
    <row r="105" spans="1:7">
      <c r="A105" s="1209"/>
      <c r="B105" s="113"/>
    </row>
  </sheetData>
  <mergeCells count="5">
    <mergeCell ref="A1:G1"/>
    <mergeCell ref="A4:G4"/>
    <mergeCell ref="A5:G5"/>
    <mergeCell ref="A2:G2"/>
    <mergeCell ref="A3:G3"/>
  </mergeCells>
  <phoneticPr fontId="124" type="noConversion"/>
  <pageMargins left="1" right="1" top="1" bottom="1" header="0.3" footer="0.3"/>
  <pageSetup fitToHeight="0" orientation="portrait" r:id="rId1"/>
  <headerFooter scaleWithDoc="0">
    <oddHeader xml:space="preserve">&amp;RDocket No. UG-21_____
Exhibit No. ___ (IDM-4)
Page 1 of 1
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31853-5963-438E-B660-1AF03E40FEF1}">
  <sheetPr codeName="Sheet50">
    <tabColor theme="8" tint="0.79998168889431442"/>
    <pageSetUpPr fitToPage="1"/>
  </sheetPr>
  <dimension ref="A1:M18"/>
  <sheetViews>
    <sheetView showGridLines="0" zoomScale="80" zoomScaleNormal="80" workbookViewId="0">
      <selection activeCell="B2" sqref="B2:M18"/>
    </sheetView>
  </sheetViews>
  <sheetFormatPr defaultColWidth="8.85546875" defaultRowHeight="15"/>
  <cols>
    <col min="1" max="16384" width="8.85546875" style="113"/>
  </cols>
  <sheetData>
    <row r="1" spans="1:13">
      <c r="A1" s="15" t="str">
        <f ca="1">MID(CELL("filename",A1),FIND("]",CELL("filename",A1))+1,255)</f>
        <v>Proof WPs ---&gt;</v>
      </c>
    </row>
    <row r="2" spans="1:13">
      <c r="B2" s="1486" t="s">
        <v>347</v>
      </c>
      <c r="C2" s="1486"/>
      <c r="D2" s="1486"/>
      <c r="E2" s="1486"/>
      <c r="F2" s="1486"/>
      <c r="G2" s="1486"/>
      <c r="H2" s="1486"/>
      <c r="I2" s="1486"/>
      <c r="J2" s="1486"/>
      <c r="K2" s="1486"/>
      <c r="L2" s="1486"/>
      <c r="M2" s="1486"/>
    </row>
    <row r="3" spans="1:13">
      <c r="B3" s="1486"/>
      <c r="C3" s="1486"/>
      <c r="D3" s="1486"/>
      <c r="E3" s="1486"/>
      <c r="F3" s="1486"/>
      <c r="G3" s="1486"/>
      <c r="H3" s="1486"/>
      <c r="I3" s="1486"/>
      <c r="J3" s="1486"/>
      <c r="K3" s="1486"/>
      <c r="L3" s="1486"/>
      <c r="M3" s="1486"/>
    </row>
    <row r="4" spans="1:13">
      <c r="B4" s="1486"/>
      <c r="C4" s="1486"/>
      <c r="D4" s="1486"/>
      <c r="E4" s="1486"/>
      <c r="F4" s="1486"/>
      <c r="G4" s="1486"/>
      <c r="H4" s="1486"/>
      <c r="I4" s="1486"/>
      <c r="J4" s="1486"/>
      <c r="K4" s="1486"/>
      <c r="L4" s="1486"/>
      <c r="M4" s="1486"/>
    </row>
    <row r="5" spans="1:13">
      <c r="B5" s="1486"/>
      <c r="C5" s="1486"/>
      <c r="D5" s="1486"/>
      <c r="E5" s="1486"/>
      <c r="F5" s="1486"/>
      <c r="G5" s="1486"/>
      <c r="H5" s="1486"/>
      <c r="I5" s="1486"/>
      <c r="J5" s="1486"/>
      <c r="K5" s="1486"/>
      <c r="L5" s="1486"/>
      <c r="M5" s="1486"/>
    </row>
    <row r="6" spans="1:13">
      <c r="B6" s="1486"/>
      <c r="C6" s="1486"/>
      <c r="D6" s="1486"/>
      <c r="E6" s="1486"/>
      <c r="F6" s="1486"/>
      <c r="G6" s="1486"/>
      <c r="H6" s="1486"/>
      <c r="I6" s="1486"/>
      <c r="J6" s="1486"/>
      <c r="K6" s="1486"/>
      <c r="L6" s="1486"/>
      <c r="M6" s="1486"/>
    </row>
    <row r="7" spans="1:13">
      <c r="B7" s="1486"/>
      <c r="C7" s="1486"/>
      <c r="D7" s="1486"/>
      <c r="E7" s="1486"/>
      <c r="F7" s="1486"/>
      <c r="G7" s="1486"/>
      <c r="H7" s="1486"/>
      <c r="I7" s="1486"/>
      <c r="J7" s="1486"/>
      <c r="K7" s="1486"/>
      <c r="L7" s="1486"/>
      <c r="M7" s="1486"/>
    </row>
    <row r="8" spans="1:13">
      <c r="B8" s="1486"/>
      <c r="C8" s="1486"/>
      <c r="D8" s="1486"/>
      <c r="E8" s="1486"/>
      <c r="F8" s="1486"/>
      <c r="G8" s="1486"/>
      <c r="H8" s="1486"/>
      <c r="I8" s="1486"/>
      <c r="J8" s="1486"/>
      <c r="K8" s="1486"/>
      <c r="L8" s="1486"/>
      <c r="M8" s="1486"/>
    </row>
    <row r="9" spans="1:13">
      <c r="B9" s="1486"/>
      <c r="C9" s="1486"/>
      <c r="D9" s="1486"/>
      <c r="E9" s="1486"/>
      <c r="F9" s="1486"/>
      <c r="G9" s="1486"/>
      <c r="H9" s="1486"/>
      <c r="I9" s="1486"/>
      <c r="J9" s="1486"/>
      <c r="K9" s="1486"/>
      <c r="L9" s="1486"/>
      <c r="M9" s="1486"/>
    </row>
    <row r="10" spans="1:13">
      <c r="B10" s="1486"/>
      <c r="C10" s="1486"/>
      <c r="D10" s="1486"/>
      <c r="E10" s="1486"/>
      <c r="F10" s="1486"/>
      <c r="G10" s="1486"/>
      <c r="H10" s="1486"/>
      <c r="I10" s="1486"/>
      <c r="J10" s="1486"/>
      <c r="K10" s="1486"/>
      <c r="L10" s="1486"/>
      <c r="M10" s="1486"/>
    </row>
    <row r="11" spans="1:13">
      <c r="B11" s="1486"/>
      <c r="C11" s="1486"/>
      <c r="D11" s="1486"/>
      <c r="E11" s="1486"/>
      <c r="F11" s="1486"/>
      <c r="G11" s="1486"/>
      <c r="H11" s="1486"/>
      <c r="I11" s="1486"/>
      <c r="J11" s="1486"/>
      <c r="K11" s="1486"/>
      <c r="L11" s="1486"/>
      <c r="M11" s="1486"/>
    </row>
    <row r="12" spans="1:13">
      <c r="B12" s="1486"/>
      <c r="C12" s="1486"/>
      <c r="D12" s="1486"/>
      <c r="E12" s="1486"/>
      <c r="F12" s="1486"/>
      <c r="G12" s="1486"/>
      <c r="H12" s="1486"/>
      <c r="I12" s="1486"/>
      <c r="J12" s="1486"/>
      <c r="K12" s="1486"/>
      <c r="L12" s="1486"/>
      <c r="M12" s="1486"/>
    </row>
    <row r="13" spans="1:13">
      <c r="B13" s="1486"/>
      <c r="C13" s="1486"/>
      <c r="D13" s="1486"/>
      <c r="E13" s="1486"/>
      <c r="F13" s="1486"/>
      <c r="G13" s="1486"/>
      <c r="H13" s="1486"/>
      <c r="I13" s="1486"/>
      <c r="J13" s="1486"/>
      <c r="K13" s="1486"/>
      <c r="L13" s="1486"/>
      <c r="M13" s="1486"/>
    </row>
    <row r="14" spans="1:13">
      <c r="B14" s="1486"/>
      <c r="C14" s="1486"/>
      <c r="D14" s="1486"/>
      <c r="E14" s="1486"/>
      <c r="F14" s="1486"/>
      <c r="G14" s="1486"/>
      <c r="H14" s="1486"/>
      <c r="I14" s="1486"/>
      <c r="J14" s="1486"/>
      <c r="K14" s="1486"/>
      <c r="L14" s="1486"/>
      <c r="M14" s="1486"/>
    </row>
    <row r="15" spans="1:13">
      <c r="B15" s="1486"/>
      <c r="C15" s="1486"/>
      <c r="D15" s="1486"/>
      <c r="E15" s="1486"/>
      <c r="F15" s="1486"/>
      <c r="G15" s="1486"/>
      <c r="H15" s="1486"/>
      <c r="I15" s="1486"/>
      <c r="J15" s="1486"/>
      <c r="K15" s="1486"/>
      <c r="L15" s="1486"/>
      <c r="M15" s="1486"/>
    </row>
    <row r="16" spans="1:13">
      <c r="B16" s="1486"/>
      <c r="C16" s="1486"/>
      <c r="D16" s="1486"/>
      <c r="E16" s="1486"/>
      <c r="F16" s="1486"/>
      <c r="G16" s="1486"/>
      <c r="H16" s="1486"/>
      <c r="I16" s="1486"/>
      <c r="J16" s="1486"/>
      <c r="K16" s="1486"/>
      <c r="L16" s="1486"/>
      <c r="M16" s="1486"/>
    </row>
    <row r="17" spans="2:13">
      <c r="B17" s="1486"/>
      <c r="C17" s="1486"/>
      <c r="D17" s="1486"/>
      <c r="E17" s="1486"/>
      <c r="F17" s="1486"/>
      <c r="G17" s="1486"/>
      <c r="H17" s="1486"/>
      <c r="I17" s="1486"/>
      <c r="J17" s="1486"/>
      <c r="K17" s="1486"/>
      <c r="L17" s="1486"/>
      <c r="M17" s="1486"/>
    </row>
    <row r="18" spans="2:13">
      <c r="B18" s="1486"/>
      <c r="C18" s="1486"/>
      <c r="D18" s="1486"/>
      <c r="E18" s="1486"/>
      <c r="F18" s="1486"/>
      <c r="G18" s="1486"/>
      <c r="H18" s="1486"/>
      <c r="I18" s="1486"/>
      <c r="J18" s="1486"/>
      <c r="K18" s="1486"/>
      <c r="L18" s="1486"/>
      <c r="M18" s="1486"/>
    </row>
  </sheetData>
  <mergeCells count="1">
    <mergeCell ref="B2:M18"/>
  </mergeCells>
  <printOptions horizontalCentered="1"/>
  <pageMargins left="0.5" right="0.5" top="0.75" bottom="0.75" header="0.5" footer="0.3"/>
  <pageSetup fitToHeight="0" orientation="landscape" horizontalDpi="1200" verticalDpi="1200" r:id="rId1"/>
  <headerFooter scaleWithDoc="0">
    <oddHeader>&amp;C&amp;10Cascade Natural Gas Corporation
Revenue Proof&amp;R&amp;9CNGC/401
Myhrum/Page &amp;P of &amp;N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Motion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Formal</CaseStatus>
    <OpenedDate xmlns="dc463f71-b30c-4ab2-9473-d307f9d35888">2021-09-30T07:00:00+00:00</OpenedDate>
    <SignificantOrder xmlns="dc463f71-b30c-4ab2-9473-d307f9d35888">false</SignificantOrder>
    <Date1 xmlns="dc463f71-b30c-4ab2-9473-d307f9d35888">2023-02-01T08:00:00+00:00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Cascade Natural Gas Corporation</CaseCompanyNames>
    <Nickname xmlns="http://schemas.microsoft.com/sharepoint/v3" xsi:nil="true"/>
    <DocketNumber xmlns="dc463f71-b30c-4ab2-9473-d307f9d35888">210755</DocketNumber>
    <DelegatedOrder xmlns="dc463f71-b30c-4ab2-9473-d307f9d35888">false</DelegatedOrder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3E4F6BCA26D4124898A947854461FAE8" ma:contentTypeVersion="44" ma:contentTypeDescription="" ma:contentTypeScope="" ma:versionID="04d8f703f5bd88e2dedb0ceddeacae86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2987DD2-ECD2-4DC5-B6E5-06311F197FF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2CDC3CE-6F95-40BF-8835-B593080AFC2C}"/>
</file>

<file path=customXml/itemProps3.xml><?xml version="1.0" encoding="utf-8"?>
<ds:datastoreItem xmlns:ds="http://schemas.openxmlformats.org/officeDocument/2006/customXml" ds:itemID="{B49482A7-848A-47BC-87B9-85411ECE13E3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4.xml><?xml version="1.0" encoding="utf-8"?>
<ds:datastoreItem xmlns:ds="http://schemas.openxmlformats.org/officeDocument/2006/customXml" ds:itemID="{EF78EE0C-75C5-462C-A0AD-995E2BE4716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53</vt:i4>
      </vt:variant>
      <vt:variant>
        <vt:lpstr>Named Ranges</vt:lpstr>
      </vt:variant>
      <vt:variant>
        <vt:i4>56</vt:i4>
      </vt:variant>
    </vt:vector>
  </HeadingPairs>
  <TitlesOfParts>
    <vt:vector size="109" baseType="lpstr">
      <vt:lpstr>Cover</vt:lpstr>
      <vt:lpstr>Title</vt:lpstr>
      <vt:lpstr>Summary of Request</vt:lpstr>
      <vt:lpstr>Summary Bill Impacts</vt:lpstr>
      <vt:lpstr>Proof ---&gt;</vt:lpstr>
      <vt:lpstr>Exh IDM-2, Proof of Revenue</vt:lpstr>
      <vt:lpstr>Exh IDM-3, Revenue Distribution</vt:lpstr>
      <vt:lpstr>Exh IDM-5, Decoupling Baseline</vt:lpstr>
      <vt:lpstr>Proof WPs ---&gt;</vt:lpstr>
      <vt:lpstr>Index</vt:lpstr>
      <vt:lpstr>1501 Summary</vt:lpstr>
      <vt:lpstr>Rev Recon Summary</vt:lpstr>
      <vt:lpstr>EOP Calculations</vt:lpstr>
      <vt:lpstr>663 - 511 Transfer</vt:lpstr>
      <vt:lpstr>Allocation Report 2020</vt:lpstr>
      <vt:lpstr>Weather Normalization</vt:lpstr>
      <vt:lpstr>WACAP 2020</vt:lpstr>
      <vt:lpstr>Rev Req ---&gt;</vt:lpstr>
      <vt:lpstr>Exh MCG-2 ROO Summary</vt:lpstr>
      <vt:lpstr>Exh MCG-3, Rev Req Calc</vt:lpstr>
      <vt:lpstr>Exh MCG-4, Conversion Factor</vt:lpstr>
      <vt:lpstr>Exh MCG-5, Summary of Adj</vt:lpstr>
      <vt:lpstr>Plant Additions</vt:lpstr>
      <vt:lpstr> MYRP Summary</vt:lpstr>
      <vt:lpstr>RR WPs ---&gt;</vt:lpstr>
      <vt:lpstr>Operating Report</vt:lpstr>
      <vt:lpstr>MCG WP Index</vt:lpstr>
      <vt:lpstr>Rate Base</vt:lpstr>
      <vt:lpstr>Suppl Sch Adj</vt:lpstr>
      <vt:lpstr>CAC-Def Tax</vt:lpstr>
      <vt:lpstr>D&amp;O Adjustment</vt:lpstr>
      <vt:lpstr>LPC</vt:lpstr>
      <vt:lpstr>State Allocators</vt:lpstr>
      <vt:lpstr>Annualize CRM</vt:lpstr>
      <vt:lpstr>Advertising Adj</vt:lpstr>
      <vt:lpstr>Annualize Rev Adj</vt:lpstr>
      <vt:lpstr>EOP Rev Adj</vt:lpstr>
      <vt:lpstr>Wage Adjustments</vt:lpstr>
      <vt:lpstr>Incentives Adj</vt:lpstr>
      <vt:lpstr>Interest Sync Adj</vt:lpstr>
      <vt:lpstr>MAOP Deferral</vt:lpstr>
      <vt:lpstr> Working Capital (AMA)</vt:lpstr>
      <vt:lpstr>FP-319072 &amp; FP-319209</vt:lpstr>
      <vt:lpstr>WACC Calculation</vt:lpstr>
      <vt:lpstr>EOP Depn Exp Adj</vt:lpstr>
      <vt:lpstr>Pro Forma Plant Additions</vt:lpstr>
      <vt:lpstr>R&amp;R Adjustment</vt:lpstr>
      <vt:lpstr>Plt-Accum Depn</vt:lpstr>
      <vt:lpstr>Rate Design ---&gt;</vt:lpstr>
      <vt:lpstr>Class Revenue</vt:lpstr>
      <vt:lpstr>Exh IDM-4, Class Rates</vt:lpstr>
      <vt:lpstr>Exh PJA-3, RES Monthly Impact</vt:lpstr>
      <vt:lpstr>Exh PJA-4, Bill Impacts</vt:lpstr>
      <vt:lpstr>Company</vt:lpstr>
      <vt:lpstr>' MYRP Summary'!Print_Area</vt:lpstr>
      <vt:lpstr>' Working Capital (AMA)'!Print_Area</vt:lpstr>
      <vt:lpstr>'Advertising Adj'!Print_Area</vt:lpstr>
      <vt:lpstr>'Allocation Report 2020'!Print_Area</vt:lpstr>
      <vt:lpstr>'Annualize CRM'!Print_Area</vt:lpstr>
      <vt:lpstr>'Annualize Rev Adj'!Print_Area</vt:lpstr>
      <vt:lpstr>'Class Revenue'!Print_Area</vt:lpstr>
      <vt:lpstr>'EOP Depn Exp Adj'!Print_Area</vt:lpstr>
      <vt:lpstr>'EOP Rev Adj'!Print_Area</vt:lpstr>
      <vt:lpstr>'Exh IDM-2, Proof of Revenue'!Print_Area</vt:lpstr>
      <vt:lpstr>'Exh IDM-3, Revenue Distribution'!Print_Area</vt:lpstr>
      <vt:lpstr>'Exh IDM-4, Class Rates'!Print_Area</vt:lpstr>
      <vt:lpstr>'Exh IDM-5, Decoupling Baseline'!Print_Area</vt:lpstr>
      <vt:lpstr>'Exh MCG-2 ROO Summary'!Print_Area</vt:lpstr>
      <vt:lpstr>'Exh MCG-3, Rev Req Calc'!Print_Area</vt:lpstr>
      <vt:lpstr>'Exh MCG-4, Conversion Factor'!Print_Area</vt:lpstr>
      <vt:lpstr>'Exh MCG-5, Summary of Adj'!Print_Area</vt:lpstr>
      <vt:lpstr>'Exh PJA-3, RES Monthly Impact'!Print_Area</vt:lpstr>
      <vt:lpstr>'Exh PJA-4, Bill Impacts'!Print_Area</vt:lpstr>
      <vt:lpstr>'FP-319072 &amp; FP-319209'!Print_Area</vt:lpstr>
      <vt:lpstr>'Incentives Adj'!Print_Area</vt:lpstr>
      <vt:lpstr>'MAOP Deferral'!Print_Area</vt:lpstr>
      <vt:lpstr>'Operating Report'!Print_Area</vt:lpstr>
      <vt:lpstr>'Plant Additions'!Print_Area</vt:lpstr>
      <vt:lpstr>'Plt-Accum Depn'!Print_Area</vt:lpstr>
      <vt:lpstr>'Pro Forma Plant Additions'!Print_Area</vt:lpstr>
      <vt:lpstr>'R&amp;R Adjustment'!Print_Area</vt:lpstr>
      <vt:lpstr>'Rate Base'!Print_Area</vt:lpstr>
      <vt:lpstr>'State Allocators'!Print_Area</vt:lpstr>
      <vt:lpstr>'Suppl Sch Adj'!Print_Area</vt:lpstr>
      <vt:lpstr>Title!Print_Area</vt:lpstr>
      <vt:lpstr>'WACAP 2020'!Print_Area</vt:lpstr>
      <vt:lpstr>'WACC Calculation'!Print_Area</vt:lpstr>
      <vt:lpstr>'Wage Adjustments'!Print_Area</vt:lpstr>
      <vt:lpstr>' MYRP Summary'!Print_Titles</vt:lpstr>
      <vt:lpstr>' Working Capital (AMA)'!Print_Titles</vt:lpstr>
      <vt:lpstr>'Advertising Adj'!Print_Titles</vt:lpstr>
      <vt:lpstr>'CAC-Def Tax'!Print_Titles</vt:lpstr>
      <vt:lpstr>'Exh IDM-2, Proof of Revenue'!Print_Titles</vt:lpstr>
      <vt:lpstr>'Exh MCG-5, Summary of Adj'!Print_Titles</vt:lpstr>
      <vt:lpstr>'Exh PJA-4, Bill Impacts'!Print_Titles</vt:lpstr>
      <vt:lpstr>'Operating Report'!Print_Titles</vt:lpstr>
      <vt:lpstr>'Plant Additions'!Print_Titles</vt:lpstr>
      <vt:lpstr>'Plt-Accum Depn'!Print_Titles</vt:lpstr>
      <vt:lpstr>'State Allocators'!Print_Titles</vt:lpstr>
      <vt:lpstr>'Suppl Sch Adj'!Print_Titles</vt:lpstr>
      <vt:lpstr>'Wage Adjustments'!Print_Titles</vt:lpstr>
      <vt:lpstr>Title1</vt:lpstr>
      <vt:lpstr>Title2</vt:lpstr>
      <vt:lpstr>Title3</vt:lpstr>
      <vt:lpstr>Title4</vt:lpstr>
      <vt:lpstr>Title5</vt:lpstr>
      <vt:lpstr>Title6</vt:lpstr>
      <vt:lpstr>Title7</vt:lpstr>
      <vt:lpstr>Title8</vt:lpstr>
    </vt:vector>
  </TitlesOfParts>
  <Manager/>
  <Company>MDU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Cascade Natural Gas</dc:creator>
  <cp:keywords/>
  <dc:description/>
  <cp:lastModifiedBy>Stanton, Amy (SEA)</cp:lastModifiedBy>
  <cp:revision/>
  <cp:lastPrinted>2022-02-17T00:54:31Z</cp:lastPrinted>
  <dcterms:created xsi:type="dcterms:W3CDTF">2014-12-11T21:48:04Z</dcterms:created>
  <dcterms:modified xsi:type="dcterms:W3CDTF">2023-02-01T21:01:18Z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 id">
    <vt:lpwstr>923661e7-28df-46f7-80b4-5413277bd1e2</vt:lpwstr>
  </property>
  <property fmtid="{D5CDD505-2E9C-101B-9397-08002B2CF9AE}" pid="3" name="Workbook type">
    <vt:lpwstr>Custom</vt:lpwstr>
  </property>
  <property fmtid="{D5CDD505-2E9C-101B-9397-08002B2CF9AE}" pid="4" name="Workbook version">
    <vt:lpwstr>Custom</vt:lpwstr>
  </property>
  <property fmtid="{D5CDD505-2E9C-101B-9397-08002B2CF9AE}" pid="5" name="ContentTypeId">
    <vt:lpwstr>0x0101006E56B4D1795A2E4DB2F0B01679ED314A003E4F6BCA26D4124898A947854461FAE8</vt:lpwstr>
  </property>
  <property fmtid="{D5CDD505-2E9C-101B-9397-08002B2CF9AE}" pid="6" name="_docset_NoMedatataSyncRequired">
    <vt:lpwstr>False</vt:lpwstr>
  </property>
  <property fmtid="{D5CDD505-2E9C-101B-9397-08002B2CF9AE}" pid="7" name="IsEFSEC">
    <vt:bool>false</vt:bool>
  </property>
</Properties>
</file>